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6.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7.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drawings/drawing8.xml" ContentType="application/vnd.openxmlformats-officedocument.drawing+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drawings/drawing9.xml" ContentType="application/vnd.openxmlformats-officedocument.drawing+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drawings/drawing10.xml" ContentType="application/vnd.openxmlformats-officedocument.drawing+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drawings/drawing11.xml" ContentType="application/vnd.openxmlformats-officedocument.drawing+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drawings/drawing12.xml" ContentType="application/vnd.openxmlformats-officedocument.drawing+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75" windowWidth="15195" windowHeight="7935" tabRatio="680"/>
  </bookViews>
  <sheets>
    <sheet name="Disclaimer " sheetId="40" r:id="rId1"/>
    <sheet name="Invoer Algemeen" sheetId="22" r:id="rId2"/>
    <sheet name="Invoer energieverbruik" sheetId="1" r:id="rId3"/>
    <sheet name="Invoer eigenopwekking" sheetId="47" r:id="rId4"/>
    <sheet name="Verwerken eigenopwekking" sheetId="48" state="hidden" r:id="rId5"/>
    <sheet name="Fitten energieverbruik" sheetId="42" r:id="rId6"/>
    <sheet name="Invoer Gebouwschil" sheetId="16" r:id="rId7"/>
    <sheet name="Verwerking Bouwdelen" sheetId="12" state="hidden" r:id="rId8"/>
    <sheet name="Invoer verwarming en tapwater" sheetId="8" r:id="rId9"/>
    <sheet name="Invoer Ventilatie" sheetId="31" r:id="rId10"/>
    <sheet name="Invoer verlichting" sheetId="17" r:id="rId11"/>
    <sheet name="Verwerken verlichting" sheetId="18" state="hidden" r:id="rId12"/>
    <sheet name="Invoer Lokaal Type 1" sheetId="13" r:id="rId13"/>
    <sheet name="Invoer Lokaal Type 2" sheetId="21" r:id="rId14"/>
    <sheet name="Invoer Lokaal Type 3" sheetId="24" r:id="rId15"/>
    <sheet name="Invoer Lokaal Type 4" sheetId="23" r:id="rId16"/>
    <sheet name="Verwerken Verwarming en Tapwate" sheetId="33" state="hidden" r:id="rId17"/>
    <sheet name="Verwerken ventilatie" sheetId="32" state="hidden" r:id="rId18"/>
    <sheet name="binnenklimaatlabel type 1" sheetId="15" state="hidden" r:id="rId19"/>
    <sheet name="binnenklimaatlabel type 2" sheetId="25" state="hidden" r:id="rId20"/>
    <sheet name="binnenklimaatlabel type 3" sheetId="26" state="hidden" r:id="rId21"/>
    <sheet name="binnenklimaatlabel type 4" sheetId="27" state="hidden" r:id="rId22"/>
    <sheet name="Menu´s Binnenklimaat" sheetId="14" state="hidden" r:id="rId23"/>
    <sheet name="Bouwdeel 1 (fit)" sheetId="41" state="hidden" r:id="rId24"/>
    <sheet name="Bouwdeel 2 (fit)" sheetId="43" state="hidden" r:id="rId25"/>
    <sheet name="Bouwdeel 3 (fit)" sheetId="44" state="hidden" r:id="rId26"/>
    <sheet name="Bouwdeel 4 (fit)" sheetId="45" state="hidden" r:id="rId27"/>
    <sheet name="Kosten en Baten maatregelen" sheetId="35" r:id="rId28"/>
    <sheet name="Verwerken Algemeen" sheetId="20" state="hidden" r:id="rId29"/>
    <sheet name="Uitvoer Rapportage" sheetId="28" r:id="rId30"/>
    <sheet name="Klimaatdata" sheetId="30" state="hidden" r:id="rId31"/>
    <sheet name="Energiebelasting en transport" sheetId="34" state="hidden" r:id="rId32"/>
    <sheet name="Kosten kengetallen" sheetId="46" r:id="rId33"/>
  </sheets>
  <definedNames>
    <definedName name="_ftn1" localSheetId="29">'Uitvoer Rapportage'!#REF!</definedName>
    <definedName name="_ftnref1" localSheetId="29">'Uitvoer Rapportage'!#REF!</definedName>
  </definedNames>
  <calcPr calcId="145621"/>
</workbook>
</file>

<file path=xl/calcChain.xml><?xml version="1.0" encoding="utf-8"?>
<calcChain xmlns="http://schemas.openxmlformats.org/spreadsheetml/2006/main">
  <c r="I51" i="35" l="1"/>
  <c r="I50" i="35"/>
  <c r="D76" i="33"/>
  <c r="G76" i="33" s="1"/>
  <c r="I76" i="33" s="1"/>
  <c r="D77" i="33"/>
  <c r="G77" i="33" s="1"/>
  <c r="I77" i="33" s="1"/>
  <c r="D78" i="33"/>
  <c r="H78" i="33" s="1"/>
  <c r="J78" i="33" s="1"/>
  <c r="D75" i="33"/>
  <c r="H75" i="33" s="1"/>
  <c r="J75" i="33" s="1"/>
  <c r="E67" i="33"/>
  <c r="F78" i="33"/>
  <c r="F77" i="33"/>
  <c r="F76" i="33"/>
  <c r="F75" i="33"/>
  <c r="E78" i="33"/>
  <c r="G78" i="33"/>
  <c r="I78" i="33" s="1"/>
  <c r="E77" i="33"/>
  <c r="E76" i="33"/>
  <c r="E75" i="33"/>
  <c r="G67" i="33"/>
  <c r="F67" i="33"/>
  <c r="I49" i="35"/>
  <c r="I48" i="35"/>
  <c r="N48" i="35"/>
  <c r="K69" i="33"/>
  <c r="K68" i="33"/>
  <c r="G68" i="33"/>
  <c r="I68" i="33" s="1"/>
  <c r="E68" i="33"/>
  <c r="E69" i="33"/>
  <c r="E70" i="33"/>
  <c r="C68" i="33"/>
  <c r="F68" i="33" s="1"/>
  <c r="C69" i="33"/>
  <c r="J69" i="33" s="1"/>
  <c r="C70" i="33"/>
  <c r="G70" i="33" s="1"/>
  <c r="C67" i="33"/>
  <c r="J67" i="33" s="1"/>
  <c r="HY148" i="41"/>
  <c r="HX148" i="41"/>
  <c r="HW148" i="41"/>
  <c r="HV145" i="41"/>
  <c r="HU145" i="41"/>
  <c r="HT145" i="41"/>
  <c r="HS145" i="41"/>
  <c r="HY145" i="41" s="1"/>
  <c r="HR145" i="41"/>
  <c r="HX145" i="41" s="1"/>
  <c r="HQ152" i="41" s="1"/>
  <c r="HQ142" i="41"/>
  <c r="HU3" i="41"/>
  <c r="HT3" i="41"/>
  <c r="HR3" i="41"/>
  <c r="HQ3" i="41"/>
  <c r="R30" i="33"/>
  <c r="Q30" i="33"/>
  <c r="P30" i="33"/>
  <c r="AD7" i="48"/>
  <c r="AD8" i="48"/>
  <c r="AD9" i="48"/>
  <c r="AD10" i="48"/>
  <c r="AE10" i="48" s="1"/>
  <c r="AD6" i="48"/>
  <c r="E20" i="48"/>
  <c r="H10" i="48"/>
  <c r="E18" i="48"/>
  <c r="C52" i="35"/>
  <c r="O6" i="48"/>
  <c r="B10" i="48"/>
  <c r="O10" i="48"/>
  <c r="Q16" i="48"/>
  <c r="O16" i="48"/>
  <c r="R16" i="48" s="1"/>
  <c r="K14" i="47"/>
  <c r="J14" i="47"/>
  <c r="P16" i="48" s="1"/>
  <c r="I14" i="47"/>
  <c r="O7" i="48"/>
  <c r="O9" i="48"/>
  <c r="V10" i="48"/>
  <c r="T10" i="48"/>
  <c r="V9" i="48"/>
  <c r="T9" i="48"/>
  <c r="V8" i="48"/>
  <c r="T8" i="48"/>
  <c r="V7" i="48"/>
  <c r="T7" i="48"/>
  <c r="V6" i="48"/>
  <c r="T6" i="48"/>
  <c r="E18" i="1"/>
  <c r="E17" i="1"/>
  <c r="E16" i="1"/>
  <c r="B7" i="1"/>
  <c r="E29" i="1"/>
  <c r="E28" i="1"/>
  <c r="E27" i="1"/>
  <c r="E23" i="1"/>
  <c r="K17" i="1"/>
  <c r="K20" i="1" s="1"/>
  <c r="B9" i="48"/>
  <c r="B6" i="48"/>
  <c r="I7" i="48"/>
  <c r="I8" i="48"/>
  <c r="I9" i="48"/>
  <c r="I10" i="48"/>
  <c r="I6" i="48"/>
  <c r="G7" i="48"/>
  <c r="G8" i="48"/>
  <c r="G9" i="48"/>
  <c r="G10" i="48"/>
  <c r="G6" i="48"/>
  <c r="C19" i="48"/>
  <c r="C20" i="48"/>
  <c r="C18" i="48"/>
  <c r="D13" i="34"/>
  <c r="D12" i="34"/>
  <c r="E12" i="34" s="1"/>
  <c r="D7" i="34"/>
  <c r="D8" i="34"/>
  <c r="D6" i="34"/>
  <c r="T60" i="18"/>
  <c r="T61" i="18"/>
  <c r="N63" i="18"/>
  <c r="I68" i="18"/>
  <c r="M68" i="18"/>
  <c r="M69" i="18"/>
  <c r="U69" i="18"/>
  <c r="L70" i="18"/>
  <c r="T70" i="18"/>
  <c r="F71" i="18"/>
  <c r="G71" i="18"/>
  <c r="L71" i="18"/>
  <c r="O71" i="18"/>
  <c r="T71" i="18"/>
  <c r="U71" i="18"/>
  <c r="T75" i="18"/>
  <c r="Q76" i="18"/>
  <c r="U76" i="18"/>
  <c r="L78" i="18"/>
  <c r="M78" i="18"/>
  <c r="N78" i="18"/>
  <c r="T78" i="18"/>
  <c r="F79" i="18"/>
  <c r="G79" i="18"/>
  <c r="L79" i="18"/>
  <c r="O79" i="18"/>
  <c r="T79" i="18"/>
  <c r="U79" i="18"/>
  <c r="T80" i="18"/>
  <c r="D59" i="18"/>
  <c r="D60" i="18"/>
  <c r="L60" i="18" s="1"/>
  <c r="D61" i="18"/>
  <c r="D62" i="18"/>
  <c r="D63" i="18"/>
  <c r="D64" i="18"/>
  <c r="D65" i="18"/>
  <c r="D66" i="18"/>
  <c r="D67" i="18"/>
  <c r="I67" i="18"/>
  <c r="D68" i="18"/>
  <c r="G68" i="18"/>
  <c r="D69" i="18"/>
  <c r="D70" i="18"/>
  <c r="M70" i="18" s="1"/>
  <c r="I70" i="18"/>
  <c r="D71" i="18"/>
  <c r="H71" i="18"/>
  <c r="D72" i="18"/>
  <c r="D73" i="18"/>
  <c r="D74" i="18"/>
  <c r="D75" i="18"/>
  <c r="I75" i="18"/>
  <c r="D76" i="18"/>
  <c r="G76" i="18"/>
  <c r="D77" i="18"/>
  <c r="U77" i="18" s="1"/>
  <c r="D78" i="18"/>
  <c r="I78" i="18"/>
  <c r="D79" i="18"/>
  <c r="D80" i="18"/>
  <c r="D81" i="18"/>
  <c r="C80" i="18"/>
  <c r="L80" i="18" s="1"/>
  <c r="C81" i="18"/>
  <c r="C59" i="18"/>
  <c r="L59" i="18" s="1"/>
  <c r="K59" i="18"/>
  <c r="C60" i="18"/>
  <c r="I60" i="18" s="1"/>
  <c r="K60" i="18"/>
  <c r="C61" i="18"/>
  <c r="L61" i="18" s="1"/>
  <c r="C62" i="18"/>
  <c r="C63" i="18"/>
  <c r="Q63" i="18" s="1"/>
  <c r="C64" i="18"/>
  <c r="C65" i="18"/>
  <c r="K65" i="18"/>
  <c r="C66" i="18"/>
  <c r="K66" i="18"/>
  <c r="C67" i="18"/>
  <c r="K67" i="18" s="1"/>
  <c r="C68" i="18"/>
  <c r="Q68" i="18" s="1"/>
  <c r="C69" i="18"/>
  <c r="L69" i="18" s="1"/>
  <c r="K69" i="18"/>
  <c r="C70" i="18"/>
  <c r="U70" i="18" s="1"/>
  <c r="K70" i="18"/>
  <c r="C71" i="18"/>
  <c r="N71" i="18" s="1"/>
  <c r="C72" i="18"/>
  <c r="K72" i="18" s="1"/>
  <c r="C73" i="18"/>
  <c r="K73" i="18"/>
  <c r="C74" i="18"/>
  <c r="C75" i="18"/>
  <c r="K75" i="18" s="1"/>
  <c r="C76" i="18"/>
  <c r="I76" i="18" s="1"/>
  <c r="C77" i="18"/>
  <c r="L77" i="18" s="1"/>
  <c r="K77" i="18"/>
  <c r="C78" i="18"/>
  <c r="U78" i="18" s="1"/>
  <c r="K78" i="18"/>
  <c r="C79" i="18"/>
  <c r="N79" i="18" s="1"/>
  <c r="D58" i="18"/>
  <c r="C58" i="18"/>
  <c r="T58" i="18"/>
  <c r="J212" i="12"/>
  <c r="Q212" i="12" s="1"/>
  <c r="J213" i="12"/>
  <c r="Q213" i="12" s="1"/>
  <c r="J214" i="12"/>
  <c r="Q214" i="12"/>
  <c r="J215" i="12"/>
  <c r="Q215" i="12"/>
  <c r="J216" i="12"/>
  <c r="Q216" i="12" s="1"/>
  <c r="J217" i="12"/>
  <c r="Q217" i="12" s="1"/>
  <c r="J218" i="12"/>
  <c r="Q218" i="12"/>
  <c r="J219" i="12"/>
  <c r="Q219" i="12"/>
  <c r="J220" i="12"/>
  <c r="Q220" i="12" s="1"/>
  <c r="J221" i="12"/>
  <c r="Q221" i="12" s="1"/>
  <c r="J222" i="12"/>
  <c r="Q222" i="12"/>
  <c r="J223" i="12"/>
  <c r="Q223" i="12"/>
  <c r="J224" i="12"/>
  <c r="Q224" i="12" s="1"/>
  <c r="J225" i="12"/>
  <c r="Q225" i="12" s="1"/>
  <c r="J226" i="12"/>
  <c r="Q226" i="12"/>
  <c r="J227" i="12"/>
  <c r="Q227" i="12"/>
  <c r="J228" i="12"/>
  <c r="Q228" i="12" s="1"/>
  <c r="J229" i="12"/>
  <c r="Q229" i="12" s="1"/>
  <c r="J230" i="12"/>
  <c r="Q230" i="12"/>
  <c r="J231" i="12"/>
  <c r="Q231" i="12"/>
  <c r="J232" i="12"/>
  <c r="Q232" i="12" s="1"/>
  <c r="J233" i="12"/>
  <c r="Q233" i="12" s="1"/>
  <c r="J234" i="12"/>
  <c r="Q234" i="12"/>
  <c r="J235" i="12"/>
  <c r="Q235" i="12"/>
  <c r="J236" i="12"/>
  <c r="L236" i="12" s="1"/>
  <c r="J237" i="12"/>
  <c r="Q237" i="12" s="1"/>
  <c r="J238" i="12"/>
  <c r="Q238" i="12"/>
  <c r="J239" i="12"/>
  <c r="Q239" i="12"/>
  <c r="J240" i="12"/>
  <c r="L240" i="12" s="1"/>
  <c r="J241" i="12"/>
  <c r="Q241" i="12" s="1"/>
  <c r="J242" i="12"/>
  <c r="Q242" i="12"/>
  <c r="J243" i="12"/>
  <c r="Q243" i="12"/>
  <c r="J244" i="12"/>
  <c r="Q244" i="12" s="1"/>
  <c r="J245" i="12"/>
  <c r="Q245" i="12" s="1"/>
  <c r="J246" i="12"/>
  <c r="Q246" i="12"/>
  <c r="J247" i="12"/>
  <c r="Q247" i="12"/>
  <c r="J248" i="12"/>
  <c r="Q248" i="12" s="1"/>
  <c r="J249" i="12"/>
  <c r="Q249" i="12" s="1"/>
  <c r="J250" i="12"/>
  <c r="Q250" i="12"/>
  <c r="J251" i="12"/>
  <c r="Q251" i="12"/>
  <c r="J252" i="12"/>
  <c r="Q252" i="12" s="1"/>
  <c r="J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L235" i="12"/>
  <c r="I236" i="12"/>
  <c r="I237" i="12"/>
  <c r="L237" i="12" s="1"/>
  <c r="I238" i="12"/>
  <c r="L238" i="12" s="1"/>
  <c r="I239" i="12"/>
  <c r="L239" i="12"/>
  <c r="I240" i="12"/>
  <c r="I241" i="12"/>
  <c r="I242" i="12"/>
  <c r="L242" i="12" s="1"/>
  <c r="I243" i="12"/>
  <c r="L243" i="12"/>
  <c r="I244" i="12"/>
  <c r="I245" i="12"/>
  <c r="I246" i="12"/>
  <c r="I247" i="12"/>
  <c r="I248" i="12"/>
  <c r="I249" i="12"/>
  <c r="I250" i="12"/>
  <c r="I251" i="12"/>
  <c r="I252" i="12"/>
  <c r="I211" i="12"/>
  <c r="G20" i="22"/>
  <c r="H20" i="22"/>
  <c r="C14" i="28" s="1"/>
  <c r="I20" i="22"/>
  <c r="F20" i="22"/>
  <c r="C15" i="28"/>
  <c r="C13" i="28"/>
  <c r="C12" i="28"/>
  <c r="L19" i="31"/>
  <c r="M19" i="31" s="1"/>
  <c r="BT9" i="32" s="1"/>
  <c r="L20" i="31"/>
  <c r="M20" i="31" s="1"/>
  <c r="BT10" i="32" s="1"/>
  <c r="L21" i="31"/>
  <c r="M21" i="31" s="1"/>
  <c r="BT11" i="32" s="1"/>
  <c r="FD19" i="44" s="1"/>
  <c r="L22" i="31"/>
  <c r="M22" i="31" s="1"/>
  <c r="BT12" i="32" s="1"/>
  <c r="L23" i="31"/>
  <c r="L24" i="31"/>
  <c r="L25" i="31"/>
  <c r="M25" i="31" s="1"/>
  <c r="BT15" i="32" s="1"/>
  <c r="L26" i="31"/>
  <c r="M26" i="31" s="1"/>
  <c r="BT16" i="32" s="1"/>
  <c r="L27" i="31"/>
  <c r="M27" i="31"/>
  <c r="BT17" i="32"/>
  <c r="L28" i="31"/>
  <c r="M28" i="31"/>
  <c r="BT18" i="32" s="1"/>
  <c r="L29" i="31"/>
  <c r="M29" i="31"/>
  <c r="BT19" i="32" s="1"/>
  <c r="L18" i="31"/>
  <c r="M18" i="31"/>
  <c r="BT8" i="32" s="1"/>
  <c r="AR4" i="33"/>
  <c r="AT4" i="33" s="1"/>
  <c r="AR5" i="33"/>
  <c r="AT5" i="33"/>
  <c r="AR6" i="33"/>
  <c r="AT6" i="33"/>
  <c r="AR3" i="33"/>
  <c r="EU3" i="41" s="1"/>
  <c r="O46" i="33"/>
  <c r="O45" i="33"/>
  <c r="L109" i="35"/>
  <c r="L110" i="35"/>
  <c r="L38" i="35"/>
  <c r="J47" i="35"/>
  <c r="AS4" i="33"/>
  <c r="EU4" i="43" s="1"/>
  <c r="AS5" i="33"/>
  <c r="EU4" i="44" s="1"/>
  <c r="AS6" i="33"/>
  <c r="EU4" i="45"/>
  <c r="AS3" i="33"/>
  <c r="EU4" i="41"/>
  <c r="J25" i="23"/>
  <c r="F70" i="27" s="1"/>
  <c r="J25" i="24"/>
  <c r="F70" i="26" s="1"/>
  <c r="J25" i="21"/>
  <c r="H84" i="35" s="1"/>
  <c r="L84" i="35" s="1"/>
  <c r="J22" i="23"/>
  <c r="E67" i="27"/>
  <c r="J21" i="23"/>
  <c r="F67" i="27"/>
  <c r="J20" i="23"/>
  <c r="T81" i="35"/>
  <c r="J19" i="23"/>
  <c r="T80" i="35" s="1"/>
  <c r="X80" i="35" s="1"/>
  <c r="J18" i="23"/>
  <c r="T79" i="35" s="1"/>
  <c r="J17" i="23"/>
  <c r="T78" i="35" s="1"/>
  <c r="X78" i="35"/>
  <c r="J22" i="24"/>
  <c r="N83" i="35"/>
  <c r="J21" i="24"/>
  <c r="N82" i="35"/>
  <c r="J20" i="24"/>
  <c r="F66" i="26"/>
  <c r="J19" i="24"/>
  <c r="N80" i="35" s="1"/>
  <c r="J18" i="24"/>
  <c r="F64" i="26"/>
  <c r="J17" i="24"/>
  <c r="Z92" i="35"/>
  <c r="J22" i="21"/>
  <c r="Y97" i="35" s="1"/>
  <c r="AB97" i="35" s="1"/>
  <c r="J21" i="21"/>
  <c r="Y96" i="35"/>
  <c r="J20" i="21"/>
  <c r="Y95" i="35"/>
  <c r="J19" i="21"/>
  <c r="Y94" i="35"/>
  <c r="J18" i="21"/>
  <c r="J17" i="21"/>
  <c r="H78" i="35" s="1"/>
  <c r="J25" i="13"/>
  <c r="J21" i="13"/>
  <c r="J22" i="13"/>
  <c r="J20" i="13"/>
  <c r="E66" i="25" s="1"/>
  <c r="J19" i="13"/>
  <c r="B80" i="35"/>
  <c r="E80" i="35"/>
  <c r="J18" i="13"/>
  <c r="E64" i="25"/>
  <c r="J17" i="13"/>
  <c r="B78" i="35"/>
  <c r="F78" i="35" s="1"/>
  <c r="J13" i="23"/>
  <c r="F62" i="27" s="1"/>
  <c r="J13" i="24"/>
  <c r="N75" i="35" s="1"/>
  <c r="Q75" i="35"/>
  <c r="J13" i="21"/>
  <c r="H75" i="35"/>
  <c r="K75" i="35"/>
  <c r="J13" i="13"/>
  <c r="B75" i="35" s="1"/>
  <c r="J7" i="23"/>
  <c r="J7" i="24"/>
  <c r="J7" i="21"/>
  <c r="J7" i="13"/>
  <c r="B74" i="35"/>
  <c r="BX6" i="18"/>
  <c r="CA6" i="18"/>
  <c r="BX7" i="18"/>
  <c r="BX8" i="18"/>
  <c r="BX9" i="18"/>
  <c r="BX10" i="18"/>
  <c r="BX11" i="18"/>
  <c r="BX12" i="18"/>
  <c r="BX13" i="18"/>
  <c r="CA13" i="18"/>
  <c r="BX14" i="18"/>
  <c r="BX15" i="18"/>
  <c r="BX16" i="18"/>
  <c r="GA20" i="43"/>
  <c r="BX17" i="18"/>
  <c r="BX18" i="18"/>
  <c r="BX19" i="18"/>
  <c r="BX20" i="18"/>
  <c r="CA20" i="18" s="1"/>
  <c r="BX21" i="18"/>
  <c r="CA21" i="18" s="1"/>
  <c r="BX22" i="18"/>
  <c r="BX23" i="18"/>
  <c r="BX24" i="18"/>
  <c r="CA24" i="18" s="1"/>
  <c r="BX25" i="18"/>
  <c r="BX26" i="18"/>
  <c r="BX27" i="18"/>
  <c r="BX28" i="18"/>
  <c r="BX5" i="18"/>
  <c r="GA9" i="45"/>
  <c r="BB61" i="12"/>
  <c r="BB62" i="12"/>
  <c r="BB60" i="12"/>
  <c r="AJ61" i="12"/>
  <c r="AJ62" i="12"/>
  <c r="AJ60" i="12"/>
  <c r="AC61" i="12"/>
  <c r="AC62" i="12"/>
  <c r="AC63" i="12"/>
  <c r="AC64" i="12"/>
  <c r="AC65" i="12"/>
  <c r="AC66" i="12"/>
  <c r="AC67" i="12"/>
  <c r="AC68" i="12"/>
  <c r="AC69" i="12"/>
  <c r="AC70" i="12"/>
  <c r="AC60" i="12"/>
  <c r="M11" i="35"/>
  <c r="M10" i="35"/>
  <c r="M9" i="35"/>
  <c r="L11" i="35"/>
  <c r="L10" i="35"/>
  <c r="L9" i="35"/>
  <c r="K11" i="35"/>
  <c r="K10" i="35"/>
  <c r="K9" i="35"/>
  <c r="AI16" i="35"/>
  <c r="AI17" i="35"/>
  <c r="AL17" i="35"/>
  <c r="AI18" i="35"/>
  <c r="AL18" i="35"/>
  <c r="AI19" i="35"/>
  <c r="G37" i="35" s="1"/>
  <c r="AI21" i="35"/>
  <c r="AL21" i="35"/>
  <c r="AI22" i="35"/>
  <c r="AL23" i="35"/>
  <c r="AG24" i="35"/>
  <c r="AG25" i="35"/>
  <c r="AG26" i="35"/>
  <c r="AH26" i="35"/>
  <c r="AL26" i="35"/>
  <c r="AG27" i="35"/>
  <c r="AH27" i="35"/>
  <c r="F45" i="35" s="1"/>
  <c r="AL27" i="35"/>
  <c r="AI28" i="35"/>
  <c r="AL28" i="35"/>
  <c r="AI15" i="35"/>
  <c r="Y16" i="35"/>
  <c r="Y17" i="35"/>
  <c r="AB17" i="35"/>
  <c r="Y18" i="35"/>
  <c r="AB18" i="35"/>
  <c r="Y19" i="35"/>
  <c r="Y21" i="35"/>
  <c r="AB21" i="35"/>
  <c r="Y22" i="35"/>
  <c r="AB23" i="35"/>
  <c r="W24" i="35"/>
  <c r="W25" i="35"/>
  <c r="W26" i="35"/>
  <c r="X26" i="35"/>
  <c r="AB26" i="35"/>
  <c r="W27" i="35"/>
  <c r="X27" i="35"/>
  <c r="AB27" i="35"/>
  <c r="Y28" i="35"/>
  <c r="AB28" i="35"/>
  <c r="Y15" i="35"/>
  <c r="O16" i="35"/>
  <c r="O17" i="35"/>
  <c r="R17" i="35"/>
  <c r="O18" i="35"/>
  <c r="R18" i="35"/>
  <c r="O19" i="35"/>
  <c r="O21" i="35"/>
  <c r="R21" i="35"/>
  <c r="O22" i="35"/>
  <c r="R23" i="35"/>
  <c r="M24" i="35"/>
  <c r="M25" i="35"/>
  <c r="M26" i="35"/>
  <c r="N26" i="35"/>
  <c r="R26" i="35"/>
  <c r="M27" i="35"/>
  <c r="N27" i="35"/>
  <c r="R27" i="35"/>
  <c r="O28" i="35"/>
  <c r="G46" i="35"/>
  <c r="R28" i="35"/>
  <c r="O15" i="35"/>
  <c r="C71" i="45"/>
  <c r="FX71" i="45" s="1"/>
  <c r="GO71" i="45" s="1"/>
  <c r="C71" i="44"/>
  <c r="C71" i="43"/>
  <c r="FX71" i="43"/>
  <c r="C71" i="41"/>
  <c r="B71" i="45"/>
  <c r="FW71" i="45"/>
  <c r="B71" i="44"/>
  <c r="B71" i="43"/>
  <c r="FW71" i="43" s="1"/>
  <c r="B71" i="41"/>
  <c r="B168" i="45"/>
  <c r="J148" i="45"/>
  <c r="GE148" i="45" s="1"/>
  <c r="I148" i="45"/>
  <c r="GV148" i="45" s="1"/>
  <c r="H148" i="45"/>
  <c r="GT145" i="45"/>
  <c r="GS145" i="45"/>
  <c r="GQ145" i="45"/>
  <c r="GW145" i="45"/>
  <c r="GP145" i="45"/>
  <c r="GV145" i="45" s="1"/>
  <c r="GO152" i="45" s="1"/>
  <c r="GB145" i="45"/>
  <c r="GA145" i="45"/>
  <c r="FY145" i="45"/>
  <c r="FX145" i="45"/>
  <c r="GD145" i="45" s="1"/>
  <c r="FH145" i="45"/>
  <c r="FG145" i="45"/>
  <c r="FE145" i="45"/>
  <c r="FD145" i="45"/>
  <c r="EW145" i="45"/>
  <c r="EV145" i="45"/>
  <c r="ET145" i="45"/>
  <c r="EZ145" i="45"/>
  <c r="ES145" i="45"/>
  <c r="EY145" i="45" s="1"/>
  <c r="EL145" i="45"/>
  <c r="EK145" i="45"/>
  <c r="EI145" i="45"/>
  <c r="EH145" i="45"/>
  <c r="DT145" i="45"/>
  <c r="DS145" i="45"/>
  <c r="DQ145" i="45"/>
  <c r="DW145" i="45"/>
  <c r="DP145" i="45"/>
  <c r="DC145" i="45"/>
  <c r="DB145" i="45"/>
  <c r="CZ145" i="45"/>
  <c r="CY145" i="45"/>
  <c r="DE145" i="45"/>
  <c r="CL145" i="45"/>
  <c r="CK145" i="45"/>
  <c r="CN145" i="45"/>
  <c r="CI145" i="45"/>
  <c r="CH145" i="45"/>
  <c r="BT145" i="45"/>
  <c r="BS145" i="45"/>
  <c r="BQ145" i="45"/>
  <c r="BW145" i="45" s="1"/>
  <c r="BP145" i="45"/>
  <c r="BA145" i="45"/>
  <c r="AZ145" i="45"/>
  <c r="BC145" i="45"/>
  <c r="AX145" i="45"/>
  <c r="BD145" i="45" s="1"/>
  <c r="AW145" i="45"/>
  <c r="AI145" i="45"/>
  <c r="AH145" i="45"/>
  <c r="AK145" i="45" s="1"/>
  <c r="AF145" i="45"/>
  <c r="AE145" i="45"/>
  <c r="G145" i="45"/>
  <c r="F145" i="45"/>
  <c r="D145" i="45"/>
  <c r="J145" i="45"/>
  <c r="C145" i="45"/>
  <c r="B142" i="45"/>
  <c r="FC142" i="45"/>
  <c r="EG142" i="45"/>
  <c r="AV142" i="45"/>
  <c r="GO140" i="45"/>
  <c r="FW140" i="45"/>
  <c r="FC140" i="45"/>
  <c r="ER140" i="45"/>
  <c r="EG140" i="45"/>
  <c r="DO140" i="45"/>
  <c r="CX140" i="45"/>
  <c r="CG140" i="45"/>
  <c r="BO140" i="45"/>
  <c r="AV140" i="45"/>
  <c r="AD140" i="45"/>
  <c r="GO137" i="45"/>
  <c r="FW137" i="45"/>
  <c r="FC137" i="45"/>
  <c r="ER137" i="45"/>
  <c r="EG137" i="45"/>
  <c r="DO137" i="45"/>
  <c r="CX137" i="45"/>
  <c r="CG137" i="45"/>
  <c r="BO137" i="45"/>
  <c r="AD137" i="45"/>
  <c r="B137" i="45"/>
  <c r="B140" i="45" s="1"/>
  <c r="DO136" i="45"/>
  <c r="CX136" i="45"/>
  <c r="CG136" i="45"/>
  <c r="BO136" i="45"/>
  <c r="FW135" i="45"/>
  <c r="FC135" i="45"/>
  <c r="ER135" i="45"/>
  <c r="EG135" i="45"/>
  <c r="DO135" i="45"/>
  <c r="CX135" i="45"/>
  <c r="CG135" i="45"/>
  <c r="BO135" i="45"/>
  <c r="AD135" i="45"/>
  <c r="FW134" i="45"/>
  <c r="FC134" i="45"/>
  <c r="ER134" i="45"/>
  <c r="EG134" i="45"/>
  <c r="DO134" i="45"/>
  <c r="CX134" i="45"/>
  <c r="CG134" i="45"/>
  <c r="BO134" i="45"/>
  <c r="AD134" i="45"/>
  <c r="DO131" i="45"/>
  <c r="DW146" i="45" s="1"/>
  <c r="CX131" i="45"/>
  <c r="DF146" i="45"/>
  <c r="CG131" i="45"/>
  <c r="CO146" i="45" s="1"/>
  <c r="BO131" i="45"/>
  <c r="BW146" i="45" s="1"/>
  <c r="DN117" i="45"/>
  <c r="EC117" i="45" s="1"/>
  <c r="A117" i="45"/>
  <c r="DN116" i="45"/>
  <c r="A116" i="45"/>
  <c r="DN115" i="45"/>
  <c r="EC115" i="45"/>
  <c r="A115" i="45"/>
  <c r="DN114" i="45"/>
  <c r="A114" i="45"/>
  <c r="DN113" i="45"/>
  <c r="EC113" i="45"/>
  <c r="A113" i="45"/>
  <c r="DN112" i="45"/>
  <c r="A112" i="45"/>
  <c r="DN111" i="45"/>
  <c r="EC111" i="45"/>
  <c r="A111" i="45"/>
  <c r="DN110" i="45"/>
  <c r="A110" i="45"/>
  <c r="DN109" i="45"/>
  <c r="A109" i="45"/>
  <c r="DN108" i="45"/>
  <c r="A108" i="45"/>
  <c r="DN107" i="45"/>
  <c r="EC107" i="45" s="1"/>
  <c r="A107" i="45"/>
  <c r="DN106" i="45"/>
  <c r="A106" i="45"/>
  <c r="DN105" i="45"/>
  <c r="EC105" i="45"/>
  <c r="A105" i="45"/>
  <c r="DN104" i="45"/>
  <c r="EC104" i="45" s="1"/>
  <c r="A104" i="45"/>
  <c r="DN103" i="45"/>
  <c r="A103" i="45"/>
  <c r="DN102" i="45"/>
  <c r="EC102" i="45"/>
  <c r="A102" i="45"/>
  <c r="DN101" i="45"/>
  <c r="A101" i="45"/>
  <c r="DN100" i="45"/>
  <c r="EC100" i="45"/>
  <c r="A100" i="45"/>
  <c r="DN99" i="45"/>
  <c r="A99" i="45"/>
  <c r="DN98" i="45"/>
  <c r="EC98" i="45"/>
  <c r="A98" i="45"/>
  <c r="DN97" i="45"/>
  <c r="A97" i="45"/>
  <c r="DN96" i="45"/>
  <c r="EC96" i="45" s="1"/>
  <c r="A96" i="45"/>
  <c r="DN95" i="45"/>
  <c r="A95" i="45"/>
  <c r="DN94" i="45"/>
  <c r="EC94" i="45"/>
  <c r="A94" i="45"/>
  <c r="DN93" i="45"/>
  <c r="A93" i="45"/>
  <c r="DN92" i="45"/>
  <c r="EC92" i="45" s="1"/>
  <c r="A92" i="45"/>
  <c r="DN91" i="45"/>
  <c r="A91" i="45"/>
  <c r="DN90" i="45"/>
  <c r="EC90" i="45" s="1"/>
  <c r="A90" i="45"/>
  <c r="DN89" i="45"/>
  <c r="A89" i="45"/>
  <c r="DN88" i="45"/>
  <c r="EC88" i="45" s="1"/>
  <c r="A88" i="45"/>
  <c r="DN87" i="45"/>
  <c r="A87" i="45"/>
  <c r="DN86" i="45"/>
  <c r="EC86" i="45"/>
  <c r="A86" i="45"/>
  <c r="DN85" i="45"/>
  <c r="A85" i="45"/>
  <c r="DN84" i="45"/>
  <c r="EC84" i="45"/>
  <c r="A84" i="45"/>
  <c r="DN83" i="45"/>
  <c r="A83" i="45"/>
  <c r="DN82" i="45"/>
  <c r="EC82" i="45"/>
  <c r="A82" i="45"/>
  <c r="DN81" i="45"/>
  <c r="A81" i="45"/>
  <c r="DN80" i="45"/>
  <c r="EC80" i="45" s="1"/>
  <c r="A80" i="45"/>
  <c r="DN79" i="45"/>
  <c r="A79" i="45"/>
  <c r="DN78" i="45"/>
  <c r="EC78" i="45"/>
  <c r="A78" i="45"/>
  <c r="DN77" i="45"/>
  <c r="A77" i="45"/>
  <c r="DN76" i="45"/>
  <c r="EC76" i="45" s="1"/>
  <c r="A76" i="45"/>
  <c r="GR71" i="45"/>
  <c r="CF60" i="45"/>
  <c r="CE60" i="45"/>
  <c r="BN60" i="45"/>
  <c r="BM60" i="45"/>
  <c r="AU60" i="45"/>
  <c r="AT60" i="45"/>
  <c r="AC60" i="45"/>
  <c r="AB60" i="45"/>
  <c r="A60" i="45"/>
  <c r="CF59" i="45"/>
  <c r="CE59" i="45"/>
  <c r="BN59" i="45"/>
  <c r="BM59" i="45"/>
  <c r="AU59" i="45"/>
  <c r="AT59" i="45"/>
  <c r="AC59" i="45"/>
  <c r="AB59" i="45"/>
  <c r="A59" i="45"/>
  <c r="CF58" i="45"/>
  <c r="CE58" i="45"/>
  <c r="BN58" i="45"/>
  <c r="BM58" i="45"/>
  <c r="AU58" i="45"/>
  <c r="AT58" i="45"/>
  <c r="AC58" i="45"/>
  <c r="AB58" i="45"/>
  <c r="A58" i="45"/>
  <c r="CF57" i="45"/>
  <c r="CE57" i="45"/>
  <c r="BN57" i="45"/>
  <c r="BM57" i="45"/>
  <c r="AU57" i="45"/>
  <c r="AT57" i="45"/>
  <c r="AC57" i="45"/>
  <c r="AB57" i="45"/>
  <c r="A57" i="45"/>
  <c r="GN57" i="45" s="1"/>
  <c r="CF56" i="45"/>
  <c r="CE56" i="45"/>
  <c r="BN56" i="45"/>
  <c r="BM56" i="45"/>
  <c r="AU56" i="45"/>
  <c r="AT56" i="45"/>
  <c r="AC56" i="45"/>
  <c r="AB56" i="45"/>
  <c r="A56" i="45"/>
  <c r="GN56" i="45" s="1"/>
  <c r="CF55" i="45"/>
  <c r="CE55" i="45"/>
  <c r="BN55" i="45"/>
  <c r="BM55" i="45"/>
  <c r="AU55" i="45"/>
  <c r="AT55" i="45"/>
  <c r="AC55" i="45"/>
  <c r="AB55" i="45"/>
  <c r="A55" i="45"/>
  <c r="GN55" i="45"/>
  <c r="CF54" i="45"/>
  <c r="CE54" i="45"/>
  <c r="BN54" i="45"/>
  <c r="BM54" i="45"/>
  <c r="AU54" i="45"/>
  <c r="AT54" i="45"/>
  <c r="AC54" i="45"/>
  <c r="AB54" i="45"/>
  <c r="A54" i="45"/>
  <c r="GN54" i="45" s="1"/>
  <c r="CF53" i="45"/>
  <c r="CE53" i="45"/>
  <c r="BN53" i="45"/>
  <c r="BM53" i="45"/>
  <c r="AU53" i="45"/>
  <c r="AT53" i="45"/>
  <c r="AC53" i="45"/>
  <c r="AB53" i="45"/>
  <c r="GM53" i="45"/>
  <c r="A53" i="45"/>
  <c r="GN53" i="45"/>
  <c r="CF52" i="45"/>
  <c r="CE52" i="45"/>
  <c r="BN52" i="45"/>
  <c r="BM52" i="45"/>
  <c r="AU52" i="45"/>
  <c r="AT52" i="45"/>
  <c r="AC52" i="45"/>
  <c r="AB52" i="45"/>
  <c r="A52" i="45"/>
  <c r="GN52" i="45"/>
  <c r="CF51" i="45"/>
  <c r="CE51" i="45"/>
  <c r="BN51" i="45"/>
  <c r="BM51" i="45"/>
  <c r="AU51" i="45"/>
  <c r="AT51" i="45"/>
  <c r="AC51" i="45"/>
  <c r="AB51" i="45"/>
  <c r="A51" i="45"/>
  <c r="GN51" i="45" s="1"/>
  <c r="CF50" i="45"/>
  <c r="CE50" i="45"/>
  <c r="BN50" i="45"/>
  <c r="BM50" i="45"/>
  <c r="AU50" i="45"/>
  <c r="AT50" i="45"/>
  <c r="AC50" i="45"/>
  <c r="AB50" i="45"/>
  <c r="A50" i="45"/>
  <c r="GN50" i="45"/>
  <c r="CF49" i="45"/>
  <c r="CE49" i="45"/>
  <c r="BN49" i="45"/>
  <c r="BM49" i="45"/>
  <c r="AU49" i="45"/>
  <c r="AT49" i="45"/>
  <c r="AC49" i="45"/>
  <c r="AB49" i="45"/>
  <c r="A49" i="45"/>
  <c r="GN49" i="45"/>
  <c r="CF48" i="45"/>
  <c r="CE48" i="45"/>
  <c r="BN48" i="45"/>
  <c r="BM48" i="45"/>
  <c r="AU48" i="45"/>
  <c r="AT48" i="45"/>
  <c r="AC48" i="45"/>
  <c r="AB48" i="45"/>
  <c r="A48" i="45"/>
  <c r="CF47" i="45"/>
  <c r="CE47" i="45"/>
  <c r="BN47" i="45"/>
  <c r="BM47" i="45"/>
  <c r="GM47" i="45" s="1"/>
  <c r="AU47" i="45"/>
  <c r="AT47" i="45"/>
  <c r="AC47" i="45"/>
  <c r="AB47" i="45"/>
  <c r="A47" i="45"/>
  <c r="GN47" i="45"/>
  <c r="CF46" i="45"/>
  <c r="CE46" i="45"/>
  <c r="BN46" i="45"/>
  <c r="BM46" i="45"/>
  <c r="AU46" i="45"/>
  <c r="AT46" i="45"/>
  <c r="AC46" i="45"/>
  <c r="AB46" i="45"/>
  <c r="A46" i="45"/>
  <c r="GN46" i="45"/>
  <c r="CF45" i="45"/>
  <c r="CE45" i="45"/>
  <c r="BN45" i="45"/>
  <c r="BM45" i="45"/>
  <c r="AU45" i="45"/>
  <c r="AT45" i="45"/>
  <c r="AC45" i="45"/>
  <c r="AB45" i="45"/>
  <c r="AF45" i="45" s="1"/>
  <c r="A45" i="45"/>
  <c r="GN45" i="45"/>
  <c r="CF44" i="45"/>
  <c r="CE44" i="45"/>
  <c r="BN44" i="45"/>
  <c r="BM44" i="45"/>
  <c r="AU44" i="45"/>
  <c r="AT44" i="45"/>
  <c r="AC44" i="45"/>
  <c r="AB44" i="45"/>
  <c r="A44" i="45"/>
  <c r="GN44" i="45"/>
  <c r="CF43" i="45"/>
  <c r="CE43" i="45"/>
  <c r="BN43" i="45"/>
  <c r="BM43" i="45"/>
  <c r="AU43" i="45"/>
  <c r="AT43" i="45"/>
  <c r="AC43" i="45"/>
  <c r="AB43" i="45"/>
  <c r="A43" i="45"/>
  <c r="CF42" i="45"/>
  <c r="CE42" i="45"/>
  <c r="BN42" i="45"/>
  <c r="BM42" i="45"/>
  <c r="AU42" i="45"/>
  <c r="AT42" i="45"/>
  <c r="AC42" i="45"/>
  <c r="AB42" i="45"/>
  <c r="A42" i="45"/>
  <c r="CF41" i="45"/>
  <c r="CE41" i="45"/>
  <c r="BN41" i="45"/>
  <c r="BM41" i="45"/>
  <c r="AU41" i="45"/>
  <c r="AT41" i="45"/>
  <c r="AC41" i="45"/>
  <c r="AB41" i="45"/>
  <c r="A41" i="45"/>
  <c r="CF40" i="45"/>
  <c r="CG40" i="45" s="1"/>
  <c r="CE40" i="45"/>
  <c r="BN40" i="45"/>
  <c r="BM40" i="45"/>
  <c r="AU40" i="45"/>
  <c r="AT40" i="45"/>
  <c r="AC40" i="45"/>
  <c r="AB40" i="45"/>
  <c r="A40" i="45"/>
  <c r="CF39" i="45"/>
  <c r="CE39" i="45"/>
  <c r="BN39" i="45"/>
  <c r="BM39" i="45"/>
  <c r="AU39" i="45"/>
  <c r="AT39" i="45"/>
  <c r="AC39" i="45"/>
  <c r="AB39" i="45"/>
  <c r="A39" i="45"/>
  <c r="GN39" i="45"/>
  <c r="CF38" i="45"/>
  <c r="CE38" i="45"/>
  <c r="BN38" i="45"/>
  <c r="BM38" i="45"/>
  <c r="AU38" i="45"/>
  <c r="AT38" i="45"/>
  <c r="AC38" i="45"/>
  <c r="AB38" i="45"/>
  <c r="A38" i="45"/>
  <c r="CF37" i="45"/>
  <c r="CE37" i="45"/>
  <c r="BN37" i="45"/>
  <c r="BM37" i="45"/>
  <c r="AU37" i="45"/>
  <c r="AT37" i="45"/>
  <c r="AC37" i="45"/>
  <c r="AB37" i="45"/>
  <c r="A37" i="45"/>
  <c r="CF36" i="45"/>
  <c r="CE36" i="45"/>
  <c r="BN36" i="45"/>
  <c r="BM36" i="45"/>
  <c r="AU36" i="45"/>
  <c r="AT36" i="45"/>
  <c r="AC36" i="45"/>
  <c r="AB36" i="45"/>
  <c r="A36" i="45"/>
  <c r="CF35" i="45"/>
  <c r="CE35" i="45"/>
  <c r="BN35" i="45"/>
  <c r="BM35" i="45"/>
  <c r="AU35" i="45"/>
  <c r="AT35" i="45"/>
  <c r="AC35" i="45"/>
  <c r="AB35" i="45"/>
  <c r="A35" i="45"/>
  <c r="GN35" i="45"/>
  <c r="CF34" i="45"/>
  <c r="CE34" i="45"/>
  <c r="BN34" i="45"/>
  <c r="BM34" i="45"/>
  <c r="AU34" i="45"/>
  <c r="AT34" i="45"/>
  <c r="AC34" i="45"/>
  <c r="AB34" i="45"/>
  <c r="A34" i="45"/>
  <c r="CF33" i="45"/>
  <c r="CE33" i="45"/>
  <c r="BN33" i="45"/>
  <c r="BM33" i="45"/>
  <c r="AU33" i="45"/>
  <c r="AT33" i="45"/>
  <c r="AC33" i="45"/>
  <c r="AB33" i="45"/>
  <c r="A33" i="45"/>
  <c r="FZ32" i="45"/>
  <c r="CF32" i="45"/>
  <c r="CE32" i="45"/>
  <c r="BN32" i="45"/>
  <c r="BM32" i="45"/>
  <c r="AU32" i="45"/>
  <c r="AT32" i="45"/>
  <c r="AC32" i="45"/>
  <c r="AB32" i="45"/>
  <c r="A32" i="45"/>
  <c r="GN32" i="45" s="1"/>
  <c r="FZ31" i="45"/>
  <c r="CF31" i="45"/>
  <c r="CE31" i="45"/>
  <c r="BN31" i="45"/>
  <c r="BM31" i="45"/>
  <c r="AU31" i="45"/>
  <c r="AT31" i="45"/>
  <c r="AC31" i="45"/>
  <c r="AB31" i="45"/>
  <c r="A31" i="45"/>
  <c r="GN31" i="45" s="1"/>
  <c r="FZ30" i="45"/>
  <c r="CF30" i="45"/>
  <c r="CE30" i="45"/>
  <c r="BN30" i="45"/>
  <c r="BM30" i="45"/>
  <c r="AU30" i="45"/>
  <c r="AT30" i="45"/>
  <c r="AC30" i="45"/>
  <c r="AB30" i="45"/>
  <c r="A30" i="45"/>
  <c r="GN30" i="45"/>
  <c r="FZ29" i="45"/>
  <c r="CF29" i="45"/>
  <c r="CE29" i="45"/>
  <c r="BN29" i="45"/>
  <c r="BM29" i="45"/>
  <c r="AU29" i="45"/>
  <c r="AT29" i="45"/>
  <c r="AC29" i="45"/>
  <c r="AB29" i="45"/>
  <c r="A29" i="45"/>
  <c r="GN29" i="45" s="1"/>
  <c r="FZ28" i="45"/>
  <c r="CF28" i="45"/>
  <c r="CE28" i="45"/>
  <c r="BN28" i="45"/>
  <c r="BM28" i="45"/>
  <c r="AU28" i="45"/>
  <c r="AT28" i="45"/>
  <c r="AC28" i="45"/>
  <c r="AB28" i="45"/>
  <c r="A28" i="45"/>
  <c r="GN28" i="45" s="1"/>
  <c r="FZ27" i="45"/>
  <c r="CF27" i="45"/>
  <c r="CE27" i="45"/>
  <c r="BN27" i="45"/>
  <c r="BM27" i="45"/>
  <c r="AU27" i="45"/>
  <c r="AT27" i="45"/>
  <c r="AC27" i="45"/>
  <c r="AB27" i="45"/>
  <c r="A27" i="45"/>
  <c r="GN27" i="45"/>
  <c r="FZ26" i="45"/>
  <c r="CF26" i="45"/>
  <c r="CE26" i="45"/>
  <c r="BN26" i="45"/>
  <c r="BM26" i="45"/>
  <c r="AU26" i="45"/>
  <c r="AT26" i="45"/>
  <c r="AC26" i="45"/>
  <c r="AB26" i="45"/>
  <c r="A26" i="45"/>
  <c r="FZ25" i="45"/>
  <c r="CF25" i="45"/>
  <c r="CE25" i="45"/>
  <c r="BN25" i="45"/>
  <c r="BM25" i="45"/>
  <c r="AU25" i="45"/>
  <c r="AT25" i="45"/>
  <c r="AC25" i="45"/>
  <c r="AB25" i="45"/>
  <c r="A25" i="45"/>
  <c r="GN25" i="45"/>
  <c r="FZ24" i="45"/>
  <c r="CF24" i="45"/>
  <c r="CE24" i="45"/>
  <c r="BN24" i="45"/>
  <c r="BM24" i="45"/>
  <c r="AU24" i="45"/>
  <c r="AT24" i="45"/>
  <c r="AC24" i="45"/>
  <c r="AB24" i="45"/>
  <c r="A24" i="45"/>
  <c r="GN24" i="45" s="1"/>
  <c r="FZ23" i="45"/>
  <c r="CF23" i="45"/>
  <c r="CE23" i="45"/>
  <c r="BN23" i="45"/>
  <c r="BM23" i="45"/>
  <c r="AU23" i="45"/>
  <c r="AT23" i="45"/>
  <c r="AC23" i="45"/>
  <c r="AB23" i="45"/>
  <c r="A23" i="45"/>
  <c r="FZ22" i="45"/>
  <c r="CF22" i="45"/>
  <c r="CE22" i="45"/>
  <c r="BN22" i="45"/>
  <c r="BM22" i="45"/>
  <c r="AU22" i="45"/>
  <c r="AT22" i="45"/>
  <c r="AC22" i="45"/>
  <c r="AB22" i="45"/>
  <c r="A22" i="45"/>
  <c r="GN22" i="45"/>
  <c r="FZ21" i="45"/>
  <c r="CF21" i="45"/>
  <c r="CE21" i="45"/>
  <c r="BN21" i="45"/>
  <c r="BM21" i="45"/>
  <c r="AU21" i="45"/>
  <c r="AT21" i="45"/>
  <c r="AC21" i="45"/>
  <c r="AB21" i="45"/>
  <c r="A21" i="45"/>
  <c r="GN21" i="45"/>
  <c r="FZ20" i="45"/>
  <c r="CF20" i="45"/>
  <c r="CE20" i="45"/>
  <c r="BN20" i="45"/>
  <c r="BM20" i="45"/>
  <c r="AU20" i="45"/>
  <c r="AT20" i="45"/>
  <c r="AC20" i="45"/>
  <c r="AB20" i="45"/>
  <c r="A20" i="45"/>
  <c r="GN20" i="45" s="1"/>
  <c r="FZ19" i="45"/>
  <c r="CF19" i="45"/>
  <c r="DK19" i="45" s="1"/>
  <c r="CE19" i="45"/>
  <c r="BN19" i="45"/>
  <c r="BM19" i="45"/>
  <c r="AU19" i="45"/>
  <c r="AT19" i="45"/>
  <c r="AC19" i="45"/>
  <c r="AB19" i="45"/>
  <c r="A19" i="45"/>
  <c r="FZ18" i="45"/>
  <c r="FC18" i="45"/>
  <c r="FZ17" i="45"/>
  <c r="FC17" i="45"/>
  <c r="FZ16" i="45"/>
  <c r="FC16" i="45"/>
  <c r="FZ15" i="45"/>
  <c r="FZ14" i="45"/>
  <c r="FZ13" i="45"/>
  <c r="GA13" i="45" s="1"/>
  <c r="GR12" i="45"/>
  <c r="FZ12" i="45"/>
  <c r="FZ11" i="45"/>
  <c r="FZ10" i="45"/>
  <c r="FZ9" i="45"/>
  <c r="EK3" i="45"/>
  <c r="B168" i="44"/>
  <c r="J148" i="44"/>
  <c r="GE148" i="44"/>
  <c r="I148" i="44"/>
  <c r="GV148" i="44"/>
  <c r="H148" i="44"/>
  <c r="GC148" i="44" s="1"/>
  <c r="GT145" i="44"/>
  <c r="GS145" i="44"/>
  <c r="GQ145" i="44"/>
  <c r="GP145" i="44"/>
  <c r="GB145" i="44"/>
  <c r="GE145" i="44" s="1"/>
  <c r="GA145" i="44"/>
  <c r="FY145" i="44"/>
  <c r="FX145" i="44"/>
  <c r="GD145" i="44" s="1"/>
  <c r="FH145" i="44"/>
  <c r="FG145" i="44"/>
  <c r="FE145" i="44"/>
  <c r="FK145" i="44" s="1"/>
  <c r="FD145" i="44"/>
  <c r="EW145" i="44"/>
  <c r="EV145" i="44"/>
  <c r="ET145" i="44"/>
  <c r="EZ145" i="44" s="1"/>
  <c r="ES145" i="44"/>
  <c r="EY145" i="44"/>
  <c r="ER152" i="44" s="1"/>
  <c r="EL145" i="44"/>
  <c r="EO145" i="44" s="1"/>
  <c r="EK145" i="44"/>
  <c r="EI145" i="44"/>
  <c r="EH145" i="44"/>
  <c r="EN145" i="44" s="1"/>
  <c r="DT145" i="44"/>
  <c r="DS145" i="44"/>
  <c r="DQ145" i="44"/>
  <c r="DW145" i="44" s="1"/>
  <c r="DP145" i="44"/>
  <c r="DC145" i="44"/>
  <c r="DB145" i="44"/>
  <c r="CZ145" i="44"/>
  <c r="DF145" i="44"/>
  <c r="CY145" i="44"/>
  <c r="CL145" i="44"/>
  <c r="CK145" i="44"/>
  <c r="CI145" i="44"/>
  <c r="CH145" i="44"/>
  <c r="BT145" i="44"/>
  <c r="BS145" i="44"/>
  <c r="BV145" i="44"/>
  <c r="BQ145" i="44"/>
  <c r="BW145" i="44" s="1"/>
  <c r="BP145" i="44"/>
  <c r="BA145" i="44"/>
  <c r="AZ145" i="44"/>
  <c r="AX145" i="44"/>
  <c r="BD145" i="44" s="1"/>
  <c r="AW145" i="44"/>
  <c r="BC145" i="44"/>
  <c r="AI145" i="44"/>
  <c r="AH145" i="44"/>
  <c r="AF145" i="44"/>
  <c r="AE145" i="44"/>
  <c r="AK145" i="44"/>
  <c r="G145" i="44"/>
  <c r="F145" i="44"/>
  <c r="D145" i="44"/>
  <c r="C145" i="44"/>
  <c r="AV142" i="44"/>
  <c r="B142" i="44"/>
  <c r="FC142" i="44"/>
  <c r="GO140" i="44"/>
  <c r="FW140" i="44"/>
  <c r="FC140" i="44"/>
  <c r="ER140" i="44"/>
  <c r="EG140" i="44"/>
  <c r="DO140" i="44"/>
  <c r="CX140" i="44"/>
  <c r="CG140" i="44"/>
  <c r="BO140" i="44"/>
  <c r="AV140" i="44"/>
  <c r="AD140" i="44"/>
  <c r="GO137" i="44"/>
  <c r="FW137" i="44"/>
  <c r="FC137" i="44"/>
  <c r="ER137" i="44"/>
  <c r="EG137" i="44"/>
  <c r="DO137" i="44"/>
  <c r="CX137" i="44"/>
  <c r="CG137" i="44"/>
  <c r="BO137" i="44"/>
  <c r="AD137" i="44"/>
  <c r="B137" i="44"/>
  <c r="B140" i="44" s="1"/>
  <c r="FW135" i="44"/>
  <c r="FC135" i="44"/>
  <c r="ER135" i="44"/>
  <c r="EG135" i="44"/>
  <c r="DO135" i="44"/>
  <c r="CX135" i="44"/>
  <c r="CG135" i="44"/>
  <c r="BO135" i="44"/>
  <c r="AD135" i="44"/>
  <c r="FW134" i="44"/>
  <c r="FC134" i="44"/>
  <c r="ER134" i="44"/>
  <c r="EG134" i="44"/>
  <c r="DO134" i="44"/>
  <c r="CX134" i="44"/>
  <c r="CG134" i="44"/>
  <c r="BO134" i="44"/>
  <c r="AD134" i="44"/>
  <c r="DO133" i="44"/>
  <c r="DW147" i="44" s="1"/>
  <c r="CX133" i="44"/>
  <c r="DF147" i="44" s="1"/>
  <c r="CG133" i="44"/>
  <c r="CO147" i="44" s="1"/>
  <c r="BO133" i="44"/>
  <c r="BW147" i="44"/>
  <c r="DO131" i="44"/>
  <c r="DW146" i="44" s="1"/>
  <c r="CX131" i="44"/>
  <c r="DF146" i="44" s="1"/>
  <c r="CG131" i="44"/>
  <c r="CO146" i="44" s="1"/>
  <c r="BO131" i="44"/>
  <c r="BW146" i="44"/>
  <c r="DN117" i="44"/>
  <c r="A117" i="44"/>
  <c r="DN116" i="44"/>
  <c r="A116" i="44"/>
  <c r="DN115" i="44"/>
  <c r="A115" i="44"/>
  <c r="DN114" i="44"/>
  <c r="A114" i="44"/>
  <c r="DN113" i="44"/>
  <c r="A113" i="44"/>
  <c r="DN112" i="44"/>
  <c r="A112" i="44"/>
  <c r="DN111" i="44"/>
  <c r="A111" i="44"/>
  <c r="DN110" i="44"/>
  <c r="A110" i="44"/>
  <c r="DN109" i="44"/>
  <c r="A109" i="44"/>
  <c r="DN108" i="44"/>
  <c r="A108" i="44"/>
  <c r="DN107" i="44"/>
  <c r="A107" i="44"/>
  <c r="DN106" i="44"/>
  <c r="A106" i="44"/>
  <c r="DN105" i="44"/>
  <c r="A105" i="44"/>
  <c r="DN104" i="44"/>
  <c r="A104" i="44"/>
  <c r="DN103" i="44"/>
  <c r="A103" i="44"/>
  <c r="DN102" i="44"/>
  <c r="A102" i="44"/>
  <c r="DN101" i="44"/>
  <c r="A101" i="44"/>
  <c r="DN100" i="44"/>
  <c r="A100" i="44"/>
  <c r="DN99" i="44"/>
  <c r="A99" i="44"/>
  <c r="DN98" i="44"/>
  <c r="A98" i="44"/>
  <c r="DN97" i="44"/>
  <c r="A97" i="44"/>
  <c r="DN96" i="44"/>
  <c r="A96" i="44"/>
  <c r="DN95" i="44"/>
  <c r="A95" i="44"/>
  <c r="DN94" i="44"/>
  <c r="A94" i="44"/>
  <c r="DN93" i="44"/>
  <c r="A93" i="44"/>
  <c r="DN92" i="44"/>
  <c r="A92" i="44"/>
  <c r="DN91" i="44"/>
  <c r="A91" i="44"/>
  <c r="DN90" i="44"/>
  <c r="A90" i="44"/>
  <c r="DN89" i="44"/>
  <c r="A89" i="44"/>
  <c r="DN88" i="44"/>
  <c r="A88" i="44"/>
  <c r="DN87" i="44"/>
  <c r="A87" i="44"/>
  <c r="DN86" i="44"/>
  <c r="A86" i="44"/>
  <c r="DN85" i="44"/>
  <c r="A85" i="44"/>
  <c r="DN84" i="44"/>
  <c r="A84" i="44"/>
  <c r="DN83" i="44"/>
  <c r="A83" i="44"/>
  <c r="DN82" i="44"/>
  <c r="A82" i="44"/>
  <c r="DN81" i="44"/>
  <c r="A81" i="44"/>
  <c r="DN80" i="44"/>
  <c r="A80" i="44"/>
  <c r="DN79" i="44"/>
  <c r="A79" i="44"/>
  <c r="DN78" i="44"/>
  <c r="A78" i="44"/>
  <c r="DN77" i="44"/>
  <c r="A77" i="44"/>
  <c r="DN76" i="44"/>
  <c r="A76" i="44"/>
  <c r="GR71" i="44"/>
  <c r="FW71" i="44"/>
  <c r="FX71" i="44"/>
  <c r="CF60" i="44"/>
  <c r="CE60" i="44"/>
  <c r="BN60" i="44"/>
  <c r="BM60" i="44"/>
  <c r="AU60" i="44"/>
  <c r="AT60" i="44"/>
  <c r="AC60" i="44"/>
  <c r="AB60" i="44"/>
  <c r="A60" i="44"/>
  <c r="GN60" i="44" s="1"/>
  <c r="CF59" i="44"/>
  <c r="CE59" i="44"/>
  <c r="BN59" i="44"/>
  <c r="BM59" i="44"/>
  <c r="AU59" i="44"/>
  <c r="AT59" i="44"/>
  <c r="AC59" i="44"/>
  <c r="AB59" i="44"/>
  <c r="A59" i="44"/>
  <c r="GN59" i="44" s="1"/>
  <c r="CF58" i="44"/>
  <c r="CE58" i="44"/>
  <c r="BN58" i="44"/>
  <c r="BM58" i="44"/>
  <c r="AU58" i="44"/>
  <c r="AT58" i="44"/>
  <c r="AC58" i="44"/>
  <c r="AB58" i="44"/>
  <c r="A58" i="44"/>
  <c r="GN58" i="44" s="1"/>
  <c r="CF57" i="44"/>
  <c r="CE57" i="44"/>
  <c r="BN57" i="44"/>
  <c r="BM57" i="44"/>
  <c r="AU57" i="44"/>
  <c r="AT57" i="44"/>
  <c r="AC57" i="44"/>
  <c r="AB57" i="44"/>
  <c r="A57" i="44"/>
  <c r="GN57" i="44"/>
  <c r="CF56" i="44"/>
  <c r="CE56" i="44"/>
  <c r="BN56" i="44"/>
  <c r="BM56" i="44"/>
  <c r="AU56" i="44"/>
  <c r="AT56" i="44"/>
  <c r="AC56" i="44"/>
  <c r="AB56" i="44"/>
  <c r="A56" i="44"/>
  <c r="GN56" i="44" s="1"/>
  <c r="CF55" i="44"/>
  <c r="CE55" i="44"/>
  <c r="BN55" i="44"/>
  <c r="BM55" i="44"/>
  <c r="AU55" i="44"/>
  <c r="AT55" i="44"/>
  <c r="AC55" i="44"/>
  <c r="AB55" i="44"/>
  <c r="A55" i="44"/>
  <c r="GN55" i="44" s="1"/>
  <c r="CF54" i="44"/>
  <c r="CE54" i="44"/>
  <c r="BN54" i="44"/>
  <c r="BM54" i="44"/>
  <c r="AU54" i="44"/>
  <c r="AT54" i="44"/>
  <c r="AC54" i="44"/>
  <c r="AB54" i="44"/>
  <c r="A54" i="44"/>
  <c r="GN54" i="44" s="1"/>
  <c r="CF53" i="44"/>
  <c r="CE53" i="44"/>
  <c r="BN53" i="44"/>
  <c r="BM53" i="44"/>
  <c r="AU53" i="44"/>
  <c r="AT53" i="44"/>
  <c r="AC53" i="44"/>
  <c r="AB53" i="44"/>
  <c r="A53" i="44"/>
  <c r="GN53" i="44"/>
  <c r="CF52" i="44"/>
  <c r="CE52" i="44"/>
  <c r="BN52" i="44"/>
  <c r="BM52" i="44"/>
  <c r="AU52" i="44"/>
  <c r="AT52" i="44"/>
  <c r="AC52" i="44"/>
  <c r="AB52" i="44"/>
  <c r="A52" i="44"/>
  <c r="CF51" i="44"/>
  <c r="CE51" i="44"/>
  <c r="BN51" i="44"/>
  <c r="BM51" i="44"/>
  <c r="AU51" i="44"/>
  <c r="AT51" i="44"/>
  <c r="AC51" i="44"/>
  <c r="AB51" i="44"/>
  <c r="A51" i="44"/>
  <c r="CF50" i="44"/>
  <c r="CE50" i="44"/>
  <c r="BN50" i="44"/>
  <c r="BM50" i="44"/>
  <c r="AU50" i="44"/>
  <c r="AT50" i="44"/>
  <c r="AC50" i="44"/>
  <c r="AB50" i="44"/>
  <c r="A50" i="44"/>
  <c r="GN50" i="44" s="1"/>
  <c r="CF49" i="44"/>
  <c r="CE49" i="44"/>
  <c r="BN49" i="44"/>
  <c r="BM49" i="44"/>
  <c r="AU49" i="44"/>
  <c r="AT49" i="44"/>
  <c r="AC49" i="44"/>
  <c r="AB49" i="44"/>
  <c r="A49" i="44"/>
  <c r="GN49" i="44" s="1"/>
  <c r="CF48" i="44"/>
  <c r="CE48" i="44"/>
  <c r="BN48" i="44"/>
  <c r="BM48" i="44"/>
  <c r="AU48" i="44"/>
  <c r="AT48" i="44"/>
  <c r="AC48" i="44"/>
  <c r="AB48" i="44"/>
  <c r="A48" i="44"/>
  <c r="CF47" i="44"/>
  <c r="CE47" i="44"/>
  <c r="BN47" i="44"/>
  <c r="BM47" i="44"/>
  <c r="AU47" i="44"/>
  <c r="AT47" i="44"/>
  <c r="AC47" i="44"/>
  <c r="AB47" i="44"/>
  <c r="A47" i="44"/>
  <c r="GN47" i="44" s="1"/>
  <c r="CF46" i="44"/>
  <c r="CE46" i="44"/>
  <c r="BN46" i="44"/>
  <c r="BM46" i="44"/>
  <c r="AU46" i="44"/>
  <c r="AT46" i="44"/>
  <c r="AC46" i="44"/>
  <c r="AB46" i="44"/>
  <c r="A46" i="44"/>
  <c r="CF45" i="44"/>
  <c r="CE45" i="44"/>
  <c r="BN45" i="44"/>
  <c r="BM45" i="44"/>
  <c r="AU45" i="44"/>
  <c r="AT45" i="44"/>
  <c r="AC45" i="44"/>
  <c r="AB45" i="44"/>
  <c r="A45" i="44"/>
  <c r="GN45" i="44" s="1"/>
  <c r="CF44" i="44"/>
  <c r="CE44" i="44"/>
  <c r="BN44" i="44"/>
  <c r="BM44" i="44"/>
  <c r="GM44" i="44" s="1"/>
  <c r="AU44" i="44"/>
  <c r="AT44" i="44"/>
  <c r="AC44" i="44"/>
  <c r="AB44" i="44"/>
  <c r="A44" i="44"/>
  <c r="CF43" i="44"/>
  <c r="CE43" i="44"/>
  <c r="BN43" i="44"/>
  <c r="BM43" i="44"/>
  <c r="AU43" i="44"/>
  <c r="AT43" i="44"/>
  <c r="AC43" i="44"/>
  <c r="AB43" i="44"/>
  <c r="A43" i="44"/>
  <c r="GN43" i="44"/>
  <c r="CF42" i="44"/>
  <c r="DK42" i="44" s="1"/>
  <c r="CE42" i="44"/>
  <c r="BN42" i="44"/>
  <c r="BM42" i="44"/>
  <c r="AU42" i="44"/>
  <c r="AT42" i="44"/>
  <c r="AC42" i="44"/>
  <c r="AB42" i="44"/>
  <c r="A42" i="44"/>
  <c r="CF41" i="44"/>
  <c r="CE41" i="44"/>
  <c r="BN41" i="44"/>
  <c r="BM41" i="44"/>
  <c r="AU41" i="44"/>
  <c r="AT41" i="44"/>
  <c r="AC41" i="44"/>
  <c r="AB41" i="44"/>
  <c r="A41" i="44"/>
  <c r="GN41" i="44"/>
  <c r="CF40" i="44"/>
  <c r="CE40" i="44"/>
  <c r="BN40" i="44"/>
  <c r="BM40" i="44"/>
  <c r="AU40" i="44"/>
  <c r="AT40" i="44"/>
  <c r="AC40" i="44"/>
  <c r="AB40" i="44"/>
  <c r="A40" i="44"/>
  <c r="GN40" i="44"/>
  <c r="CF39" i="44"/>
  <c r="CE39" i="44"/>
  <c r="BN39" i="44"/>
  <c r="BM39" i="44"/>
  <c r="AU39" i="44"/>
  <c r="AT39" i="44"/>
  <c r="AC39" i="44"/>
  <c r="AB39" i="44"/>
  <c r="A39" i="44"/>
  <c r="GN39" i="44"/>
  <c r="CF38" i="44"/>
  <c r="CE38" i="44"/>
  <c r="BN38" i="44"/>
  <c r="BM38" i="44"/>
  <c r="AU38" i="44"/>
  <c r="AT38" i="44"/>
  <c r="AC38" i="44"/>
  <c r="AB38" i="44"/>
  <c r="A38" i="44"/>
  <c r="CF37" i="44"/>
  <c r="CE37" i="44"/>
  <c r="BN37" i="44"/>
  <c r="BM37" i="44"/>
  <c r="AU37" i="44"/>
  <c r="AT37" i="44"/>
  <c r="AC37" i="44"/>
  <c r="AB37" i="44"/>
  <c r="A37" i="44"/>
  <c r="GN37" i="44" s="1"/>
  <c r="CF36" i="44"/>
  <c r="CE36" i="44"/>
  <c r="BN36" i="44"/>
  <c r="BM36" i="44"/>
  <c r="AU36" i="44"/>
  <c r="AT36" i="44"/>
  <c r="AC36" i="44"/>
  <c r="AB36" i="44"/>
  <c r="A36" i="44"/>
  <c r="CF35" i="44"/>
  <c r="CE35" i="44"/>
  <c r="BN35" i="44"/>
  <c r="BM35" i="44"/>
  <c r="AU35" i="44"/>
  <c r="AT35" i="44"/>
  <c r="AC35" i="44"/>
  <c r="AB35" i="44"/>
  <c r="A35" i="44"/>
  <c r="GN35" i="44"/>
  <c r="CF34" i="44"/>
  <c r="CE34" i="44"/>
  <c r="BN34" i="44"/>
  <c r="BM34" i="44"/>
  <c r="AU34" i="44"/>
  <c r="AT34" i="44"/>
  <c r="AC34" i="44"/>
  <c r="AB34" i="44"/>
  <c r="A34" i="44"/>
  <c r="GN34" i="44"/>
  <c r="CF33" i="44"/>
  <c r="CE33" i="44"/>
  <c r="BN33" i="44"/>
  <c r="BM33" i="44"/>
  <c r="AU33" i="44"/>
  <c r="AT33" i="44"/>
  <c r="AC33" i="44"/>
  <c r="AB33" i="44"/>
  <c r="A33" i="44"/>
  <c r="GN33" i="44" s="1"/>
  <c r="FZ32" i="44"/>
  <c r="GA32" i="44" s="1"/>
  <c r="CF32" i="44"/>
  <c r="CE32" i="44"/>
  <c r="BN32" i="44"/>
  <c r="BM32" i="44"/>
  <c r="AU32" i="44"/>
  <c r="AT32" i="44"/>
  <c r="AC32" i="44"/>
  <c r="AB32" i="44"/>
  <c r="A32" i="44"/>
  <c r="FZ31" i="44"/>
  <c r="CF31" i="44"/>
  <c r="CE31" i="44"/>
  <c r="BN31" i="44"/>
  <c r="BM31" i="44"/>
  <c r="AU31" i="44"/>
  <c r="AT31" i="44"/>
  <c r="AC31" i="44"/>
  <c r="AB31" i="44"/>
  <c r="A31" i="44"/>
  <c r="FZ30" i="44"/>
  <c r="CF30" i="44"/>
  <c r="CE30" i="44"/>
  <c r="BN30" i="44"/>
  <c r="BM30" i="44"/>
  <c r="AU30" i="44"/>
  <c r="AT30" i="44"/>
  <c r="AC30" i="44"/>
  <c r="AB30" i="44"/>
  <c r="GM30" i="44" s="1"/>
  <c r="A30" i="44"/>
  <c r="FZ29" i="44"/>
  <c r="GA29" i="44" s="1"/>
  <c r="CF29" i="44"/>
  <c r="CE29" i="44"/>
  <c r="BN29" i="44"/>
  <c r="BM29" i="44"/>
  <c r="AU29" i="44"/>
  <c r="AT29" i="44"/>
  <c r="AC29" i="44"/>
  <c r="AB29" i="44"/>
  <c r="A29" i="44"/>
  <c r="FZ28" i="44"/>
  <c r="CF28" i="44"/>
  <c r="CE28" i="44"/>
  <c r="BN28" i="44"/>
  <c r="BM28" i="44"/>
  <c r="AU28" i="44"/>
  <c r="AT28" i="44"/>
  <c r="AC28" i="44"/>
  <c r="AB28" i="44"/>
  <c r="A28" i="44"/>
  <c r="GN28" i="44"/>
  <c r="FZ27" i="44"/>
  <c r="CF27" i="44"/>
  <c r="CE27" i="44"/>
  <c r="BN27" i="44"/>
  <c r="BM27" i="44"/>
  <c r="AU27" i="44"/>
  <c r="AT27" i="44"/>
  <c r="AC27" i="44"/>
  <c r="AB27" i="44"/>
  <c r="A27" i="44"/>
  <c r="GN27" i="44" s="1"/>
  <c r="FZ26" i="44"/>
  <c r="CF26" i="44"/>
  <c r="CE26" i="44"/>
  <c r="BN26" i="44"/>
  <c r="BM26" i="44"/>
  <c r="AU26" i="44"/>
  <c r="AT26" i="44"/>
  <c r="AC26" i="44"/>
  <c r="AB26" i="44"/>
  <c r="A26" i="44"/>
  <c r="FZ25" i="44"/>
  <c r="CF25" i="44"/>
  <c r="CE25" i="44"/>
  <c r="BN25" i="44"/>
  <c r="BM25" i="44"/>
  <c r="AU25" i="44"/>
  <c r="AT25" i="44"/>
  <c r="AC25" i="44"/>
  <c r="AB25" i="44"/>
  <c r="A25" i="44"/>
  <c r="GN25" i="44" s="1"/>
  <c r="FZ24" i="44"/>
  <c r="CF24" i="44"/>
  <c r="CE24" i="44"/>
  <c r="BN24" i="44"/>
  <c r="BM24" i="44"/>
  <c r="AU24" i="44"/>
  <c r="AT24" i="44"/>
  <c r="AC24" i="44"/>
  <c r="AB24" i="44"/>
  <c r="A24" i="44"/>
  <c r="GN24" i="44"/>
  <c r="FZ23" i="44"/>
  <c r="CF23" i="44"/>
  <c r="CE23" i="44"/>
  <c r="BN23" i="44"/>
  <c r="BM23" i="44"/>
  <c r="AU23" i="44"/>
  <c r="AT23" i="44"/>
  <c r="AC23" i="44"/>
  <c r="AB23" i="44"/>
  <c r="A23" i="44"/>
  <c r="GN23" i="44" s="1"/>
  <c r="FZ22" i="44"/>
  <c r="CF22" i="44"/>
  <c r="CE22" i="44"/>
  <c r="BN22" i="44"/>
  <c r="BM22" i="44"/>
  <c r="AU22" i="44"/>
  <c r="AT22" i="44"/>
  <c r="AC22" i="44"/>
  <c r="AB22" i="44"/>
  <c r="A22" i="44"/>
  <c r="FZ21" i="44"/>
  <c r="GA21" i="44" s="1"/>
  <c r="CF21" i="44"/>
  <c r="CE21" i="44"/>
  <c r="CU21" i="44" s="1"/>
  <c r="BN21" i="44"/>
  <c r="BM21" i="44"/>
  <c r="AU21" i="44"/>
  <c r="AT21" i="44"/>
  <c r="AC21" i="44"/>
  <c r="AB21" i="44"/>
  <c r="A21" i="44"/>
  <c r="GN21" i="44"/>
  <c r="FZ20" i="44"/>
  <c r="CF20" i="44"/>
  <c r="CE20" i="44"/>
  <c r="BN20" i="44"/>
  <c r="BM20" i="44"/>
  <c r="AU20" i="44"/>
  <c r="AT20" i="44"/>
  <c r="AC20" i="44"/>
  <c r="AB20" i="44"/>
  <c r="GM20" i="44" s="1"/>
  <c r="A20" i="44"/>
  <c r="FZ19" i="44"/>
  <c r="CF19" i="44"/>
  <c r="CE19" i="44"/>
  <c r="GM19" i="44" s="1"/>
  <c r="BN19" i="44"/>
  <c r="BM19" i="44"/>
  <c r="AU19" i="44"/>
  <c r="AT19" i="44"/>
  <c r="AC19" i="44"/>
  <c r="AB19" i="44"/>
  <c r="A19" i="44"/>
  <c r="GN19" i="44" s="1"/>
  <c r="FZ18" i="44"/>
  <c r="FC18" i="44"/>
  <c r="FZ17" i="44"/>
  <c r="FC17" i="44"/>
  <c r="FZ16" i="44"/>
  <c r="FC16" i="44"/>
  <c r="FZ15" i="44"/>
  <c r="FZ14" i="44"/>
  <c r="FZ13" i="44"/>
  <c r="GR12" i="44"/>
  <c r="FZ12" i="44"/>
  <c r="FZ11" i="44"/>
  <c r="FZ10" i="44"/>
  <c r="FZ9" i="44"/>
  <c r="AB22" i="35"/>
  <c r="EK3" i="44"/>
  <c r="B168" i="43"/>
  <c r="J148" i="43"/>
  <c r="GE148" i="43"/>
  <c r="I148" i="43"/>
  <c r="GV148" i="43" s="1"/>
  <c r="H148" i="43"/>
  <c r="GC148" i="43"/>
  <c r="GT145" i="43"/>
  <c r="GS145" i="43"/>
  <c r="GQ145" i="43"/>
  <c r="GP145" i="43"/>
  <c r="GB145" i="43"/>
  <c r="GA145" i="43"/>
  <c r="GD145" i="43" s="1"/>
  <c r="FY145" i="43"/>
  <c r="FX145" i="43"/>
  <c r="FH145" i="43"/>
  <c r="FG145" i="43"/>
  <c r="FE145" i="43"/>
  <c r="FD145" i="43"/>
  <c r="EW145" i="43"/>
  <c r="EV145" i="43"/>
  <c r="ET145" i="43"/>
  <c r="EZ145" i="43" s="1"/>
  <c r="ES145" i="43"/>
  <c r="EL145" i="43"/>
  <c r="EK145" i="43"/>
  <c r="EI145" i="43"/>
  <c r="EH145" i="43"/>
  <c r="DT145" i="43"/>
  <c r="DS145" i="43"/>
  <c r="DQ145" i="43"/>
  <c r="DP145" i="43"/>
  <c r="DC145" i="43"/>
  <c r="DB145" i="43"/>
  <c r="CZ145" i="43"/>
  <c r="CY145" i="43"/>
  <c r="CL145" i="43"/>
  <c r="CK145" i="43"/>
  <c r="CI145" i="43"/>
  <c r="CH145" i="43"/>
  <c r="BT145" i="43"/>
  <c r="BS145" i="43"/>
  <c r="BQ145" i="43"/>
  <c r="BP145" i="43"/>
  <c r="BV145" i="43"/>
  <c r="BA145" i="43"/>
  <c r="AZ145" i="43"/>
  <c r="BC145" i="43" s="1"/>
  <c r="AX145" i="43"/>
  <c r="AW145" i="43"/>
  <c r="AI145" i="43"/>
  <c r="AH145" i="43"/>
  <c r="AK145" i="43" s="1"/>
  <c r="AF145" i="43"/>
  <c r="AL145" i="43" s="1"/>
  <c r="AE145" i="43"/>
  <c r="G145" i="43"/>
  <c r="F145" i="43"/>
  <c r="D145" i="43"/>
  <c r="J145" i="43"/>
  <c r="C145" i="43"/>
  <c r="I145" i="43" s="1"/>
  <c r="AV142" i="43"/>
  <c r="B142" i="43"/>
  <c r="GO140" i="43"/>
  <c r="FW140" i="43"/>
  <c r="FC140" i="43"/>
  <c r="ER140" i="43"/>
  <c r="EG140" i="43"/>
  <c r="DO140" i="43"/>
  <c r="CX140" i="43"/>
  <c r="CG140" i="43"/>
  <c r="BO140" i="43"/>
  <c r="AV140" i="43"/>
  <c r="AD140" i="43"/>
  <c r="GO137" i="43"/>
  <c r="FW137" i="43"/>
  <c r="FC137" i="43"/>
  <c r="ER137" i="43"/>
  <c r="EG137" i="43"/>
  <c r="DO137" i="43"/>
  <c r="CX137" i="43"/>
  <c r="CG137" i="43"/>
  <c r="BO137" i="43"/>
  <c r="AD137" i="43"/>
  <c r="B137" i="43"/>
  <c r="B140" i="43" s="1"/>
  <c r="FW135" i="43"/>
  <c r="FC135" i="43"/>
  <c r="ER135" i="43"/>
  <c r="EG135" i="43"/>
  <c r="FW134" i="43"/>
  <c r="FC134" i="43"/>
  <c r="ER134" i="43"/>
  <c r="EG134" i="43"/>
  <c r="DN117" i="43"/>
  <c r="A117" i="43"/>
  <c r="DN116" i="43"/>
  <c r="A116" i="43"/>
  <c r="DN115" i="43"/>
  <c r="A115" i="43"/>
  <c r="DN114" i="43"/>
  <c r="A114" i="43"/>
  <c r="DN113" i="43"/>
  <c r="A113" i="43"/>
  <c r="DN112" i="43"/>
  <c r="A112" i="43"/>
  <c r="DN111" i="43"/>
  <c r="A111" i="43"/>
  <c r="DN110" i="43"/>
  <c r="A110" i="43"/>
  <c r="DN109" i="43"/>
  <c r="A109" i="43"/>
  <c r="DN108" i="43"/>
  <c r="A108" i="43"/>
  <c r="DN107" i="43"/>
  <c r="A107" i="43"/>
  <c r="DN106" i="43"/>
  <c r="A106" i="43"/>
  <c r="DN105" i="43"/>
  <c r="A105" i="43"/>
  <c r="DN104" i="43"/>
  <c r="A104" i="43"/>
  <c r="DN103" i="43"/>
  <c r="A103" i="43"/>
  <c r="DN102" i="43"/>
  <c r="A102" i="43"/>
  <c r="DN101" i="43"/>
  <c r="A101" i="43"/>
  <c r="DN100" i="43"/>
  <c r="A100" i="43"/>
  <c r="DN99" i="43"/>
  <c r="A99" i="43"/>
  <c r="DN98" i="43"/>
  <c r="A98" i="43"/>
  <c r="DN97" i="43"/>
  <c r="A97" i="43"/>
  <c r="DN96" i="43"/>
  <c r="A96" i="43"/>
  <c r="DN95" i="43"/>
  <c r="A95" i="43"/>
  <c r="DN94" i="43"/>
  <c r="A94" i="43"/>
  <c r="DN93" i="43"/>
  <c r="A93" i="43"/>
  <c r="DN92" i="43"/>
  <c r="A92" i="43"/>
  <c r="DN91" i="43"/>
  <c r="A91" i="43"/>
  <c r="DN90" i="43"/>
  <c r="A90" i="43"/>
  <c r="DN89" i="43"/>
  <c r="A89" i="43"/>
  <c r="DN88" i="43"/>
  <c r="A88" i="43"/>
  <c r="DN87" i="43"/>
  <c r="A87" i="43"/>
  <c r="DN86" i="43"/>
  <c r="A86" i="43"/>
  <c r="DN85" i="43"/>
  <c r="A85" i="43"/>
  <c r="DN84" i="43"/>
  <c r="A84" i="43"/>
  <c r="DN83" i="43"/>
  <c r="A83" i="43"/>
  <c r="DN82" i="43"/>
  <c r="A82" i="43"/>
  <c r="DN81" i="43"/>
  <c r="A81" i="43"/>
  <c r="DN80" i="43"/>
  <c r="A80" i="43"/>
  <c r="DN79" i="43"/>
  <c r="A79" i="43"/>
  <c r="DN78" i="43"/>
  <c r="A78" i="43"/>
  <c r="DN77" i="43"/>
  <c r="A77" i="43"/>
  <c r="DN76" i="43"/>
  <c r="A76" i="43"/>
  <c r="GR71" i="43"/>
  <c r="CF60" i="43"/>
  <c r="CE60" i="43"/>
  <c r="BN60" i="43"/>
  <c r="BM60" i="43"/>
  <c r="AU60" i="43"/>
  <c r="AT60" i="43"/>
  <c r="AC60" i="43"/>
  <c r="AB60" i="43"/>
  <c r="A60" i="43"/>
  <c r="CF59" i="43"/>
  <c r="CE59" i="43"/>
  <c r="BN59" i="43"/>
  <c r="BM59" i="43"/>
  <c r="AU59" i="43"/>
  <c r="AT59" i="43"/>
  <c r="AC59" i="43"/>
  <c r="AB59" i="43"/>
  <c r="A59" i="43"/>
  <c r="CF58" i="43"/>
  <c r="CE58" i="43"/>
  <c r="BN58" i="43"/>
  <c r="BM58" i="43"/>
  <c r="AU58" i="43"/>
  <c r="AT58" i="43"/>
  <c r="AC58" i="43"/>
  <c r="AB58" i="43"/>
  <c r="A58" i="43"/>
  <c r="GN58" i="43"/>
  <c r="CF57" i="43"/>
  <c r="CE57" i="43"/>
  <c r="BN57" i="43"/>
  <c r="BM57" i="43"/>
  <c r="AU57" i="43"/>
  <c r="AT57" i="43"/>
  <c r="AC57" i="43"/>
  <c r="AB57" i="43"/>
  <c r="A57" i="43"/>
  <c r="CF56" i="43"/>
  <c r="CE56" i="43"/>
  <c r="BN56" i="43"/>
  <c r="BM56" i="43"/>
  <c r="AU56" i="43"/>
  <c r="AT56" i="43"/>
  <c r="AC56" i="43"/>
  <c r="AB56" i="43"/>
  <c r="A56" i="43"/>
  <c r="CF55" i="43"/>
  <c r="CE55" i="43"/>
  <c r="BN55" i="43"/>
  <c r="BM55" i="43"/>
  <c r="AU55" i="43"/>
  <c r="AT55" i="43"/>
  <c r="AC55" i="43"/>
  <c r="AB55" i="43"/>
  <c r="A55" i="43"/>
  <c r="GN55" i="43" s="1"/>
  <c r="CF54" i="43"/>
  <c r="CE54" i="43"/>
  <c r="BN54" i="43"/>
  <c r="BM54" i="43"/>
  <c r="AU54" i="43"/>
  <c r="AT54" i="43"/>
  <c r="AC54" i="43"/>
  <c r="AB54" i="43"/>
  <c r="A54" i="43"/>
  <c r="CF53" i="43"/>
  <c r="CE53" i="43"/>
  <c r="BN53" i="43"/>
  <c r="BM53" i="43"/>
  <c r="AU53" i="43"/>
  <c r="AT53" i="43"/>
  <c r="AC53" i="43"/>
  <c r="AB53" i="43"/>
  <c r="A53" i="43"/>
  <c r="CF52" i="43"/>
  <c r="CE52" i="43"/>
  <c r="BN52" i="43"/>
  <c r="BM52" i="43"/>
  <c r="AU52" i="43"/>
  <c r="AT52" i="43"/>
  <c r="AC52" i="43"/>
  <c r="AB52" i="43"/>
  <c r="A52" i="43"/>
  <c r="CF51" i="43"/>
  <c r="CE51" i="43"/>
  <c r="BN51" i="43"/>
  <c r="BM51" i="43"/>
  <c r="AU51" i="43"/>
  <c r="AT51" i="43"/>
  <c r="AC51" i="43"/>
  <c r="AB51" i="43"/>
  <c r="GM51" i="43" s="1"/>
  <c r="A51" i="43"/>
  <c r="GN51" i="43"/>
  <c r="CF50" i="43"/>
  <c r="CE50" i="43"/>
  <c r="BN50" i="43"/>
  <c r="BM50" i="43"/>
  <c r="AU50" i="43"/>
  <c r="AT50" i="43"/>
  <c r="AC50" i="43"/>
  <c r="AB50" i="43"/>
  <c r="A50" i="43"/>
  <c r="CF49" i="43"/>
  <c r="CE49" i="43"/>
  <c r="BN49" i="43"/>
  <c r="BM49" i="43"/>
  <c r="AU49" i="43"/>
  <c r="AT49" i="43"/>
  <c r="AC49" i="43"/>
  <c r="AB49" i="43"/>
  <c r="A49" i="43"/>
  <c r="GN49" i="43"/>
  <c r="CF48" i="43"/>
  <c r="CE48" i="43"/>
  <c r="BN48" i="43"/>
  <c r="BM48" i="43"/>
  <c r="AU48" i="43"/>
  <c r="AT48" i="43"/>
  <c r="AC48" i="43"/>
  <c r="AB48" i="43"/>
  <c r="A48" i="43"/>
  <c r="CF47" i="43"/>
  <c r="CE47" i="43"/>
  <c r="BN47" i="43"/>
  <c r="BM47" i="43"/>
  <c r="AU47" i="43"/>
  <c r="AT47" i="43"/>
  <c r="AC47" i="43"/>
  <c r="AB47" i="43"/>
  <c r="A47" i="43"/>
  <c r="CF46" i="43"/>
  <c r="CE46" i="43"/>
  <c r="BN46" i="43"/>
  <c r="BM46" i="43"/>
  <c r="AU46" i="43"/>
  <c r="AT46" i="43"/>
  <c r="AC46" i="43"/>
  <c r="AB46" i="43"/>
  <c r="A46" i="43"/>
  <c r="CF45" i="43"/>
  <c r="CE45" i="43"/>
  <c r="BN45" i="43"/>
  <c r="BM45" i="43"/>
  <c r="AU45" i="43"/>
  <c r="AT45" i="43"/>
  <c r="AC45" i="43"/>
  <c r="AB45" i="43"/>
  <c r="A45" i="43"/>
  <c r="GN45" i="43" s="1"/>
  <c r="CF44" i="43"/>
  <c r="CE44" i="43"/>
  <c r="BN44" i="43"/>
  <c r="BM44" i="43"/>
  <c r="AU44" i="43"/>
  <c r="AT44" i="43"/>
  <c r="AC44" i="43"/>
  <c r="AB44" i="43"/>
  <c r="A44" i="43"/>
  <c r="CF43" i="43"/>
  <c r="CE43" i="43"/>
  <c r="BN43" i="43"/>
  <c r="BM43" i="43"/>
  <c r="AU43" i="43"/>
  <c r="AT43" i="43"/>
  <c r="AC43" i="43"/>
  <c r="AB43" i="43"/>
  <c r="A43" i="43"/>
  <c r="CF42" i="43"/>
  <c r="CE42" i="43"/>
  <c r="BN42" i="43"/>
  <c r="BM42" i="43"/>
  <c r="AU42" i="43"/>
  <c r="AT42" i="43"/>
  <c r="AC42" i="43"/>
  <c r="AB42" i="43"/>
  <c r="A42" i="43"/>
  <c r="CF41" i="43"/>
  <c r="CE41" i="43"/>
  <c r="BN41" i="43"/>
  <c r="BM41" i="43"/>
  <c r="AU41" i="43"/>
  <c r="AT41" i="43"/>
  <c r="AC41" i="43"/>
  <c r="AB41" i="43"/>
  <c r="A41" i="43"/>
  <c r="GN41" i="43" s="1"/>
  <c r="CF40" i="43"/>
  <c r="CE40" i="43"/>
  <c r="BN40" i="43"/>
  <c r="BM40" i="43"/>
  <c r="AU40" i="43"/>
  <c r="AT40" i="43"/>
  <c r="AC40" i="43"/>
  <c r="AB40" i="43"/>
  <c r="A40" i="43"/>
  <c r="GN40" i="43"/>
  <c r="CF39" i="43"/>
  <c r="CE39" i="43"/>
  <c r="BN39" i="43"/>
  <c r="BM39" i="43"/>
  <c r="AU39" i="43"/>
  <c r="AT39" i="43"/>
  <c r="AC39" i="43"/>
  <c r="AB39" i="43"/>
  <c r="A39" i="43"/>
  <c r="GN39" i="43" s="1"/>
  <c r="CF38" i="43"/>
  <c r="CE38" i="43"/>
  <c r="BN38" i="43"/>
  <c r="BM38" i="43"/>
  <c r="AU38" i="43"/>
  <c r="AT38" i="43"/>
  <c r="AC38" i="43"/>
  <c r="AB38" i="43"/>
  <c r="A38" i="43"/>
  <c r="CF37" i="43"/>
  <c r="CE37" i="43"/>
  <c r="BN37" i="43"/>
  <c r="BM37" i="43"/>
  <c r="AU37" i="43"/>
  <c r="AT37" i="43"/>
  <c r="AC37" i="43"/>
  <c r="AB37" i="43"/>
  <c r="A37" i="43"/>
  <c r="GN37" i="43"/>
  <c r="CF36" i="43"/>
  <c r="CE36" i="43"/>
  <c r="BN36" i="43"/>
  <c r="BM36" i="43"/>
  <c r="AU36" i="43"/>
  <c r="AT36" i="43"/>
  <c r="AC36" i="43"/>
  <c r="AB36" i="43"/>
  <c r="A36" i="43"/>
  <c r="CF35" i="43"/>
  <c r="CE35" i="43"/>
  <c r="BN35" i="43"/>
  <c r="BM35" i="43"/>
  <c r="AU35" i="43"/>
  <c r="AT35" i="43"/>
  <c r="AC35" i="43"/>
  <c r="AB35" i="43"/>
  <c r="A35" i="43"/>
  <c r="GN35" i="43"/>
  <c r="CF34" i="43"/>
  <c r="CE34" i="43"/>
  <c r="BN34" i="43"/>
  <c r="BM34" i="43"/>
  <c r="AU34" i="43"/>
  <c r="AT34" i="43"/>
  <c r="AC34" i="43"/>
  <c r="AB34" i="43"/>
  <c r="GM34" i="43"/>
  <c r="A34" i="43"/>
  <c r="CF33" i="43"/>
  <c r="CE33" i="43"/>
  <c r="BN33" i="43"/>
  <c r="BM33" i="43"/>
  <c r="AU33" i="43"/>
  <c r="AT33" i="43"/>
  <c r="AC33" i="43"/>
  <c r="AB33" i="43"/>
  <c r="A33" i="43"/>
  <c r="GN33" i="43" s="1"/>
  <c r="FZ32" i="43"/>
  <c r="CF32" i="43"/>
  <c r="CE32" i="43"/>
  <c r="BN32" i="43"/>
  <c r="BM32" i="43"/>
  <c r="AU32" i="43"/>
  <c r="AT32" i="43"/>
  <c r="AC32" i="43"/>
  <c r="AB32" i="43"/>
  <c r="A32" i="43"/>
  <c r="FZ31" i="43"/>
  <c r="CF31" i="43"/>
  <c r="CE31" i="43"/>
  <c r="BN31" i="43"/>
  <c r="BM31" i="43"/>
  <c r="AU31" i="43"/>
  <c r="AT31" i="43"/>
  <c r="AC31" i="43"/>
  <c r="AB31" i="43"/>
  <c r="A31" i="43"/>
  <c r="FZ30" i="43"/>
  <c r="CF30" i="43"/>
  <c r="CE30" i="43"/>
  <c r="BN30" i="43"/>
  <c r="BM30" i="43"/>
  <c r="AU30" i="43"/>
  <c r="AT30" i="43"/>
  <c r="AC30" i="43"/>
  <c r="AB30" i="43"/>
  <c r="A30" i="43"/>
  <c r="FZ29" i="43"/>
  <c r="CF29" i="43"/>
  <c r="CE29" i="43"/>
  <c r="BN29" i="43"/>
  <c r="BM29" i="43"/>
  <c r="AU29" i="43"/>
  <c r="AT29" i="43"/>
  <c r="AC29" i="43"/>
  <c r="AB29" i="43"/>
  <c r="A29" i="43"/>
  <c r="FZ28" i="43"/>
  <c r="CF28" i="43"/>
  <c r="CE28" i="43"/>
  <c r="BN28" i="43"/>
  <c r="BM28" i="43"/>
  <c r="AU28" i="43"/>
  <c r="AT28" i="43"/>
  <c r="AC28" i="43"/>
  <c r="AB28" i="43"/>
  <c r="A28" i="43"/>
  <c r="FZ27" i="43"/>
  <c r="CF27" i="43"/>
  <c r="CE27" i="43"/>
  <c r="BN27" i="43"/>
  <c r="BM27" i="43"/>
  <c r="AU27" i="43"/>
  <c r="AT27" i="43"/>
  <c r="AC27" i="43"/>
  <c r="AB27" i="43"/>
  <c r="A27" i="43"/>
  <c r="FZ26" i="43"/>
  <c r="CF26" i="43"/>
  <c r="CE26" i="43"/>
  <c r="BN26" i="43"/>
  <c r="BM26" i="43"/>
  <c r="AU26" i="43"/>
  <c r="AT26" i="43"/>
  <c r="AC26" i="43"/>
  <c r="AB26" i="43"/>
  <c r="A26" i="43"/>
  <c r="FZ25" i="43"/>
  <c r="CF25" i="43"/>
  <c r="CE25" i="43"/>
  <c r="BN25" i="43"/>
  <c r="BM25" i="43"/>
  <c r="AU25" i="43"/>
  <c r="AT25" i="43"/>
  <c r="AC25" i="43"/>
  <c r="AB25" i="43"/>
  <c r="A25" i="43"/>
  <c r="FZ24" i="43"/>
  <c r="GD24" i="43" s="1"/>
  <c r="CF24" i="43"/>
  <c r="CE24" i="43"/>
  <c r="BN24" i="43"/>
  <c r="BM24" i="43"/>
  <c r="AU24" i="43"/>
  <c r="AT24" i="43"/>
  <c r="AC24" i="43"/>
  <c r="AB24" i="43"/>
  <c r="A24" i="43"/>
  <c r="FZ23" i="43"/>
  <c r="CF23" i="43"/>
  <c r="CE23" i="43"/>
  <c r="BN23" i="43"/>
  <c r="BM23" i="43"/>
  <c r="AU23" i="43"/>
  <c r="AT23" i="43"/>
  <c r="AC23" i="43"/>
  <c r="AB23" i="43"/>
  <c r="A23" i="43"/>
  <c r="FZ22" i="43"/>
  <c r="CF22" i="43"/>
  <c r="CE22" i="43"/>
  <c r="BN22" i="43"/>
  <c r="BM22" i="43"/>
  <c r="AU22" i="43"/>
  <c r="AT22" i="43"/>
  <c r="AC22" i="43"/>
  <c r="AB22" i="43"/>
  <c r="A22" i="43"/>
  <c r="GN22" i="43"/>
  <c r="FZ21" i="43"/>
  <c r="CF21" i="43"/>
  <c r="CE21" i="43"/>
  <c r="BN21" i="43"/>
  <c r="BM21" i="43"/>
  <c r="AU21" i="43"/>
  <c r="AT21" i="43"/>
  <c r="AC21" i="43"/>
  <c r="AB21" i="43"/>
  <c r="A21" i="43"/>
  <c r="GN21" i="43"/>
  <c r="FZ20" i="43"/>
  <c r="CF20" i="43"/>
  <c r="CE20" i="43"/>
  <c r="BN20" i="43"/>
  <c r="BM20" i="43"/>
  <c r="AU20" i="43"/>
  <c r="AT20" i="43"/>
  <c r="AC20" i="43"/>
  <c r="AB20" i="43"/>
  <c r="A20" i="43"/>
  <c r="FZ19" i="43"/>
  <c r="CF19" i="43"/>
  <c r="CE19" i="43"/>
  <c r="BN19" i="43"/>
  <c r="BM19" i="43"/>
  <c r="AU19" i="43"/>
  <c r="AT19" i="43"/>
  <c r="AC19" i="43"/>
  <c r="AB19" i="43"/>
  <c r="A19" i="43"/>
  <c r="GN19" i="43"/>
  <c r="FZ18" i="43"/>
  <c r="FC18" i="43"/>
  <c r="FZ17" i="43"/>
  <c r="FC17" i="43"/>
  <c r="FZ16" i="43"/>
  <c r="FC16" i="43"/>
  <c r="FZ15" i="43"/>
  <c r="FZ14" i="43"/>
  <c r="FZ13" i="43"/>
  <c r="GR12" i="43"/>
  <c r="FZ12" i="43"/>
  <c r="GA12" i="43" s="1"/>
  <c r="FZ11" i="43"/>
  <c r="FZ10" i="43"/>
  <c r="FZ9" i="43"/>
  <c r="EU3" i="43"/>
  <c r="EV3" i="43" s="1"/>
  <c r="R22" i="35"/>
  <c r="EK3" i="43"/>
  <c r="E16" i="35"/>
  <c r="E17" i="35"/>
  <c r="G35" i="35"/>
  <c r="H17" i="35"/>
  <c r="E18" i="35"/>
  <c r="H18" i="35"/>
  <c r="E19" i="35"/>
  <c r="E21" i="35"/>
  <c r="H21" i="35"/>
  <c r="E22" i="35"/>
  <c r="H23" i="35"/>
  <c r="C24" i="35"/>
  <c r="C25" i="35"/>
  <c r="C26" i="35"/>
  <c r="D26" i="35"/>
  <c r="H26" i="35"/>
  <c r="C27" i="35"/>
  <c r="D27" i="35"/>
  <c r="H27" i="35"/>
  <c r="E28" i="35"/>
  <c r="H28" i="35"/>
  <c r="E15" i="35"/>
  <c r="B11" i="42"/>
  <c r="B168" i="41"/>
  <c r="J148" i="41"/>
  <c r="GE148" i="41"/>
  <c r="I148" i="41"/>
  <c r="GV148" i="41"/>
  <c r="H148" i="41"/>
  <c r="GC148" i="41" s="1"/>
  <c r="GT145" i="41"/>
  <c r="GS145" i="41"/>
  <c r="GQ145" i="41"/>
  <c r="GW145" i="41"/>
  <c r="GP145" i="41"/>
  <c r="GB145" i="41"/>
  <c r="GA145" i="41"/>
  <c r="GD145" i="41" s="1"/>
  <c r="FY145" i="41"/>
  <c r="GE145" i="41"/>
  <c r="FX145" i="41"/>
  <c r="FH145" i="41"/>
  <c r="FK145" i="41" s="1"/>
  <c r="FG145" i="41"/>
  <c r="FE145" i="41"/>
  <c r="FD145" i="41"/>
  <c r="EW145" i="41"/>
  <c r="EZ145" i="41"/>
  <c r="EV145" i="41"/>
  <c r="ET145" i="41"/>
  <c r="ES145" i="41"/>
  <c r="EL145" i="41"/>
  <c r="EK145" i="41"/>
  <c r="EI145" i="41"/>
  <c r="EO145" i="41"/>
  <c r="EH145" i="41"/>
  <c r="DT145" i="41"/>
  <c r="DW145" i="41" s="1"/>
  <c r="DS145" i="41"/>
  <c r="DQ145" i="41"/>
  <c r="DP145" i="41"/>
  <c r="DC145" i="41"/>
  <c r="DB145" i="41"/>
  <c r="CZ145" i="41"/>
  <c r="DF145" i="41" s="1"/>
  <c r="CY145" i="41"/>
  <c r="DE145" i="41" s="1"/>
  <c r="CL145" i="41"/>
  <c r="CK145" i="41"/>
  <c r="CI145" i="41"/>
  <c r="CH145" i="41"/>
  <c r="BT145" i="41"/>
  <c r="BW145" i="41"/>
  <c r="BS145" i="41"/>
  <c r="BV145" i="41" s="1"/>
  <c r="BO152" i="41" s="1"/>
  <c r="D163" i="41" s="1"/>
  <c r="D17" i="35" s="1"/>
  <c r="BQ145" i="41"/>
  <c r="BP145" i="41"/>
  <c r="BA145" i="41"/>
  <c r="AZ145" i="41"/>
  <c r="AX145" i="41"/>
  <c r="BD145" i="41"/>
  <c r="AW145" i="41"/>
  <c r="AI145" i="41"/>
  <c r="AH145" i="41"/>
  <c r="AF145" i="41"/>
  <c r="AE145" i="41"/>
  <c r="G145" i="41"/>
  <c r="F145" i="41"/>
  <c r="I145" i="41" s="1"/>
  <c r="B152" i="41" s="1"/>
  <c r="D145" i="41"/>
  <c r="C145" i="41"/>
  <c r="AV142" i="41"/>
  <c r="B142" i="41"/>
  <c r="GO140" i="41"/>
  <c r="FW140" i="41"/>
  <c r="FC140" i="41"/>
  <c r="ER140" i="41"/>
  <c r="EG140" i="41"/>
  <c r="HQ140" i="41" s="1"/>
  <c r="DO140" i="41"/>
  <c r="CX140" i="41"/>
  <c r="CG140" i="41"/>
  <c r="BO140" i="41"/>
  <c r="AV140" i="41"/>
  <c r="AD140" i="41"/>
  <c r="CG136" i="41"/>
  <c r="BO136" i="41"/>
  <c r="FW135" i="41"/>
  <c r="FC135" i="41"/>
  <c r="ER135" i="41"/>
  <c r="EG135" i="41"/>
  <c r="HQ135" i="41" s="1"/>
  <c r="FW134" i="41"/>
  <c r="FC134" i="41"/>
  <c r="ER134" i="41"/>
  <c r="EG134" i="41"/>
  <c r="HQ134" i="41" s="1"/>
  <c r="DN117" i="41"/>
  <c r="A117" i="41"/>
  <c r="DN116" i="41"/>
  <c r="A116" i="41"/>
  <c r="DN115" i="41"/>
  <c r="A115" i="41"/>
  <c r="DN114" i="41"/>
  <c r="A114" i="41"/>
  <c r="DN113" i="41"/>
  <c r="A113" i="41"/>
  <c r="DN112" i="41"/>
  <c r="A112" i="41"/>
  <c r="DN111" i="41"/>
  <c r="A111" i="41"/>
  <c r="DN110" i="41"/>
  <c r="A110" i="41"/>
  <c r="DN109" i="41"/>
  <c r="A109" i="41"/>
  <c r="DN108" i="41"/>
  <c r="A108" i="41"/>
  <c r="DN107" i="41"/>
  <c r="A107" i="41"/>
  <c r="DN106" i="41"/>
  <c r="A106" i="41"/>
  <c r="DN105" i="41"/>
  <c r="A105" i="41"/>
  <c r="DN104" i="41"/>
  <c r="A104" i="41"/>
  <c r="DN103" i="41"/>
  <c r="A103" i="41"/>
  <c r="DN102" i="41"/>
  <c r="A102" i="41"/>
  <c r="DN101" i="41"/>
  <c r="A101" i="41"/>
  <c r="DN100" i="41"/>
  <c r="A100" i="41"/>
  <c r="DN99" i="41"/>
  <c r="A99" i="41"/>
  <c r="DN98" i="41"/>
  <c r="A98" i="41"/>
  <c r="DN97" i="41"/>
  <c r="A97" i="41"/>
  <c r="DN96" i="41"/>
  <c r="A96" i="41"/>
  <c r="DN95" i="41"/>
  <c r="A95" i="41"/>
  <c r="DN94" i="41"/>
  <c r="A94" i="41"/>
  <c r="DN93" i="41"/>
  <c r="A93" i="41"/>
  <c r="DN92" i="41"/>
  <c r="A92" i="41"/>
  <c r="DN91" i="41"/>
  <c r="A91" i="41"/>
  <c r="DN90" i="41"/>
  <c r="A90" i="41"/>
  <c r="DN89" i="41"/>
  <c r="A89" i="41"/>
  <c r="DN88" i="41"/>
  <c r="A88" i="41"/>
  <c r="DN87" i="41"/>
  <c r="A87" i="41"/>
  <c r="DN86" i="41"/>
  <c r="A86" i="41"/>
  <c r="DN85" i="41"/>
  <c r="A85" i="41"/>
  <c r="DN84" i="41"/>
  <c r="A84" i="41"/>
  <c r="DN83" i="41"/>
  <c r="A83" i="41"/>
  <c r="DN82" i="41"/>
  <c r="A82" i="41"/>
  <c r="DN81" i="41"/>
  <c r="A81" i="41"/>
  <c r="DN80" i="41"/>
  <c r="A80" i="41"/>
  <c r="DN79" i="41"/>
  <c r="A79" i="41"/>
  <c r="DN78" i="41"/>
  <c r="A78" i="41"/>
  <c r="DN77" i="41"/>
  <c r="A77" i="41"/>
  <c r="DN76" i="41"/>
  <c r="A76" i="41"/>
  <c r="GR71" i="41"/>
  <c r="FX71" i="41"/>
  <c r="CF60" i="41"/>
  <c r="CE60" i="41"/>
  <c r="BN60" i="41"/>
  <c r="BM60" i="41"/>
  <c r="AU60" i="41"/>
  <c r="AT60" i="41"/>
  <c r="AC60" i="41"/>
  <c r="AB60" i="41"/>
  <c r="A60" i="41"/>
  <c r="GN60" i="41"/>
  <c r="CF59" i="41"/>
  <c r="CE59" i="41"/>
  <c r="BN59" i="41"/>
  <c r="BM59" i="41"/>
  <c r="AU59" i="41"/>
  <c r="AT59" i="41"/>
  <c r="AC59" i="41"/>
  <c r="AB59" i="41"/>
  <c r="A59" i="41"/>
  <c r="GN59" i="41"/>
  <c r="CF58" i="41"/>
  <c r="CE58" i="41"/>
  <c r="BN58" i="41"/>
  <c r="BM58" i="41"/>
  <c r="AU58" i="41"/>
  <c r="AT58" i="41"/>
  <c r="AC58" i="41"/>
  <c r="AB58" i="41"/>
  <c r="A58" i="41"/>
  <c r="CF57" i="41"/>
  <c r="CE57" i="41"/>
  <c r="BN57" i="41"/>
  <c r="BM57" i="41"/>
  <c r="AU57" i="41"/>
  <c r="AT57" i="41"/>
  <c r="AC57" i="41"/>
  <c r="AB57" i="41"/>
  <c r="A57" i="41"/>
  <c r="CF56" i="41"/>
  <c r="CE56" i="41"/>
  <c r="GM56" i="41" s="1"/>
  <c r="BN56" i="41"/>
  <c r="BM56" i="41"/>
  <c r="AU56" i="41"/>
  <c r="AT56" i="41"/>
  <c r="AC56" i="41"/>
  <c r="AB56" i="41"/>
  <c r="A56" i="41"/>
  <c r="GN56" i="41" s="1"/>
  <c r="CF55" i="41"/>
  <c r="CE55" i="41"/>
  <c r="BN55" i="41"/>
  <c r="BM55" i="41"/>
  <c r="AU55" i="41"/>
  <c r="AT55" i="41"/>
  <c r="AC55" i="41"/>
  <c r="AB55" i="41"/>
  <c r="A55" i="41"/>
  <c r="GN55" i="41"/>
  <c r="CF54" i="41"/>
  <c r="CE54" i="41"/>
  <c r="BN54" i="41"/>
  <c r="BM54" i="41"/>
  <c r="GM54" i="41" s="1"/>
  <c r="AU54" i="41"/>
  <c r="AT54" i="41"/>
  <c r="AC54" i="41"/>
  <c r="AB54" i="41"/>
  <c r="A54" i="41"/>
  <c r="GN54" i="41"/>
  <c r="CF53" i="41"/>
  <c r="CE53" i="41"/>
  <c r="BN53" i="41"/>
  <c r="BM53" i="41"/>
  <c r="AU53" i="41"/>
  <c r="AT53" i="41"/>
  <c r="AC53" i="41"/>
  <c r="AB53" i="41"/>
  <c r="A53" i="41"/>
  <c r="GN53" i="41" s="1"/>
  <c r="CF52" i="41"/>
  <c r="CE52" i="41"/>
  <c r="BN52" i="41"/>
  <c r="BM52" i="41"/>
  <c r="AU52" i="41"/>
  <c r="AT52" i="41"/>
  <c r="AC52" i="41"/>
  <c r="AB52" i="41"/>
  <c r="GM52" i="41" s="1"/>
  <c r="A52" i="41"/>
  <c r="GN52" i="41"/>
  <c r="CF51" i="41"/>
  <c r="CE51" i="41"/>
  <c r="BN51" i="41"/>
  <c r="BM51" i="41"/>
  <c r="AU51" i="41"/>
  <c r="AT51" i="41"/>
  <c r="AC51" i="41"/>
  <c r="AB51" i="41"/>
  <c r="A51" i="41"/>
  <c r="GN51" i="41"/>
  <c r="CF50" i="41"/>
  <c r="CE50" i="41"/>
  <c r="BN50" i="41"/>
  <c r="BM50" i="41"/>
  <c r="AU50" i="41"/>
  <c r="AT50" i="41"/>
  <c r="AC50" i="41"/>
  <c r="AB50" i="41"/>
  <c r="A50" i="41"/>
  <c r="GN50" i="41"/>
  <c r="CF49" i="41"/>
  <c r="CE49" i="41"/>
  <c r="BN49" i="41"/>
  <c r="BM49" i="41"/>
  <c r="AU49" i="41"/>
  <c r="AT49" i="41"/>
  <c r="AC49" i="41"/>
  <c r="AB49" i="41"/>
  <c r="A49" i="41"/>
  <c r="GN49" i="41" s="1"/>
  <c r="CF48" i="41"/>
  <c r="CE48" i="41"/>
  <c r="BN48" i="41"/>
  <c r="BM48" i="41"/>
  <c r="AU48" i="41"/>
  <c r="AT48" i="41"/>
  <c r="AC48" i="41"/>
  <c r="AB48" i="41"/>
  <c r="A48" i="41"/>
  <c r="GN48" i="41"/>
  <c r="CF47" i="41"/>
  <c r="CE47" i="41"/>
  <c r="BN47" i="41"/>
  <c r="BM47" i="41"/>
  <c r="AU47" i="41"/>
  <c r="AT47" i="41"/>
  <c r="AC47" i="41"/>
  <c r="AB47" i="41"/>
  <c r="A47" i="41"/>
  <c r="CF46" i="41"/>
  <c r="CE46" i="41"/>
  <c r="BN46" i="41"/>
  <c r="BM46" i="41"/>
  <c r="GM46" i="41" s="1"/>
  <c r="AU46" i="41"/>
  <c r="AT46" i="41"/>
  <c r="AC46" i="41"/>
  <c r="AB46" i="41"/>
  <c r="A46" i="41"/>
  <c r="GN46" i="41"/>
  <c r="CF45" i="41"/>
  <c r="CE45" i="41"/>
  <c r="BN45" i="41"/>
  <c r="BM45" i="41"/>
  <c r="AU45" i="41"/>
  <c r="AT45" i="41"/>
  <c r="AC45" i="41"/>
  <c r="AB45" i="41"/>
  <c r="A45" i="41"/>
  <c r="GN45" i="41" s="1"/>
  <c r="CF44" i="41"/>
  <c r="CE44" i="41"/>
  <c r="BN44" i="41"/>
  <c r="BM44" i="41"/>
  <c r="AU44" i="41"/>
  <c r="AT44" i="41"/>
  <c r="AC44" i="41"/>
  <c r="AB44" i="41"/>
  <c r="A44" i="41"/>
  <c r="CF43" i="41"/>
  <c r="CE43" i="41"/>
  <c r="BN43" i="41"/>
  <c r="BM43" i="41"/>
  <c r="AU43" i="41"/>
  <c r="AT43" i="41"/>
  <c r="AC43" i="41"/>
  <c r="AB43" i="41"/>
  <c r="A43" i="41"/>
  <c r="CF42" i="41"/>
  <c r="CE42" i="41"/>
  <c r="BN42" i="41"/>
  <c r="BM42" i="41"/>
  <c r="AU42" i="41"/>
  <c r="AT42" i="41"/>
  <c r="AC42" i="41"/>
  <c r="AB42" i="41"/>
  <c r="A42" i="41"/>
  <c r="CF41" i="41"/>
  <c r="CE41" i="41"/>
  <c r="BN41" i="41"/>
  <c r="BM41" i="41"/>
  <c r="AU41" i="41"/>
  <c r="AT41" i="41"/>
  <c r="AC41" i="41"/>
  <c r="AB41" i="41"/>
  <c r="A41" i="41"/>
  <c r="GN41" i="41" s="1"/>
  <c r="CF40" i="41"/>
  <c r="CE40" i="41"/>
  <c r="BN40" i="41"/>
  <c r="BM40" i="41"/>
  <c r="AU40" i="41"/>
  <c r="AT40" i="41"/>
  <c r="AC40" i="41"/>
  <c r="AB40" i="41"/>
  <c r="A40" i="41"/>
  <c r="GN40" i="41"/>
  <c r="CF39" i="41"/>
  <c r="CE39" i="41"/>
  <c r="BN39" i="41"/>
  <c r="BM39" i="41"/>
  <c r="AU39" i="41"/>
  <c r="AT39" i="41"/>
  <c r="AC39" i="41"/>
  <c r="AB39" i="41"/>
  <c r="A39" i="41"/>
  <c r="GN39" i="41"/>
  <c r="CF38" i="41"/>
  <c r="CE38" i="41"/>
  <c r="BN38" i="41"/>
  <c r="BM38" i="41"/>
  <c r="AU38" i="41"/>
  <c r="AT38" i="41"/>
  <c r="AC38" i="41"/>
  <c r="AB38" i="41"/>
  <c r="A38" i="41"/>
  <c r="GN38" i="41"/>
  <c r="CF37" i="41"/>
  <c r="CE37" i="41"/>
  <c r="BN37" i="41"/>
  <c r="BM37" i="41"/>
  <c r="AU37" i="41"/>
  <c r="AT37" i="41"/>
  <c r="AC37" i="41"/>
  <c r="AB37" i="41"/>
  <c r="A37" i="41"/>
  <c r="GN37" i="41" s="1"/>
  <c r="CF36" i="41"/>
  <c r="CE36" i="41"/>
  <c r="BN36" i="41"/>
  <c r="BM36" i="41"/>
  <c r="AU36" i="41"/>
  <c r="AT36" i="41"/>
  <c r="AC36" i="41"/>
  <c r="AB36" i="41"/>
  <c r="A36" i="41"/>
  <c r="CF35" i="41"/>
  <c r="CE35" i="41"/>
  <c r="BN35" i="41"/>
  <c r="BM35" i="41"/>
  <c r="AU35" i="41"/>
  <c r="AT35" i="41"/>
  <c r="AC35" i="41"/>
  <c r="AB35" i="41"/>
  <c r="A35" i="41"/>
  <c r="GN35" i="41" s="1"/>
  <c r="CF34" i="41"/>
  <c r="CE34" i="41"/>
  <c r="BN34" i="41"/>
  <c r="BM34" i="41"/>
  <c r="AU34" i="41"/>
  <c r="AT34" i="41"/>
  <c r="AC34" i="41"/>
  <c r="AB34" i="41"/>
  <c r="A34" i="41"/>
  <c r="GN34" i="41" s="1"/>
  <c r="CF33" i="41"/>
  <c r="CE33" i="41"/>
  <c r="BN33" i="41"/>
  <c r="BM33" i="41"/>
  <c r="AU33" i="41"/>
  <c r="AT33" i="41"/>
  <c r="AC33" i="41"/>
  <c r="AB33" i="41"/>
  <c r="A33" i="41"/>
  <c r="GN33" i="41"/>
  <c r="FZ32" i="41"/>
  <c r="CF32" i="41"/>
  <c r="CE32" i="41"/>
  <c r="BN32" i="41"/>
  <c r="BM32" i="41"/>
  <c r="AU32" i="41"/>
  <c r="AT32" i="41"/>
  <c r="AC32" i="41"/>
  <c r="AB32" i="41"/>
  <c r="A32" i="41"/>
  <c r="FZ31" i="41"/>
  <c r="CF31" i="41"/>
  <c r="CE31" i="41"/>
  <c r="BN31" i="41"/>
  <c r="BM31" i="41"/>
  <c r="AU31" i="41"/>
  <c r="AT31" i="41"/>
  <c r="AC31" i="41"/>
  <c r="AB31" i="41"/>
  <c r="A31" i="41"/>
  <c r="FZ30" i="41"/>
  <c r="CF30" i="41"/>
  <c r="CE30" i="41"/>
  <c r="BN30" i="41"/>
  <c r="BM30" i="41"/>
  <c r="AU30" i="41"/>
  <c r="AT30" i="41"/>
  <c r="AC30" i="41"/>
  <c r="AB30" i="41"/>
  <c r="A30" i="41"/>
  <c r="FZ29" i="41"/>
  <c r="CF29" i="41"/>
  <c r="CE29" i="41"/>
  <c r="BN29" i="41"/>
  <c r="BM29" i="41"/>
  <c r="AU29" i="41"/>
  <c r="AT29" i="41"/>
  <c r="AC29" i="41"/>
  <c r="AB29" i="41"/>
  <c r="A29" i="41"/>
  <c r="FZ28" i="41"/>
  <c r="CF28" i="41"/>
  <c r="CE28" i="41"/>
  <c r="BN28" i="41"/>
  <c r="BM28" i="41"/>
  <c r="AU28" i="41"/>
  <c r="AT28" i="41"/>
  <c r="AC28" i="41"/>
  <c r="AB28" i="41"/>
  <c r="A28" i="41"/>
  <c r="FZ27" i="41"/>
  <c r="CF27" i="41"/>
  <c r="CE27" i="41"/>
  <c r="BN27" i="41"/>
  <c r="BM27" i="41"/>
  <c r="AU27" i="41"/>
  <c r="AT27" i="41"/>
  <c r="AC27" i="41"/>
  <c r="AB27" i="41"/>
  <c r="A27" i="41"/>
  <c r="GN27" i="41" s="1"/>
  <c r="FZ26" i="41"/>
  <c r="CF26" i="41"/>
  <c r="CE26" i="41"/>
  <c r="BN26" i="41"/>
  <c r="BM26" i="41"/>
  <c r="AU26" i="41"/>
  <c r="AT26" i="41"/>
  <c r="AC26" i="41"/>
  <c r="AB26" i="41"/>
  <c r="A26" i="41"/>
  <c r="GN26" i="41"/>
  <c r="FZ25" i="41"/>
  <c r="CF25" i="41"/>
  <c r="CE25" i="41"/>
  <c r="BN25" i="41"/>
  <c r="BM25" i="41"/>
  <c r="AU25" i="41"/>
  <c r="AT25" i="41"/>
  <c r="AC25" i="41"/>
  <c r="AB25" i="41"/>
  <c r="A25" i="41"/>
  <c r="GN25" i="41" s="1"/>
  <c r="FZ24" i="41"/>
  <c r="CF24" i="41"/>
  <c r="CE24" i="41"/>
  <c r="BN24" i="41"/>
  <c r="BM24" i="41"/>
  <c r="AU24" i="41"/>
  <c r="AT24" i="41"/>
  <c r="AC24" i="41"/>
  <c r="AB24" i="41"/>
  <c r="A24" i="41"/>
  <c r="FZ23" i="41"/>
  <c r="CF23" i="41"/>
  <c r="CE23" i="41"/>
  <c r="BN23" i="41"/>
  <c r="BM23" i="41"/>
  <c r="AU23" i="41"/>
  <c r="AT23" i="41"/>
  <c r="AC23" i="41"/>
  <c r="AB23" i="41"/>
  <c r="A23" i="41"/>
  <c r="GN23" i="41" s="1"/>
  <c r="FZ22" i="41"/>
  <c r="CF22" i="41"/>
  <c r="CE22" i="41"/>
  <c r="BN22" i="41"/>
  <c r="BM22" i="41"/>
  <c r="AU22" i="41"/>
  <c r="AT22" i="41"/>
  <c r="AC22" i="41"/>
  <c r="AB22" i="41"/>
  <c r="A22" i="41"/>
  <c r="FZ21" i="41"/>
  <c r="CF21" i="41"/>
  <c r="CE21" i="41"/>
  <c r="BN21" i="41"/>
  <c r="BM21" i="41"/>
  <c r="AU21" i="41"/>
  <c r="AT21" i="41"/>
  <c r="AC21" i="41"/>
  <c r="AB21" i="41"/>
  <c r="A21" i="41"/>
  <c r="GN21" i="41" s="1"/>
  <c r="FZ20" i="41"/>
  <c r="CF20" i="41"/>
  <c r="CE20" i="41"/>
  <c r="BN20" i="41"/>
  <c r="BM20" i="41"/>
  <c r="AU20" i="41"/>
  <c r="AT20" i="41"/>
  <c r="AC20" i="41"/>
  <c r="AB20" i="41"/>
  <c r="A20" i="41"/>
  <c r="GN20" i="41" s="1"/>
  <c r="FZ19" i="41"/>
  <c r="CF19" i="41"/>
  <c r="CE19" i="41"/>
  <c r="BN19" i="41"/>
  <c r="BM19" i="41"/>
  <c r="AU19" i="41"/>
  <c r="AT19" i="41"/>
  <c r="AC19" i="41"/>
  <c r="AB19" i="41"/>
  <c r="A19" i="41"/>
  <c r="GN19" i="41"/>
  <c r="FZ18" i="41"/>
  <c r="GA18" i="41" s="1"/>
  <c r="FC18" i="41"/>
  <c r="FZ17" i="41"/>
  <c r="FC17" i="41"/>
  <c r="FZ16" i="41"/>
  <c r="FC16" i="41"/>
  <c r="FZ15" i="41"/>
  <c r="FZ14" i="41"/>
  <c r="FZ13" i="41"/>
  <c r="GR12" i="41"/>
  <c r="FZ12" i="41"/>
  <c r="FZ11" i="41"/>
  <c r="FZ10" i="41"/>
  <c r="FZ9" i="41"/>
  <c r="EK3" i="41"/>
  <c r="GG4" i="12"/>
  <c r="GG5" i="12"/>
  <c r="GG6" i="12"/>
  <c r="GG7" i="12"/>
  <c r="GG8" i="12"/>
  <c r="GH8" i="12" s="1"/>
  <c r="GG9" i="12"/>
  <c r="GG10" i="12"/>
  <c r="GG11" i="12"/>
  <c r="GG12" i="12"/>
  <c r="GG13" i="12"/>
  <c r="GG14" i="12"/>
  <c r="GG15" i="12"/>
  <c r="GG16" i="12"/>
  <c r="GG17" i="12"/>
  <c r="GG18" i="12"/>
  <c r="GG19" i="12"/>
  <c r="GG20" i="12"/>
  <c r="GG21" i="12"/>
  <c r="GG22" i="12"/>
  <c r="GG23" i="12"/>
  <c r="GG24" i="12"/>
  <c r="GG25" i="12"/>
  <c r="GH25" i="12" s="1"/>
  <c r="CB41" i="44" s="1"/>
  <c r="GG26" i="12"/>
  <c r="GH26" i="12" s="1"/>
  <c r="GG27" i="12"/>
  <c r="GG28" i="12"/>
  <c r="GG29" i="12"/>
  <c r="GG30" i="12"/>
  <c r="GG31" i="12"/>
  <c r="GG32" i="12"/>
  <c r="GG33" i="12"/>
  <c r="GG34" i="12"/>
  <c r="GH34" i="12" s="1"/>
  <c r="GG35" i="12"/>
  <c r="GG36" i="12"/>
  <c r="GG37" i="12"/>
  <c r="GG38" i="12"/>
  <c r="GG39" i="12"/>
  <c r="GG40" i="12"/>
  <c r="GG41" i="12"/>
  <c r="GG42" i="12"/>
  <c r="GG43" i="12"/>
  <c r="GH43" i="12"/>
  <c r="GG44" i="12"/>
  <c r="GH44" i="12"/>
  <c r="GG3" i="12"/>
  <c r="I22" i="23"/>
  <c r="I21" i="23"/>
  <c r="I22" i="24"/>
  <c r="I21" i="24"/>
  <c r="I22" i="21"/>
  <c r="I21" i="21"/>
  <c r="AI4" i="33"/>
  <c r="AI5" i="33"/>
  <c r="AI6" i="33"/>
  <c r="AH4" i="33"/>
  <c r="AH5" i="33"/>
  <c r="AH6" i="33"/>
  <c r="AH3" i="33"/>
  <c r="P28" i="25"/>
  <c r="P28" i="26"/>
  <c r="P28" i="27"/>
  <c r="P28" i="15"/>
  <c r="B28" i="26"/>
  <c r="B28" i="27"/>
  <c r="B28" i="25"/>
  <c r="B28" i="15"/>
  <c r="P32" i="27"/>
  <c r="P32" i="26"/>
  <c r="P32" i="25"/>
  <c r="P32" i="15"/>
  <c r="C37" i="15"/>
  <c r="C38" i="15"/>
  <c r="G10" i="24"/>
  <c r="G9" i="24"/>
  <c r="G8" i="24"/>
  <c r="G7" i="24"/>
  <c r="G10" i="23"/>
  <c r="G9" i="23"/>
  <c r="G8" i="23"/>
  <c r="G7" i="23"/>
  <c r="G10" i="21"/>
  <c r="G9" i="21"/>
  <c r="G8" i="21"/>
  <c r="G7" i="21"/>
  <c r="G8" i="13"/>
  <c r="G9" i="13"/>
  <c r="G10" i="13"/>
  <c r="G7" i="13"/>
  <c r="Q38" i="27"/>
  <c r="Q38" i="26"/>
  <c r="Q38" i="25"/>
  <c r="P52" i="25" s="1"/>
  <c r="L31" i="21" s="1"/>
  <c r="M64" i="35" s="1"/>
  <c r="Q64" i="35" s="1"/>
  <c r="Z94" i="35"/>
  <c r="G18" i="31"/>
  <c r="G19" i="31"/>
  <c r="BV9" i="32"/>
  <c r="BV10" i="32"/>
  <c r="BF9" i="32"/>
  <c r="BG9" i="32"/>
  <c r="BI9" i="32"/>
  <c r="BJ9" i="32"/>
  <c r="BK9" i="32"/>
  <c r="BL9" i="32"/>
  <c r="BM9" i="32"/>
  <c r="BN9" i="32"/>
  <c r="BO9" i="32"/>
  <c r="BP9" i="32"/>
  <c r="BQ9" i="32"/>
  <c r="BF10" i="32"/>
  <c r="BG10" i="32"/>
  <c r="BH10" i="32"/>
  <c r="BI10" i="32"/>
  <c r="BJ10" i="32"/>
  <c r="BK10" i="32"/>
  <c r="BL10" i="32"/>
  <c r="BM10" i="32"/>
  <c r="BN10" i="32"/>
  <c r="BO10" i="32"/>
  <c r="BP10" i="32"/>
  <c r="BQ10" i="32"/>
  <c r="BH14" i="32"/>
  <c r="BM17" i="32"/>
  <c r="BJ18" i="32"/>
  <c r="BQ8" i="32"/>
  <c r="BP8" i="32"/>
  <c r="BO8" i="32"/>
  <c r="BN8" i="32"/>
  <c r="BM8" i="32"/>
  <c r="BL8" i="32"/>
  <c r="BK8" i="32"/>
  <c r="BJ8" i="32"/>
  <c r="BI8" i="32"/>
  <c r="BG8" i="32"/>
  <c r="BF8" i="32"/>
  <c r="Q37" i="27"/>
  <c r="Q37" i="26"/>
  <c r="Q37" i="25"/>
  <c r="Q37" i="15"/>
  <c r="Q38" i="15"/>
  <c r="C37" i="26"/>
  <c r="C37" i="27"/>
  <c r="C37" i="25"/>
  <c r="C38" i="25"/>
  <c r="I38" i="15"/>
  <c r="I37" i="15"/>
  <c r="J37" i="15"/>
  <c r="J38" i="15"/>
  <c r="K37" i="15"/>
  <c r="K38" i="15" s="1"/>
  <c r="B32" i="27"/>
  <c r="B32" i="26"/>
  <c r="B32" i="25"/>
  <c r="B32" i="15"/>
  <c r="G32" i="15" s="1"/>
  <c r="G34" i="15"/>
  <c r="AL43" i="32"/>
  <c r="AL44" i="32"/>
  <c r="AL45" i="32"/>
  <c r="AL42" i="32"/>
  <c r="C42" i="32"/>
  <c r="K42" i="12"/>
  <c r="DC42" i="12" s="1"/>
  <c r="A232" i="12"/>
  <c r="A233" i="12"/>
  <c r="A234" i="12"/>
  <c r="A235" i="12"/>
  <c r="A236" i="12"/>
  <c r="A237" i="12"/>
  <c r="A238" i="12"/>
  <c r="A239" i="12"/>
  <c r="A240" i="12"/>
  <c r="A241" i="12"/>
  <c r="A242" i="12"/>
  <c r="A243" i="12"/>
  <c r="A244" i="12"/>
  <c r="A245" i="12"/>
  <c r="A246" i="12"/>
  <c r="A247" i="12"/>
  <c r="A248" i="12"/>
  <c r="A249" i="12"/>
  <c r="A250" i="12"/>
  <c r="A251" i="12"/>
  <c r="B248" i="12"/>
  <c r="B249" i="12"/>
  <c r="B250" i="12"/>
  <c r="B251" i="12"/>
  <c r="B232" i="12"/>
  <c r="B233" i="12"/>
  <c r="B234" i="12"/>
  <c r="B235" i="12"/>
  <c r="B236" i="12"/>
  <c r="B237" i="12"/>
  <c r="B238" i="12"/>
  <c r="B239" i="12"/>
  <c r="B240" i="12"/>
  <c r="B241" i="12"/>
  <c r="B242" i="12"/>
  <c r="B243" i="12"/>
  <c r="B244" i="12"/>
  <c r="B245" i="12"/>
  <c r="B246" i="12"/>
  <c r="B247" i="12"/>
  <c r="A187" i="12"/>
  <c r="A188" i="12"/>
  <c r="A189" i="12"/>
  <c r="A190" i="12"/>
  <c r="A191" i="12"/>
  <c r="A192" i="12"/>
  <c r="A193" i="12"/>
  <c r="A194" i="12"/>
  <c r="A195" i="12"/>
  <c r="A196" i="12"/>
  <c r="A197" i="12"/>
  <c r="A198" i="12"/>
  <c r="A199" i="12"/>
  <c r="A200" i="12"/>
  <c r="A201" i="12"/>
  <c r="A202" i="12"/>
  <c r="A203" i="12"/>
  <c r="A204" i="12"/>
  <c r="A205" i="12"/>
  <c r="A206" i="12"/>
  <c r="B206" i="12"/>
  <c r="B203" i="12"/>
  <c r="B204" i="12"/>
  <c r="B205" i="12"/>
  <c r="K205" i="12"/>
  <c r="B187" i="12"/>
  <c r="K187" i="12" s="1"/>
  <c r="B188" i="12"/>
  <c r="K188" i="12"/>
  <c r="B189" i="12"/>
  <c r="K189" i="12"/>
  <c r="B190" i="12"/>
  <c r="K190" i="12"/>
  <c r="B191" i="12"/>
  <c r="K191" i="12" s="1"/>
  <c r="B192" i="12"/>
  <c r="K192" i="12" s="1"/>
  <c r="B193" i="12"/>
  <c r="K193" i="12"/>
  <c r="B194" i="12"/>
  <c r="K194" i="12"/>
  <c r="B195" i="12"/>
  <c r="K195" i="12" s="1"/>
  <c r="B196" i="12"/>
  <c r="K196" i="12"/>
  <c r="B197" i="12"/>
  <c r="K197" i="12"/>
  <c r="B198" i="12"/>
  <c r="B199" i="12"/>
  <c r="B200" i="12"/>
  <c r="Q200" i="12" s="1"/>
  <c r="B201" i="12"/>
  <c r="K201" i="12" s="1"/>
  <c r="B202" i="12"/>
  <c r="K202" i="12"/>
  <c r="K27" i="12"/>
  <c r="DC27" i="12"/>
  <c r="M27" i="16"/>
  <c r="K26" i="12"/>
  <c r="DC26" i="12"/>
  <c r="K25" i="12"/>
  <c r="K24" i="12"/>
  <c r="DC24" i="12"/>
  <c r="M24" i="16" s="1"/>
  <c r="K44" i="12"/>
  <c r="K43" i="12"/>
  <c r="DC43" i="12" s="1"/>
  <c r="M43" i="16"/>
  <c r="K41" i="12"/>
  <c r="DC41" i="12"/>
  <c r="M41" i="16" s="1"/>
  <c r="K40" i="12"/>
  <c r="DC40" i="12"/>
  <c r="K39" i="12"/>
  <c r="DC39" i="12" s="1"/>
  <c r="M39" i="16"/>
  <c r="K38" i="12"/>
  <c r="DC38" i="12"/>
  <c r="K37" i="12"/>
  <c r="DC37" i="12" s="1"/>
  <c r="M37" i="16"/>
  <c r="K34" i="12"/>
  <c r="DC34" i="12" s="1"/>
  <c r="K33" i="12"/>
  <c r="DC33" i="12" s="1"/>
  <c r="M33" i="16" s="1"/>
  <c r="K32" i="12"/>
  <c r="DC32" i="12" s="1"/>
  <c r="K31" i="12"/>
  <c r="DC31" i="12"/>
  <c r="M31" i="16" s="1"/>
  <c r="DF31" i="12" s="1"/>
  <c r="DI31" i="12" s="1"/>
  <c r="K30" i="12"/>
  <c r="K29" i="12"/>
  <c r="DC29" i="12"/>
  <c r="M29" i="16" s="1"/>
  <c r="K28" i="12"/>
  <c r="DC28" i="12" s="1"/>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BY81" i="12"/>
  <c r="BZ81" i="12"/>
  <c r="CA81" i="12"/>
  <c r="CB81" i="12"/>
  <c r="CC81" i="12"/>
  <c r="CD81" i="12"/>
  <c r="AQ82" i="12"/>
  <c r="AR82" i="12"/>
  <c r="AS82" i="12"/>
  <c r="AT82" i="12"/>
  <c r="AU82" i="12"/>
  <c r="AV82" i="12"/>
  <c r="AW82" i="12"/>
  <c r="AX82" i="12"/>
  <c r="AY82" i="12"/>
  <c r="AZ82" i="12"/>
  <c r="BA82" i="12"/>
  <c r="BB82" i="12"/>
  <c r="BC82" i="12"/>
  <c r="BD82" i="12"/>
  <c r="BE82" i="12"/>
  <c r="BF82" i="12"/>
  <c r="BG82" i="12"/>
  <c r="BH82" i="12"/>
  <c r="BI82" i="12"/>
  <c r="BJ82" i="12"/>
  <c r="BK82" i="12"/>
  <c r="BL82" i="12"/>
  <c r="BM82" i="12"/>
  <c r="BN82" i="12"/>
  <c r="BO82" i="12"/>
  <c r="BP82" i="12"/>
  <c r="BQ82" i="12"/>
  <c r="BR82" i="12"/>
  <c r="BS82" i="12"/>
  <c r="BT82" i="12"/>
  <c r="BU82" i="12"/>
  <c r="BV82" i="12"/>
  <c r="BW82" i="12"/>
  <c r="BX82" i="12"/>
  <c r="BY82" i="12"/>
  <c r="BZ82" i="12"/>
  <c r="CA82" i="12"/>
  <c r="CB82" i="12"/>
  <c r="CC82" i="12"/>
  <c r="CD82" i="12"/>
  <c r="AQ83" i="12"/>
  <c r="AR83" i="12"/>
  <c r="AS83" i="12"/>
  <c r="AT83" i="12"/>
  <c r="AU83" i="12"/>
  <c r="AV83" i="12"/>
  <c r="AW83" i="12"/>
  <c r="AX83" i="12"/>
  <c r="AY83" i="12"/>
  <c r="AZ83" i="12"/>
  <c r="BA83" i="12"/>
  <c r="BB83" i="12"/>
  <c r="BC83" i="12"/>
  <c r="BD83" i="12"/>
  <c r="BE83" i="12"/>
  <c r="BF83" i="12"/>
  <c r="BG83" i="12"/>
  <c r="BH83" i="12"/>
  <c r="BI83" i="12"/>
  <c r="BJ83" i="12"/>
  <c r="BK83" i="12"/>
  <c r="BL83" i="12"/>
  <c r="BM83" i="12"/>
  <c r="BN83" i="12"/>
  <c r="BO83" i="12"/>
  <c r="BP83" i="12"/>
  <c r="BQ83" i="12"/>
  <c r="BR83" i="12"/>
  <c r="BS83" i="12"/>
  <c r="BT83" i="12"/>
  <c r="BU83" i="12"/>
  <c r="BV83" i="12"/>
  <c r="BW83" i="12"/>
  <c r="BX83" i="12"/>
  <c r="BY83" i="12"/>
  <c r="BZ83" i="12"/>
  <c r="CA83" i="12"/>
  <c r="CB83" i="12"/>
  <c r="CC83" i="12"/>
  <c r="CD83" i="12"/>
  <c r="AQ84" i="12"/>
  <c r="AR84" i="12"/>
  <c r="AS84" i="12"/>
  <c r="AT84" i="12"/>
  <c r="AU84" i="12"/>
  <c r="AV84" i="12"/>
  <c r="AW84" i="12"/>
  <c r="AX84" i="12"/>
  <c r="AY84" i="12"/>
  <c r="AZ84" i="12"/>
  <c r="BA84" i="12"/>
  <c r="BB84" i="12"/>
  <c r="BC84" i="12"/>
  <c r="BD84" i="12"/>
  <c r="BE84" i="12"/>
  <c r="BF84" i="12"/>
  <c r="BG84" i="12"/>
  <c r="BH84" i="12"/>
  <c r="BI84" i="12"/>
  <c r="BJ84" i="12"/>
  <c r="BK84" i="12"/>
  <c r="BL84" i="12"/>
  <c r="BM84" i="12"/>
  <c r="BN84" i="12"/>
  <c r="BO84" i="12"/>
  <c r="BP84" i="12"/>
  <c r="BQ84" i="12"/>
  <c r="BR84" i="12"/>
  <c r="BS84" i="12"/>
  <c r="BT84" i="12"/>
  <c r="BU84" i="12"/>
  <c r="BV84" i="12"/>
  <c r="BW84" i="12"/>
  <c r="BX84" i="12"/>
  <c r="BY84" i="12"/>
  <c r="BZ84" i="12"/>
  <c r="CA84" i="12"/>
  <c r="CB84" i="12"/>
  <c r="CC84" i="12"/>
  <c r="CD84" i="12"/>
  <c r="AQ85" i="12"/>
  <c r="AR85" i="12"/>
  <c r="AS85" i="12"/>
  <c r="AT85" i="12"/>
  <c r="AU85" i="12"/>
  <c r="AV85" i="12"/>
  <c r="AW85" i="12"/>
  <c r="AX85" i="12"/>
  <c r="AY85" i="12"/>
  <c r="AZ85" i="12"/>
  <c r="BA85" i="12"/>
  <c r="BB85" i="12"/>
  <c r="BC85" i="12"/>
  <c r="BD85" i="12"/>
  <c r="BE85" i="12"/>
  <c r="BF85" i="12"/>
  <c r="BG85" i="12"/>
  <c r="BH85" i="12"/>
  <c r="BI85" i="12"/>
  <c r="BJ85" i="12"/>
  <c r="BK85" i="12"/>
  <c r="BL85" i="12"/>
  <c r="BM85" i="12"/>
  <c r="BN85" i="12"/>
  <c r="BO85" i="12"/>
  <c r="BP85" i="12"/>
  <c r="BQ85" i="12"/>
  <c r="BR85" i="12"/>
  <c r="BS85" i="12"/>
  <c r="BT85" i="12"/>
  <c r="BU85" i="12"/>
  <c r="BV85" i="12"/>
  <c r="BW85" i="12"/>
  <c r="BX85" i="12"/>
  <c r="BY85" i="12"/>
  <c r="BZ85" i="12"/>
  <c r="CA85" i="12"/>
  <c r="CB85" i="12"/>
  <c r="CC85" i="12"/>
  <c r="CD85" i="12"/>
  <c r="AQ86" i="12"/>
  <c r="AR86" i="12"/>
  <c r="AS86" i="12"/>
  <c r="AT86" i="12"/>
  <c r="AU86" i="12"/>
  <c r="AV86" i="12"/>
  <c r="AW86" i="12"/>
  <c r="AX86" i="12"/>
  <c r="AY86" i="12"/>
  <c r="AZ86" i="12"/>
  <c r="BA86" i="12"/>
  <c r="BB86" i="12"/>
  <c r="BC86" i="12"/>
  <c r="BD86" i="12"/>
  <c r="BE86" i="12"/>
  <c r="BF86" i="12"/>
  <c r="BG86" i="12"/>
  <c r="BH86" i="12"/>
  <c r="BI86" i="12"/>
  <c r="BJ86" i="12"/>
  <c r="BK86" i="12"/>
  <c r="BL86" i="12"/>
  <c r="BM86" i="12"/>
  <c r="BN86" i="12"/>
  <c r="BO86" i="12"/>
  <c r="BP86" i="12"/>
  <c r="BQ86" i="12"/>
  <c r="BR86" i="12"/>
  <c r="BS86" i="12"/>
  <c r="BT86" i="12"/>
  <c r="BU86" i="12"/>
  <c r="BV86" i="12"/>
  <c r="BW86" i="12"/>
  <c r="BX86" i="12"/>
  <c r="BY86" i="12"/>
  <c r="BZ86" i="12"/>
  <c r="CA86" i="12"/>
  <c r="CB86" i="12"/>
  <c r="CC86" i="12"/>
  <c r="CD86" i="12"/>
  <c r="AQ87" i="12"/>
  <c r="AR87" i="12"/>
  <c r="AS87" i="12"/>
  <c r="AT87" i="12"/>
  <c r="AU87" i="12"/>
  <c r="AV87" i="12"/>
  <c r="AW87" i="12"/>
  <c r="AX87" i="12"/>
  <c r="AY87" i="12"/>
  <c r="AZ87" i="12"/>
  <c r="BA87" i="12"/>
  <c r="BB87" i="12"/>
  <c r="BC87" i="12"/>
  <c r="BD87" i="12"/>
  <c r="BE87" i="12"/>
  <c r="BF87" i="12"/>
  <c r="BG87" i="12"/>
  <c r="BH87" i="12"/>
  <c r="BI87" i="12"/>
  <c r="BJ87" i="12"/>
  <c r="BK87" i="12"/>
  <c r="BL87" i="12"/>
  <c r="BM87" i="12"/>
  <c r="BN87" i="12"/>
  <c r="BO87" i="12"/>
  <c r="BP87" i="12"/>
  <c r="BQ87" i="12"/>
  <c r="BR87" i="12"/>
  <c r="BS87" i="12"/>
  <c r="BT87" i="12"/>
  <c r="BU87" i="12"/>
  <c r="BV87" i="12"/>
  <c r="BW87" i="12"/>
  <c r="BX87" i="12"/>
  <c r="BY87" i="12"/>
  <c r="BZ87" i="12"/>
  <c r="CA87" i="12"/>
  <c r="CB87" i="12"/>
  <c r="CC87" i="12"/>
  <c r="CD87" i="12"/>
  <c r="AQ88" i="12"/>
  <c r="AR88" i="12"/>
  <c r="AS88" i="12"/>
  <c r="AT88" i="12"/>
  <c r="AU88" i="12"/>
  <c r="AV88" i="12"/>
  <c r="AW88" i="12"/>
  <c r="AX88" i="12"/>
  <c r="AY88" i="12"/>
  <c r="AZ88" i="12"/>
  <c r="BA88" i="12"/>
  <c r="BB88" i="12"/>
  <c r="BC88" i="12"/>
  <c r="BD88" i="12"/>
  <c r="BE88" i="12"/>
  <c r="BF88" i="12"/>
  <c r="BG88" i="12"/>
  <c r="BH88" i="12"/>
  <c r="BI88" i="12"/>
  <c r="BJ88" i="12"/>
  <c r="BK88" i="12"/>
  <c r="BL88" i="12"/>
  <c r="BM88" i="12"/>
  <c r="BN88" i="12"/>
  <c r="BO88" i="12"/>
  <c r="BP88" i="12"/>
  <c r="BQ88" i="12"/>
  <c r="BR88" i="12"/>
  <c r="BS88" i="12"/>
  <c r="BT88" i="12"/>
  <c r="BU88" i="12"/>
  <c r="BV88" i="12"/>
  <c r="BW88" i="12"/>
  <c r="BX88" i="12"/>
  <c r="BY88" i="12"/>
  <c r="BZ88" i="12"/>
  <c r="CA88" i="12"/>
  <c r="CB88" i="12"/>
  <c r="CC88" i="12"/>
  <c r="CD88" i="12"/>
  <c r="AQ89" i="12"/>
  <c r="AR89" i="12"/>
  <c r="AS89" i="12"/>
  <c r="AT89" i="12"/>
  <c r="AU89" i="12"/>
  <c r="AV89" i="12"/>
  <c r="AW89" i="12"/>
  <c r="AX89" i="12"/>
  <c r="AY89" i="12"/>
  <c r="AZ89" i="12"/>
  <c r="BA89" i="12"/>
  <c r="BB89" i="12"/>
  <c r="BC89" i="12"/>
  <c r="BD89" i="12"/>
  <c r="BE89" i="12"/>
  <c r="BF89" i="12"/>
  <c r="BG89" i="12"/>
  <c r="BH89" i="12"/>
  <c r="BI89" i="12"/>
  <c r="BJ89" i="12"/>
  <c r="BK89" i="12"/>
  <c r="BL89" i="12"/>
  <c r="BM89" i="12"/>
  <c r="BN89" i="12"/>
  <c r="BO89" i="12"/>
  <c r="BP89" i="12"/>
  <c r="BQ89" i="12"/>
  <c r="BR89" i="12"/>
  <c r="BS89" i="12"/>
  <c r="BT89" i="12"/>
  <c r="BU89" i="12"/>
  <c r="BV89" i="12"/>
  <c r="BW89" i="12"/>
  <c r="BX89" i="12"/>
  <c r="BY89" i="12"/>
  <c r="BZ89" i="12"/>
  <c r="CA89" i="12"/>
  <c r="CB89" i="12"/>
  <c r="CC89" i="12"/>
  <c r="CD89" i="12"/>
  <c r="AQ90" i="12"/>
  <c r="AR90" i="12"/>
  <c r="AS90" i="12"/>
  <c r="AT90" i="12"/>
  <c r="AU90" i="12"/>
  <c r="AV90" i="12"/>
  <c r="AW90" i="12"/>
  <c r="AX90" i="12"/>
  <c r="AY90" i="12"/>
  <c r="AZ90" i="12"/>
  <c r="BA90" i="12"/>
  <c r="BB90" i="12"/>
  <c r="BC90" i="12"/>
  <c r="BD90" i="12"/>
  <c r="BE90" i="12"/>
  <c r="BF90" i="12"/>
  <c r="BG90" i="12"/>
  <c r="BH90" i="12"/>
  <c r="BI90" i="12"/>
  <c r="BJ90" i="12"/>
  <c r="BK90" i="12"/>
  <c r="BL90" i="12"/>
  <c r="BM90" i="12"/>
  <c r="BN90" i="12"/>
  <c r="BO90" i="12"/>
  <c r="BP90" i="12"/>
  <c r="BQ90" i="12"/>
  <c r="BR90" i="12"/>
  <c r="BS90" i="12"/>
  <c r="BT90" i="12"/>
  <c r="BU90" i="12"/>
  <c r="BV90" i="12"/>
  <c r="BW90" i="12"/>
  <c r="BX90" i="12"/>
  <c r="BY90" i="12"/>
  <c r="BZ90" i="12"/>
  <c r="CA90" i="12"/>
  <c r="CB90" i="12"/>
  <c r="CC90" i="12"/>
  <c r="CD90" i="12"/>
  <c r="AQ91" i="12"/>
  <c r="AR91" i="12"/>
  <c r="AS91" i="12"/>
  <c r="AT91" i="12"/>
  <c r="AU91" i="12"/>
  <c r="AV91" i="12"/>
  <c r="AW91" i="12"/>
  <c r="AX91" i="12"/>
  <c r="AY91" i="12"/>
  <c r="AZ91" i="12"/>
  <c r="BA91" i="12"/>
  <c r="BB91" i="12"/>
  <c r="BC91" i="12"/>
  <c r="BD91" i="12"/>
  <c r="BE91" i="12"/>
  <c r="BF91" i="12"/>
  <c r="BG91" i="12"/>
  <c r="BH91" i="12"/>
  <c r="BI91" i="12"/>
  <c r="BJ91" i="12"/>
  <c r="BK91" i="12"/>
  <c r="BL91" i="12"/>
  <c r="BM91" i="12"/>
  <c r="BN91" i="12"/>
  <c r="BO91" i="12"/>
  <c r="BP91" i="12"/>
  <c r="BQ91" i="12"/>
  <c r="BR91" i="12"/>
  <c r="BS91" i="12"/>
  <c r="BT91" i="12"/>
  <c r="BU91" i="12"/>
  <c r="BV91" i="12"/>
  <c r="BW91" i="12"/>
  <c r="BX91" i="12"/>
  <c r="BY91" i="12"/>
  <c r="BZ91" i="12"/>
  <c r="CA91" i="12"/>
  <c r="CB91" i="12"/>
  <c r="CC91" i="12"/>
  <c r="CD91" i="12"/>
  <c r="AQ92" i="12"/>
  <c r="AR92" i="12"/>
  <c r="AS92" i="12"/>
  <c r="AT92" i="12"/>
  <c r="AU92" i="12"/>
  <c r="AV92" i="12"/>
  <c r="AW92" i="12"/>
  <c r="AX92" i="12"/>
  <c r="AY92" i="12"/>
  <c r="AZ92" i="12"/>
  <c r="BA92" i="12"/>
  <c r="BB92" i="12"/>
  <c r="BC92" i="12"/>
  <c r="BD92" i="12"/>
  <c r="BE92" i="12"/>
  <c r="BF92" i="12"/>
  <c r="BG92" i="12"/>
  <c r="BH92" i="12"/>
  <c r="BI92" i="12"/>
  <c r="BJ92" i="12"/>
  <c r="BK92" i="12"/>
  <c r="BL92" i="12"/>
  <c r="BM92" i="12"/>
  <c r="BN92" i="12"/>
  <c r="BO92" i="12"/>
  <c r="BP92" i="12"/>
  <c r="BQ92" i="12"/>
  <c r="BR92" i="12"/>
  <c r="BS92" i="12"/>
  <c r="BT92" i="12"/>
  <c r="BU92" i="12"/>
  <c r="BV92" i="12"/>
  <c r="BW92" i="12"/>
  <c r="BX92" i="12"/>
  <c r="BY92" i="12"/>
  <c r="BZ92" i="12"/>
  <c r="CA92" i="12"/>
  <c r="CB92" i="12"/>
  <c r="CC92" i="12"/>
  <c r="CD92" i="12"/>
  <c r="AQ93" i="12"/>
  <c r="AR93" i="12"/>
  <c r="AS93" i="12"/>
  <c r="AT93" i="12"/>
  <c r="AU93" i="12"/>
  <c r="AV93" i="12"/>
  <c r="AW93" i="12"/>
  <c r="AX93" i="12"/>
  <c r="AY93" i="12"/>
  <c r="AZ93" i="12"/>
  <c r="BA93" i="12"/>
  <c r="BB93" i="12"/>
  <c r="BC93" i="12"/>
  <c r="BD93" i="12"/>
  <c r="BE93" i="12"/>
  <c r="BF93" i="12"/>
  <c r="BG93" i="12"/>
  <c r="BH93" i="12"/>
  <c r="BI93" i="12"/>
  <c r="BJ93" i="12"/>
  <c r="BK93" i="12"/>
  <c r="BL93" i="12"/>
  <c r="BM93" i="12"/>
  <c r="BN93" i="12"/>
  <c r="BO93" i="12"/>
  <c r="BP93" i="12"/>
  <c r="BQ93" i="12"/>
  <c r="BR93" i="12"/>
  <c r="BS93" i="12"/>
  <c r="BT93" i="12"/>
  <c r="BU93" i="12"/>
  <c r="BV93" i="12"/>
  <c r="BW93" i="12"/>
  <c r="BX93" i="12"/>
  <c r="BY93" i="12"/>
  <c r="BZ93" i="12"/>
  <c r="CA93" i="12"/>
  <c r="CB93" i="12"/>
  <c r="CC93" i="12"/>
  <c r="CD93" i="12"/>
  <c r="AQ94" i="12"/>
  <c r="AR94" i="12"/>
  <c r="AS94" i="12"/>
  <c r="AT94" i="12"/>
  <c r="AU94" i="12"/>
  <c r="AV94" i="12"/>
  <c r="AW94" i="12"/>
  <c r="AX94" i="12"/>
  <c r="AY94" i="12"/>
  <c r="AZ94" i="12"/>
  <c r="BA94" i="12"/>
  <c r="BB94" i="12"/>
  <c r="BC94" i="12"/>
  <c r="BD94" i="12"/>
  <c r="BE94" i="12"/>
  <c r="BF94" i="12"/>
  <c r="BG94" i="12"/>
  <c r="BH94" i="12"/>
  <c r="BI94" i="12"/>
  <c r="BJ94" i="12"/>
  <c r="BK94" i="12"/>
  <c r="BL94" i="12"/>
  <c r="BM94" i="12"/>
  <c r="BN94" i="12"/>
  <c r="BO94" i="12"/>
  <c r="BP94" i="12"/>
  <c r="BQ94" i="12"/>
  <c r="BR94" i="12"/>
  <c r="BS94" i="12"/>
  <c r="BT94" i="12"/>
  <c r="BU94" i="12"/>
  <c r="BV94" i="12"/>
  <c r="BW94" i="12"/>
  <c r="BX94" i="12"/>
  <c r="BY94" i="12"/>
  <c r="BZ94" i="12"/>
  <c r="CA94" i="12"/>
  <c r="CB94" i="12"/>
  <c r="CC94" i="12"/>
  <c r="CD94" i="12"/>
  <c r="AQ95" i="12"/>
  <c r="AR95" i="12"/>
  <c r="AS95" i="12"/>
  <c r="AT95" i="12"/>
  <c r="AU95" i="12"/>
  <c r="AV95" i="12"/>
  <c r="AW95" i="12"/>
  <c r="AX95" i="12"/>
  <c r="AY95" i="12"/>
  <c r="AZ95" i="12"/>
  <c r="BA95" i="12"/>
  <c r="BB95" i="12"/>
  <c r="BC95" i="12"/>
  <c r="BD95" i="12"/>
  <c r="BE95" i="12"/>
  <c r="BF95" i="12"/>
  <c r="BG95" i="12"/>
  <c r="BH95" i="12"/>
  <c r="BI95" i="12"/>
  <c r="BJ95" i="12"/>
  <c r="BK95" i="12"/>
  <c r="BL95" i="12"/>
  <c r="BM95" i="12"/>
  <c r="BN95" i="12"/>
  <c r="BO95" i="12"/>
  <c r="BP95" i="12"/>
  <c r="BQ95" i="12"/>
  <c r="BR95" i="12"/>
  <c r="BS95" i="12"/>
  <c r="BT95" i="12"/>
  <c r="BU95" i="12"/>
  <c r="BV95" i="12"/>
  <c r="BW95" i="12"/>
  <c r="BX95" i="12"/>
  <c r="BY95" i="12"/>
  <c r="BZ95" i="12"/>
  <c r="CA95" i="12"/>
  <c r="CB95" i="12"/>
  <c r="CC95" i="12"/>
  <c r="CD95" i="12"/>
  <c r="AQ96" i="12"/>
  <c r="AR96" i="12"/>
  <c r="AS96" i="12"/>
  <c r="AT96" i="12"/>
  <c r="AU96" i="12"/>
  <c r="AV96" i="12"/>
  <c r="AW96" i="12"/>
  <c r="AX96" i="12"/>
  <c r="AY96" i="12"/>
  <c r="AZ96" i="12"/>
  <c r="BA96" i="12"/>
  <c r="BB96" i="12"/>
  <c r="BC96" i="12"/>
  <c r="BD96" i="12"/>
  <c r="BE96" i="12"/>
  <c r="BF96" i="12"/>
  <c r="BG96" i="12"/>
  <c r="BH96" i="12"/>
  <c r="BI96" i="12"/>
  <c r="BJ96" i="12"/>
  <c r="BK96" i="12"/>
  <c r="BL96" i="12"/>
  <c r="BM96" i="12"/>
  <c r="BN96" i="12"/>
  <c r="K35" i="12"/>
  <c r="DC35" i="12" s="1"/>
  <c r="BO96" i="12"/>
  <c r="BP96" i="12"/>
  <c r="K36" i="12"/>
  <c r="BQ96" i="12"/>
  <c r="BR96" i="12"/>
  <c r="BS96" i="12"/>
  <c r="BT96" i="12"/>
  <c r="BU96" i="12"/>
  <c r="BV96" i="12"/>
  <c r="BW96" i="12"/>
  <c r="BX96" i="12"/>
  <c r="BY96" i="12"/>
  <c r="BZ96" i="12"/>
  <c r="CA96" i="12"/>
  <c r="CB96" i="12"/>
  <c r="CC96" i="12"/>
  <c r="CD96" i="12"/>
  <c r="AQ97" i="12"/>
  <c r="AR97" i="12"/>
  <c r="AS97" i="12"/>
  <c r="AT97" i="12"/>
  <c r="AU97" i="12"/>
  <c r="AV97" i="12"/>
  <c r="AW97" i="12"/>
  <c r="AX97" i="12"/>
  <c r="AY97" i="12"/>
  <c r="AZ97" i="12"/>
  <c r="BA97" i="12"/>
  <c r="BB97" i="12"/>
  <c r="BC97" i="12"/>
  <c r="BD97" i="12"/>
  <c r="BE97" i="12"/>
  <c r="BF97" i="12"/>
  <c r="BG97" i="12"/>
  <c r="BH97" i="12"/>
  <c r="BI97" i="12"/>
  <c r="BJ97" i="12"/>
  <c r="BK97" i="12"/>
  <c r="BL97" i="12"/>
  <c r="BM97" i="12"/>
  <c r="BN97" i="12"/>
  <c r="BO97" i="12"/>
  <c r="BP97" i="12"/>
  <c r="BQ97" i="12"/>
  <c r="BR97" i="12"/>
  <c r="BS97" i="12"/>
  <c r="BT97" i="12"/>
  <c r="BU97" i="12"/>
  <c r="BV97" i="12"/>
  <c r="BW97" i="12"/>
  <c r="BX97" i="12"/>
  <c r="BY97" i="12"/>
  <c r="BZ97" i="12"/>
  <c r="CA97" i="12"/>
  <c r="CB97" i="12"/>
  <c r="CC97" i="12"/>
  <c r="CD97" i="12"/>
  <c r="AQ98" i="12"/>
  <c r="AR98" i="12"/>
  <c r="AS98" i="12"/>
  <c r="AT98" i="12"/>
  <c r="AU98" i="12"/>
  <c r="AV98" i="12"/>
  <c r="AW98" i="12"/>
  <c r="AX98" i="12"/>
  <c r="AY98" i="12"/>
  <c r="AZ98" i="12"/>
  <c r="BA98" i="12"/>
  <c r="BB98" i="12"/>
  <c r="BC98" i="12"/>
  <c r="BD98" i="12"/>
  <c r="BE98" i="12"/>
  <c r="BF98" i="12"/>
  <c r="BG98" i="12"/>
  <c r="BH98" i="12"/>
  <c r="BI98" i="12"/>
  <c r="BJ98" i="12"/>
  <c r="BK98" i="12"/>
  <c r="BL98" i="12"/>
  <c r="BM98" i="12"/>
  <c r="BN98" i="12"/>
  <c r="BO98" i="12"/>
  <c r="BP98" i="12"/>
  <c r="BQ98" i="12"/>
  <c r="BR98" i="12"/>
  <c r="BS98" i="12"/>
  <c r="BT98" i="12"/>
  <c r="BU98" i="12"/>
  <c r="BV98" i="12"/>
  <c r="BW98" i="12"/>
  <c r="BX98" i="12"/>
  <c r="BY98" i="12"/>
  <c r="BZ98" i="12"/>
  <c r="CA98" i="12"/>
  <c r="CB98" i="12"/>
  <c r="CC98" i="12"/>
  <c r="CD98" i="12"/>
  <c r="AQ99" i="12"/>
  <c r="AR99" i="12"/>
  <c r="AS99" i="12"/>
  <c r="AT99" i="12"/>
  <c r="AU99" i="12"/>
  <c r="AV99" i="12"/>
  <c r="AW99" i="12"/>
  <c r="AX99" i="12"/>
  <c r="AY99" i="12"/>
  <c r="AZ99" i="12"/>
  <c r="BA99" i="12"/>
  <c r="BB99" i="12"/>
  <c r="BC99" i="12"/>
  <c r="BD99" i="12"/>
  <c r="BE99" i="12"/>
  <c r="BF99" i="12"/>
  <c r="BG99" i="12"/>
  <c r="BH99" i="12"/>
  <c r="BI99" i="12"/>
  <c r="BJ99" i="12"/>
  <c r="BK99" i="12"/>
  <c r="BL99" i="12"/>
  <c r="BM99" i="12"/>
  <c r="BN99" i="12"/>
  <c r="BO99" i="12"/>
  <c r="BP99" i="12"/>
  <c r="BQ99" i="12"/>
  <c r="BR99" i="12"/>
  <c r="BS99" i="12"/>
  <c r="BT99" i="12"/>
  <c r="BU99" i="12"/>
  <c r="BV99" i="12"/>
  <c r="BW99" i="12"/>
  <c r="BX99" i="12"/>
  <c r="BY99" i="12"/>
  <c r="BZ99" i="12"/>
  <c r="CA99" i="12"/>
  <c r="CB99" i="12"/>
  <c r="CC99" i="12"/>
  <c r="CD99" i="12"/>
  <c r="AQ100" i="12"/>
  <c r="AR100" i="12"/>
  <c r="AS100" i="12"/>
  <c r="AT100" i="12"/>
  <c r="AU100" i="12"/>
  <c r="AV100" i="12"/>
  <c r="AW100" i="12"/>
  <c r="AX100" i="12"/>
  <c r="AY100" i="12"/>
  <c r="AZ100" i="12"/>
  <c r="BA100" i="12"/>
  <c r="BB100" i="12"/>
  <c r="BC100" i="12"/>
  <c r="BD100" i="12"/>
  <c r="BE100" i="12"/>
  <c r="BF100" i="12"/>
  <c r="BG100" i="12"/>
  <c r="BH100" i="12"/>
  <c r="BI100" i="12"/>
  <c r="BJ100" i="12"/>
  <c r="BK100" i="12"/>
  <c r="BL100" i="12"/>
  <c r="BM100" i="12"/>
  <c r="BN100" i="12"/>
  <c r="BO100" i="12"/>
  <c r="BP100" i="12"/>
  <c r="BQ100" i="12"/>
  <c r="BR100" i="12"/>
  <c r="BS100" i="12"/>
  <c r="BT100" i="12"/>
  <c r="BU100" i="12"/>
  <c r="BV100" i="12"/>
  <c r="BW100" i="12"/>
  <c r="BX100" i="12"/>
  <c r="BY100" i="12"/>
  <c r="BZ100" i="12"/>
  <c r="CA100" i="12"/>
  <c r="CB100" i="12"/>
  <c r="CC100" i="12"/>
  <c r="CD100" i="12"/>
  <c r="AQ101" i="12"/>
  <c r="AR101" i="12"/>
  <c r="AS101" i="12"/>
  <c r="AT101" i="12"/>
  <c r="AU101" i="12"/>
  <c r="AV101" i="12"/>
  <c r="AW101" i="12"/>
  <c r="AX101" i="12"/>
  <c r="AY101" i="12"/>
  <c r="AZ101" i="12"/>
  <c r="BA101" i="12"/>
  <c r="BB101" i="12"/>
  <c r="BC101" i="12"/>
  <c r="BD101" i="12"/>
  <c r="BE101" i="12"/>
  <c r="BF101" i="12"/>
  <c r="BG101" i="12"/>
  <c r="BH101" i="12"/>
  <c r="BI101" i="12"/>
  <c r="BJ101" i="12"/>
  <c r="BK101" i="12"/>
  <c r="BL101" i="12"/>
  <c r="BM101" i="12"/>
  <c r="BN101" i="12"/>
  <c r="BO101" i="12"/>
  <c r="BP101" i="12"/>
  <c r="BQ101" i="12"/>
  <c r="BR101" i="12"/>
  <c r="BS101" i="12"/>
  <c r="BT101" i="12"/>
  <c r="BU101" i="12"/>
  <c r="BV101" i="12"/>
  <c r="BW101" i="12"/>
  <c r="BX101" i="12"/>
  <c r="BY101" i="12"/>
  <c r="BZ101" i="12"/>
  <c r="CA101" i="12"/>
  <c r="CB101" i="12"/>
  <c r="CC101" i="12"/>
  <c r="CD101" i="12"/>
  <c r="AQ102" i="12"/>
  <c r="AR102" i="12"/>
  <c r="AS102" i="12"/>
  <c r="AT102" i="12"/>
  <c r="AU102" i="12"/>
  <c r="AV102" i="12"/>
  <c r="AW102" i="12"/>
  <c r="AX102" i="12"/>
  <c r="AY102" i="12"/>
  <c r="AZ102" i="12"/>
  <c r="BA102" i="12"/>
  <c r="BB102" i="12"/>
  <c r="BC102" i="12"/>
  <c r="BD102" i="12"/>
  <c r="BE102" i="12"/>
  <c r="BF102" i="12"/>
  <c r="BG102" i="12"/>
  <c r="BH102" i="12"/>
  <c r="BI102" i="12"/>
  <c r="BJ102" i="12"/>
  <c r="BK102" i="12"/>
  <c r="BL102" i="12"/>
  <c r="BM102" i="12"/>
  <c r="BN102" i="12"/>
  <c r="BO102" i="12"/>
  <c r="BP102" i="12"/>
  <c r="BQ102" i="12"/>
  <c r="BR102" i="12"/>
  <c r="BS102" i="12"/>
  <c r="BT102" i="12"/>
  <c r="BU102" i="12"/>
  <c r="BV102" i="12"/>
  <c r="BW102" i="12"/>
  <c r="BX102" i="12"/>
  <c r="BY102" i="12"/>
  <c r="BZ102" i="12"/>
  <c r="CA102" i="12"/>
  <c r="CB102" i="12"/>
  <c r="CC102" i="12"/>
  <c r="CD102" i="12"/>
  <c r="AQ103" i="12"/>
  <c r="AR103" i="12"/>
  <c r="AS103" i="12"/>
  <c r="AT103" i="12"/>
  <c r="AU103" i="12"/>
  <c r="AV103" i="12"/>
  <c r="AW103" i="12"/>
  <c r="AX103" i="12"/>
  <c r="AY103" i="12"/>
  <c r="AZ103" i="12"/>
  <c r="BA103"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W103" i="12"/>
  <c r="BX103" i="12"/>
  <c r="BY103" i="12"/>
  <c r="BZ103" i="12"/>
  <c r="CA103" i="12"/>
  <c r="CB103" i="12"/>
  <c r="CC103" i="12"/>
  <c r="CD103" i="12"/>
  <c r="CD80"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GR24" i="12"/>
  <c r="GR25" i="12"/>
  <c r="HE25" i="12"/>
  <c r="GR26" i="12"/>
  <c r="GR27" i="12"/>
  <c r="GZ27" i="12" s="1"/>
  <c r="GR28" i="12"/>
  <c r="GR29" i="12"/>
  <c r="GR30" i="12"/>
  <c r="GR31" i="12"/>
  <c r="GZ31" i="12"/>
  <c r="GR32" i="12"/>
  <c r="GR33" i="12"/>
  <c r="HE33" i="12"/>
  <c r="GR34" i="12"/>
  <c r="GR35" i="12"/>
  <c r="HE35" i="12" s="1"/>
  <c r="GR36" i="12"/>
  <c r="GR37" i="12"/>
  <c r="GR38" i="12"/>
  <c r="GZ38" i="12" s="1"/>
  <c r="GR39" i="12"/>
  <c r="HF39" i="12"/>
  <c r="GR40" i="12"/>
  <c r="GR41" i="12"/>
  <c r="HF41" i="12"/>
  <c r="GR42" i="12"/>
  <c r="GR43" i="12"/>
  <c r="HF43" i="12" s="1"/>
  <c r="GI24" i="12"/>
  <c r="GJ24" i="12"/>
  <c r="GL24" i="12"/>
  <c r="GM24" i="12"/>
  <c r="GN24" i="12"/>
  <c r="GP24" i="12"/>
  <c r="GO24" i="12"/>
  <c r="GI25" i="12"/>
  <c r="GJ25" i="12"/>
  <c r="GL25" i="12"/>
  <c r="GM25" i="12"/>
  <c r="GN25" i="12"/>
  <c r="GO25" i="12"/>
  <c r="GI26" i="12"/>
  <c r="GJ26" i="12"/>
  <c r="GK26" i="12" s="1"/>
  <c r="DJ42" i="45" s="1"/>
  <c r="GL26" i="12"/>
  <c r="GM26" i="12"/>
  <c r="GN26" i="12"/>
  <c r="GO26" i="12"/>
  <c r="EA99" i="44" s="1"/>
  <c r="GI27" i="12"/>
  <c r="GJ27" i="12"/>
  <c r="GL27" i="12"/>
  <c r="GM27" i="12"/>
  <c r="GN27" i="12"/>
  <c r="GO27" i="12"/>
  <c r="GI28" i="12"/>
  <c r="GJ28" i="12"/>
  <c r="GL28" i="12"/>
  <c r="GM28" i="12"/>
  <c r="GN28" i="12"/>
  <c r="GO28" i="12"/>
  <c r="GP28" i="12" s="1"/>
  <c r="GI29" i="12"/>
  <c r="GJ29" i="12"/>
  <c r="GL29" i="12"/>
  <c r="GM29" i="12"/>
  <c r="GN29" i="12"/>
  <c r="GO29" i="12"/>
  <c r="GP29" i="12" s="1"/>
  <c r="GI30" i="12"/>
  <c r="GJ30" i="12"/>
  <c r="GL30" i="12"/>
  <c r="GM30" i="12"/>
  <c r="GN30" i="12"/>
  <c r="GP30" i="12" s="1"/>
  <c r="GO30" i="12"/>
  <c r="EA103" i="44"/>
  <c r="GI31" i="12"/>
  <c r="GJ31" i="12"/>
  <c r="GL31" i="12"/>
  <c r="GM31" i="12"/>
  <c r="GN31" i="12"/>
  <c r="GO31" i="12"/>
  <c r="GI32" i="12"/>
  <c r="GJ32" i="12"/>
  <c r="GK32" i="12" s="1"/>
  <c r="GL32" i="12"/>
  <c r="GM32" i="12"/>
  <c r="GN32" i="12"/>
  <c r="GO32" i="12"/>
  <c r="GI33" i="12"/>
  <c r="GJ33" i="12"/>
  <c r="GL33" i="12"/>
  <c r="GM33" i="12"/>
  <c r="GN33" i="12"/>
  <c r="GP33" i="12"/>
  <c r="GO33" i="12"/>
  <c r="EA106" i="44" s="1"/>
  <c r="GI34" i="12"/>
  <c r="GJ34" i="12"/>
  <c r="GL34" i="12"/>
  <c r="GM34" i="12"/>
  <c r="GN34" i="12"/>
  <c r="GP34" i="12" s="1"/>
  <c r="GO34" i="12"/>
  <c r="GI35" i="12"/>
  <c r="GJ35" i="12"/>
  <c r="GL35" i="12"/>
  <c r="GM35" i="12"/>
  <c r="GN35" i="12"/>
  <c r="GP35" i="12"/>
  <c r="GO35" i="12"/>
  <c r="GI36" i="12"/>
  <c r="CU52" i="45" s="1"/>
  <c r="GJ36" i="12"/>
  <c r="GL36" i="12"/>
  <c r="DK52" i="45" s="1"/>
  <c r="GM36" i="12"/>
  <c r="GN36" i="12"/>
  <c r="GP36" i="12" s="1"/>
  <c r="GO36" i="12"/>
  <c r="GI37" i="12"/>
  <c r="GJ37" i="12"/>
  <c r="GK37" i="12"/>
  <c r="DJ53" i="41" s="1"/>
  <c r="GL37" i="12"/>
  <c r="GM37" i="12"/>
  <c r="GN37" i="12"/>
  <c r="GO37" i="12"/>
  <c r="GI38" i="12"/>
  <c r="GJ38" i="12"/>
  <c r="GK38" i="12" s="1"/>
  <c r="DJ54" i="45" s="1"/>
  <c r="GL38" i="12"/>
  <c r="GM38" i="12"/>
  <c r="GN38" i="12"/>
  <c r="GO38" i="12"/>
  <c r="GI39" i="12"/>
  <c r="GJ39" i="12"/>
  <c r="GL39" i="12"/>
  <c r="GM39" i="12"/>
  <c r="GN39" i="12"/>
  <c r="GP39" i="12" s="1"/>
  <c r="GO39" i="12"/>
  <c r="GI40" i="12"/>
  <c r="GJ40" i="12"/>
  <c r="GL40" i="12"/>
  <c r="GM40" i="12"/>
  <c r="GN40" i="12"/>
  <c r="GP40" i="12"/>
  <c r="GO40" i="12"/>
  <c r="GI41" i="12"/>
  <c r="CU57" i="45"/>
  <c r="GJ41" i="12"/>
  <c r="GL41" i="12"/>
  <c r="DK57" i="44" s="1"/>
  <c r="GM41" i="12"/>
  <c r="GN41" i="12"/>
  <c r="GP41" i="12" s="1"/>
  <c r="GO41" i="12"/>
  <c r="GI42" i="12"/>
  <c r="GJ42" i="12"/>
  <c r="GL42" i="12"/>
  <c r="GM42" i="12"/>
  <c r="GN42" i="12"/>
  <c r="GP42" i="12" s="1"/>
  <c r="EB115" i="41" s="1"/>
  <c r="EC115" i="41"/>
  <c r="GO42" i="12"/>
  <c r="GI43" i="12"/>
  <c r="GJ43" i="12"/>
  <c r="GK43" i="12" s="1"/>
  <c r="GL43" i="12"/>
  <c r="GM43" i="12"/>
  <c r="GN43" i="12"/>
  <c r="GO43" i="12"/>
  <c r="EA116" i="43" s="1"/>
  <c r="ET24" i="12"/>
  <c r="EU24" i="12"/>
  <c r="EV24" i="12"/>
  <c r="EW24" i="12"/>
  <c r="EX24" i="12"/>
  <c r="EY24" i="12"/>
  <c r="EZ24" i="12"/>
  <c r="FA24" i="12"/>
  <c r="FB24" i="12"/>
  <c r="FC24" i="12"/>
  <c r="FD24" i="12"/>
  <c r="FE24" i="12"/>
  <c r="ET25" i="12"/>
  <c r="EU25" i="12"/>
  <c r="EV25" i="12"/>
  <c r="EW25" i="12"/>
  <c r="EX25" i="12"/>
  <c r="EY25" i="12"/>
  <c r="EZ25" i="12"/>
  <c r="FA25" i="12"/>
  <c r="FB25" i="12"/>
  <c r="FC25" i="12"/>
  <c r="FD25" i="12"/>
  <c r="FE25" i="12"/>
  <c r="ET26" i="12"/>
  <c r="EU26" i="12"/>
  <c r="EV26" i="12"/>
  <c r="EW26" i="12"/>
  <c r="EX26" i="12"/>
  <c r="EY26" i="12"/>
  <c r="EZ26" i="12"/>
  <c r="FA26" i="12"/>
  <c r="FB26" i="12"/>
  <c r="FC26" i="12"/>
  <c r="FD26" i="12"/>
  <c r="FE26" i="12"/>
  <c r="ET27" i="12"/>
  <c r="EU27" i="12"/>
  <c r="EV27" i="12"/>
  <c r="EW27" i="12"/>
  <c r="EX27" i="12"/>
  <c r="EY27" i="12"/>
  <c r="EZ27" i="12"/>
  <c r="FA27" i="12"/>
  <c r="FB27" i="12"/>
  <c r="FC27" i="12"/>
  <c r="FD27" i="12"/>
  <c r="FE27" i="12"/>
  <c r="ET28" i="12"/>
  <c r="EU28" i="12"/>
  <c r="EV28" i="12"/>
  <c r="EW28" i="12"/>
  <c r="EX28" i="12"/>
  <c r="EY28" i="12"/>
  <c r="EZ28" i="12"/>
  <c r="FA28" i="12"/>
  <c r="FB28" i="12"/>
  <c r="FC28" i="12"/>
  <c r="FD28" i="12"/>
  <c r="FE28" i="12"/>
  <c r="ET29" i="12"/>
  <c r="EU29" i="12"/>
  <c r="EV29" i="12"/>
  <c r="EW29" i="12"/>
  <c r="EX29" i="12"/>
  <c r="EY29" i="12"/>
  <c r="EZ29" i="12"/>
  <c r="FA29" i="12"/>
  <c r="FB29" i="12"/>
  <c r="FC29" i="12"/>
  <c r="FD29" i="12"/>
  <c r="FE29" i="12"/>
  <c r="ET30" i="12"/>
  <c r="EU30" i="12"/>
  <c r="EV30" i="12"/>
  <c r="EW30" i="12"/>
  <c r="EX30" i="12"/>
  <c r="EY30" i="12"/>
  <c r="FY30" i="12" s="1"/>
  <c r="EZ30" i="12"/>
  <c r="FA30" i="12"/>
  <c r="FB30" i="12"/>
  <c r="FC30" i="12"/>
  <c r="FD30" i="12"/>
  <c r="FE30" i="12"/>
  <c r="ET31" i="12"/>
  <c r="EU31" i="12"/>
  <c r="FU31" i="12" s="1"/>
  <c r="EV31" i="12"/>
  <c r="EW31" i="12"/>
  <c r="EX31" i="12"/>
  <c r="EY31" i="12"/>
  <c r="FY31" i="12" s="1"/>
  <c r="EZ31" i="12"/>
  <c r="FA31" i="12"/>
  <c r="FB31" i="12"/>
  <c r="FC31" i="12"/>
  <c r="FD31" i="12"/>
  <c r="FE31" i="12"/>
  <c r="ET32" i="12"/>
  <c r="EU32" i="12"/>
  <c r="EV32" i="12"/>
  <c r="EW32" i="12"/>
  <c r="EX32" i="12"/>
  <c r="EY32" i="12"/>
  <c r="EZ32" i="12"/>
  <c r="FA32" i="12"/>
  <c r="FB32" i="12"/>
  <c r="FC32" i="12"/>
  <c r="FD32" i="12"/>
  <c r="FE32" i="12"/>
  <c r="ET33" i="12"/>
  <c r="EU33" i="12"/>
  <c r="EV33" i="12"/>
  <c r="EW33" i="12"/>
  <c r="EX33" i="12"/>
  <c r="EY33" i="12"/>
  <c r="EZ33" i="12"/>
  <c r="FA33" i="12"/>
  <c r="FB33" i="12"/>
  <c r="FC33" i="12"/>
  <c r="FD33" i="12"/>
  <c r="FE33" i="12"/>
  <c r="ET34" i="12"/>
  <c r="EU34" i="12"/>
  <c r="EV34" i="12"/>
  <c r="EW34" i="12"/>
  <c r="EX34" i="12"/>
  <c r="EY34" i="12"/>
  <c r="EZ34" i="12"/>
  <c r="FA34" i="12"/>
  <c r="FB34" i="12"/>
  <c r="FC34" i="12"/>
  <c r="FD34" i="12"/>
  <c r="FE34" i="12"/>
  <c r="ET35" i="12"/>
  <c r="EU35" i="12"/>
  <c r="EV35" i="12"/>
  <c r="EW35" i="12"/>
  <c r="EX35" i="12"/>
  <c r="EY35" i="12"/>
  <c r="EZ35" i="12"/>
  <c r="FA35" i="12"/>
  <c r="FB35" i="12"/>
  <c r="FC35" i="12"/>
  <c r="FD35" i="12"/>
  <c r="FE35" i="12"/>
  <c r="ET36" i="12"/>
  <c r="EU36" i="12"/>
  <c r="EV36" i="12"/>
  <c r="EW36" i="12"/>
  <c r="EX36" i="12"/>
  <c r="EY36" i="12"/>
  <c r="EZ36" i="12"/>
  <c r="FA36" i="12"/>
  <c r="FB36" i="12"/>
  <c r="FC36" i="12"/>
  <c r="FD36" i="12"/>
  <c r="FE36" i="12"/>
  <c r="ET37" i="12"/>
  <c r="EU37" i="12"/>
  <c r="EV37" i="12"/>
  <c r="EW37" i="12"/>
  <c r="EX37" i="12"/>
  <c r="EY37" i="12"/>
  <c r="EZ37" i="12"/>
  <c r="FA37" i="12"/>
  <c r="FB37" i="12"/>
  <c r="FC37" i="12"/>
  <c r="FD37" i="12"/>
  <c r="FE37" i="12"/>
  <c r="ET38" i="12"/>
  <c r="EU38" i="12"/>
  <c r="EV38" i="12"/>
  <c r="EW38" i="12"/>
  <c r="EX38" i="12"/>
  <c r="EY38" i="12"/>
  <c r="EZ38" i="12"/>
  <c r="FA38" i="12"/>
  <c r="FB38" i="12"/>
  <c r="FC38" i="12"/>
  <c r="FD38" i="12"/>
  <c r="FE38" i="12"/>
  <c r="ET39" i="12"/>
  <c r="EU39" i="12"/>
  <c r="EV39" i="12"/>
  <c r="EW39" i="12"/>
  <c r="EX39" i="12"/>
  <c r="EY39" i="12"/>
  <c r="EZ39" i="12"/>
  <c r="FA39" i="12"/>
  <c r="FB39" i="12"/>
  <c r="FC39" i="12"/>
  <c r="FD39" i="12"/>
  <c r="FE39" i="12"/>
  <c r="ET40" i="12"/>
  <c r="EU40" i="12"/>
  <c r="EV40" i="12"/>
  <c r="EW40" i="12"/>
  <c r="EX40" i="12"/>
  <c r="EY40" i="12"/>
  <c r="EZ40" i="12"/>
  <c r="FA40" i="12"/>
  <c r="FB40" i="12"/>
  <c r="FC40" i="12"/>
  <c r="FD40" i="12"/>
  <c r="FE40" i="12"/>
  <c r="ET41" i="12"/>
  <c r="EU41" i="12"/>
  <c r="EV41" i="12"/>
  <c r="EW41" i="12"/>
  <c r="EX41" i="12"/>
  <c r="EY41" i="12"/>
  <c r="EZ41" i="12"/>
  <c r="FA41" i="12"/>
  <c r="FB41" i="12"/>
  <c r="FC41" i="12"/>
  <c r="FD41" i="12"/>
  <c r="FE41" i="12"/>
  <c r="ET42" i="12"/>
  <c r="EU42" i="12"/>
  <c r="EV42" i="12"/>
  <c r="EW42" i="12"/>
  <c r="EX42" i="12"/>
  <c r="EY42" i="12"/>
  <c r="EZ42" i="12"/>
  <c r="FA42" i="12"/>
  <c r="FB42" i="12"/>
  <c r="FC42" i="12"/>
  <c r="FD42" i="12"/>
  <c r="FE42" i="12"/>
  <c r="ET43" i="12"/>
  <c r="EU43" i="12"/>
  <c r="EV43" i="12"/>
  <c r="EW43" i="12"/>
  <c r="EX43" i="12"/>
  <c r="EY43" i="12"/>
  <c r="EZ43" i="12"/>
  <c r="FA43" i="12"/>
  <c r="FB43" i="12"/>
  <c r="FC43" i="12"/>
  <c r="FD43" i="12"/>
  <c r="FE43" i="12"/>
  <c r="DH24" i="12"/>
  <c r="DH25" i="12"/>
  <c r="DH26" i="12"/>
  <c r="DH27" i="12"/>
  <c r="DH28" i="12"/>
  <c r="DH29" i="12"/>
  <c r="DH30" i="12"/>
  <c r="DH31" i="12"/>
  <c r="DH32" i="12"/>
  <c r="DH33" i="12"/>
  <c r="DH34" i="12"/>
  <c r="DH35" i="12"/>
  <c r="DH36" i="12"/>
  <c r="DH37" i="12"/>
  <c r="DH38" i="12"/>
  <c r="DH39" i="12"/>
  <c r="DH40" i="12"/>
  <c r="DH41" i="12"/>
  <c r="DH42" i="12"/>
  <c r="DH43" i="12"/>
  <c r="DH44" i="12"/>
  <c r="DE24" i="12"/>
  <c r="DF24" i="12" s="1"/>
  <c r="DE25" i="12"/>
  <c r="DE26" i="12"/>
  <c r="DE27" i="12"/>
  <c r="DE28" i="12"/>
  <c r="DE29" i="12"/>
  <c r="DE30" i="12"/>
  <c r="DE31" i="12"/>
  <c r="DE32" i="12"/>
  <c r="DE33" i="12"/>
  <c r="DE34" i="12"/>
  <c r="DE35" i="12"/>
  <c r="DE36" i="12"/>
  <c r="DE37" i="12"/>
  <c r="DE38" i="12"/>
  <c r="DE39" i="12"/>
  <c r="DE40" i="12"/>
  <c r="DE41" i="12"/>
  <c r="DE42" i="12"/>
  <c r="DE43" i="12"/>
  <c r="DE44" i="12"/>
  <c r="DA24" i="12"/>
  <c r="DA25" i="12"/>
  <c r="DA26" i="12"/>
  <c r="DA27" i="12"/>
  <c r="DA28" i="12"/>
  <c r="DA29" i="12"/>
  <c r="DA30" i="12"/>
  <c r="DA31" i="12"/>
  <c r="DA32" i="12"/>
  <c r="DA33" i="12"/>
  <c r="DA34" i="12"/>
  <c r="DA35" i="12"/>
  <c r="DA36" i="12"/>
  <c r="DA37" i="12"/>
  <c r="DA38" i="12"/>
  <c r="DA39" i="12"/>
  <c r="DA40" i="12"/>
  <c r="DA41" i="12"/>
  <c r="DA42" i="12"/>
  <c r="DA43" i="12"/>
  <c r="BH24" i="12"/>
  <c r="BJ24" i="12"/>
  <c r="BK24" i="12"/>
  <c r="BL24" i="12"/>
  <c r="BM24" i="12"/>
  <c r="BN24" i="12"/>
  <c r="BO24" i="12"/>
  <c r="CO24" i="12" s="1"/>
  <c r="BP24" i="12"/>
  <c r="BQ24" i="12"/>
  <c r="BR24" i="12"/>
  <c r="BS24" i="12"/>
  <c r="BT24" i="12"/>
  <c r="CT24" i="12"/>
  <c r="BU24" i="12"/>
  <c r="BW24" i="12"/>
  <c r="FG24" i="12"/>
  <c r="BX24" i="12"/>
  <c r="FH24" i="12" s="1"/>
  <c r="BY24" i="12"/>
  <c r="FI24" i="12"/>
  <c r="BZ24" i="12"/>
  <c r="FJ24" i="12"/>
  <c r="CA24" i="12"/>
  <c r="FK24" i="12"/>
  <c r="CB24" i="12"/>
  <c r="FL24" i="12" s="1"/>
  <c r="CC24" i="12"/>
  <c r="FM24" i="12"/>
  <c r="CD24" i="12"/>
  <c r="FN24" i="12"/>
  <c r="CE24" i="12"/>
  <c r="FO24" i="12"/>
  <c r="CF24" i="12"/>
  <c r="FP24" i="12" s="1"/>
  <c r="CG24" i="12"/>
  <c r="FQ24" i="12"/>
  <c r="CH24" i="12"/>
  <c r="FR24" i="12" s="1"/>
  <c r="BH25" i="12"/>
  <c r="ER25" i="12"/>
  <c r="BJ25" i="12"/>
  <c r="BK25" i="12"/>
  <c r="BL25" i="12"/>
  <c r="BM25" i="12"/>
  <c r="BN25" i="12"/>
  <c r="BO25" i="12"/>
  <c r="BP25" i="12"/>
  <c r="BQ25" i="12"/>
  <c r="BR25" i="12"/>
  <c r="BS25" i="12"/>
  <c r="BT25" i="12"/>
  <c r="BU25" i="12"/>
  <c r="BW25" i="12"/>
  <c r="FG25" i="12" s="1"/>
  <c r="BX25" i="12"/>
  <c r="FH25" i="12"/>
  <c r="BY25" i="12"/>
  <c r="FI25" i="12" s="1"/>
  <c r="BZ25" i="12"/>
  <c r="FJ25" i="12"/>
  <c r="CA25" i="12"/>
  <c r="FK25" i="12"/>
  <c r="CB25" i="12"/>
  <c r="FL25" i="12"/>
  <c r="CC25" i="12"/>
  <c r="FM25" i="12" s="1"/>
  <c r="CD25" i="12"/>
  <c r="FN25" i="12"/>
  <c r="CE25" i="12"/>
  <c r="FO25" i="12" s="1"/>
  <c r="CF25" i="12"/>
  <c r="FP25" i="12"/>
  <c r="CG25" i="12"/>
  <c r="FQ25" i="12" s="1"/>
  <c r="CH25" i="12"/>
  <c r="FR25" i="12"/>
  <c r="BH26" i="12"/>
  <c r="CR26" i="12" s="1"/>
  <c r="BJ26" i="12"/>
  <c r="CJ26" i="12" s="1"/>
  <c r="BK26" i="12"/>
  <c r="BL26" i="12"/>
  <c r="CL26" i="12" s="1"/>
  <c r="BM26" i="12"/>
  <c r="BN26" i="12"/>
  <c r="BO26" i="12"/>
  <c r="BP26" i="12"/>
  <c r="BQ26" i="12"/>
  <c r="BR26" i="12"/>
  <c r="BS26" i="12"/>
  <c r="CS26" i="12" s="1"/>
  <c r="BT26" i="12"/>
  <c r="BU26" i="12"/>
  <c r="BW26" i="12"/>
  <c r="FG26" i="12"/>
  <c r="BX26" i="12"/>
  <c r="BY26" i="12"/>
  <c r="FI26" i="12" s="1"/>
  <c r="BZ26" i="12"/>
  <c r="FJ26" i="12" s="1"/>
  <c r="CA26" i="12"/>
  <c r="FK26" i="12"/>
  <c r="FX26" i="12" s="1"/>
  <c r="CB26" i="12"/>
  <c r="FL26" i="12" s="1"/>
  <c r="CC26" i="12"/>
  <c r="FM26" i="12" s="1"/>
  <c r="CD26" i="12"/>
  <c r="FN26" i="12" s="1"/>
  <c r="CE26" i="12"/>
  <c r="FO26" i="12"/>
  <c r="CF26" i="12"/>
  <c r="FP26" i="12" s="1"/>
  <c r="CG26" i="12"/>
  <c r="FQ26" i="12"/>
  <c r="GD26" i="12" s="1"/>
  <c r="CH26" i="12"/>
  <c r="FR26" i="12" s="1"/>
  <c r="BH27" i="12"/>
  <c r="BJ27" i="12"/>
  <c r="BK27" i="12"/>
  <c r="BL27" i="12"/>
  <c r="BM27" i="12"/>
  <c r="BN27" i="12"/>
  <c r="BO27" i="12"/>
  <c r="CO27" i="12" s="1"/>
  <c r="BP27" i="12"/>
  <c r="BQ27" i="12"/>
  <c r="BR27" i="12"/>
  <c r="BS27" i="12"/>
  <c r="BT27" i="12"/>
  <c r="BU27" i="12"/>
  <c r="BW27" i="12"/>
  <c r="FG27" i="12"/>
  <c r="BX27" i="12"/>
  <c r="FH27" i="12"/>
  <c r="BY27" i="12"/>
  <c r="FI27" i="12"/>
  <c r="BZ27" i="12"/>
  <c r="FJ27" i="12" s="1"/>
  <c r="CA27" i="12"/>
  <c r="FK27" i="12"/>
  <c r="CB27" i="12"/>
  <c r="FL27" i="12" s="1"/>
  <c r="CC27" i="12"/>
  <c r="FM27" i="12"/>
  <c r="CD27" i="12"/>
  <c r="CE27" i="12"/>
  <c r="FO27" i="12"/>
  <c r="CF27" i="12"/>
  <c r="FP27" i="12"/>
  <c r="CG27" i="12"/>
  <c r="FQ27" i="12"/>
  <c r="CH27" i="12"/>
  <c r="FR27" i="12" s="1"/>
  <c r="BH28" i="12"/>
  <c r="BJ28" i="12"/>
  <c r="BK28" i="12"/>
  <c r="BL28" i="12"/>
  <c r="BM28" i="12"/>
  <c r="BN28" i="12"/>
  <c r="BO28" i="12"/>
  <c r="BP28" i="12"/>
  <c r="BQ28" i="12"/>
  <c r="BR28" i="12"/>
  <c r="BS28" i="12"/>
  <c r="BT28" i="12"/>
  <c r="BU28" i="12"/>
  <c r="BW28" i="12"/>
  <c r="FG28" i="12" s="1"/>
  <c r="BX28" i="12"/>
  <c r="FH28" i="12"/>
  <c r="BY28" i="12"/>
  <c r="FI28" i="12" s="1"/>
  <c r="BZ28" i="12"/>
  <c r="FJ28" i="12"/>
  <c r="CA28" i="12"/>
  <c r="FK28" i="12" s="1"/>
  <c r="CB28" i="12"/>
  <c r="FL28" i="12" s="1"/>
  <c r="CC28" i="12"/>
  <c r="FM28" i="12" s="1"/>
  <c r="CD28" i="12"/>
  <c r="FN28" i="12"/>
  <c r="CE28" i="12"/>
  <c r="FO28" i="12" s="1"/>
  <c r="CF28" i="12"/>
  <c r="FP28" i="12" s="1"/>
  <c r="CG28" i="12"/>
  <c r="FQ28" i="12" s="1"/>
  <c r="CH28" i="12"/>
  <c r="FR28" i="12"/>
  <c r="BH29" i="12"/>
  <c r="BJ29" i="12"/>
  <c r="BK29" i="12"/>
  <c r="BL29" i="12"/>
  <c r="BM29" i="12"/>
  <c r="BN29" i="12"/>
  <c r="BO29" i="12"/>
  <c r="CO29" i="12" s="1"/>
  <c r="BP29" i="12"/>
  <c r="BQ29" i="12"/>
  <c r="BR29" i="12"/>
  <c r="BS29" i="12"/>
  <c r="BT29" i="12"/>
  <c r="BU29" i="12"/>
  <c r="BW29" i="12"/>
  <c r="FG29" i="12" s="1"/>
  <c r="BX29" i="12"/>
  <c r="FH29" i="12" s="1"/>
  <c r="BY29" i="12"/>
  <c r="FI29" i="12"/>
  <c r="BZ29" i="12"/>
  <c r="FJ29" i="12" s="1"/>
  <c r="CA29" i="12"/>
  <c r="FK29" i="12"/>
  <c r="CB29" i="12"/>
  <c r="FL29" i="12" s="1"/>
  <c r="CC29" i="12"/>
  <c r="FM29" i="12"/>
  <c r="CD29" i="12"/>
  <c r="FN29" i="12"/>
  <c r="CE29" i="12"/>
  <c r="FO29" i="12"/>
  <c r="CF29" i="12"/>
  <c r="FP29" i="12" s="1"/>
  <c r="CG29" i="12"/>
  <c r="FQ29" i="12"/>
  <c r="CH29" i="12"/>
  <c r="FR29" i="12" s="1"/>
  <c r="BH30" i="12"/>
  <c r="BJ30" i="12"/>
  <c r="BK30" i="12"/>
  <c r="BL30" i="12"/>
  <c r="BM30" i="12"/>
  <c r="BN30" i="12"/>
  <c r="BO30" i="12"/>
  <c r="BP30" i="12"/>
  <c r="BQ30" i="12"/>
  <c r="BR30" i="12"/>
  <c r="BS30" i="12"/>
  <c r="BT30" i="12"/>
  <c r="BU30" i="12"/>
  <c r="BW30" i="12"/>
  <c r="FG30" i="12"/>
  <c r="BX30" i="12"/>
  <c r="FH30" i="12"/>
  <c r="BY30" i="12"/>
  <c r="FI30" i="12" s="1"/>
  <c r="BZ30" i="12"/>
  <c r="FJ30" i="12"/>
  <c r="CA30" i="12"/>
  <c r="FK30" i="12"/>
  <c r="CB30" i="12"/>
  <c r="FL30" i="12"/>
  <c r="CC30" i="12"/>
  <c r="FM30" i="12" s="1"/>
  <c r="CD30" i="12"/>
  <c r="FN30" i="12"/>
  <c r="CE30" i="12"/>
  <c r="FO30" i="12" s="1"/>
  <c r="CF30" i="12"/>
  <c r="FP30" i="12"/>
  <c r="CG30" i="12"/>
  <c r="FQ30" i="12" s="1"/>
  <c r="CH30" i="12"/>
  <c r="FR30" i="12"/>
  <c r="BH31" i="12"/>
  <c r="ER31" i="12"/>
  <c r="BJ31" i="12"/>
  <c r="BK31" i="12"/>
  <c r="CK31" i="12" s="1"/>
  <c r="BL31" i="12"/>
  <c r="BM31" i="12"/>
  <c r="BN31" i="12"/>
  <c r="BO31" i="12"/>
  <c r="CO31" i="12" s="1"/>
  <c r="BP31" i="12"/>
  <c r="BQ31" i="12"/>
  <c r="BR31" i="12"/>
  <c r="BS31" i="12"/>
  <c r="BT31" i="12"/>
  <c r="BU31" i="12"/>
  <c r="BW31" i="12"/>
  <c r="FG31" i="12"/>
  <c r="BX31" i="12"/>
  <c r="FH31" i="12" s="1"/>
  <c r="BY31" i="12"/>
  <c r="FI31" i="12"/>
  <c r="BZ31" i="12"/>
  <c r="CA31" i="12"/>
  <c r="FK31" i="12"/>
  <c r="CB31" i="12"/>
  <c r="FL31" i="12" s="1"/>
  <c r="CC31" i="12"/>
  <c r="FM31" i="12"/>
  <c r="CD31" i="12"/>
  <c r="FN31" i="12"/>
  <c r="CE31" i="12"/>
  <c r="FO31" i="12"/>
  <c r="CF31" i="12"/>
  <c r="CG31" i="12"/>
  <c r="FQ31" i="12"/>
  <c r="CH31" i="12"/>
  <c r="FR31" i="12"/>
  <c r="BH32" i="12"/>
  <c r="ER32" i="12"/>
  <c r="GC32" i="12" s="1"/>
  <c r="BJ32" i="12"/>
  <c r="BK32" i="12"/>
  <c r="BL32" i="12"/>
  <c r="BM32" i="12"/>
  <c r="BN32" i="12"/>
  <c r="BO32" i="12"/>
  <c r="BP32" i="12"/>
  <c r="CP32" i="12" s="1"/>
  <c r="BQ32" i="12"/>
  <c r="BR32" i="12"/>
  <c r="BS32" i="12"/>
  <c r="BT32" i="12"/>
  <c r="CT32" i="12" s="1"/>
  <c r="BU32" i="12"/>
  <c r="CU32" i="12" s="1"/>
  <c r="BW32" i="12"/>
  <c r="BX32" i="12"/>
  <c r="FH32" i="12" s="1"/>
  <c r="FU32" i="12" s="1"/>
  <c r="BY32" i="12"/>
  <c r="FI32" i="12"/>
  <c r="BZ32" i="12"/>
  <c r="FJ32" i="12" s="1"/>
  <c r="CA32" i="12"/>
  <c r="FK32" i="12"/>
  <c r="CB32" i="12"/>
  <c r="FL32" i="12" s="1"/>
  <c r="CC32" i="12"/>
  <c r="FM32" i="12"/>
  <c r="CD32" i="12"/>
  <c r="FN32" i="12" s="1"/>
  <c r="CE32" i="12"/>
  <c r="FO32" i="12"/>
  <c r="CF32" i="12"/>
  <c r="FP32" i="12" s="1"/>
  <c r="CG32" i="12"/>
  <c r="FQ32" i="12"/>
  <c r="CH32" i="12"/>
  <c r="FR32" i="12" s="1"/>
  <c r="BH33" i="12"/>
  <c r="ER33" i="12" s="1"/>
  <c r="BJ33" i="12"/>
  <c r="BK33" i="12"/>
  <c r="BL33" i="12"/>
  <c r="BM33" i="12"/>
  <c r="BN33" i="12"/>
  <c r="BO33" i="12"/>
  <c r="BP33" i="12"/>
  <c r="BQ33" i="12"/>
  <c r="BR33" i="12"/>
  <c r="BS33" i="12"/>
  <c r="BT33" i="12"/>
  <c r="BU33" i="12"/>
  <c r="BW33" i="12"/>
  <c r="FG33" i="12" s="1"/>
  <c r="BX33" i="12"/>
  <c r="FH33" i="12"/>
  <c r="BY33" i="12"/>
  <c r="FI33" i="12"/>
  <c r="BZ33" i="12"/>
  <c r="FJ33" i="12"/>
  <c r="CA33" i="12"/>
  <c r="FK33" i="12" s="1"/>
  <c r="CB33" i="12"/>
  <c r="CC33" i="12"/>
  <c r="FM33" i="12"/>
  <c r="CD33" i="12"/>
  <c r="FN33" i="12" s="1"/>
  <c r="CE33" i="12"/>
  <c r="CF33" i="12"/>
  <c r="FP33" i="12" s="1"/>
  <c r="CG33" i="12"/>
  <c r="FQ33" i="12"/>
  <c r="CH33" i="12"/>
  <c r="BH34" i="12"/>
  <c r="BJ34" i="12"/>
  <c r="BK34" i="12"/>
  <c r="BL34" i="12"/>
  <c r="BM34" i="12"/>
  <c r="BN34" i="12"/>
  <c r="BO34" i="12"/>
  <c r="CO34" i="12" s="1"/>
  <c r="BP34" i="12"/>
  <c r="BQ34" i="12"/>
  <c r="BR34" i="12"/>
  <c r="BS34" i="12"/>
  <c r="BT34" i="12"/>
  <c r="BU34" i="12"/>
  <c r="BW34" i="12"/>
  <c r="FG34" i="12" s="1"/>
  <c r="BX34" i="12"/>
  <c r="FH34" i="12"/>
  <c r="BY34" i="12"/>
  <c r="FI34" i="12" s="1"/>
  <c r="BZ34" i="12"/>
  <c r="FJ34" i="12"/>
  <c r="CA34" i="12"/>
  <c r="FK34" i="12" s="1"/>
  <c r="CB34" i="12"/>
  <c r="FL34" i="12"/>
  <c r="CC34" i="12"/>
  <c r="FM34" i="12" s="1"/>
  <c r="CD34" i="12"/>
  <c r="FN34" i="12" s="1"/>
  <c r="CE34" i="12"/>
  <c r="FO34" i="12" s="1"/>
  <c r="CF34" i="12"/>
  <c r="CG34" i="12"/>
  <c r="FQ34" i="12"/>
  <c r="CH34" i="12"/>
  <c r="FR34" i="12"/>
  <c r="BH35" i="12"/>
  <c r="ER35" i="12" s="1"/>
  <c r="BJ35" i="12"/>
  <c r="BK35" i="12"/>
  <c r="BL35" i="12"/>
  <c r="BM35" i="12"/>
  <c r="BN35" i="12"/>
  <c r="BO35" i="12"/>
  <c r="CO35" i="12" s="1"/>
  <c r="BP35" i="12"/>
  <c r="BQ35" i="12"/>
  <c r="BR35" i="12"/>
  <c r="BS35" i="12"/>
  <c r="BT35" i="12"/>
  <c r="BU35" i="12"/>
  <c r="BW35" i="12"/>
  <c r="FG35" i="12" s="1"/>
  <c r="BX35" i="12"/>
  <c r="FH35" i="12" s="1"/>
  <c r="BY35" i="12"/>
  <c r="FI35" i="12"/>
  <c r="BZ35" i="12"/>
  <c r="FJ35" i="12" s="1"/>
  <c r="CA35" i="12"/>
  <c r="FK35" i="12" s="1"/>
  <c r="CB35" i="12"/>
  <c r="FL35" i="12" s="1"/>
  <c r="CC35" i="12"/>
  <c r="FM35" i="12"/>
  <c r="FZ35" i="12" s="1"/>
  <c r="CD35" i="12"/>
  <c r="FN35" i="12" s="1"/>
  <c r="CE35" i="12"/>
  <c r="FO35" i="12" s="1"/>
  <c r="CF35" i="12"/>
  <c r="FP35" i="12" s="1"/>
  <c r="CG35" i="12"/>
  <c r="FQ35" i="12"/>
  <c r="CH35" i="12"/>
  <c r="FR35" i="12" s="1"/>
  <c r="BH36" i="12"/>
  <c r="BJ36" i="12"/>
  <c r="BK36" i="12"/>
  <c r="BL36" i="12"/>
  <c r="BM36" i="12"/>
  <c r="BN36" i="12"/>
  <c r="BO36" i="12"/>
  <c r="BP36" i="12"/>
  <c r="BQ36" i="12"/>
  <c r="BR36" i="12"/>
  <c r="BS36" i="12"/>
  <c r="BT36" i="12"/>
  <c r="BU36" i="12"/>
  <c r="BW36" i="12"/>
  <c r="FG36" i="12"/>
  <c r="BX36" i="12"/>
  <c r="FH36" i="12" s="1"/>
  <c r="BY36" i="12"/>
  <c r="FI36" i="12"/>
  <c r="BZ36" i="12"/>
  <c r="FJ36" i="12" s="1"/>
  <c r="CA36" i="12"/>
  <c r="FK36" i="12"/>
  <c r="CB36" i="12"/>
  <c r="FL36" i="12" s="1"/>
  <c r="CC36" i="12"/>
  <c r="FM36" i="12"/>
  <c r="CD36" i="12"/>
  <c r="FN36" i="12" s="1"/>
  <c r="CE36" i="12"/>
  <c r="FO36" i="12"/>
  <c r="CF36" i="12"/>
  <c r="FP36" i="12" s="1"/>
  <c r="CG36" i="12"/>
  <c r="FQ36" i="12"/>
  <c r="CH36" i="12"/>
  <c r="FR36" i="12" s="1"/>
  <c r="BH37" i="12"/>
  <c r="ER37" i="12"/>
  <c r="BJ37" i="12"/>
  <c r="BK37" i="12"/>
  <c r="BL37" i="12"/>
  <c r="BM37" i="12"/>
  <c r="BN37" i="12"/>
  <c r="BO37" i="12"/>
  <c r="BP37" i="12"/>
  <c r="BQ37" i="12"/>
  <c r="BR37" i="12"/>
  <c r="BS37" i="12"/>
  <c r="BT37" i="12"/>
  <c r="BU37" i="12"/>
  <c r="BW37" i="12"/>
  <c r="FG37" i="12" s="1"/>
  <c r="BX37" i="12"/>
  <c r="FH37" i="12"/>
  <c r="BY37" i="12"/>
  <c r="BZ37" i="12"/>
  <c r="FJ37" i="12"/>
  <c r="FW37" i="12" s="1"/>
  <c r="CA37" i="12"/>
  <c r="CB37" i="12"/>
  <c r="FL37" i="12"/>
  <c r="CC37" i="12"/>
  <c r="FM37" i="12"/>
  <c r="CD37" i="12"/>
  <c r="FN37" i="12"/>
  <c r="CE37" i="12"/>
  <c r="CF37" i="12"/>
  <c r="FP37" i="12"/>
  <c r="CG37" i="12"/>
  <c r="FQ37" i="12" s="1"/>
  <c r="CH37" i="12"/>
  <c r="FR37" i="12"/>
  <c r="BH38" i="12"/>
  <c r="BJ38" i="12"/>
  <c r="BK38" i="12"/>
  <c r="BL38" i="12"/>
  <c r="BM38" i="12"/>
  <c r="BN38" i="12"/>
  <c r="BO38" i="12"/>
  <c r="BP38" i="12"/>
  <c r="BQ38" i="12"/>
  <c r="BR38" i="12"/>
  <c r="BS38" i="12"/>
  <c r="BT38" i="12"/>
  <c r="BU38" i="12"/>
  <c r="BW38" i="12"/>
  <c r="FG38" i="12" s="1"/>
  <c r="BX38" i="12"/>
  <c r="FH38" i="12"/>
  <c r="BY38" i="12"/>
  <c r="FI38" i="12" s="1"/>
  <c r="BZ38" i="12"/>
  <c r="CA38" i="12"/>
  <c r="FK38" i="12" s="1"/>
  <c r="CB38" i="12"/>
  <c r="FL38" i="12"/>
  <c r="CC38" i="12"/>
  <c r="FM38" i="12" s="1"/>
  <c r="CD38" i="12"/>
  <c r="FN38" i="12"/>
  <c r="CE38" i="12"/>
  <c r="FO38" i="12" s="1"/>
  <c r="CF38" i="12"/>
  <c r="FP38" i="12"/>
  <c r="CG38" i="12"/>
  <c r="FQ38" i="12" s="1"/>
  <c r="CH38" i="12"/>
  <c r="FR38" i="12"/>
  <c r="BH39" i="12"/>
  <c r="BJ39" i="12"/>
  <c r="BK39" i="12"/>
  <c r="BL39" i="12"/>
  <c r="BM39" i="12"/>
  <c r="BN39" i="12"/>
  <c r="BO39" i="12"/>
  <c r="BP39" i="12"/>
  <c r="BQ39" i="12"/>
  <c r="BR39" i="12"/>
  <c r="BS39" i="12"/>
  <c r="BT39" i="12"/>
  <c r="BU39" i="12"/>
  <c r="BW39" i="12"/>
  <c r="FG39" i="12" s="1"/>
  <c r="BX39" i="12"/>
  <c r="FH39" i="12"/>
  <c r="BY39" i="12"/>
  <c r="FI39" i="12"/>
  <c r="BZ39" i="12"/>
  <c r="FJ39" i="12"/>
  <c r="CA39" i="12"/>
  <c r="FK39" i="12" s="1"/>
  <c r="CB39" i="12"/>
  <c r="FL39" i="12"/>
  <c r="CC39" i="12"/>
  <c r="CD39" i="12"/>
  <c r="FN39" i="12" s="1"/>
  <c r="CE39" i="12"/>
  <c r="FO39" i="12" s="1"/>
  <c r="CF39" i="12"/>
  <c r="FP39" i="12" s="1"/>
  <c r="CG39" i="12"/>
  <c r="FQ39" i="12"/>
  <c r="CH39" i="12"/>
  <c r="BH40" i="12"/>
  <c r="BJ40" i="12"/>
  <c r="BK40" i="12"/>
  <c r="BL40" i="12"/>
  <c r="BM40" i="12"/>
  <c r="BN40" i="12"/>
  <c r="BO40" i="12"/>
  <c r="BP40" i="12"/>
  <c r="BQ40" i="12"/>
  <c r="BR40" i="12"/>
  <c r="BS40" i="12"/>
  <c r="BT40" i="12"/>
  <c r="BU40" i="12"/>
  <c r="BW40" i="12"/>
  <c r="FG40" i="12" s="1"/>
  <c r="BX40" i="12"/>
  <c r="FH40" i="12"/>
  <c r="BY40" i="12"/>
  <c r="FI40" i="12" s="1"/>
  <c r="BZ40" i="12"/>
  <c r="FJ40" i="12"/>
  <c r="CA40" i="12"/>
  <c r="CB40" i="12"/>
  <c r="FL40" i="12"/>
  <c r="CC40" i="12"/>
  <c r="FM40" i="12" s="1"/>
  <c r="CD40" i="12"/>
  <c r="FN40" i="12"/>
  <c r="CE40" i="12"/>
  <c r="FO40" i="12" s="1"/>
  <c r="CF40" i="12"/>
  <c r="FP40" i="12"/>
  <c r="CG40" i="12"/>
  <c r="CH40" i="12"/>
  <c r="FR40" i="12"/>
  <c r="BH41" i="12"/>
  <c r="ER41" i="12"/>
  <c r="BJ41" i="12"/>
  <c r="BK41" i="12"/>
  <c r="BL41" i="12"/>
  <c r="BM41" i="12"/>
  <c r="BN41" i="12"/>
  <c r="BO41" i="12"/>
  <c r="BP41" i="12"/>
  <c r="BQ41" i="12"/>
  <c r="BR41" i="12"/>
  <c r="BS41" i="12"/>
  <c r="BT41" i="12"/>
  <c r="BU41" i="12"/>
  <c r="BW41" i="12"/>
  <c r="FG41" i="12"/>
  <c r="BX41" i="12"/>
  <c r="FH41" i="12" s="1"/>
  <c r="BY41" i="12"/>
  <c r="FI41" i="12" s="1"/>
  <c r="BZ41" i="12"/>
  <c r="FJ41" i="12" s="1"/>
  <c r="CA41" i="12"/>
  <c r="CB41" i="12"/>
  <c r="FL41" i="12"/>
  <c r="FY41" i="12" s="1"/>
  <c r="CC41" i="12"/>
  <c r="FM41" i="12"/>
  <c r="CD41" i="12"/>
  <c r="FN41" i="12" s="1"/>
  <c r="CE41" i="12"/>
  <c r="FO41" i="12"/>
  <c r="CF41" i="12"/>
  <c r="FP41" i="12"/>
  <c r="CG41" i="12"/>
  <c r="FQ41" i="12"/>
  <c r="CH41" i="12"/>
  <c r="FR41" i="12" s="1"/>
  <c r="BH42" i="12"/>
  <c r="BJ42" i="12"/>
  <c r="BK42" i="12"/>
  <c r="BL42" i="12"/>
  <c r="BM42" i="12"/>
  <c r="BN42" i="12"/>
  <c r="CN42" i="12" s="1"/>
  <c r="BO42" i="12"/>
  <c r="BP42" i="12"/>
  <c r="BQ42" i="12"/>
  <c r="BR42" i="12"/>
  <c r="BS42" i="12"/>
  <c r="BT42" i="12"/>
  <c r="BU42" i="12"/>
  <c r="BW42" i="12"/>
  <c r="BX42" i="12"/>
  <c r="FH42" i="12" s="1"/>
  <c r="BY42" i="12"/>
  <c r="FI42" i="12"/>
  <c r="BZ42" i="12"/>
  <c r="FJ42" i="12" s="1"/>
  <c r="CA42" i="12"/>
  <c r="FK42" i="12"/>
  <c r="CB42" i="12"/>
  <c r="FL42" i="12" s="1"/>
  <c r="CC42" i="12"/>
  <c r="FM42" i="12"/>
  <c r="CD42" i="12"/>
  <c r="FN42" i="12" s="1"/>
  <c r="CE42" i="12"/>
  <c r="FO42" i="12" s="1"/>
  <c r="CF42" i="12"/>
  <c r="FP42" i="12" s="1"/>
  <c r="CG42" i="12"/>
  <c r="FQ42" i="12" s="1"/>
  <c r="CH42" i="12"/>
  <c r="FR42" i="12" s="1"/>
  <c r="BH43" i="12"/>
  <c r="ER43" i="12"/>
  <c r="BJ43" i="12"/>
  <c r="BK43" i="12"/>
  <c r="CK43" i="12" s="1"/>
  <c r="BL43" i="12"/>
  <c r="BM43" i="12"/>
  <c r="BN43" i="12"/>
  <c r="BO43" i="12"/>
  <c r="CO43" i="12"/>
  <c r="BP43" i="12"/>
  <c r="BQ43" i="12"/>
  <c r="BR43" i="12"/>
  <c r="CR43" i="12" s="1"/>
  <c r="BS43" i="12"/>
  <c r="CS43" i="12" s="1"/>
  <c r="BT43" i="12"/>
  <c r="BU43" i="12"/>
  <c r="BW43" i="12"/>
  <c r="FG43" i="12"/>
  <c r="BX43" i="12"/>
  <c r="FH43" i="12" s="1"/>
  <c r="FU43" i="12" s="1"/>
  <c r="BY43" i="12"/>
  <c r="BZ43" i="12"/>
  <c r="CA43" i="12"/>
  <c r="FK43" i="12" s="1"/>
  <c r="CB43" i="12"/>
  <c r="FL43" i="12"/>
  <c r="CC43" i="12"/>
  <c r="CD43" i="12"/>
  <c r="FN43" i="12" s="1"/>
  <c r="GA43" i="12" s="1"/>
  <c r="CE43" i="12"/>
  <c r="FO43" i="12" s="1"/>
  <c r="CF43" i="12"/>
  <c r="FP43" i="12" s="1"/>
  <c r="CG43" i="12"/>
  <c r="CH43" i="12"/>
  <c r="AO24" i="12"/>
  <c r="D232" i="12" s="1"/>
  <c r="AO25" i="12"/>
  <c r="D233" i="12" s="1"/>
  <c r="AO26" i="12"/>
  <c r="D234" i="12"/>
  <c r="AO27" i="12"/>
  <c r="AO28" i="12"/>
  <c r="D236" i="12" s="1"/>
  <c r="E236" i="12" s="1"/>
  <c r="AO29" i="12"/>
  <c r="D237" i="12" s="1"/>
  <c r="AO30" i="12"/>
  <c r="D238" i="12" s="1"/>
  <c r="AO31" i="12"/>
  <c r="D239" i="12" s="1"/>
  <c r="AO32" i="12"/>
  <c r="D240" i="12"/>
  <c r="AO33" i="12"/>
  <c r="D241" i="12" s="1"/>
  <c r="AO34" i="12"/>
  <c r="D242" i="12" s="1"/>
  <c r="AO35" i="12"/>
  <c r="D243" i="12" s="1"/>
  <c r="AO36" i="12"/>
  <c r="AO37" i="12"/>
  <c r="D245" i="12"/>
  <c r="AO38" i="12"/>
  <c r="D246" i="12" s="1"/>
  <c r="AO39" i="12"/>
  <c r="AO40" i="12"/>
  <c r="D248" i="12" s="1"/>
  <c r="AO41" i="12"/>
  <c r="D249" i="12" s="1"/>
  <c r="AO42" i="12"/>
  <c r="DY42" i="12" s="1"/>
  <c r="O42" i="16"/>
  <c r="AO43" i="12"/>
  <c r="D251" i="12"/>
  <c r="E251" i="12" s="1"/>
  <c r="AO44" i="12"/>
  <c r="DY44" i="12" s="1"/>
  <c r="AL24" i="12"/>
  <c r="AL25" i="12"/>
  <c r="AL26" i="12"/>
  <c r="AL27" i="12"/>
  <c r="AL28" i="12"/>
  <c r="AL29" i="12"/>
  <c r="AL30" i="12"/>
  <c r="AL31" i="12"/>
  <c r="AL32" i="12"/>
  <c r="AL33" i="12"/>
  <c r="AL34" i="12"/>
  <c r="AL35" i="12"/>
  <c r="AL36" i="12"/>
  <c r="AL37" i="12"/>
  <c r="AL38" i="12"/>
  <c r="AL39" i="12"/>
  <c r="AL40" i="12"/>
  <c r="AL41" i="12"/>
  <c r="AL42" i="12"/>
  <c r="AL43" i="12"/>
  <c r="AL44" i="12"/>
  <c r="AG24" i="12"/>
  <c r="AH24" i="12"/>
  <c r="AI24" i="12"/>
  <c r="AJ24" i="12"/>
  <c r="AG25" i="12"/>
  <c r="AH25" i="12"/>
  <c r="AI25" i="12"/>
  <c r="AJ25" i="12"/>
  <c r="AG26" i="12"/>
  <c r="AH26" i="12"/>
  <c r="AI26" i="12"/>
  <c r="AJ26" i="12"/>
  <c r="AG27" i="12"/>
  <c r="AH27" i="12"/>
  <c r="AI27" i="12"/>
  <c r="AJ27" i="12"/>
  <c r="AG28" i="12"/>
  <c r="AH28" i="12"/>
  <c r="AI28" i="12"/>
  <c r="AJ28" i="12"/>
  <c r="AG29" i="12"/>
  <c r="AH29" i="12"/>
  <c r="AI29" i="12"/>
  <c r="AJ29" i="12"/>
  <c r="AG30" i="12"/>
  <c r="AH30" i="12"/>
  <c r="AI30" i="12"/>
  <c r="AJ30" i="12"/>
  <c r="AG31" i="12"/>
  <c r="AH31" i="12"/>
  <c r="AI31" i="12"/>
  <c r="AJ31" i="12"/>
  <c r="AG32" i="12"/>
  <c r="AH32" i="12"/>
  <c r="AI32" i="12"/>
  <c r="AJ32" i="12"/>
  <c r="AG33" i="12"/>
  <c r="AH33" i="12"/>
  <c r="AI33" i="12"/>
  <c r="AJ33" i="12"/>
  <c r="AG34" i="12"/>
  <c r="AH34" i="12"/>
  <c r="AI34" i="12"/>
  <c r="AJ34" i="12"/>
  <c r="AG35" i="12"/>
  <c r="AH35" i="12"/>
  <c r="AI35" i="12"/>
  <c r="AJ35" i="12"/>
  <c r="AG36" i="12"/>
  <c r="AH36" i="12"/>
  <c r="AI36" i="12"/>
  <c r="AJ36" i="12"/>
  <c r="AG37" i="12"/>
  <c r="AH37" i="12"/>
  <c r="AI37" i="12"/>
  <c r="AJ37" i="12"/>
  <c r="AG38" i="12"/>
  <c r="AH38" i="12"/>
  <c r="AI38" i="12"/>
  <c r="AJ38" i="12"/>
  <c r="AG39" i="12"/>
  <c r="AH39" i="12"/>
  <c r="AI39" i="12"/>
  <c r="AJ39" i="12"/>
  <c r="AG40" i="12"/>
  <c r="AH40" i="12"/>
  <c r="AI40" i="12"/>
  <c r="AJ40" i="12"/>
  <c r="AH41" i="12"/>
  <c r="AI41" i="12"/>
  <c r="AJ41" i="12"/>
  <c r="AG42" i="12"/>
  <c r="AH42" i="12"/>
  <c r="AI42" i="12"/>
  <c r="AJ42" i="12"/>
  <c r="AG43" i="12"/>
  <c r="AH43" i="12"/>
  <c r="AI43" i="12"/>
  <c r="AJ43" i="12"/>
  <c r="AG44" i="12"/>
  <c r="AH44" i="12"/>
  <c r="AI44" i="12"/>
  <c r="AJ44" i="12"/>
  <c r="P24" i="12"/>
  <c r="P25" i="12"/>
  <c r="P26" i="12"/>
  <c r="P27" i="12"/>
  <c r="P28" i="12"/>
  <c r="P29" i="12"/>
  <c r="P30" i="12"/>
  <c r="P31" i="12"/>
  <c r="P32" i="12"/>
  <c r="P33" i="12"/>
  <c r="P34" i="12"/>
  <c r="P35" i="12"/>
  <c r="P36" i="12"/>
  <c r="P37" i="12"/>
  <c r="P38" i="12"/>
  <c r="P39" i="12"/>
  <c r="P40" i="12"/>
  <c r="P41" i="12"/>
  <c r="P42" i="12"/>
  <c r="P43" i="12"/>
  <c r="P44" i="12"/>
  <c r="M24" i="12"/>
  <c r="M25" i="12"/>
  <c r="M26" i="12"/>
  <c r="M27" i="12"/>
  <c r="M28" i="12"/>
  <c r="M29" i="12"/>
  <c r="M30" i="12"/>
  <c r="M31" i="12"/>
  <c r="M32" i="12"/>
  <c r="M33" i="12"/>
  <c r="M34" i="12"/>
  <c r="M35" i="12"/>
  <c r="M36" i="12"/>
  <c r="M37" i="12"/>
  <c r="M38" i="12"/>
  <c r="M39" i="12"/>
  <c r="M40" i="12"/>
  <c r="M41" i="12"/>
  <c r="M42" i="12"/>
  <c r="M43" i="12"/>
  <c r="M44" i="12"/>
  <c r="G24" i="12"/>
  <c r="G25" i="12"/>
  <c r="G26" i="12"/>
  <c r="G27" i="12"/>
  <c r="CR27" i="12" s="1"/>
  <c r="G28" i="12"/>
  <c r="G29" i="12"/>
  <c r="G30" i="12"/>
  <c r="G31" i="12"/>
  <c r="CN31" i="12" s="1"/>
  <c r="C239" i="12"/>
  <c r="G32" i="12"/>
  <c r="CS32" i="12" s="1"/>
  <c r="C240" i="12"/>
  <c r="G33" i="12"/>
  <c r="G34" i="12"/>
  <c r="G35" i="12"/>
  <c r="G36" i="12"/>
  <c r="C244" i="12" s="1"/>
  <c r="G37" i="12"/>
  <c r="C245" i="12" s="1"/>
  <c r="G38" i="12"/>
  <c r="G39" i="12"/>
  <c r="GK39" i="12" s="1"/>
  <c r="G40" i="12"/>
  <c r="CQ40" i="12" s="1"/>
  <c r="G41" i="12"/>
  <c r="G42" i="12"/>
  <c r="G43" i="12"/>
  <c r="C251" i="12"/>
  <c r="G44" i="12"/>
  <c r="F33" i="16"/>
  <c r="D24" i="12"/>
  <c r="GH24" i="12" s="1"/>
  <c r="C187" i="12"/>
  <c r="D25" i="12"/>
  <c r="AM25" i="12" s="1"/>
  <c r="D26" i="12"/>
  <c r="D27" i="12"/>
  <c r="D28" i="12"/>
  <c r="D29" i="12"/>
  <c r="D30" i="12"/>
  <c r="D31" i="12"/>
  <c r="GH31" i="12" s="1"/>
  <c r="AM31" i="12"/>
  <c r="AN31" i="12" s="1"/>
  <c r="D32" i="12"/>
  <c r="GH32" i="12" s="1"/>
  <c r="D33" i="12"/>
  <c r="AM33" i="12" s="1"/>
  <c r="D34" i="12"/>
  <c r="D35" i="12"/>
  <c r="D36" i="12"/>
  <c r="GH36" i="12" s="1"/>
  <c r="D37" i="12"/>
  <c r="AM37" i="12"/>
  <c r="D38" i="12"/>
  <c r="C201" i="12"/>
  <c r="D39" i="12"/>
  <c r="AM39" i="12"/>
  <c r="D40" i="12"/>
  <c r="D41" i="12"/>
  <c r="AM41" i="12"/>
  <c r="D42" i="12"/>
  <c r="D43" i="12"/>
  <c r="BW9" i="32"/>
  <c r="BX9" i="32"/>
  <c r="BY9" i="32"/>
  <c r="BW10" i="32"/>
  <c r="BX10" i="32"/>
  <c r="BY10" i="32"/>
  <c r="BW13" i="32"/>
  <c r="BY13" i="32"/>
  <c r="BX18" i="32"/>
  <c r="BY8" i="32"/>
  <c r="BX8" i="32"/>
  <c r="BW8" i="32"/>
  <c r="BV8" i="32"/>
  <c r="B38" i="8"/>
  <c r="B39" i="8"/>
  <c r="B40" i="8"/>
  <c r="B37" i="8"/>
  <c r="B6" i="8"/>
  <c r="B7" i="8"/>
  <c r="B8" i="8"/>
  <c r="B5" i="8"/>
  <c r="G23" i="31"/>
  <c r="AR13" i="32" s="1"/>
  <c r="G24" i="31"/>
  <c r="AR14" i="32"/>
  <c r="G25" i="31"/>
  <c r="AR15" i="32" s="1"/>
  <c r="G26" i="31"/>
  <c r="AR16" i="32"/>
  <c r="G27" i="31"/>
  <c r="G28" i="31"/>
  <c r="AR18" i="32" s="1"/>
  <c r="G29" i="31"/>
  <c r="AR19" i="32"/>
  <c r="G20" i="31"/>
  <c r="G21" i="31"/>
  <c r="G22" i="31"/>
  <c r="AR12" i="32" s="1"/>
  <c r="AR8" i="32"/>
  <c r="BH8" i="32"/>
  <c r="F21" i="31"/>
  <c r="F22" i="31"/>
  <c r="AM12" i="32"/>
  <c r="AT12" i="32"/>
  <c r="AU12" i="32" s="1"/>
  <c r="F23" i="31"/>
  <c r="AM13" i="32" s="1"/>
  <c r="F24" i="31"/>
  <c r="AM14" i="32" s="1"/>
  <c r="F25" i="31"/>
  <c r="AM15" i="32" s="1"/>
  <c r="F26" i="31"/>
  <c r="AM16" i="32" s="1"/>
  <c r="F27" i="31"/>
  <c r="AM17" i="32" s="1"/>
  <c r="F28" i="31"/>
  <c r="AM18" i="32"/>
  <c r="F29" i="31"/>
  <c r="AM19" i="32" s="1"/>
  <c r="AT19" i="32" s="1"/>
  <c r="AV6" i="27"/>
  <c r="AV7" i="27"/>
  <c r="AW7" i="27" s="1"/>
  <c r="AV5" i="27"/>
  <c r="AS6" i="27"/>
  <c r="AT6" i="27"/>
  <c r="AS7" i="27"/>
  <c r="AT7" i="27"/>
  <c r="AT5" i="27"/>
  <c r="AS5" i="27"/>
  <c r="AW5" i="27" s="1"/>
  <c r="AY5" i="27"/>
  <c r="AY6" i="27"/>
  <c r="AY7" i="27"/>
  <c r="AJ6" i="27"/>
  <c r="AJ7" i="27"/>
  <c r="AJ5" i="27"/>
  <c r="AG6" i="27"/>
  <c r="AH6" i="27"/>
  <c r="AK6" i="27" s="1"/>
  <c r="AG7" i="27"/>
  <c r="AH7" i="27"/>
  <c r="AL7" i="27"/>
  <c r="AH5" i="27"/>
  <c r="AG5" i="27"/>
  <c r="AK5" i="27"/>
  <c r="AV6" i="26"/>
  <c r="AV7" i="26"/>
  <c r="AW7" i="26" s="1"/>
  <c r="AV5" i="26"/>
  <c r="AS6" i="26"/>
  <c r="AT6" i="26"/>
  <c r="AS7" i="26"/>
  <c r="AT7" i="26"/>
  <c r="AT5" i="26"/>
  <c r="AS5" i="26"/>
  <c r="AY5" i="26"/>
  <c r="AY10" i="26" s="1"/>
  <c r="AY6" i="26"/>
  <c r="AY7" i="26"/>
  <c r="AJ6" i="26"/>
  <c r="AJ7" i="26"/>
  <c r="AJ5" i="26"/>
  <c r="AG6" i="26"/>
  <c r="AH6" i="26"/>
  <c r="AG7" i="26"/>
  <c r="AH7" i="26"/>
  <c r="AL7" i="26"/>
  <c r="AH5" i="26"/>
  <c r="AG5" i="26"/>
  <c r="AL5" i="26"/>
  <c r="AL6" i="26"/>
  <c r="AV6" i="25"/>
  <c r="AV7" i="25"/>
  <c r="AV5" i="25"/>
  <c r="AS6" i="25"/>
  <c r="AT6" i="25"/>
  <c r="AS7" i="25"/>
  <c r="AT7" i="25"/>
  <c r="AT5" i="25"/>
  <c r="AW5" i="25"/>
  <c r="AS5" i="25"/>
  <c r="AY5" i="25"/>
  <c r="AY6" i="25"/>
  <c r="AY7" i="25"/>
  <c r="AJ6" i="25"/>
  <c r="AJ7" i="25"/>
  <c r="AJ5" i="25"/>
  <c r="AK5" i="25"/>
  <c r="AG6" i="25"/>
  <c r="AH6" i="25"/>
  <c r="AG7" i="25"/>
  <c r="AH7" i="25"/>
  <c r="AL7" i="25"/>
  <c r="AH5" i="25"/>
  <c r="AG5" i="25"/>
  <c r="AL5" i="25"/>
  <c r="AL10" i="25" s="1"/>
  <c r="AZ7" i="27"/>
  <c r="AX7" i="27"/>
  <c r="AN7" i="27"/>
  <c r="AM7" i="27"/>
  <c r="AZ6" i="27"/>
  <c r="AX6" i="27"/>
  <c r="AN6" i="27"/>
  <c r="AM6" i="27"/>
  <c r="AZ5" i="27"/>
  <c r="AX5" i="27"/>
  <c r="AN5" i="27"/>
  <c r="AN10" i="27"/>
  <c r="AM5" i="27"/>
  <c r="AZ7" i="26"/>
  <c r="AZ10" i="26" s="1"/>
  <c r="AX7" i="26"/>
  <c r="AN7" i="26"/>
  <c r="AM7" i="26"/>
  <c r="AZ6" i="26"/>
  <c r="AX6" i="26"/>
  <c r="AX10" i="26" s="1"/>
  <c r="AN6" i="26"/>
  <c r="AM6" i="26"/>
  <c r="AZ5" i="26"/>
  <c r="AX5" i="26"/>
  <c r="AN5" i="26"/>
  <c r="AM5" i="26"/>
  <c r="AM10" i="26"/>
  <c r="AZ7" i="25"/>
  <c r="AX7" i="25"/>
  <c r="AN7" i="25"/>
  <c r="AM7" i="25"/>
  <c r="AZ6" i="25"/>
  <c r="AX6" i="25"/>
  <c r="AN6" i="25"/>
  <c r="AM6" i="25"/>
  <c r="AL6" i="25"/>
  <c r="AZ5" i="25"/>
  <c r="AX5" i="25"/>
  <c r="AX10" i="25" s="1"/>
  <c r="AN5" i="25"/>
  <c r="AM5" i="25"/>
  <c r="AX6" i="15"/>
  <c r="AY6" i="15"/>
  <c r="AZ6" i="15"/>
  <c r="AZ10" i="15"/>
  <c r="AX7" i="15"/>
  <c r="AY7" i="15"/>
  <c r="AZ7" i="15"/>
  <c r="AZ5" i="15"/>
  <c r="AX5" i="15"/>
  <c r="AN6" i="15"/>
  <c r="AM7" i="15"/>
  <c r="AN7" i="15"/>
  <c r="AN10" i="15" s="1"/>
  <c r="AN5" i="15"/>
  <c r="AM5" i="15"/>
  <c r="AJ6" i="15"/>
  <c r="AJ7" i="15"/>
  <c r="AJ5" i="15"/>
  <c r="AV6" i="15"/>
  <c r="AW6" i="15" s="1"/>
  <c r="AV7" i="15"/>
  <c r="AV5" i="15"/>
  <c r="AS6" i="15"/>
  <c r="AT6" i="15"/>
  <c r="AS7" i="15"/>
  <c r="AW7" i="15" s="1"/>
  <c r="AT7" i="15"/>
  <c r="AT5" i="15"/>
  <c r="AW5" i="15" s="1"/>
  <c r="AS5" i="15"/>
  <c r="AG6" i="15"/>
  <c r="AH6" i="15"/>
  <c r="AG7" i="15"/>
  <c r="AH7" i="15"/>
  <c r="AH5" i="15"/>
  <c r="AG5" i="15"/>
  <c r="AK5" i="15" s="1"/>
  <c r="CH6" i="18"/>
  <c r="CI6" i="18"/>
  <c r="CH7" i="18"/>
  <c r="CH8" i="18"/>
  <c r="CI8" i="18"/>
  <c r="CH9" i="18"/>
  <c r="CH10" i="18"/>
  <c r="CI10" i="18"/>
  <c r="CH11" i="18"/>
  <c r="CI11" i="18" s="1"/>
  <c r="CH12" i="18"/>
  <c r="CH13" i="18"/>
  <c r="CH14" i="18"/>
  <c r="CH15" i="18"/>
  <c r="CI15" i="18" s="1"/>
  <c r="CH16" i="18"/>
  <c r="CI16" i="18" s="1"/>
  <c r="CK16" i="18" s="1"/>
  <c r="CH17" i="18"/>
  <c r="CI17" i="18"/>
  <c r="CH18" i="18"/>
  <c r="CI18" i="18" s="1"/>
  <c r="CH19" i="18"/>
  <c r="CI19" i="18" s="1"/>
  <c r="CH20" i="18"/>
  <c r="CI20" i="18" s="1"/>
  <c r="CH21" i="18"/>
  <c r="CI21" i="18" s="1"/>
  <c r="CK21" i="18" s="1"/>
  <c r="CH22" i="18"/>
  <c r="CI22" i="18" s="1"/>
  <c r="CH23" i="18"/>
  <c r="CI23" i="18" s="1"/>
  <c r="CK23" i="18" s="1"/>
  <c r="CH24" i="18"/>
  <c r="CI24" i="18" s="1"/>
  <c r="CH25" i="18"/>
  <c r="CI25" i="18"/>
  <c r="CH26" i="18"/>
  <c r="CI26" i="18"/>
  <c r="CK26" i="18" s="1"/>
  <c r="CH27" i="18"/>
  <c r="CI27" i="18" s="1"/>
  <c r="CH5" i="18"/>
  <c r="CI5" i="18" s="1"/>
  <c r="CJ6" i="18"/>
  <c r="CJ8" i="18"/>
  <c r="CJ10" i="18"/>
  <c r="CJ12" i="18"/>
  <c r="CJ13" i="18"/>
  <c r="CJ14" i="18"/>
  <c r="CJ15" i="18"/>
  <c r="CJ16" i="18"/>
  <c r="CJ17" i="18"/>
  <c r="CK17" i="18" s="1"/>
  <c r="CJ18" i="18"/>
  <c r="CK18" i="18"/>
  <c r="CJ19" i="18"/>
  <c r="CJ20" i="18"/>
  <c r="CJ21" i="18"/>
  <c r="CJ22" i="18"/>
  <c r="CK22" i="18" s="1"/>
  <c r="CJ23" i="18"/>
  <c r="CJ24" i="18"/>
  <c r="CJ25" i="18"/>
  <c r="CJ26" i="18"/>
  <c r="CJ27" i="18"/>
  <c r="CI12" i="18"/>
  <c r="CI13" i="18"/>
  <c r="CK13" i="18" s="1"/>
  <c r="CI14" i="18"/>
  <c r="CK14" i="18"/>
  <c r="G47" i="18"/>
  <c r="G46" i="18"/>
  <c r="BP6" i="18"/>
  <c r="BQ6" i="18"/>
  <c r="BR6" i="18"/>
  <c r="BS6" i="18"/>
  <c r="BP7" i="18"/>
  <c r="BR7" i="18"/>
  <c r="BS7" i="18"/>
  <c r="BP8" i="18"/>
  <c r="BQ8" i="18"/>
  <c r="BR8" i="18"/>
  <c r="BS8" i="18"/>
  <c r="BP9" i="18"/>
  <c r="BQ9" i="18"/>
  <c r="BS9" i="18"/>
  <c r="BP10" i="18"/>
  <c r="BQ10" i="18"/>
  <c r="BR10" i="18"/>
  <c r="BS10" i="18"/>
  <c r="BP11" i="18"/>
  <c r="BQ11" i="18"/>
  <c r="BR11" i="18"/>
  <c r="BP12" i="18"/>
  <c r="BQ12" i="18"/>
  <c r="BR12" i="18"/>
  <c r="BS12" i="18"/>
  <c r="BP13" i="18"/>
  <c r="BQ13" i="18"/>
  <c r="BR13" i="18"/>
  <c r="BS13" i="18"/>
  <c r="BP14" i="18"/>
  <c r="BQ14" i="18"/>
  <c r="BR14" i="18"/>
  <c r="BS14" i="18"/>
  <c r="BP15" i="18"/>
  <c r="BQ15" i="18"/>
  <c r="BR15" i="18"/>
  <c r="BS15" i="18"/>
  <c r="BP16" i="18"/>
  <c r="BQ16" i="18"/>
  <c r="BR16" i="18"/>
  <c r="BS16" i="18"/>
  <c r="BP17" i="18"/>
  <c r="BQ17" i="18"/>
  <c r="BR17" i="18"/>
  <c r="BS17" i="18"/>
  <c r="BP18" i="18"/>
  <c r="BQ18" i="18"/>
  <c r="BR18" i="18"/>
  <c r="BS18" i="18"/>
  <c r="BP19" i="18"/>
  <c r="BQ19" i="18"/>
  <c r="BR19" i="18"/>
  <c r="BS19" i="18"/>
  <c r="BP20" i="18"/>
  <c r="BQ20" i="18"/>
  <c r="BR20" i="18"/>
  <c r="BS20" i="18"/>
  <c r="BP21" i="18"/>
  <c r="BQ21" i="18"/>
  <c r="BR21" i="18"/>
  <c r="BS21" i="18"/>
  <c r="BP22" i="18"/>
  <c r="BQ22" i="18"/>
  <c r="BR22" i="18"/>
  <c r="BS22" i="18"/>
  <c r="BP23" i="18"/>
  <c r="BQ23" i="18"/>
  <c r="BR23" i="18"/>
  <c r="BS23" i="18"/>
  <c r="BP24" i="18"/>
  <c r="BQ24" i="18"/>
  <c r="BR24" i="18"/>
  <c r="BS24" i="18"/>
  <c r="BP25" i="18"/>
  <c r="BQ25" i="18"/>
  <c r="BR25" i="18"/>
  <c r="BS25" i="18"/>
  <c r="BP26" i="18"/>
  <c r="BQ26" i="18"/>
  <c r="BR26" i="18"/>
  <c r="BS26" i="18"/>
  <c r="BP27" i="18"/>
  <c r="BQ27" i="18"/>
  <c r="BR27" i="18"/>
  <c r="BS27" i="18"/>
  <c r="BP28" i="18"/>
  <c r="BQ28" i="18"/>
  <c r="BR28" i="18"/>
  <c r="BS28" i="18"/>
  <c r="BS5" i="18"/>
  <c r="BR5" i="18"/>
  <c r="AH1" i="18"/>
  <c r="AG1" i="18"/>
  <c r="CE6" i="18"/>
  <c r="GJ10" i="43" s="1"/>
  <c r="CE8" i="18"/>
  <c r="CE10" i="18"/>
  <c r="CE12" i="18"/>
  <c r="GJ16" i="45" s="1"/>
  <c r="CE13" i="18"/>
  <c r="CE14" i="18"/>
  <c r="GJ18" i="45"/>
  <c r="CE15" i="18"/>
  <c r="CE16" i="18"/>
  <c r="CE17" i="18"/>
  <c r="CE18" i="18"/>
  <c r="CE19" i="18"/>
  <c r="GJ23" i="44" s="1"/>
  <c r="CE20" i="18"/>
  <c r="CE21" i="18"/>
  <c r="CE22" i="18"/>
  <c r="GJ26" i="44" s="1"/>
  <c r="CE23" i="18"/>
  <c r="CE24" i="18"/>
  <c r="GJ28" i="44"/>
  <c r="CE25" i="18"/>
  <c r="CE26" i="18"/>
  <c r="CE27" i="18"/>
  <c r="CE28" i="18"/>
  <c r="GJ32" i="43" s="1"/>
  <c r="GA19" i="41"/>
  <c r="N27" i="17"/>
  <c r="N5" i="17"/>
  <c r="N6" i="17"/>
  <c r="N7" i="17"/>
  <c r="N8" i="17"/>
  <c r="N9" i="17"/>
  <c r="N10" i="17"/>
  <c r="N11" i="17"/>
  <c r="O11" i="17" s="1"/>
  <c r="AE12" i="18" s="1"/>
  <c r="N12" i="17"/>
  <c r="N13" i="17"/>
  <c r="N14" i="17"/>
  <c r="N15" i="17"/>
  <c r="N16" i="17"/>
  <c r="N17" i="17"/>
  <c r="N18" i="17"/>
  <c r="N19" i="17"/>
  <c r="N20" i="17"/>
  <c r="N21" i="17"/>
  <c r="N22" i="17"/>
  <c r="N23" i="17"/>
  <c r="N24" i="17"/>
  <c r="N25" i="17"/>
  <c r="N26" i="17"/>
  <c r="N4" i="17"/>
  <c r="E19" i="31"/>
  <c r="E20" i="31"/>
  <c r="E21" i="31"/>
  <c r="E22" i="31"/>
  <c r="E23" i="31"/>
  <c r="E24" i="31"/>
  <c r="E25" i="31"/>
  <c r="E26" i="31"/>
  <c r="E27" i="31"/>
  <c r="E28" i="31"/>
  <c r="E29" i="31"/>
  <c r="E18" i="31"/>
  <c r="E4" i="31"/>
  <c r="E5" i="31"/>
  <c r="E6" i="31"/>
  <c r="E7" i="31"/>
  <c r="E8" i="31"/>
  <c r="E9" i="31"/>
  <c r="E10" i="31"/>
  <c r="E11" i="31"/>
  <c r="E12" i="31"/>
  <c r="E13" i="31"/>
  <c r="E14" i="31"/>
  <c r="E3" i="31"/>
  <c r="K38" i="27"/>
  <c r="K42" i="27"/>
  <c r="K43" i="27" s="1"/>
  <c r="J38" i="27"/>
  <c r="J42" i="27" s="1"/>
  <c r="J43" i="27"/>
  <c r="J48" i="27" s="1"/>
  <c r="J49" i="27" s="1"/>
  <c r="C65" i="27" s="1"/>
  <c r="I38" i="27"/>
  <c r="K38" i="26"/>
  <c r="J38" i="26"/>
  <c r="I38" i="26"/>
  <c r="K38" i="25"/>
  <c r="J38" i="25"/>
  <c r="I38" i="25"/>
  <c r="T84" i="35"/>
  <c r="X84" i="35" s="1"/>
  <c r="W84" i="35"/>
  <c r="Z98" i="35"/>
  <c r="F70" i="25"/>
  <c r="X98" i="35"/>
  <c r="N112" i="35"/>
  <c r="N109" i="35"/>
  <c r="AA94" i="35"/>
  <c r="Y93" i="35"/>
  <c r="H79" i="35"/>
  <c r="V84" i="35"/>
  <c r="V83" i="35"/>
  <c r="V82" i="35"/>
  <c r="V75" i="35"/>
  <c r="P84" i="35"/>
  <c r="P83" i="35"/>
  <c r="P82" i="35"/>
  <c r="P75" i="35"/>
  <c r="J84" i="35"/>
  <c r="J83" i="35"/>
  <c r="J82" i="35"/>
  <c r="J75" i="35"/>
  <c r="D75" i="35"/>
  <c r="D82" i="35"/>
  <c r="D83" i="35"/>
  <c r="D84" i="35"/>
  <c r="AA88" i="35"/>
  <c r="X97" i="35"/>
  <c r="X96" i="35"/>
  <c r="C56" i="35"/>
  <c r="M56" i="35" s="1"/>
  <c r="C57" i="35"/>
  <c r="M57" i="35"/>
  <c r="C58" i="35"/>
  <c r="B56" i="35"/>
  <c r="L56" i="35" s="1"/>
  <c r="B57" i="35"/>
  <c r="B58" i="35"/>
  <c r="D56" i="35"/>
  <c r="N56" i="35"/>
  <c r="E56" i="35"/>
  <c r="O56" i="35"/>
  <c r="D57" i="35"/>
  <c r="E57" i="35"/>
  <c r="O57" i="35" s="1"/>
  <c r="D58" i="35"/>
  <c r="N58" i="35" s="1"/>
  <c r="E58" i="35"/>
  <c r="O58" i="35"/>
  <c r="C55" i="35"/>
  <c r="D55" i="35"/>
  <c r="D59" i="35"/>
  <c r="E55" i="35"/>
  <c r="B55" i="35"/>
  <c r="C43" i="32"/>
  <c r="C44" i="32"/>
  <c r="C45" i="32"/>
  <c r="F5" i="31"/>
  <c r="F6" i="31"/>
  <c r="D11" i="32"/>
  <c r="K11" i="32" s="1"/>
  <c r="L11" i="32" s="1"/>
  <c r="F7" i="31"/>
  <c r="D12" i="32"/>
  <c r="F8" i="31"/>
  <c r="D13" i="32"/>
  <c r="F9" i="31"/>
  <c r="D14" i="32"/>
  <c r="F10" i="31"/>
  <c r="D15" i="32"/>
  <c r="K15" i="32" s="1"/>
  <c r="L15" i="32" s="1"/>
  <c r="F11" i="31"/>
  <c r="D16" i="32"/>
  <c r="F12" i="31"/>
  <c r="D17" i="32"/>
  <c r="F13" i="31"/>
  <c r="F14" i="31"/>
  <c r="D19" i="32" s="1"/>
  <c r="F3" i="31"/>
  <c r="D8" i="32" s="1"/>
  <c r="AH23" i="18"/>
  <c r="GI13" i="12"/>
  <c r="GI17" i="12"/>
  <c r="GI21" i="12"/>
  <c r="D8" i="12"/>
  <c r="G22" i="12"/>
  <c r="BQ16" i="12"/>
  <c r="BH16" i="12"/>
  <c r="G16" i="12"/>
  <c r="BM20" i="12"/>
  <c r="BH20" i="12"/>
  <c r="CT20" i="12" s="1"/>
  <c r="G20" i="12"/>
  <c r="BO20" i="12"/>
  <c r="BU6" i="12"/>
  <c r="BH6" i="12"/>
  <c r="G6" i="12"/>
  <c r="BK10" i="12"/>
  <c r="CK10" i="12" s="1"/>
  <c r="BH10" i="12"/>
  <c r="G10" i="12"/>
  <c r="BM12" i="12"/>
  <c r="BH12" i="12"/>
  <c r="ER12" i="12" s="1"/>
  <c r="G12" i="12"/>
  <c r="C220" i="12" s="1"/>
  <c r="BK14" i="12"/>
  <c r="BH14" i="12"/>
  <c r="ER14" i="12" s="1"/>
  <c r="G14" i="12"/>
  <c r="BM16" i="12"/>
  <c r="BM18" i="12"/>
  <c r="BH18" i="12"/>
  <c r="G18" i="12"/>
  <c r="BM44" i="12"/>
  <c r="BH44" i="12"/>
  <c r="CU44" i="12"/>
  <c r="GI44" i="12"/>
  <c r="O6" i="18"/>
  <c r="P6" i="18" s="1"/>
  <c r="O7" i="18"/>
  <c r="O8" i="18"/>
  <c r="O9" i="18"/>
  <c r="O10" i="18"/>
  <c r="P10" i="18"/>
  <c r="O11" i="18"/>
  <c r="O12" i="18"/>
  <c r="P12" i="18"/>
  <c r="O13" i="18"/>
  <c r="P13" i="18"/>
  <c r="O14" i="18"/>
  <c r="P14" i="18"/>
  <c r="O15" i="18"/>
  <c r="P15" i="18"/>
  <c r="O16" i="18"/>
  <c r="P16" i="18"/>
  <c r="O17" i="18"/>
  <c r="P17" i="18"/>
  <c r="O18" i="18"/>
  <c r="P18" i="18"/>
  <c r="O19" i="18"/>
  <c r="P19" i="18"/>
  <c r="O20" i="18"/>
  <c r="P20" i="18"/>
  <c r="O21" i="18"/>
  <c r="P21" i="18"/>
  <c r="O22" i="18"/>
  <c r="P22" i="18"/>
  <c r="O23" i="18"/>
  <c r="P23" i="18"/>
  <c r="O24" i="18"/>
  <c r="P24" i="18"/>
  <c r="O25" i="18"/>
  <c r="P25" i="18"/>
  <c r="O26" i="18"/>
  <c r="P26" i="18"/>
  <c r="O27" i="18"/>
  <c r="P27" i="18"/>
  <c r="O28" i="18"/>
  <c r="P28" i="18"/>
  <c r="O5" i="18"/>
  <c r="P5" i="18"/>
  <c r="GR4" i="12"/>
  <c r="GR5" i="12"/>
  <c r="HG5" i="12"/>
  <c r="GR6" i="12"/>
  <c r="GR7" i="12"/>
  <c r="GR8" i="12"/>
  <c r="HF8" i="12" s="1"/>
  <c r="GR9" i="12"/>
  <c r="HE9" i="12"/>
  <c r="GR10" i="12"/>
  <c r="HE10" i="12"/>
  <c r="GR11" i="12"/>
  <c r="GR12" i="12"/>
  <c r="GR13" i="12"/>
  <c r="GR14" i="12"/>
  <c r="HE14" i="12"/>
  <c r="GR15" i="12"/>
  <c r="HF15" i="12"/>
  <c r="GR16" i="12"/>
  <c r="HF16" i="12"/>
  <c r="GR17" i="12"/>
  <c r="HF17" i="12"/>
  <c r="GR18" i="12"/>
  <c r="HE18" i="12"/>
  <c r="GR19" i="12"/>
  <c r="HE19" i="12"/>
  <c r="GR20" i="12"/>
  <c r="HF20" i="12"/>
  <c r="GR21" i="12"/>
  <c r="HF21" i="12" s="1"/>
  <c r="HE21" i="12"/>
  <c r="GR22" i="12"/>
  <c r="GR23" i="12"/>
  <c r="HE23" i="12"/>
  <c r="GR44" i="12"/>
  <c r="HF44" i="12"/>
  <c r="GR3" i="12"/>
  <c r="C31" i="20"/>
  <c r="C32" i="20"/>
  <c r="B123" i="44"/>
  <c r="C33" i="20"/>
  <c r="C30" i="20"/>
  <c r="B123" i="41"/>
  <c r="E123" i="41"/>
  <c r="I21" i="1"/>
  <c r="B8" i="28"/>
  <c r="C38" i="27"/>
  <c r="L38" i="27"/>
  <c r="C38" i="26"/>
  <c r="O38" i="26"/>
  <c r="C14" i="8"/>
  <c r="U4" i="33"/>
  <c r="D14" i="8"/>
  <c r="V4" i="33"/>
  <c r="C15" i="8"/>
  <c r="U5" i="33"/>
  <c r="D15" i="8"/>
  <c r="V5" i="33"/>
  <c r="C16" i="8"/>
  <c r="U6" i="33"/>
  <c r="D16" i="8"/>
  <c r="V6" i="33"/>
  <c r="F14" i="8"/>
  <c r="X4" i="33"/>
  <c r="G14" i="8"/>
  <c r="Y4" i="33"/>
  <c r="F15" i="8"/>
  <c r="X5" i="33"/>
  <c r="G15" i="8"/>
  <c r="Y5" i="33"/>
  <c r="F16" i="8"/>
  <c r="X6" i="33"/>
  <c r="G16" i="8"/>
  <c r="Y6" i="33"/>
  <c r="G13" i="8"/>
  <c r="Y3" i="33"/>
  <c r="D13" i="8"/>
  <c r="V3" i="33"/>
  <c r="F13" i="8"/>
  <c r="X3" i="33"/>
  <c r="C13" i="8"/>
  <c r="U3" i="33"/>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52" i="12"/>
  <c r="B252" i="12"/>
  <c r="B211" i="12"/>
  <c r="A211" i="12"/>
  <c r="B167" i="12"/>
  <c r="M167" i="12"/>
  <c r="B168" i="12"/>
  <c r="B169" i="12"/>
  <c r="B170" i="12"/>
  <c r="B171" i="12"/>
  <c r="K144" i="12"/>
  <c r="B172" i="12"/>
  <c r="B173" i="12"/>
  <c r="B174" i="12"/>
  <c r="B175" i="12"/>
  <c r="B176" i="12"/>
  <c r="B177" i="12"/>
  <c r="B178" i="12"/>
  <c r="B179" i="12"/>
  <c r="B180" i="12"/>
  <c r="B181" i="12"/>
  <c r="B182" i="12"/>
  <c r="B183" i="12"/>
  <c r="B184" i="12"/>
  <c r="L184" i="12"/>
  <c r="B185" i="12"/>
  <c r="B186" i="12"/>
  <c r="B207" i="12"/>
  <c r="A167" i="12"/>
  <c r="A168" i="12"/>
  <c r="A169" i="12"/>
  <c r="A170" i="12"/>
  <c r="A171" i="12"/>
  <c r="A172" i="12"/>
  <c r="A173" i="12"/>
  <c r="A174" i="12"/>
  <c r="A175" i="12"/>
  <c r="A176" i="12"/>
  <c r="A177" i="12"/>
  <c r="A178" i="12"/>
  <c r="A179" i="12"/>
  <c r="A180" i="12"/>
  <c r="A181" i="12"/>
  <c r="A182" i="12"/>
  <c r="A183" i="12"/>
  <c r="A184" i="12"/>
  <c r="A185" i="12"/>
  <c r="A186" i="12"/>
  <c r="A207" i="12"/>
  <c r="A166" i="12"/>
  <c r="B166" i="12"/>
  <c r="P7" i="12"/>
  <c r="P8" i="12"/>
  <c r="P10" i="12"/>
  <c r="P11" i="12"/>
  <c r="P12" i="12"/>
  <c r="P13" i="12"/>
  <c r="P14" i="12"/>
  <c r="P16" i="12"/>
  <c r="P17" i="12"/>
  <c r="P18" i="12"/>
  <c r="P19" i="12"/>
  <c r="P20" i="12"/>
  <c r="P21" i="12"/>
  <c r="P22" i="12"/>
  <c r="P23" i="12"/>
  <c r="I24" i="13"/>
  <c r="X6" i="25"/>
  <c r="X7" i="25"/>
  <c r="X8" i="25"/>
  <c r="X9" i="25"/>
  <c r="X5" i="25"/>
  <c r="U6" i="25"/>
  <c r="V6" i="25"/>
  <c r="U7" i="25"/>
  <c r="V7" i="25"/>
  <c r="U8" i="25"/>
  <c r="V8" i="25"/>
  <c r="U9" i="25"/>
  <c r="V9" i="25"/>
  <c r="V5" i="25"/>
  <c r="U5" i="25"/>
  <c r="X6" i="26"/>
  <c r="X7" i="26"/>
  <c r="X8" i="26"/>
  <c r="X9" i="26"/>
  <c r="X5" i="26"/>
  <c r="U6" i="26"/>
  <c r="V6" i="26"/>
  <c r="U7" i="26"/>
  <c r="V7" i="26"/>
  <c r="U8" i="26"/>
  <c r="V8" i="26"/>
  <c r="U9" i="26"/>
  <c r="V9" i="26"/>
  <c r="V5" i="26"/>
  <c r="U5" i="26"/>
  <c r="X6" i="27"/>
  <c r="X7" i="27"/>
  <c r="X8" i="27"/>
  <c r="X9" i="27"/>
  <c r="X5" i="27"/>
  <c r="U6" i="27"/>
  <c r="V6" i="27"/>
  <c r="U7" i="27"/>
  <c r="V7" i="27"/>
  <c r="U8" i="27"/>
  <c r="V8" i="27"/>
  <c r="U9" i="27"/>
  <c r="V9" i="27"/>
  <c r="V5" i="27"/>
  <c r="U5" i="27"/>
  <c r="AB9" i="27"/>
  <c r="AA9" i="27"/>
  <c r="Y9" i="27"/>
  <c r="Z9" i="27"/>
  <c r="AB8" i="27"/>
  <c r="AA8" i="27"/>
  <c r="Y8" i="27"/>
  <c r="Z8" i="27"/>
  <c r="AB7" i="27"/>
  <c r="AA7" i="27"/>
  <c r="AA10" i="27" s="1"/>
  <c r="Y7" i="27"/>
  <c r="Z7" i="27"/>
  <c r="AB6" i="27"/>
  <c r="Z6" i="27"/>
  <c r="Y6" i="27"/>
  <c r="AA6" i="27"/>
  <c r="AB5" i="27"/>
  <c r="AA5" i="27"/>
  <c r="Y5" i="27"/>
  <c r="Z5" i="27"/>
  <c r="AB9" i="26"/>
  <c r="AA9" i="26"/>
  <c r="Y9" i="26"/>
  <c r="Z9" i="26"/>
  <c r="AB8" i="26"/>
  <c r="AA8" i="26"/>
  <c r="Y8" i="26"/>
  <c r="Z8" i="26"/>
  <c r="AB7" i="26"/>
  <c r="AA7" i="26"/>
  <c r="Y7" i="26"/>
  <c r="Z7" i="26"/>
  <c r="AB6" i="26"/>
  <c r="AB10" i="26" s="1"/>
  <c r="Z6" i="26"/>
  <c r="Y6" i="26"/>
  <c r="AA6" i="26"/>
  <c r="AA5" i="26"/>
  <c r="AB5" i="26"/>
  <c r="Y5" i="26"/>
  <c r="Z5" i="26"/>
  <c r="AB9" i="25"/>
  <c r="AA9" i="25"/>
  <c r="Z9" i="25"/>
  <c r="Y9" i="25"/>
  <c r="AB8" i="25"/>
  <c r="AA8" i="25"/>
  <c r="Y8" i="25"/>
  <c r="Z8" i="25"/>
  <c r="AB7" i="25"/>
  <c r="AA7" i="25"/>
  <c r="Y7" i="25"/>
  <c r="Z7" i="25"/>
  <c r="AB6" i="25"/>
  <c r="Z6" i="25"/>
  <c r="Z5" i="25"/>
  <c r="Y6" i="25"/>
  <c r="AA6" i="25"/>
  <c r="AB5" i="25"/>
  <c r="AA5" i="25"/>
  <c r="Y5" i="25"/>
  <c r="Z6" i="15"/>
  <c r="AB6" i="15"/>
  <c r="AB10" i="15"/>
  <c r="Z7" i="15"/>
  <c r="AA7" i="15"/>
  <c r="AB7" i="15"/>
  <c r="Z8" i="15"/>
  <c r="AA8" i="15"/>
  <c r="AB8" i="15"/>
  <c r="Z9" i="15"/>
  <c r="AA9" i="15"/>
  <c r="AB9" i="15"/>
  <c r="AB5" i="15"/>
  <c r="Y9" i="15"/>
  <c r="Y8" i="15"/>
  <c r="Y7" i="15"/>
  <c r="Y6" i="15"/>
  <c r="AA6" i="15"/>
  <c r="X6" i="15"/>
  <c r="X7" i="15"/>
  <c r="X8" i="15"/>
  <c r="X9" i="15"/>
  <c r="X5" i="15"/>
  <c r="U6" i="15"/>
  <c r="V6" i="15"/>
  <c r="U7" i="15"/>
  <c r="V7" i="15"/>
  <c r="U8" i="15"/>
  <c r="V8" i="15"/>
  <c r="U9" i="15"/>
  <c r="V9" i="15"/>
  <c r="V5" i="15"/>
  <c r="U5" i="15"/>
  <c r="L6" i="26"/>
  <c r="L7" i="26"/>
  <c r="L8" i="26"/>
  <c r="L9" i="26"/>
  <c r="L5" i="26"/>
  <c r="I6" i="26"/>
  <c r="J6" i="26"/>
  <c r="I7" i="26"/>
  <c r="J7" i="26"/>
  <c r="I8" i="26"/>
  <c r="J8" i="26"/>
  <c r="I9" i="26"/>
  <c r="J9" i="26"/>
  <c r="J5" i="26"/>
  <c r="I5" i="26"/>
  <c r="L6" i="27"/>
  <c r="L7" i="27"/>
  <c r="L8" i="27"/>
  <c r="L9" i="27"/>
  <c r="L5" i="27"/>
  <c r="I6" i="27"/>
  <c r="J6" i="27"/>
  <c r="I7" i="27"/>
  <c r="J7" i="27"/>
  <c r="I8" i="27"/>
  <c r="J8" i="27"/>
  <c r="I9" i="27"/>
  <c r="J9" i="27"/>
  <c r="J5" i="27"/>
  <c r="I5" i="27"/>
  <c r="M5" i="27"/>
  <c r="N5" i="27"/>
  <c r="P9" i="27"/>
  <c r="O9" i="27"/>
  <c r="M9" i="27"/>
  <c r="N9" i="27"/>
  <c r="P8" i="27"/>
  <c r="O8" i="27"/>
  <c r="M8" i="27"/>
  <c r="N8" i="27"/>
  <c r="P7" i="27"/>
  <c r="O7" i="27"/>
  <c r="M7" i="27"/>
  <c r="N7" i="27"/>
  <c r="P6" i="27"/>
  <c r="O6" i="27"/>
  <c r="M6" i="27"/>
  <c r="N6" i="27"/>
  <c r="P5" i="27"/>
  <c r="P10" i="27" s="1"/>
  <c r="O5" i="27"/>
  <c r="P9" i="26"/>
  <c r="O9" i="26"/>
  <c r="M9" i="26"/>
  <c r="N9" i="26"/>
  <c r="P8" i="26"/>
  <c r="O8" i="26"/>
  <c r="M8" i="26"/>
  <c r="N8" i="26"/>
  <c r="P7" i="26"/>
  <c r="O7" i="26"/>
  <c r="N7" i="26"/>
  <c r="M7" i="26"/>
  <c r="P6" i="26"/>
  <c r="M6" i="26"/>
  <c r="O6" i="26"/>
  <c r="N6" i="26"/>
  <c r="P5" i="26"/>
  <c r="O5" i="26"/>
  <c r="M5" i="26"/>
  <c r="N5" i="26"/>
  <c r="L6" i="25"/>
  <c r="L7" i="25"/>
  <c r="L8" i="25"/>
  <c r="L9" i="25"/>
  <c r="L5" i="25"/>
  <c r="I6" i="25"/>
  <c r="J6" i="25"/>
  <c r="I7" i="25"/>
  <c r="J7" i="25"/>
  <c r="I8" i="25"/>
  <c r="J8" i="25"/>
  <c r="I9" i="25"/>
  <c r="J9" i="25"/>
  <c r="J5" i="25"/>
  <c r="I5" i="25"/>
  <c r="P9" i="25"/>
  <c r="O9" i="25"/>
  <c r="M9" i="25"/>
  <c r="N9" i="25"/>
  <c r="P8" i="25"/>
  <c r="O8" i="25"/>
  <c r="M8" i="25"/>
  <c r="N8" i="25"/>
  <c r="P7" i="25"/>
  <c r="O7" i="25"/>
  <c r="M7" i="25"/>
  <c r="N7" i="25"/>
  <c r="P6" i="25"/>
  <c r="P10" i="25"/>
  <c r="M6" i="25"/>
  <c r="N6" i="25"/>
  <c r="P5" i="25"/>
  <c r="O5" i="25"/>
  <c r="M5" i="25"/>
  <c r="N5" i="25"/>
  <c r="N10" i="25" s="1"/>
  <c r="J5" i="15"/>
  <c r="P6" i="15"/>
  <c r="P7" i="15"/>
  <c r="O8" i="15"/>
  <c r="P8" i="15"/>
  <c r="O9" i="15"/>
  <c r="P9" i="15"/>
  <c r="P5" i="15"/>
  <c r="O5" i="15"/>
  <c r="L6" i="15"/>
  <c r="L7" i="15"/>
  <c r="L8" i="15"/>
  <c r="L9" i="15"/>
  <c r="L5" i="15"/>
  <c r="I6" i="15"/>
  <c r="J6" i="15"/>
  <c r="I7" i="15"/>
  <c r="J7" i="15"/>
  <c r="I8" i="15"/>
  <c r="J8" i="15"/>
  <c r="M8" i="15"/>
  <c r="N8" i="15"/>
  <c r="I9" i="15"/>
  <c r="J9" i="15"/>
  <c r="M9" i="15"/>
  <c r="N9" i="15"/>
  <c r="I5" i="15"/>
  <c r="B81" i="35"/>
  <c r="F81" i="35"/>
  <c r="M24" i="31"/>
  <c r="BT14" i="32" s="1"/>
  <c r="AH20" i="33"/>
  <c r="AH21" i="33"/>
  <c r="AH22" i="33"/>
  <c r="AH19" i="33"/>
  <c r="AH13" i="33"/>
  <c r="AI13" i="33"/>
  <c r="AJ13" i="33" s="1"/>
  <c r="AH14" i="33"/>
  <c r="AI14" i="33"/>
  <c r="AJ14" i="33" s="1"/>
  <c r="AH15" i="33"/>
  <c r="AI15" i="33"/>
  <c r="AJ15" i="33"/>
  <c r="AI12" i="33"/>
  <c r="AH12" i="33"/>
  <c r="AJ12" i="33"/>
  <c r="AH6" i="18"/>
  <c r="AH7" i="18"/>
  <c r="AH8" i="18"/>
  <c r="BY8" i="18" s="1"/>
  <c r="AH9" i="18"/>
  <c r="AH10" i="18"/>
  <c r="AH11" i="18"/>
  <c r="BY11" i="18" s="1"/>
  <c r="CB11" i="18"/>
  <c r="AH12" i="18"/>
  <c r="BY12" i="18"/>
  <c r="AH13" i="18"/>
  <c r="GH17" i="44" s="1"/>
  <c r="AH14" i="18"/>
  <c r="AH15" i="18"/>
  <c r="BY15" i="18" s="1"/>
  <c r="CB15" i="18" s="1"/>
  <c r="AH16" i="18"/>
  <c r="BY16" i="18" s="1"/>
  <c r="GB20" i="45"/>
  <c r="AH17" i="18"/>
  <c r="BY17" i="18"/>
  <c r="AH18" i="18"/>
  <c r="BY18" i="18" s="1"/>
  <c r="AH19" i="18"/>
  <c r="AH20" i="18"/>
  <c r="BY20" i="18" s="1"/>
  <c r="GB24" i="44"/>
  <c r="AH21" i="18"/>
  <c r="AH22" i="18"/>
  <c r="AH24" i="18"/>
  <c r="AH25" i="18"/>
  <c r="BY25" i="18" s="1"/>
  <c r="AH26" i="18"/>
  <c r="AH27" i="18"/>
  <c r="BY27" i="18"/>
  <c r="GB31" i="41"/>
  <c r="AH28" i="18"/>
  <c r="BY28" i="18"/>
  <c r="GB32" i="41" s="1"/>
  <c r="AH5" i="18"/>
  <c r="BY5" i="18"/>
  <c r="AM6" i="18"/>
  <c r="AM7" i="18"/>
  <c r="AM8" i="18"/>
  <c r="AN8" i="18"/>
  <c r="AM9" i="18"/>
  <c r="AN9" i="18" s="1"/>
  <c r="AM10" i="18"/>
  <c r="AN10" i="18" s="1"/>
  <c r="AM11" i="18"/>
  <c r="AM12" i="18"/>
  <c r="AM13" i="18"/>
  <c r="AN13" i="18" s="1"/>
  <c r="AM14" i="18"/>
  <c r="AN14" i="18"/>
  <c r="AM15" i="18"/>
  <c r="AN15" i="18" s="1"/>
  <c r="AM16" i="18"/>
  <c r="AN16" i="18" s="1"/>
  <c r="AM17" i="18"/>
  <c r="AN17" i="18" s="1"/>
  <c r="AM18" i="18"/>
  <c r="AN18" i="18" s="1"/>
  <c r="AM19" i="18"/>
  <c r="AN19" i="18" s="1"/>
  <c r="AM20" i="18"/>
  <c r="AN20" i="18" s="1"/>
  <c r="AM21" i="18"/>
  <c r="AN21" i="18"/>
  <c r="AM22" i="18"/>
  <c r="AN22" i="18" s="1"/>
  <c r="AM23" i="18"/>
  <c r="AN23" i="18" s="1"/>
  <c r="AM24" i="18"/>
  <c r="AN24" i="18" s="1"/>
  <c r="AM25" i="18"/>
  <c r="AN25" i="18"/>
  <c r="AM26" i="18"/>
  <c r="AN26" i="18" s="1"/>
  <c r="AM27" i="18"/>
  <c r="AN27" i="18" s="1"/>
  <c r="AM28" i="18"/>
  <c r="AN28" i="18" s="1"/>
  <c r="AM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5" i="18"/>
  <c r="L6" i="18"/>
  <c r="AJ6" i="18"/>
  <c r="L7" i="18"/>
  <c r="AJ7" i="18"/>
  <c r="L8" i="18"/>
  <c r="AJ8" i="18"/>
  <c r="L9" i="18"/>
  <c r="AJ9" i="18"/>
  <c r="L10" i="18"/>
  <c r="AJ10" i="18"/>
  <c r="L11" i="18"/>
  <c r="AJ11" i="18"/>
  <c r="L12" i="18"/>
  <c r="AJ12" i="18"/>
  <c r="L13" i="18"/>
  <c r="AJ13" i="18"/>
  <c r="L14" i="18"/>
  <c r="AJ14" i="18"/>
  <c r="L15" i="18"/>
  <c r="AJ15" i="18"/>
  <c r="L16" i="18"/>
  <c r="AJ16" i="18"/>
  <c r="L17" i="18"/>
  <c r="AJ17" i="18"/>
  <c r="L18" i="18"/>
  <c r="AJ18" i="18"/>
  <c r="L19" i="18"/>
  <c r="AJ19" i="18"/>
  <c r="L20" i="18"/>
  <c r="AJ20" i="18"/>
  <c r="L21" i="18"/>
  <c r="AJ21" i="18"/>
  <c r="L22" i="18"/>
  <c r="AJ22" i="18"/>
  <c r="L23" i="18"/>
  <c r="AJ23" i="18"/>
  <c r="L24" i="18"/>
  <c r="AJ24" i="18"/>
  <c r="L25" i="18"/>
  <c r="AJ25" i="18"/>
  <c r="L26" i="18"/>
  <c r="AJ26" i="18"/>
  <c r="L27" i="18"/>
  <c r="AJ27" i="18"/>
  <c r="L28" i="18"/>
  <c r="AJ28" i="18"/>
  <c r="L5" i="18"/>
  <c r="AJ5" i="18"/>
  <c r="AB6" i="18"/>
  <c r="AB7" i="18"/>
  <c r="AB8" i="18"/>
  <c r="AB9" i="18"/>
  <c r="AB10" i="18"/>
  <c r="AB11" i="18"/>
  <c r="AB12" i="18"/>
  <c r="AB13" i="18"/>
  <c r="AB14" i="18"/>
  <c r="AB15" i="18"/>
  <c r="AB16" i="18"/>
  <c r="AB17" i="18"/>
  <c r="AB18" i="18"/>
  <c r="AB19" i="18"/>
  <c r="AB20" i="18"/>
  <c r="AB21" i="18"/>
  <c r="AB22" i="18"/>
  <c r="AB23" i="18"/>
  <c r="AB24" i="18"/>
  <c r="AB25" i="18"/>
  <c r="AB26" i="18"/>
  <c r="AB27" i="18"/>
  <c r="AB28" i="18"/>
  <c r="AB5" i="18"/>
  <c r="BU9" i="32"/>
  <c r="FE17" i="44"/>
  <c r="BU10" i="32"/>
  <c r="FE18" i="43"/>
  <c r="BU11" i="32"/>
  <c r="BU12" i="32"/>
  <c r="FE20" i="45"/>
  <c r="BU13" i="32"/>
  <c r="BU14" i="32"/>
  <c r="BU15" i="32"/>
  <c r="BU16" i="32"/>
  <c r="BU17" i="32"/>
  <c r="BU18" i="32"/>
  <c r="BU19" i="32"/>
  <c r="A19" i="31"/>
  <c r="A20" i="31"/>
  <c r="A21" i="31"/>
  <c r="A22" i="31"/>
  <c r="A23" i="31"/>
  <c r="A24" i="31"/>
  <c r="A18" i="31"/>
  <c r="M23" i="31"/>
  <c r="BT13" i="32"/>
  <c r="FD21" i="44" s="1"/>
  <c r="AK26" i="32"/>
  <c r="AK27" i="32"/>
  <c r="AL27" i="32" s="1"/>
  <c r="AK28" i="32"/>
  <c r="AK25" i="32"/>
  <c r="W9" i="32"/>
  <c r="X9" i="32"/>
  <c r="Y9" i="32"/>
  <c r="Z9" i="32"/>
  <c r="AC9" i="32"/>
  <c r="AD9" i="32"/>
  <c r="AE9" i="32"/>
  <c r="AF9" i="32"/>
  <c r="AG9" i="32"/>
  <c r="AH9" i="32"/>
  <c r="W10" i="32"/>
  <c r="X10" i="32"/>
  <c r="Y10" i="32"/>
  <c r="Z10" i="32"/>
  <c r="AB10" i="32"/>
  <c r="AC10" i="32"/>
  <c r="AD10" i="32"/>
  <c r="AF10" i="32"/>
  <c r="AG10" i="32"/>
  <c r="AH10" i="32"/>
  <c r="W11" i="32"/>
  <c r="X11" i="32"/>
  <c r="Y11" i="32"/>
  <c r="Z11" i="32"/>
  <c r="AB11" i="32"/>
  <c r="AC11" i="32"/>
  <c r="AD11" i="32"/>
  <c r="AE11" i="32"/>
  <c r="AE20" i="32" s="1"/>
  <c r="AF11" i="32"/>
  <c r="AG11" i="32"/>
  <c r="AG20" i="32" s="1"/>
  <c r="AH11" i="32"/>
  <c r="W12" i="32"/>
  <c r="X12" i="32"/>
  <c r="Y12" i="32"/>
  <c r="Z12" i="32"/>
  <c r="AB12" i="32"/>
  <c r="AB20" i="32" s="1"/>
  <c r="AC12" i="32"/>
  <c r="AD12" i="32"/>
  <c r="AE12" i="32"/>
  <c r="AF12" i="32"/>
  <c r="AG12" i="32"/>
  <c r="AH12" i="32"/>
  <c r="W13" i="32"/>
  <c r="X13" i="32"/>
  <c r="Y13" i="32"/>
  <c r="Z13" i="32"/>
  <c r="AB13" i="32"/>
  <c r="AC13" i="32"/>
  <c r="AD13" i="32"/>
  <c r="AE13" i="32"/>
  <c r="AF13" i="32"/>
  <c r="AG13" i="32"/>
  <c r="AH13" i="32"/>
  <c r="W14" i="32"/>
  <c r="W20" i="32" s="1"/>
  <c r="C35" i="32" s="1"/>
  <c r="X14" i="32"/>
  <c r="Y14" i="32"/>
  <c r="Z14" i="32"/>
  <c r="AB14" i="32"/>
  <c r="AC14" i="32"/>
  <c r="AD14" i="32"/>
  <c r="AE14" i="32"/>
  <c r="AF14" i="32"/>
  <c r="AF20" i="32" s="1"/>
  <c r="AG14" i="32"/>
  <c r="AH14" i="32"/>
  <c r="W15" i="32"/>
  <c r="X15" i="32"/>
  <c r="Y15" i="32"/>
  <c r="Z15" i="32"/>
  <c r="AB15" i="32"/>
  <c r="AC15" i="32"/>
  <c r="AC20" i="32" s="1"/>
  <c r="AD15" i="32"/>
  <c r="AE15" i="32"/>
  <c r="AF15" i="32"/>
  <c r="AG15" i="32"/>
  <c r="AH15" i="32"/>
  <c r="W16" i="32"/>
  <c r="X16" i="32"/>
  <c r="Y16" i="32"/>
  <c r="Y20" i="32" s="1"/>
  <c r="Z16" i="32"/>
  <c r="AB16" i="32"/>
  <c r="AC16" i="32"/>
  <c r="AD16" i="32"/>
  <c r="AE16" i="32"/>
  <c r="AF16" i="32"/>
  <c r="AG16" i="32"/>
  <c r="AH16" i="32"/>
  <c r="W17" i="32"/>
  <c r="X17" i="32"/>
  <c r="Y17" i="32"/>
  <c r="Z17" i="32"/>
  <c r="AB17" i="32"/>
  <c r="AC17" i="32"/>
  <c r="AD17" i="32"/>
  <c r="AE17" i="32"/>
  <c r="AF17" i="32"/>
  <c r="AG17" i="32"/>
  <c r="AH17" i="32"/>
  <c r="W18" i="32"/>
  <c r="X18" i="32"/>
  <c r="Y18" i="32"/>
  <c r="Z18" i="32"/>
  <c r="AB18" i="32"/>
  <c r="AC18" i="32"/>
  <c r="AD18" i="32"/>
  <c r="AE18" i="32"/>
  <c r="AF18" i="32"/>
  <c r="AG18" i="32"/>
  <c r="AH18" i="32"/>
  <c r="W19" i="32"/>
  <c r="Y19" i="32"/>
  <c r="Z19" i="32"/>
  <c r="AB19" i="32"/>
  <c r="AC19" i="32"/>
  <c r="AD19" i="32"/>
  <c r="AE19" i="32"/>
  <c r="AF19" i="32"/>
  <c r="AG19" i="32"/>
  <c r="AH19" i="32"/>
  <c r="AH8" i="32"/>
  <c r="AG8" i="32"/>
  <c r="AF8" i="32"/>
  <c r="AE8" i="32"/>
  <c r="AD8" i="32"/>
  <c r="AC8" i="32"/>
  <c r="AB8" i="32"/>
  <c r="AA8" i="32"/>
  <c r="Z8" i="32"/>
  <c r="W8" i="32"/>
  <c r="AR9" i="32"/>
  <c r="BH9" i="32"/>
  <c r="AR10" i="32"/>
  <c r="AR11" i="32"/>
  <c r="AR17" i="32"/>
  <c r="AJ11" i="32"/>
  <c r="AJ12" i="32"/>
  <c r="BP12" i="32" s="1"/>
  <c r="AJ13" i="32"/>
  <c r="FC21" i="41"/>
  <c r="AJ14" i="32"/>
  <c r="BI14" i="32"/>
  <c r="AJ15" i="32"/>
  <c r="FC23" i="44"/>
  <c r="AJ16" i="32"/>
  <c r="FC24" i="41" s="1"/>
  <c r="AJ17" i="32"/>
  <c r="BL17" i="32" s="1"/>
  <c r="AJ18" i="32"/>
  <c r="AJ19" i="32"/>
  <c r="BD19" i="32"/>
  <c r="BB19" i="32"/>
  <c r="BC8" i="32"/>
  <c r="AX19" i="32"/>
  <c r="AQ19" i="32"/>
  <c r="AO19" i="32"/>
  <c r="BC18" i="32"/>
  <c r="BA18" i="32"/>
  <c r="AW18" i="32"/>
  <c r="AQ18" i="32"/>
  <c r="AO18" i="32"/>
  <c r="AT18" i="32" s="1"/>
  <c r="AU18" i="32" s="1"/>
  <c r="BA17" i="32"/>
  <c r="AQ17" i="32"/>
  <c r="AO17" i="32"/>
  <c r="AQ16" i="32"/>
  <c r="AO16" i="32"/>
  <c r="AT16" i="32"/>
  <c r="AU16" i="32" s="1"/>
  <c r="AQ15" i="32"/>
  <c r="AO15" i="32"/>
  <c r="BB14" i="32"/>
  <c r="AX14" i="32"/>
  <c r="AZ14" i="32"/>
  <c r="AQ14" i="32"/>
  <c r="AO14" i="32"/>
  <c r="BB13" i="32"/>
  <c r="AX13" i="32"/>
  <c r="AZ13" i="32"/>
  <c r="AQ13" i="32"/>
  <c r="AO13" i="32"/>
  <c r="AQ12" i="32"/>
  <c r="AO12" i="32"/>
  <c r="AW11" i="32"/>
  <c r="AQ11" i="32"/>
  <c r="AO11" i="32"/>
  <c r="BD10" i="32"/>
  <c r="BC10" i="32"/>
  <c r="BB10" i="32"/>
  <c r="AX10" i="32"/>
  <c r="AW10" i="32"/>
  <c r="AZ10" i="32"/>
  <c r="AQ10" i="32"/>
  <c r="F20" i="31"/>
  <c r="AM10" i="32"/>
  <c r="AO10" i="32"/>
  <c r="BD9" i="32"/>
  <c r="BC9" i="32"/>
  <c r="BB9" i="32"/>
  <c r="BA9" i="32"/>
  <c r="AX9" i="32"/>
  <c r="AZ9" i="32"/>
  <c r="AQ9" i="32"/>
  <c r="F19" i="31"/>
  <c r="AO9" i="32"/>
  <c r="BD8" i="32"/>
  <c r="BB8" i="32"/>
  <c r="AZ8" i="32"/>
  <c r="AX8" i="32"/>
  <c r="AQ8" i="32"/>
  <c r="F18" i="31"/>
  <c r="AM8" i="32" s="1"/>
  <c r="AU8" i="32"/>
  <c r="AW8" i="32"/>
  <c r="AO8" i="32"/>
  <c r="AT8" i="32" s="1"/>
  <c r="K6" i="1"/>
  <c r="L6" i="1"/>
  <c r="K7" i="1"/>
  <c r="L7" i="1"/>
  <c r="K9" i="1"/>
  <c r="K10" i="1"/>
  <c r="K5" i="1"/>
  <c r="L5" i="1"/>
  <c r="D20" i="22"/>
  <c r="L10" i="1"/>
  <c r="H7" i="1"/>
  <c r="M7" i="1"/>
  <c r="H9" i="1"/>
  <c r="H10" i="1"/>
  <c r="M10" i="1" s="1"/>
  <c r="DH7" i="12"/>
  <c r="DH8" i="12"/>
  <c r="DH10" i="12"/>
  <c r="DH11" i="12"/>
  <c r="DH12" i="12"/>
  <c r="DH13" i="12"/>
  <c r="DH14" i="12"/>
  <c r="DH16" i="12"/>
  <c r="DH17" i="12"/>
  <c r="DH18" i="12"/>
  <c r="DH19" i="12"/>
  <c r="DH20" i="12"/>
  <c r="DH21" i="12"/>
  <c r="DH22" i="12"/>
  <c r="DH23" i="12"/>
  <c r="GI5" i="12"/>
  <c r="GI6" i="12"/>
  <c r="GI7" i="12"/>
  <c r="CU23" i="41" s="1"/>
  <c r="GI8" i="12"/>
  <c r="GI9" i="12"/>
  <c r="GI10" i="12"/>
  <c r="GI11" i="12"/>
  <c r="GI12" i="12"/>
  <c r="GI14" i="12"/>
  <c r="GI15" i="12"/>
  <c r="GI16" i="12"/>
  <c r="GI18" i="12"/>
  <c r="GI19" i="12"/>
  <c r="GI20" i="12"/>
  <c r="GI22" i="12"/>
  <c r="GI23" i="12"/>
  <c r="GL5" i="12"/>
  <c r="GN4" i="12"/>
  <c r="GP4" i="12" s="1"/>
  <c r="GN5" i="12"/>
  <c r="GN6" i="12"/>
  <c r="GN7" i="12"/>
  <c r="GN8" i="12"/>
  <c r="GP8" i="12" s="1"/>
  <c r="EB81" i="41" s="1"/>
  <c r="EC81" i="41" s="1"/>
  <c r="GN9" i="12"/>
  <c r="GP9" i="12" s="1"/>
  <c r="GN10" i="12"/>
  <c r="GP10" i="12" s="1"/>
  <c r="GN11" i="12"/>
  <c r="GN12" i="12"/>
  <c r="GN13" i="12"/>
  <c r="GN14" i="12"/>
  <c r="GN15" i="12"/>
  <c r="GN16" i="12"/>
  <c r="GP16" i="12" s="1"/>
  <c r="GN17" i="12"/>
  <c r="GP17" i="12" s="1"/>
  <c r="GN18" i="12"/>
  <c r="GN19" i="12"/>
  <c r="GP19" i="12"/>
  <c r="GN20" i="12"/>
  <c r="GN21" i="12"/>
  <c r="GN22" i="12"/>
  <c r="GN23" i="12"/>
  <c r="GP23" i="12"/>
  <c r="GN44" i="12"/>
  <c r="GN3" i="12"/>
  <c r="GP3" i="12"/>
  <c r="GO4" i="12"/>
  <c r="GO5" i="12"/>
  <c r="GO6" i="12"/>
  <c r="GP6" i="12" s="1"/>
  <c r="GO7" i="12"/>
  <c r="EA80" i="41" s="1"/>
  <c r="GO8" i="12"/>
  <c r="GO9" i="12"/>
  <c r="GO10" i="12"/>
  <c r="GO11" i="12"/>
  <c r="GP11" i="12" s="1"/>
  <c r="GO12" i="12"/>
  <c r="GO13" i="12"/>
  <c r="GP13" i="12" s="1"/>
  <c r="GO14" i="12"/>
  <c r="GO15" i="12"/>
  <c r="EA88" i="44" s="1"/>
  <c r="GO16" i="12"/>
  <c r="EA89" i="44"/>
  <c r="GO17" i="12"/>
  <c r="GO18" i="12"/>
  <c r="GO19" i="12"/>
  <c r="GO20" i="12"/>
  <c r="GO21" i="12"/>
  <c r="GP21" i="12" s="1"/>
  <c r="EB94" i="41" s="1"/>
  <c r="EC94" i="41" s="1"/>
  <c r="GO22" i="12"/>
  <c r="GP22" i="12" s="1"/>
  <c r="GO23" i="12"/>
  <c r="GO44" i="12"/>
  <c r="GP44" i="12" s="1"/>
  <c r="GO3" i="12"/>
  <c r="GM4" i="12"/>
  <c r="GM5" i="12"/>
  <c r="GM6" i="12"/>
  <c r="GM7" i="12"/>
  <c r="GM8" i="12"/>
  <c r="GM9" i="12"/>
  <c r="GM10" i="12"/>
  <c r="GM11" i="12"/>
  <c r="GM12" i="12"/>
  <c r="GM13" i="12"/>
  <c r="GM14" i="12"/>
  <c r="GM15" i="12"/>
  <c r="GM16" i="12"/>
  <c r="GM17" i="12"/>
  <c r="GM18" i="12"/>
  <c r="GM19" i="12"/>
  <c r="GM20" i="12"/>
  <c r="GM21" i="12"/>
  <c r="GM22" i="12"/>
  <c r="GM23" i="12"/>
  <c r="GM44" i="12"/>
  <c r="GM3" i="12"/>
  <c r="GJ4" i="12"/>
  <c r="GK4" i="12" s="1"/>
  <c r="GJ5" i="12"/>
  <c r="GJ6" i="12"/>
  <c r="GK6" i="12"/>
  <c r="GJ7" i="12"/>
  <c r="GK7" i="12" s="1"/>
  <c r="DJ23" i="44" s="1"/>
  <c r="GJ8" i="12"/>
  <c r="GJ9" i="12"/>
  <c r="GJ10" i="12"/>
  <c r="GJ11" i="12"/>
  <c r="GK11" i="12"/>
  <c r="DJ27" i="43" s="1"/>
  <c r="GJ12" i="12"/>
  <c r="GK12" i="12"/>
  <c r="GJ13" i="12"/>
  <c r="GJ14" i="12"/>
  <c r="GJ15" i="12"/>
  <c r="GJ16" i="12"/>
  <c r="GJ17" i="12"/>
  <c r="GJ18" i="12"/>
  <c r="GK18" i="12" s="1"/>
  <c r="GJ19" i="12"/>
  <c r="GJ20" i="12"/>
  <c r="GK20" i="12" s="1"/>
  <c r="GJ21" i="12"/>
  <c r="GJ22" i="12"/>
  <c r="GK22" i="12"/>
  <c r="GJ23" i="12"/>
  <c r="GJ44" i="12"/>
  <c r="GK44" i="12"/>
  <c r="GJ3" i="12"/>
  <c r="DE4" i="12"/>
  <c r="DE5" i="12"/>
  <c r="DE6" i="12"/>
  <c r="DE7" i="12"/>
  <c r="DE8" i="12"/>
  <c r="DE9" i="12"/>
  <c r="DE10" i="12"/>
  <c r="DE11" i="12"/>
  <c r="DE12" i="12"/>
  <c r="DE13" i="12"/>
  <c r="DE14" i="12"/>
  <c r="DE15" i="12"/>
  <c r="DE16" i="12"/>
  <c r="DE17" i="12"/>
  <c r="DE18" i="12"/>
  <c r="DE19" i="12"/>
  <c r="DE20" i="12"/>
  <c r="DE21" i="12"/>
  <c r="DE22" i="12"/>
  <c r="DE23" i="12"/>
  <c r="DE3" i="12"/>
  <c r="DH5" i="12"/>
  <c r="DH6" i="12"/>
  <c r="FE44" i="12"/>
  <c r="FD44" i="12"/>
  <c r="FC44" i="12"/>
  <c r="FB44" i="12"/>
  <c r="FA44" i="12"/>
  <c r="EZ44" i="12"/>
  <c r="EY44" i="12"/>
  <c r="EX44" i="12"/>
  <c r="EW44" i="12"/>
  <c r="EV44" i="12"/>
  <c r="EU44" i="12"/>
  <c r="ET44" i="12"/>
  <c r="FE23" i="12"/>
  <c r="FD23" i="12"/>
  <c r="FC23" i="12"/>
  <c r="FB23" i="12"/>
  <c r="FA23" i="12"/>
  <c r="EZ23" i="12"/>
  <c r="EY23" i="12"/>
  <c r="EX23" i="12"/>
  <c r="EW23" i="12"/>
  <c r="EV23" i="12"/>
  <c r="EU23" i="12"/>
  <c r="ET23" i="12"/>
  <c r="FE22" i="12"/>
  <c r="FD22" i="12"/>
  <c r="FC22" i="12"/>
  <c r="FB22" i="12"/>
  <c r="FA22" i="12"/>
  <c r="EZ22" i="12"/>
  <c r="EY22" i="12"/>
  <c r="EX22" i="12"/>
  <c r="EW22" i="12"/>
  <c r="EV22" i="12"/>
  <c r="EU22" i="12"/>
  <c r="ET22" i="12"/>
  <c r="FE21" i="12"/>
  <c r="FD21" i="12"/>
  <c r="FC21" i="12"/>
  <c r="FB21" i="12"/>
  <c r="FA21" i="12"/>
  <c r="EZ21" i="12"/>
  <c r="EY21" i="12"/>
  <c r="EX21" i="12"/>
  <c r="EW21" i="12"/>
  <c r="EV21" i="12"/>
  <c r="EU21" i="12"/>
  <c r="ET21" i="12"/>
  <c r="FE20" i="12"/>
  <c r="FD20" i="12"/>
  <c r="FC20" i="12"/>
  <c r="FB20" i="12"/>
  <c r="FA20" i="12"/>
  <c r="EZ20" i="12"/>
  <c r="EY20" i="12"/>
  <c r="EX20" i="12"/>
  <c r="EW20" i="12"/>
  <c r="EV20" i="12"/>
  <c r="EU20" i="12"/>
  <c r="ET20" i="12"/>
  <c r="FE19" i="12"/>
  <c r="FD19" i="12"/>
  <c r="FC19" i="12"/>
  <c r="FB19" i="12"/>
  <c r="FA19" i="12"/>
  <c r="EZ19" i="12"/>
  <c r="EY19" i="12"/>
  <c r="EX19" i="12"/>
  <c r="EW19" i="12"/>
  <c r="EV19" i="12"/>
  <c r="EU19" i="12"/>
  <c r="ET19" i="12"/>
  <c r="FE18" i="12"/>
  <c r="FD18" i="12"/>
  <c r="FC18" i="12"/>
  <c r="FB18" i="12"/>
  <c r="FA18" i="12"/>
  <c r="EZ18" i="12"/>
  <c r="EY18" i="12"/>
  <c r="EX18" i="12"/>
  <c r="EW18" i="12"/>
  <c r="EV18" i="12"/>
  <c r="EU18" i="12"/>
  <c r="ET18" i="12"/>
  <c r="FT18" i="12" s="1"/>
  <c r="FE17" i="12"/>
  <c r="FD17" i="12"/>
  <c r="FC17" i="12"/>
  <c r="FB17" i="12"/>
  <c r="FA17" i="12"/>
  <c r="EZ17" i="12"/>
  <c r="EY17" i="12"/>
  <c r="EX17" i="12"/>
  <c r="EW17" i="12"/>
  <c r="EV17" i="12"/>
  <c r="EU17" i="12"/>
  <c r="ET17" i="12"/>
  <c r="FE16" i="12"/>
  <c r="FD16" i="12"/>
  <c r="FC16" i="12"/>
  <c r="FB16" i="12"/>
  <c r="FA16" i="12"/>
  <c r="EZ16" i="12"/>
  <c r="EY16" i="12"/>
  <c r="EX16" i="12"/>
  <c r="EW16" i="12"/>
  <c r="EV16" i="12"/>
  <c r="EU16" i="12"/>
  <c r="ET16" i="12"/>
  <c r="FE15" i="12"/>
  <c r="FD15" i="12"/>
  <c r="FC15" i="12"/>
  <c r="FB15" i="12"/>
  <c r="FA15" i="12"/>
  <c r="EZ15" i="12"/>
  <c r="EY15" i="12"/>
  <c r="EX15" i="12"/>
  <c r="EW15" i="12"/>
  <c r="EV15" i="12"/>
  <c r="EU15" i="12"/>
  <c r="ET15" i="12"/>
  <c r="FE14" i="12"/>
  <c r="FD14" i="12"/>
  <c r="FC14" i="12"/>
  <c r="FB14" i="12"/>
  <c r="FA14" i="12"/>
  <c r="EZ14" i="12"/>
  <c r="EY14" i="12"/>
  <c r="EX14" i="12"/>
  <c r="EW14" i="12"/>
  <c r="EV14" i="12"/>
  <c r="EU14" i="12"/>
  <c r="ET14" i="12"/>
  <c r="FE13" i="12"/>
  <c r="FD13" i="12"/>
  <c r="FC13" i="12"/>
  <c r="FB13" i="12"/>
  <c r="FA13" i="12"/>
  <c r="EZ13" i="12"/>
  <c r="EY13" i="12"/>
  <c r="EX13" i="12"/>
  <c r="EW13" i="12"/>
  <c r="EV13" i="12"/>
  <c r="EU13" i="12"/>
  <c r="ET13" i="12"/>
  <c r="FE12" i="12"/>
  <c r="FD12" i="12"/>
  <c r="FC12" i="12"/>
  <c r="FB12" i="12"/>
  <c r="GB12" i="12" s="1"/>
  <c r="DW85" i="41" s="1"/>
  <c r="FA12" i="12"/>
  <c r="EZ12" i="12"/>
  <c r="EY12" i="12"/>
  <c r="EX12" i="12"/>
  <c r="EW12" i="12"/>
  <c r="EV12" i="12"/>
  <c r="EU12" i="12"/>
  <c r="ET12" i="12"/>
  <c r="FE11" i="12"/>
  <c r="FD11" i="12"/>
  <c r="FC11" i="12"/>
  <c r="FB11" i="12"/>
  <c r="FA11" i="12"/>
  <c r="EZ11" i="12"/>
  <c r="EY11" i="12"/>
  <c r="EX11" i="12"/>
  <c r="EW11" i="12"/>
  <c r="EV11" i="12"/>
  <c r="EU11" i="12"/>
  <c r="ET11" i="12"/>
  <c r="FE10" i="12"/>
  <c r="FD10" i="12"/>
  <c r="FC10" i="12"/>
  <c r="FB10" i="12"/>
  <c r="FA10" i="12"/>
  <c r="EZ10" i="12"/>
  <c r="EY10" i="12"/>
  <c r="EX10" i="12"/>
  <c r="EW10" i="12"/>
  <c r="EV10" i="12"/>
  <c r="EU10" i="12"/>
  <c r="ET10" i="12"/>
  <c r="FE9" i="12"/>
  <c r="FD9" i="12"/>
  <c r="FC9" i="12"/>
  <c r="FB9" i="12"/>
  <c r="FA9" i="12"/>
  <c r="EZ9" i="12"/>
  <c r="EY9" i="12"/>
  <c r="EX9" i="12"/>
  <c r="EW9" i="12"/>
  <c r="EV9" i="12"/>
  <c r="EU9" i="12"/>
  <c r="FU9" i="12"/>
  <c r="ET9" i="12"/>
  <c r="FE8" i="12"/>
  <c r="FD8" i="12"/>
  <c r="FC8" i="12"/>
  <c r="FB8" i="12"/>
  <c r="FA8" i="12"/>
  <c r="EZ8" i="12"/>
  <c r="EY8" i="12"/>
  <c r="EX8" i="12"/>
  <c r="EW8" i="12"/>
  <c r="EV8" i="12"/>
  <c r="EU8" i="12"/>
  <c r="ET8" i="12"/>
  <c r="FE7" i="12"/>
  <c r="FD7" i="12"/>
  <c r="FC7" i="12"/>
  <c r="FB7" i="12"/>
  <c r="FA7" i="12"/>
  <c r="EZ7" i="12"/>
  <c r="EY7" i="12"/>
  <c r="EX7" i="12"/>
  <c r="EW7" i="12"/>
  <c r="EV7" i="12"/>
  <c r="EU7" i="12"/>
  <c r="ET7" i="12"/>
  <c r="FE6" i="12"/>
  <c r="FD6" i="12"/>
  <c r="FC6" i="12"/>
  <c r="FB6" i="12"/>
  <c r="FA6" i="12"/>
  <c r="EZ6" i="12"/>
  <c r="EY6" i="12"/>
  <c r="EX6" i="12"/>
  <c r="EW6" i="12"/>
  <c r="EV6" i="12"/>
  <c r="EU6" i="12"/>
  <c r="ET6" i="12"/>
  <c r="FE5" i="12"/>
  <c r="FD5" i="12"/>
  <c r="GD5" i="12" s="1"/>
  <c r="FC5" i="12"/>
  <c r="GC5" i="12" s="1"/>
  <c r="FB5" i="12"/>
  <c r="FA5" i="12"/>
  <c r="EZ5" i="12"/>
  <c r="EY5" i="12"/>
  <c r="EX5" i="12"/>
  <c r="EW5" i="12"/>
  <c r="EV5" i="12"/>
  <c r="EU5" i="12"/>
  <c r="FU5" i="12" s="1"/>
  <c r="ET5" i="12"/>
  <c r="FE4" i="12"/>
  <c r="FD4" i="12"/>
  <c r="FC4" i="12"/>
  <c r="FB4" i="12"/>
  <c r="FA4" i="12"/>
  <c r="EZ4" i="12"/>
  <c r="EY4" i="12"/>
  <c r="EX4" i="12"/>
  <c r="EW4" i="12"/>
  <c r="EV4" i="12"/>
  <c r="EU4" i="12"/>
  <c r="ET4" i="12"/>
  <c r="FE3" i="12"/>
  <c r="FD3" i="12"/>
  <c r="FC3" i="12"/>
  <c r="FB3" i="12"/>
  <c r="FA3" i="12"/>
  <c r="EZ3" i="12"/>
  <c r="EY3" i="12"/>
  <c r="EX3" i="12"/>
  <c r="EW3" i="12"/>
  <c r="EV3" i="12"/>
  <c r="EU3" i="12"/>
  <c r="ET3" i="12"/>
  <c r="AL4" i="12"/>
  <c r="AL5" i="12"/>
  <c r="AL6" i="12"/>
  <c r="AL7" i="12"/>
  <c r="AL8" i="12"/>
  <c r="AL9" i="12"/>
  <c r="AL10" i="12"/>
  <c r="AL11" i="12"/>
  <c r="AL12" i="12"/>
  <c r="AL13" i="12"/>
  <c r="AL14" i="12"/>
  <c r="AL15" i="12"/>
  <c r="AL16" i="12"/>
  <c r="AL17" i="12"/>
  <c r="AN17" i="12" s="1"/>
  <c r="AL18" i="12"/>
  <c r="AL19" i="12"/>
  <c r="AL20" i="12"/>
  <c r="AL21" i="12"/>
  <c r="AL22" i="12"/>
  <c r="AL23" i="12"/>
  <c r="AL3" i="12"/>
  <c r="B11" i="33"/>
  <c r="B12" i="33"/>
  <c r="B13" i="33"/>
  <c r="E11" i="33"/>
  <c r="H11" i="33"/>
  <c r="F11" i="33"/>
  <c r="E12" i="33"/>
  <c r="F12" i="33"/>
  <c r="E13" i="33"/>
  <c r="H13" i="33" s="1"/>
  <c r="B136" i="45" s="1"/>
  <c r="F13" i="33"/>
  <c r="F10" i="33"/>
  <c r="E10" i="33"/>
  <c r="B10" i="33"/>
  <c r="N4" i="33"/>
  <c r="AE4" i="33"/>
  <c r="AF4" i="33"/>
  <c r="N5" i="33"/>
  <c r="N6" i="33"/>
  <c r="AE6" i="33"/>
  <c r="AF6" i="33" s="1"/>
  <c r="N3" i="33"/>
  <c r="P32" i="33"/>
  <c r="Q32" i="33"/>
  <c r="R32" i="33"/>
  <c r="P33" i="33"/>
  <c r="Q33" i="33"/>
  <c r="R33" i="33"/>
  <c r="O33" i="33"/>
  <c r="O32" i="33"/>
  <c r="R29" i="33"/>
  <c r="H6" i="33"/>
  <c r="Q29" i="33"/>
  <c r="I5" i="33"/>
  <c r="AA5" i="33" s="1"/>
  <c r="R28" i="33"/>
  <c r="Q28" i="33"/>
  <c r="R27" i="33"/>
  <c r="Q27" i="33"/>
  <c r="R26" i="33"/>
  <c r="Q26" i="33"/>
  <c r="R25" i="33"/>
  <c r="Q25" i="33"/>
  <c r="P29" i="33"/>
  <c r="I4" i="33"/>
  <c r="AA4" i="33" s="1"/>
  <c r="P28" i="33"/>
  <c r="P27" i="33"/>
  <c r="P26" i="33"/>
  <c r="P25" i="33"/>
  <c r="O30" i="33"/>
  <c r="O29" i="33"/>
  <c r="O28" i="33"/>
  <c r="O27" i="33"/>
  <c r="H3" i="33"/>
  <c r="Z3" i="33"/>
  <c r="O26" i="33"/>
  <c r="I3" i="33"/>
  <c r="O25" i="33"/>
  <c r="C3" i="33"/>
  <c r="D3" i="33"/>
  <c r="F3" i="33"/>
  <c r="G3" i="33"/>
  <c r="C4" i="33"/>
  <c r="D4" i="33"/>
  <c r="F4" i="33"/>
  <c r="G4" i="33"/>
  <c r="C5" i="33"/>
  <c r="D5" i="33"/>
  <c r="F5" i="33"/>
  <c r="G5" i="33"/>
  <c r="C6" i="33"/>
  <c r="D6" i="33"/>
  <c r="F6" i="33"/>
  <c r="G6" i="33"/>
  <c r="BW4" i="12"/>
  <c r="FG4" i="12"/>
  <c r="BX4" i="12"/>
  <c r="FH4" i="12"/>
  <c r="BY4" i="12"/>
  <c r="FI4" i="12"/>
  <c r="BZ4" i="12"/>
  <c r="FJ4" i="12"/>
  <c r="CA4" i="12"/>
  <c r="FK4" i="12"/>
  <c r="CB4" i="12"/>
  <c r="FL4" i="12"/>
  <c r="CC4" i="12"/>
  <c r="FM4" i="12"/>
  <c r="CD4" i="12"/>
  <c r="FN4" i="12"/>
  <c r="CE4" i="12"/>
  <c r="FO4" i="12"/>
  <c r="CF4" i="12"/>
  <c r="FP4" i="12"/>
  <c r="CG4" i="12"/>
  <c r="FQ4" i="12"/>
  <c r="CH4" i="12"/>
  <c r="FR4" i="12"/>
  <c r="BW5" i="12"/>
  <c r="FG5" i="12"/>
  <c r="BX5" i="12"/>
  <c r="FH5" i="12"/>
  <c r="BY5" i="12"/>
  <c r="FI5" i="12"/>
  <c r="BZ5" i="12"/>
  <c r="FJ5" i="12"/>
  <c r="CA5" i="12"/>
  <c r="FK5" i="12"/>
  <c r="CB5" i="12"/>
  <c r="FL5" i="12"/>
  <c r="CC5" i="12"/>
  <c r="FM5" i="12"/>
  <c r="CD5" i="12"/>
  <c r="FN5" i="12"/>
  <c r="GA5" i="12" s="1"/>
  <c r="DV78" i="41" s="1"/>
  <c r="CE5" i="12"/>
  <c r="FO5" i="12"/>
  <c r="GB5" i="12" s="1"/>
  <c r="CF5" i="12"/>
  <c r="FP5" i="12"/>
  <c r="CG5" i="12"/>
  <c r="FQ5" i="12"/>
  <c r="CH5" i="12"/>
  <c r="FR5" i="12"/>
  <c r="BW6" i="12"/>
  <c r="FG6" i="12"/>
  <c r="BX6" i="12"/>
  <c r="FH6" i="12"/>
  <c r="BY6" i="12"/>
  <c r="FI6" i="12"/>
  <c r="BZ6" i="12"/>
  <c r="FJ6" i="12"/>
  <c r="CA6" i="12"/>
  <c r="FK6" i="12"/>
  <c r="CB6" i="12"/>
  <c r="FL6" i="12"/>
  <c r="CC6" i="12"/>
  <c r="FM6" i="12"/>
  <c r="CD6" i="12"/>
  <c r="FN6" i="12"/>
  <c r="CE6" i="12"/>
  <c r="FO6" i="12"/>
  <c r="CF6" i="12"/>
  <c r="FP6" i="12"/>
  <c r="CG6" i="12"/>
  <c r="FQ6" i="12"/>
  <c r="CH6" i="12"/>
  <c r="FR6" i="12"/>
  <c r="BW7" i="12"/>
  <c r="FG7" i="12"/>
  <c r="BX7" i="12"/>
  <c r="FH7" i="12"/>
  <c r="BY7" i="12"/>
  <c r="FI7" i="12"/>
  <c r="BZ7" i="12"/>
  <c r="FJ7" i="12"/>
  <c r="CA7" i="12"/>
  <c r="FK7" i="12"/>
  <c r="CB7" i="12"/>
  <c r="CC7" i="12"/>
  <c r="FM7" i="12" s="1"/>
  <c r="CD7" i="12"/>
  <c r="FN7" i="12" s="1"/>
  <c r="CE7" i="12"/>
  <c r="FO7" i="12"/>
  <c r="CF7" i="12"/>
  <c r="FP7" i="12" s="1"/>
  <c r="CG7" i="12"/>
  <c r="FQ7" i="12" s="1"/>
  <c r="CH7" i="12"/>
  <c r="FR7" i="12" s="1"/>
  <c r="BW8" i="12"/>
  <c r="FG8" i="12"/>
  <c r="BX8" i="12"/>
  <c r="FH8" i="12" s="1"/>
  <c r="BY8" i="12"/>
  <c r="FI8" i="12" s="1"/>
  <c r="BZ8" i="12"/>
  <c r="FJ8" i="12" s="1"/>
  <c r="CA8" i="12"/>
  <c r="FK8" i="12" s="1"/>
  <c r="CB8" i="12"/>
  <c r="FL8" i="12" s="1"/>
  <c r="CC8" i="12"/>
  <c r="FM8" i="12" s="1"/>
  <c r="CD8" i="12"/>
  <c r="FN8" i="12" s="1"/>
  <c r="CE8" i="12"/>
  <c r="FO8" i="12"/>
  <c r="CF8" i="12"/>
  <c r="FP8" i="12" s="1"/>
  <c r="CG8" i="12"/>
  <c r="FQ8" i="12" s="1"/>
  <c r="CH8" i="12"/>
  <c r="FR8" i="12" s="1"/>
  <c r="BW9" i="12"/>
  <c r="FG9" i="12" s="1"/>
  <c r="BX9" i="12"/>
  <c r="FH9" i="12" s="1"/>
  <c r="BY9" i="12"/>
  <c r="FI9" i="12" s="1"/>
  <c r="BZ9" i="12"/>
  <c r="FJ9" i="12" s="1"/>
  <c r="CA9" i="12"/>
  <c r="FK9" i="12"/>
  <c r="CB9" i="12"/>
  <c r="FL9" i="12" s="1"/>
  <c r="CC9" i="12"/>
  <c r="FM9" i="12" s="1"/>
  <c r="CD9" i="12"/>
  <c r="FN9" i="12" s="1"/>
  <c r="CE9" i="12"/>
  <c r="FO9" i="12"/>
  <c r="CF9" i="12"/>
  <c r="FP9" i="12" s="1"/>
  <c r="CG9" i="12"/>
  <c r="FQ9" i="12" s="1"/>
  <c r="CH9" i="12"/>
  <c r="FR9" i="12" s="1"/>
  <c r="BW10" i="12"/>
  <c r="FG10" i="12"/>
  <c r="FT10" i="12" s="1"/>
  <c r="BX10" i="12"/>
  <c r="FH10" i="12"/>
  <c r="BY10" i="12"/>
  <c r="FI10" i="12"/>
  <c r="BZ10" i="12"/>
  <c r="FJ10" i="12"/>
  <c r="CA10" i="12"/>
  <c r="FK10" i="12" s="1"/>
  <c r="CB10" i="12"/>
  <c r="FL10" i="12"/>
  <c r="CC10" i="12"/>
  <c r="FM10" i="12"/>
  <c r="CD10" i="12"/>
  <c r="FN10" i="12"/>
  <c r="CE10" i="12"/>
  <c r="FO10" i="12" s="1"/>
  <c r="CF10" i="12"/>
  <c r="CG10" i="12"/>
  <c r="FQ10" i="12"/>
  <c r="CH10" i="12"/>
  <c r="FR10" i="12"/>
  <c r="BW11" i="12"/>
  <c r="FG11" i="12" s="1"/>
  <c r="BX11" i="12"/>
  <c r="FH11" i="12"/>
  <c r="BY11" i="12"/>
  <c r="FI11" i="12"/>
  <c r="BZ11" i="12"/>
  <c r="FJ11" i="12"/>
  <c r="CA11" i="12"/>
  <c r="FK11" i="12" s="1"/>
  <c r="CB11" i="12"/>
  <c r="CC11" i="12"/>
  <c r="FM11" i="12" s="1"/>
  <c r="CD11" i="12"/>
  <c r="FN11" i="12" s="1"/>
  <c r="CE11" i="12"/>
  <c r="FO11" i="12"/>
  <c r="CF11" i="12"/>
  <c r="CG11" i="12"/>
  <c r="FQ11" i="12" s="1"/>
  <c r="CH11" i="12"/>
  <c r="FR11" i="12" s="1"/>
  <c r="BW12" i="12"/>
  <c r="FG12" i="12"/>
  <c r="BX12" i="12"/>
  <c r="BY12" i="12"/>
  <c r="BZ12" i="12"/>
  <c r="FJ12" i="12" s="1"/>
  <c r="CA12" i="12"/>
  <c r="FK12" i="12"/>
  <c r="FX12" i="12" s="1"/>
  <c r="CB12" i="12"/>
  <c r="FL12" i="12"/>
  <c r="FY12" i="12" s="1"/>
  <c r="CC12" i="12"/>
  <c r="FM12" i="12"/>
  <c r="CD12" i="12"/>
  <c r="FN12" i="12"/>
  <c r="CE12" i="12"/>
  <c r="FO12" i="12"/>
  <c r="CF12" i="12"/>
  <c r="CG12" i="12"/>
  <c r="FQ12" i="12" s="1"/>
  <c r="CH12" i="12"/>
  <c r="FR12" i="12" s="1"/>
  <c r="BW13" i="12"/>
  <c r="FG13" i="12"/>
  <c r="BX13" i="12"/>
  <c r="FH13" i="12" s="1"/>
  <c r="BY13" i="12"/>
  <c r="FI13" i="12" s="1"/>
  <c r="BZ13" i="12"/>
  <c r="FJ13" i="12" s="1"/>
  <c r="CA13" i="12"/>
  <c r="FK13" i="12"/>
  <c r="CB13" i="12"/>
  <c r="FL13" i="12" s="1"/>
  <c r="CC13" i="12"/>
  <c r="FM13" i="12" s="1"/>
  <c r="CD13" i="12"/>
  <c r="FN13" i="12" s="1"/>
  <c r="CE13" i="12"/>
  <c r="CF13" i="12"/>
  <c r="FP13" i="12" s="1"/>
  <c r="CG13" i="12"/>
  <c r="FQ13" i="12" s="1"/>
  <c r="CH13" i="12"/>
  <c r="FR13" i="12" s="1"/>
  <c r="BW14" i="12"/>
  <c r="FG14" i="12"/>
  <c r="BX14" i="12"/>
  <c r="FH14" i="12" s="1"/>
  <c r="BY14" i="12"/>
  <c r="FI14" i="12" s="1"/>
  <c r="BZ14" i="12"/>
  <c r="FJ14" i="12" s="1"/>
  <c r="CA14" i="12"/>
  <c r="FK14" i="12" s="1"/>
  <c r="CB14" i="12"/>
  <c r="FL14" i="12" s="1"/>
  <c r="CC14" i="12"/>
  <c r="FM14" i="12" s="1"/>
  <c r="CD14" i="12"/>
  <c r="FN14" i="12" s="1"/>
  <c r="CE14" i="12"/>
  <c r="FO14" i="12"/>
  <c r="CF14" i="12"/>
  <c r="FP14" i="12" s="1"/>
  <c r="CG14" i="12"/>
  <c r="FQ14" i="12" s="1"/>
  <c r="CH14" i="12"/>
  <c r="FR14" i="12" s="1"/>
  <c r="BW15" i="12"/>
  <c r="FG15" i="12"/>
  <c r="BX15" i="12"/>
  <c r="FH15" i="12" s="1"/>
  <c r="BY15" i="12"/>
  <c r="FI15" i="12" s="1"/>
  <c r="BZ15" i="12"/>
  <c r="FJ15" i="12" s="1"/>
  <c r="CA15" i="12"/>
  <c r="FK15" i="12"/>
  <c r="CB15" i="12"/>
  <c r="FL15" i="12" s="1"/>
  <c r="CC15" i="12"/>
  <c r="FM15" i="12" s="1"/>
  <c r="CD15" i="12"/>
  <c r="FN15" i="12" s="1"/>
  <c r="CE15" i="12"/>
  <c r="FO15" i="12" s="1"/>
  <c r="CF15" i="12"/>
  <c r="FP15" i="12" s="1"/>
  <c r="CG15" i="12"/>
  <c r="FQ15" i="12" s="1"/>
  <c r="CH15" i="12"/>
  <c r="FR15" i="12" s="1"/>
  <c r="BW16" i="12"/>
  <c r="BX16" i="12"/>
  <c r="FH16" i="12"/>
  <c r="BY16" i="12"/>
  <c r="FI16" i="12"/>
  <c r="BZ16" i="12"/>
  <c r="FJ16" i="12"/>
  <c r="CA16" i="12"/>
  <c r="FK16" i="12"/>
  <c r="CB16" i="12"/>
  <c r="FL16" i="12"/>
  <c r="CC16" i="12"/>
  <c r="FM16" i="12"/>
  <c r="CD16" i="12"/>
  <c r="FN16" i="12"/>
  <c r="CE16" i="12"/>
  <c r="FO16" i="12"/>
  <c r="CF16" i="12"/>
  <c r="FP16" i="12"/>
  <c r="CG16" i="12"/>
  <c r="FQ16" i="12"/>
  <c r="CH16" i="12"/>
  <c r="FR16" i="12"/>
  <c r="BW17" i="12"/>
  <c r="FG17" i="12"/>
  <c r="BX17" i="12"/>
  <c r="BY17" i="12"/>
  <c r="BZ17" i="12"/>
  <c r="FJ17" i="12" s="1"/>
  <c r="CA17" i="12"/>
  <c r="FK17" i="12" s="1"/>
  <c r="CB17" i="12"/>
  <c r="FL17" i="12" s="1"/>
  <c r="CC17" i="12"/>
  <c r="FM17" i="12" s="1"/>
  <c r="CD17" i="12"/>
  <c r="FN17" i="12" s="1"/>
  <c r="CE17" i="12"/>
  <c r="FO17" i="12" s="1"/>
  <c r="GB17" i="12" s="1"/>
  <c r="CF17" i="12"/>
  <c r="FP17" i="12"/>
  <c r="CG17" i="12"/>
  <c r="CH17" i="12"/>
  <c r="FR17" i="12"/>
  <c r="BW18" i="12"/>
  <c r="FG18" i="12"/>
  <c r="BX18" i="12"/>
  <c r="FH18" i="12"/>
  <c r="BY18" i="12"/>
  <c r="FI18" i="12"/>
  <c r="BZ18" i="12"/>
  <c r="FJ18" i="12"/>
  <c r="CA18" i="12"/>
  <c r="FK18" i="12"/>
  <c r="CB18" i="12"/>
  <c r="CC18" i="12"/>
  <c r="FM18" i="12"/>
  <c r="CD18" i="12"/>
  <c r="CE18" i="12"/>
  <c r="FO18" i="12"/>
  <c r="CF18" i="12"/>
  <c r="FP18" i="12"/>
  <c r="CG18" i="12"/>
  <c r="FQ18" i="12"/>
  <c r="CH18" i="12"/>
  <c r="BW19" i="12"/>
  <c r="FG19" i="12" s="1"/>
  <c r="BX19" i="12"/>
  <c r="BY19" i="12"/>
  <c r="FI19" i="12" s="1"/>
  <c r="BZ19" i="12"/>
  <c r="FJ19" i="12" s="1"/>
  <c r="CA19" i="12"/>
  <c r="FK19" i="12" s="1"/>
  <c r="CB19" i="12"/>
  <c r="FL19" i="12" s="1"/>
  <c r="CC19" i="12"/>
  <c r="FM19" i="12" s="1"/>
  <c r="CD19" i="12"/>
  <c r="FN19" i="12"/>
  <c r="CE19" i="12"/>
  <c r="FO19" i="12" s="1"/>
  <c r="CF19" i="12"/>
  <c r="FP19" i="12" s="1"/>
  <c r="CG19" i="12"/>
  <c r="FQ19" i="12" s="1"/>
  <c r="CH19" i="12"/>
  <c r="FR19" i="12"/>
  <c r="BW20" i="12"/>
  <c r="FG20" i="12" s="1"/>
  <c r="BX20" i="12"/>
  <c r="BY20" i="12"/>
  <c r="FI20" i="12" s="1"/>
  <c r="BZ20" i="12"/>
  <c r="FJ20" i="12"/>
  <c r="CA20" i="12"/>
  <c r="FK20" i="12" s="1"/>
  <c r="CB20" i="12"/>
  <c r="FL20" i="12" s="1"/>
  <c r="CC20" i="12"/>
  <c r="FM20" i="12" s="1"/>
  <c r="CD20" i="12"/>
  <c r="CE20" i="12"/>
  <c r="FO20" i="12"/>
  <c r="CF20" i="12"/>
  <c r="FP20" i="12"/>
  <c r="CG20" i="12"/>
  <c r="FQ20" i="12"/>
  <c r="CH20" i="12"/>
  <c r="BW21" i="12"/>
  <c r="FG21" i="12" s="1"/>
  <c r="BX21" i="12"/>
  <c r="BY21" i="12"/>
  <c r="FI21" i="12" s="1"/>
  <c r="BZ21" i="12"/>
  <c r="FJ21" i="12" s="1"/>
  <c r="CA21" i="12"/>
  <c r="FK21" i="12"/>
  <c r="CB21" i="12"/>
  <c r="FL21" i="12" s="1"/>
  <c r="CC21" i="12"/>
  <c r="FM21" i="12" s="1"/>
  <c r="CD21" i="12"/>
  <c r="FN21" i="12" s="1"/>
  <c r="CE21" i="12"/>
  <c r="FO21" i="12" s="1"/>
  <c r="CF21" i="12"/>
  <c r="CG21" i="12"/>
  <c r="FQ21" i="12"/>
  <c r="CH21" i="12"/>
  <c r="FR21" i="12"/>
  <c r="BW22" i="12"/>
  <c r="FG22" i="12"/>
  <c r="BX22" i="12"/>
  <c r="FH22" i="12"/>
  <c r="BY22" i="12"/>
  <c r="FI22" i="12"/>
  <c r="BZ22" i="12"/>
  <c r="FJ22" i="12"/>
  <c r="CA22" i="12"/>
  <c r="FK22" i="12"/>
  <c r="CB22" i="12"/>
  <c r="FL22" i="12"/>
  <c r="CC22" i="12"/>
  <c r="FM22" i="12"/>
  <c r="CD22" i="12"/>
  <c r="FN22" i="12"/>
  <c r="CE22" i="12"/>
  <c r="FO22" i="12"/>
  <c r="CF22" i="12"/>
  <c r="FP22" i="12"/>
  <c r="CG22" i="12"/>
  <c r="FQ22" i="12"/>
  <c r="CH22" i="12"/>
  <c r="FR22" i="12"/>
  <c r="BW23" i="12"/>
  <c r="FG23" i="12"/>
  <c r="BX23" i="12"/>
  <c r="FH23" i="12"/>
  <c r="BY23" i="12"/>
  <c r="FI23" i="12"/>
  <c r="BZ23" i="12"/>
  <c r="FJ23" i="12"/>
  <c r="CA23" i="12"/>
  <c r="FK23" i="12"/>
  <c r="CB23" i="12"/>
  <c r="FL23" i="12"/>
  <c r="CC23" i="12"/>
  <c r="FM23" i="12"/>
  <c r="CD23" i="12"/>
  <c r="FN23" i="12"/>
  <c r="CE23" i="12"/>
  <c r="FO23" i="12"/>
  <c r="CF23" i="12"/>
  <c r="FP23" i="12"/>
  <c r="CG23" i="12"/>
  <c r="FQ23" i="12"/>
  <c r="CH23" i="12"/>
  <c r="FR23" i="12"/>
  <c r="BW44" i="12"/>
  <c r="FG44" i="12"/>
  <c r="BX44" i="12"/>
  <c r="FH44" i="12"/>
  <c r="BY44" i="12"/>
  <c r="FI44" i="12"/>
  <c r="BZ44" i="12"/>
  <c r="FJ44" i="12"/>
  <c r="CA44" i="12"/>
  <c r="FK44" i="12"/>
  <c r="CB44" i="12"/>
  <c r="CC44" i="12"/>
  <c r="FM44" i="12" s="1"/>
  <c r="CD44" i="12"/>
  <c r="FN44" i="12" s="1"/>
  <c r="CE44" i="12"/>
  <c r="FO44" i="12" s="1"/>
  <c r="CF44" i="12"/>
  <c r="FP44" i="12"/>
  <c r="CG44" i="12"/>
  <c r="FQ44" i="12" s="1"/>
  <c r="CH44" i="12"/>
  <c r="FR44" i="12" s="1"/>
  <c r="CH3" i="12"/>
  <c r="CG3" i="12"/>
  <c r="FQ3" i="12"/>
  <c r="CF3" i="12"/>
  <c r="FP3" i="12"/>
  <c r="CE3" i="12"/>
  <c r="FO3" i="12"/>
  <c r="GB3" i="12" s="1"/>
  <c r="CD3" i="12"/>
  <c r="CC3" i="12"/>
  <c r="FM3" i="12"/>
  <c r="CB3" i="12"/>
  <c r="FL3" i="12"/>
  <c r="CA3" i="12"/>
  <c r="FK3" i="12" s="1"/>
  <c r="BZ3" i="12"/>
  <c r="BY3" i="12"/>
  <c r="FI3" i="12"/>
  <c r="BX3" i="12"/>
  <c r="FH3" i="12"/>
  <c r="BW3" i="12"/>
  <c r="FG3" i="12"/>
  <c r="AO4" i="12"/>
  <c r="AO5" i="12"/>
  <c r="AO6" i="12"/>
  <c r="DY6" i="12"/>
  <c r="AO7" i="12"/>
  <c r="DY7" i="12"/>
  <c r="AO8" i="12"/>
  <c r="DY8" i="12"/>
  <c r="AO9" i="12"/>
  <c r="DY9" i="12"/>
  <c r="AO10" i="12"/>
  <c r="AO11" i="12"/>
  <c r="DY11" i="12" s="1"/>
  <c r="AO12" i="12"/>
  <c r="AO13" i="12"/>
  <c r="DY13" i="12" s="1"/>
  <c r="AO14" i="12"/>
  <c r="DY14" i="12"/>
  <c r="AO15" i="12"/>
  <c r="DY15" i="12"/>
  <c r="AO16" i="12"/>
  <c r="DY16" i="12"/>
  <c r="AO17" i="12"/>
  <c r="AO18" i="12"/>
  <c r="DY18" i="12"/>
  <c r="AO19" i="12"/>
  <c r="AO20" i="12"/>
  <c r="AO21" i="12"/>
  <c r="DY21" i="12"/>
  <c r="O21" i="16"/>
  <c r="AO22" i="12"/>
  <c r="DY22" i="12"/>
  <c r="AO23" i="12"/>
  <c r="DY23" i="12" s="1"/>
  <c r="AO3" i="12"/>
  <c r="DY3" i="12"/>
  <c r="AK80" i="12"/>
  <c r="AL80" i="12"/>
  <c r="AM80" i="12"/>
  <c r="AN80" i="12"/>
  <c r="AK81" i="12"/>
  <c r="AL81" i="12"/>
  <c r="AM81" i="12"/>
  <c r="AN81" i="12"/>
  <c r="AK82" i="12"/>
  <c r="AM82" i="12"/>
  <c r="AK83" i="12"/>
  <c r="AL83" i="12"/>
  <c r="AM83" i="12"/>
  <c r="AN83" i="12"/>
  <c r="AK84" i="12"/>
  <c r="AL84" i="12"/>
  <c r="AM84" i="12"/>
  <c r="AN84" i="12"/>
  <c r="AK85" i="12"/>
  <c r="AL85" i="12"/>
  <c r="AM85" i="12"/>
  <c r="AN85" i="12"/>
  <c r="AK86" i="12"/>
  <c r="AL86" i="12"/>
  <c r="AM86" i="12"/>
  <c r="AN86" i="12"/>
  <c r="AK87" i="12"/>
  <c r="AL87" i="12"/>
  <c r="AM87" i="12"/>
  <c r="AN87" i="12"/>
  <c r="AK88" i="12"/>
  <c r="AL88" i="12"/>
  <c r="AM88" i="12"/>
  <c r="AN88" i="12"/>
  <c r="AK89" i="12"/>
  <c r="AL89" i="12"/>
  <c r="AM89" i="12"/>
  <c r="AN89" i="12"/>
  <c r="AK90" i="12"/>
  <c r="AL90" i="12"/>
  <c r="AM90" i="12"/>
  <c r="AN90" i="12"/>
  <c r="AK91" i="12"/>
  <c r="AL91" i="12"/>
  <c r="AM91" i="12"/>
  <c r="AN91" i="12"/>
  <c r="AK92" i="12"/>
  <c r="AL92" i="12"/>
  <c r="AM92" i="12"/>
  <c r="AN92" i="12"/>
  <c r="AK93" i="12"/>
  <c r="AL93" i="12"/>
  <c r="AM93" i="12"/>
  <c r="AN93" i="12"/>
  <c r="AK94" i="12"/>
  <c r="AL94" i="12"/>
  <c r="AM94" i="12"/>
  <c r="AN94" i="12"/>
  <c r="AK95" i="12"/>
  <c r="AL95" i="12"/>
  <c r="AM95" i="12"/>
  <c r="AN95" i="12"/>
  <c r="AK96" i="12"/>
  <c r="AL96" i="12"/>
  <c r="AM96" i="12"/>
  <c r="AN96" i="12"/>
  <c r="AK97" i="12"/>
  <c r="AL97" i="12"/>
  <c r="AM97" i="12"/>
  <c r="AN97" i="12"/>
  <c r="AK98" i="12"/>
  <c r="AL98" i="12"/>
  <c r="AM98" i="12"/>
  <c r="AN98" i="12"/>
  <c r="AK99" i="12"/>
  <c r="AL99" i="12"/>
  <c r="AM99" i="12"/>
  <c r="AN99" i="12"/>
  <c r="AK100" i="12"/>
  <c r="AL100" i="12"/>
  <c r="AM100" i="12"/>
  <c r="AN100" i="12"/>
  <c r="AK101" i="12"/>
  <c r="AL101" i="12"/>
  <c r="AM101" i="12"/>
  <c r="AN101" i="12"/>
  <c r="AK102" i="12"/>
  <c r="AL102" i="12"/>
  <c r="AM102" i="12"/>
  <c r="AN102" i="12"/>
  <c r="AK103" i="12"/>
  <c r="AL103" i="12"/>
  <c r="AM103" i="12"/>
  <c r="AN103" i="12"/>
  <c r="AK139" i="12"/>
  <c r="AL139" i="12"/>
  <c r="AM139" i="12"/>
  <c r="AN139" i="12"/>
  <c r="AK140" i="12"/>
  <c r="AL140" i="12"/>
  <c r="AM140" i="12"/>
  <c r="AN140" i="12"/>
  <c r="AK141" i="12"/>
  <c r="AL141" i="12"/>
  <c r="AM141" i="12"/>
  <c r="AN141" i="12"/>
  <c r="AK142" i="12"/>
  <c r="AL142" i="12"/>
  <c r="AM142" i="12"/>
  <c r="AN142" i="12"/>
  <c r="AK143" i="12"/>
  <c r="AL143" i="12"/>
  <c r="AM143" i="12"/>
  <c r="AN143" i="12"/>
  <c r="AK144" i="12"/>
  <c r="AL144" i="12"/>
  <c r="AM144" i="12"/>
  <c r="AN144" i="12"/>
  <c r="AK145" i="12"/>
  <c r="AL145" i="12"/>
  <c r="AM145" i="12"/>
  <c r="AN145" i="12"/>
  <c r="AK146" i="12"/>
  <c r="AL146" i="12"/>
  <c r="AM146" i="12"/>
  <c r="AN146" i="12"/>
  <c r="AK147" i="12"/>
  <c r="AL147" i="12"/>
  <c r="AM147" i="12"/>
  <c r="AN147" i="12"/>
  <c r="AK148" i="12"/>
  <c r="AL148" i="12"/>
  <c r="AM148" i="12"/>
  <c r="AN148" i="12"/>
  <c r="AK149" i="12"/>
  <c r="AL149" i="12"/>
  <c r="AM149" i="12"/>
  <c r="AN149" i="12"/>
  <c r="AK150" i="12"/>
  <c r="AL150" i="12"/>
  <c r="AM150" i="12"/>
  <c r="AN150" i="12"/>
  <c r="AK151" i="12"/>
  <c r="AL151" i="12"/>
  <c r="AM151" i="12"/>
  <c r="AN151" i="12"/>
  <c r="AK152" i="12"/>
  <c r="AL152" i="12"/>
  <c r="AM152" i="12"/>
  <c r="AN152" i="12"/>
  <c r="AK153" i="12"/>
  <c r="AL153" i="12"/>
  <c r="AM153" i="12"/>
  <c r="AN153" i="12"/>
  <c r="AK154" i="12"/>
  <c r="AL154" i="12"/>
  <c r="AM154" i="12"/>
  <c r="AN154" i="12"/>
  <c r="AK155" i="12"/>
  <c r="AL155" i="12"/>
  <c r="AM155" i="12"/>
  <c r="AN155" i="12"/>
  <c r="AK156" i="12"/>
  <c r="AL156" i="12"/>
  <c r="AM156" i="12"/>
  <c r="AN156" i="12"/>
  <c r="AK157" i="12"/>
  <c r="AL157" i="12"/>
  <c r="AM157" i="12"/>
  <c r="AN157" i="12"/>
  <c r="AK158" i="12"/>
  <c r="AL158" i="12"/>
  <c r="AM158" i="12"/>
  <c r="AN158" i="12"/>
  <c r="AK159" i="12"/>
  <c r="AL159" i="12"/>
  <c r="AM159" i="12"/>
  <c r="AN159" i="12"/>
  <c r="AK160" i="12"/>
  <c r="AL160" i="12"/>
  <c r="AM160" i="12"/>
  <c r="AN160" i="12"/>
  <c r="AK161" i="12"/>
  <c r="AL161" i="12"/>
  <c r="AM161" i="12"/>
  <c r="AN161" i="12"/>
  <c r="AK162" i="12"/>
  <c r="AL162" i="12"/>
  <c r="AM162" i="12"/>
  <c r="AN162" i="12"/>
  <c r="AH4" i="12"/>
  <c r="AI4" i="12"/>
  <c r="AJ4" i="12"/>
  <c r="AH5" i="12"/>
  <c r="AI5" i="12"/>
  <c r="AJ5" i="12"/>
  <c r="AH6" i="12"/>
  <c r="AI6" i="12"/>
  <c r="AJ6" i="12"/>
  <c r="AH7" i="12"/>
  <c r="AI7" i="12"/>
  <c r="AJ7" i="12"/>
  <c r="AG8" i="12"/>
  <c r="AH8" i="12"/>
  <c r="AI8" i="12"/>
  <c r="AJ8" i="12"/>
  <c r="AG9" i="12"/>
  <c r="AH9" i="12"/>
  <c r="AI9" i="12"/>
  <c r="AJ9" i="12"/>
  <c r="AG10" i="12"/>
  <c r="AI10" i="12"/>
  <c r="AJ10" i="12"/>
  <c r="AG11" i="12"/>
  <c r="AI11" i="12"/>
  <c r="AJ11" i="12"/>
  <c r="AG12" i="12"/>
  <c r="AI12" i="12"/>
  <c r="AJ12" i="12"/>
  <c r="AG13" i="12"/>
  <c r="AI13" i="12"/>
  <c r="AJ13" i="12"/>
  <c r="AG14" i="12"/>
  <c r="AH14" i="12"/>
  <c r="AI14" i="12"/>
  <c r="AJ14" i="12"/>
  <c r="AG15" i="12"/>
  <c r="AH15" i="12"/>
  <c r="AI15" i="12"/>
  <c r="AJ15" i="12"/>
  <c r="AG16" i="12"/>
  <c r="AH16" i="12"/>
  <c r="AJ16" i="12"/>
  <c r="AG17" i="12"/>
  <c r="AH17" i="12"/>
  <c r="AJ17" i="12"/>
  <c r="AG18" i="12"/>
  <c r="AH18" i="12"/>
  <c r="AJ18" i="12"/>
  <c r="AG19" i="12"/>
  <c r="AH19" i="12"/>
  <c r="AJ19" i="12"/>
  <c r="AG20" i="12"/>
  <c r="AH20" i="12"/>
  <c r="AI20" i="12"/>
  <c r="AJ20" i="12"/>
  <c r="AG21" i="12"/>
  <c r="AH21" i="12"/>
  <c r="AI21" i="12"/>
  <c r="AJ21" i="12"/>
  <c r="AG22" i="12"/>
  <c r="AH22" i="12"/>
  <c r="AI22" i="12"/>
  <c r="AJ22" i="12"/>
  <c r="AG23" i="12"/>
  <c r="AH23" i="12"/>
  <c r="AI23" i="12"/>
  <c r="AJ23" i="12"/>
  <c r="AJ3" i="12"/>
  <c r="AI3" i="12"/>
  <c r="AH3" i="12"/>
  <c r="BH4" i="12"/>
  <c r="BH5" i="12"/>
  <c r="BH7" i="12"/>
  <c r="BH8" i="12"/>
  <c r="BH9" i="12"/>
  <c r="CM9" i="12" s="1"/>
  <c r="BH11" i="12"/>
  <c r="BH13" i="12"/>
  <c r="BH15" i="12"/>
  <c r="BH17" i="12"/>
  <c r="ER17" i="12"/>
  <c r="BH19" i="12"/>
  <c r="BH21" i="12"/>
  <c r="BH22" i="12"/>
  <c r="BH23" i="12"/>
  <c r="BH3" i="12"/>
  <c r="BU44" i="12"/>
  <c r="BT44" i="12"/>
  <c r="BS44" i="12"/>
  <c r="BR44" i="12"/>
  <c r="BQ44" i="12"/>
  <c r="CQ44" i="12"/>
  <c r="BP44" i="12"/>
  <c r="BO44" i="12"/>
  <c r="BN44" i="12"/>
  <c r="BL44" i="12"/>
  <c r="BK44" i="12"/>
  <c r="BJ44" i="12"/>
  <c r="BU23" i="12"/>
  <c r="BT23" i="12"/>
  <c r="CT23" i="12" s="1"/>
  <c r="G23" i="12"/>
  <c r="BS23" i="12"/>
  <c r="BR23" i="12"/>
  <c r="BQ23" i="12"/>
  <c r="BP23" i="12"/>
  <c r="BO23" i="12"/>
  <c r="CO23" i="12"/>
  <c r="BN23" i="12"/>
  <c r="BM23" i="12"/>
  <c r="BL23" i="12"/>
  <c r="BK23" i="12"/>
  <c r="BJ23" i="12"/>
  <c r="BU22" i="12"/>
  <c r="BT22" i="12"/>
  <c r="BS22" i="12"/>
  <c r="BR22" i="12"/>
  <c r="BQ22" i="12"/>
  <c r="BP22" i="12"/>
  <c r="BO22" i="12"/>
  <c r="BN22" i="12"/>
  <c r="BM22" i="12"/>
  <c r="BL22" i="12"/>
  <c r="BK22" i="12"/>
  <c r="BJ22" i="12"/>
  <c r="BU21" i="12"/>
  <c r="BT21" i="12"/>
  <c r="BS21" i="12"/>
  <c r="BR21" i="12"/>
  <c r="G21" i="12"/>
  <c r="BQ21" i="12"/>
  <c r="BP21" i="12"/>
  <c r="BO21" i="12"/>
  <c r="BN21" i="12"/>
  <c r="BM21" i="12"/>
  <c r="BL21" i="12"/>
  <c r="BK21" i="12"/>
  <c r="BJ21" i="12"/>
  <c r="BU20" i="12"/>
  <c r="BT20" i="12"/>
  <c r="BS20" i="12"/>
  <c r="BR20" i="12"/>
  <c r="BQ20" i="12"/>
  <c r="BP20" i="12"/>
  <c r="BN20" i="12"/>
  <c r="CN20" i="12"/>
  <c r="BL20" i="12"/>
  <c r="BK20" i="12"/>
  <c r="BJ20" i="12"/>
  <c r="BU19" i="12"/>
  <c r="BT19" i="12"/>
  <c r="G19" i="12"/>
  <c r="CP19" i="12" s="1"/>
  <c r="BS19" i="12"/>
  <c r="CS19" i="12" s="1"/>
  <c r="BR19" i="12"/>
  <c r="BQ19" i="12"/>
  <c r="BP19" i="12"/>
  <c r="BO19" i="12"/>
  <c r="BN19" i="12"/>
  <c r="BM19" i="12"/>
  <c r="CM19" i="12" s="1"/>
  <c r="BL19" i="12"/>
  <c r="BK19" i="12"/>
  <c r="BJ19" i="12"/>
  <c r="BU18" i="12"/>
  <c r="BT18" i="12"/>
  <c r="BS18" i="12"/>
  <c r="BR18" i="12"/>
  <c r="BQ18" i="12"/>
  <c r="BP18" i="12"/>
  <c r="BO18" i="12"/>
  <c r="BN18" i="12"/>
  <c r="BL18" i="12"/>
  <c r="BK18" i="12"/>
  <c r="BJ18" i="12"/>
  <c r="BU17" i="12"/>
  <c r="BT17" i="12"/>
  <c r="G17" i="12"/>
  <c r="CR17" i="12" s="1"/>
  <c r="BS17" i="12"/>
  <c r="BR17" i="12"/>
  <c r="BQ17" i="12"/>
  <c r="CQ17" i="12" s="1"/>
  <c r="BP17" i="12"/>
  <c r="BO17" i="12"/>
  <c r="BN17" i="12"/>
  <c r="CN17" i="12" s="1"/>
  <c r="BM17" i="12"/>
  <c r="BL17" i="12"/>
  <c r="BK17" i="12"/>
  <c r="BJ17" i="12"/>
  <c r="CJ17" i="12" s="1"/>
  <c r="BU16" i="12"/>
  <c r="BT16" i="12"/>
  <c r="BS16" i="12"/>
  <c r="BR16" i="12"/>
  <c r="BP16" i="12"/>
  <c r="BO16" i="12"/>
  <c r="BN16" i="12"/>
  <c r="BL16" i="12"/>
  <c r="BK16" i="12"/>
  <c r="BJ16" i="12"/>
  <c r="BU15" i="12"/>
  <c r="BT15" i="12"/>
  <c r="G15" i="12"/>
  <c r="BS15" i="12"/>
  <c r="BR15" i="12"/>
  <c r="BQ15" i="12"/>
  <c r="BP15" i="12"/>
  <c r="BO15" i="12"/>
  <c r="BN15" i="12"/>
  <c r="BM15" i="12"/>
  <c r="BL15" i="12"/>
  <c r="BK15" i="12"/>
  <c r="BJ15" i="12"/>
  <c r="BU14" i="12"/>
  <c r="BT14" i="12"/>
  <c r="BS14" i="12"/>
  <c r="BR14" i="12"/>
  <c r="BQ14" i="12"/>
  <c r="BP14" i="12"/>
  <c r="BO14" i="12"/>
  <c r="BN14" i="12"/>
  <c r="BM14" i="12"/>
  <c r="BL14" i="12"/>
  <c r="BJ14" i="12"/>
  <c r="BU13" i="12"/>
  <c r="BT13" i="12"/>
  <c r="CT13" i="12"/>
  <c r="G13" i="12"/>
  <c r="C221" i="12"/>
  <c r="BS13" i="12"/>
  <c r="BR13" i="12"/>
  <c r="BQ13" i="12"/>
  <c r="CQ13" i="12"/>
  <c r="BP13" i="12"/>
  <c r="CP13" i="12"/>
  <c r="BO13" i="12"/>
  <c r="BN13" i="12"/>
  <c r="BM13" i="12"/>
  <c r="BL13" i="12"/>
  <c r="BK13" i="12"/>
  <c r="BJ13" i="12"/>
  <c r="BU12" i="12"/>
  <c r="CU12" i="12"/>
  <c r="BT12" i="12"/>
  <c r="BS12" i="12"/>
  <c r="BR12" i="12"/>
  <c r="BQ12" i="12"/>
  <c r="CQ12" i="12"/>
  <c r="BP12" i="12"/>
  <c r="CP12" i="12" s="1"/>
  <c r="BO12" i="12"/>
  <c r="CO12" i="12" s="1"/>
  <c r="G85" i="41" s="1"/>
  <c r="BN12" i="12"/>
  <c r="BL12" i="12"/>
  <c r="BK12" i="12"/>
  <c r="BJ12" i="12"/>
  <c r="BU11" i="12"/>
  <c r="BT11" i="12"/>
  <c r="CT11" i="12" s="1"/>
  <c r="L84" i="41" s="1"/>
  <c r="G11" i="12"/>
  <c r="BS11" i="12"/>
  <c r="BR11" i="12"/>
  <c r="BQ11" i="12"/>
  <c r="BP11" i="12"/>
  <c r="BO11" i="12"/>
  <c r="BN11" i="12"/>
  <c r="CN11" i="12" s="1"/>
  <c r="F84" i="41" s="1"/>
  <c r="BM11" i="12"/>
  <c r="BL11" i="12"/>
  <c r="BK11" i="12"/>
  <c r="BJ11" i="12"/>
  <c r="BU10" i="12"/>
  <c r="BT10" i="12"/>
  <c r="BS10" i="12"/>
  <c r="CS10" i="12" s="1"/>
  <c r="BR10" i="12"/>
  <c r="BQ10" i="12"/>
  <c r="BP10" i="12"/>
  <c r="BO10" i="12"/>
  <c r="BN10" i="12"/>
  <c r="BM10" i="12"/>
  <c r="BL10" i="12"/>
  <c r="BJ10" i="12"/>
  <c r="BU9" i="12"/>
  <c r="BT9" i="12"/>
  <c r="G9" i="12"/>
  <c r="BS9" i="12"/>
  <c r="BR9" i="12"/>
  <c r="BQ9" i="12"/>
  <c r="BP9" i="12"/>
  <c r="BO9" i="12"/>
  <c r="BN9" i="12"/>
  <c r="BM9" i="12"/>
  <c r="BL9" i="12"/>
  <c r="CL9" i="12" s="1"/>
  <c r="BK9" i="12"/>
  <c r="BJ9" i="12"/>
  <c r="BU8" i="12"/>
  <c r="BT8" i="12"/>
  <c r="G8" i="12"/>
  <c r="BS8" i="12"/>
  <c r="BR8" i="12"/>
  <c r="BQ8" i="12"/>
  <c r="BP8" i="12"/>
  <c r="BO8" i="12"/>
  <c r="BN8" i="12"/>
  <c r="BM8" i="12"/>
  <c r="BL8" i="12"/>
  <c r="BK8" i="12"/>
  <c r="BJ8" i="12"/>
  <c r="BU7" i="12"/>
  <c r="BT7" i="12"/>
  <c r="G7" i="12"/>
  <c r="BS7" i="12"/>
  <c r="BR7" i="12"/>
  <c r="BQ7" i="12"/>
  <c r="BP7" i="12"/>
  <c r="BO7" i="12"/>
  <c r="BN7" i="12"/>
  <c r="BM7" i="12"/>
  <c r="BL7" i="12"/>
  <c r="BK7" i="12"/>
  <c r="BJ7" i="12"/>
  <c r="BT6" i="12"/>
  <c r="BS6" i="12"/>
  <c r="BR6" i="12"/>
  <c r="BQ6" i="12"/>
  <c r="BP6" i="12"/>
  <c r="BO6" i="12"/>
  <c r="BN6" i="12"/>
  <c r="BM6" i="12"/>
  <c r="BL6" i="12"/>
  <c r="BK6" i="12"/>
  <c r="BJ6" i="12"/>
  <c r="CJ6" i="12" s="1"/>
  <c r="B79" i="45" s="1"/>
  <c r="BU5" i="12"/>
  <c r="BT5" i="12"/>
  <c r="CT5" i="12" s="1"/>
  <c r="G5" i="12"/>
  <c r="GK5" i="12" s="1"/>
  <c r="BS5" i="12"/>
  <c r="BR5" i="12"/>
  <c r="CR5" i="12"/>
  <c r="J78" i="43" s="1"/>
  <c r="BQ5" i="12"/>
  <c r="BP5" i="12"/>
  <c r="BO5" i="12"/>
  <c r="CO5" i="12"/>
  <c r="BN5" i="12"/>
  <c r="BM5" i="12"/>
  <c r="BL5" i="12"/>
  <c r="BK5" i="12"/>
  <c r="BJ5" i="12"/>
  <c r="CJ5" i="12"/>
  <c r="BU4" i="12"/>
  <c r="BT4" i="12"/>
  <c r="G4" i="12"/>
  <c r="BS4" i="12"/>
  <c r="BR4" i="12"/>
  <c r="BQ4" i="12"/>
  <c r="CQ4" i="12" s="1"/>
  <c r="BP4" i="12"/>
  <c r="BO4" i="12"/>
  <c r="BN4" i="12"/>
  <c r="BM4" i="12"/>
  <c r="BL4" i="12"/>
  <c r="BK4" i="12"/>
  <c r="BJ4" i="12"/>
  <c r="BU3" i="12"/>
  <c r="BT3" i="12"/>
  <c r="BS3" i="12"/>
  <c r="BR3" i="12"/>
  <c r="G3" i="12"/>
  <c r="GL3" i="12"/>
  <c r="BQ3" i="12"/>
  <c r="BP3" i="12"/>
  <c r="BO3" i="12"/>
  <c r="BN3" i="12"/>
  <c r="BL3" i="12"/>
  <c r="BM3" i="12"/>
  <c r="BK3" i="12"/>
  <c r="BJ3" i="12"/>
  <c r="M23" i="12"/>
  <c r="K23" i="12"/>
  <c r="D23" i="12"/>
  <c r="M22" i="12"/>
  <c r="K22" i="12"/>
  <c r="M21" i="12"/>
  <c r="K21" i="12"/>
  <c r="M20" i="12"/>
  <c r="K20" i="12"/>
  <c r="DC20" i="12"/>
  <c r="M20" i="16"/>
  <c r="M19" i="12"/>
  <c r="M18" i="12"/>
  <c r="K18" i="12"/>
  <c r="F18" i="16" s="1"/>
  <c r="M17" i="12"/>
  <c r="K17" i="12"/>
  <c r="DC17" i="12"/>
  <c r="M16" i="12"/>
  <c r="K16" i="12"/>
  <c r="M15" i="12"/>
  <c r="K15" i="12"/>
  <c r="DH15" i="12"/>
  <c r="M14" i="12"/>
  <c r="K14" i="12"/>
  <c r="DC14" i="12"/>
  <c r="M13" i="12"/>
  <c r="K13" i="12"/>
  <c r="F13" i="16"/>
  <c r="D176" i="12"/>
  <c r="H176" i="12"/>
  <c r="DC13" i="12"/>
  <c r="M13" i="16" s="1"/>
  <c r="DF13" i="12"/>
  <c r="M12" i="12"/>
  <c r="K12" i="12"/>
  <c r="DC12" i="12"/>
  <c r="M12" i="16"/>
  <c r="M11" i="12"/>
  <c r="K11" i="12"/>
  <c r="M10" i="12"/>
  <c r="K10" i="12"/>
  <c r="DC10" i="12"/>
  <c r="M10" i="16" s="1"/>
  <c r="M9" i="12"/>
  <c r="K9" i="12"/>
  <c r="DC9" i="12"/>
  <c r="M9" i="16" s="1"/>
  <c r="DH9" i="12"/>
  <c r="M8" i="12"/>
  <c r="M7" i="12"/>
  <c r="K7" i="12"/>
  <c r="DC7" i="12"/>
  <c r="M7" i="16"/>
  <c r="DF7" i="12"/>
  <c r="M6" i="12"/>
  <c r="M5" i="12"/>
  <c r="M4" i="12"/>
  <c r="M3" i="12"/>
  <c r="S6" i="18"/>
  <c r="T6" i="18"/>
  <c r="X6" i="18"/>
  <c r="Q7" i="18"/>
  <c r="S7" i="18"/>
  <c r="W7" i="18" s="1"/>
  <c r="T7" i="18"/>
  <c r="Q8" i="18"/>
  <c r="S8" i="18"/>
  <c r="T8" i="18"/>
  <c r="Q9" i="18"/>
  <c r="R9" i="18"/>
  <c r="T9" i="18"/>
  <c r="Q10" i="18"/>
  <c r="R10" i="18"/>
  <c r="T10" i="18"/>
  <c r="R11" i="18"/>
  <c r="S11" i="18"/>
  <c r="Q12" i="18"/>
  <c r="U12" i="18" s="1"/>
  <c r="R12" i="18"/>
  <c r="V12" i="18"/>
  <c r="S12" i="18"/>
  <c r="Q13" i="18"/>
  <c r="R13" i="18"/>
  <c r="S13" i="18"/>
  <c r="T13" i="18"/>
  <c r="Q14" i="18"/>
  <c r="R14" i="18"/>
  <c r="S14" i="18"/>
  <c r="T14" i="18"/>
  <c r="Q15" i="18"/>
  <c r="R15" i="18"/>
  <c r="S15" i="18"/>
  <c r="T15" i="18"/>
  <c r="Q16" i="18"/>
  <c r="R16" i="18"/>
  <c r="S16" i="18"/>
  <c r="T16" i="18"/>
  <c r="Q17" i="18"/>
  <c r="R17" i="18"/>
  <c r="S17" i="18"/>
  <c r="T17" i="18"/>
  <c r="Q18" i="18"/>
  <c r="R18" i="18"/>
  <c r="S18" i="18"/>
  <c r="T18" i="18"/>
  <c r="Q19" i="18"/>
  <c r="R19" i="18"/>
  <c r="S19" i="18"/>
  <c r="T19" i="18"/>
  <c r="Q20" i="18"/>
  <c r="R20" i="18"/>
  <c r="S20" i="18"/>
  <c r="T20" i="18"/>
  <c r="Q21" i="18"/>
  <c r="R21" i="18"/>
  <c r="S21" i="18"/>
  <c r="T21" i="18"/>
  <c r="Q22" i="18"/>
  <c r="R22" i="18"/>
  <c r="S22" i="18"/>
  <c r="T22" i="18"/>
  <c r="Q23" i="18"/>
  <c r="R23" i="18"/>
  <c r="S23" i="18"/>
  <c r="T23" i="18"/>
  <c r="Q24" i="18"/>
  <c r="R24" i="18"/>
  <c r="S24" i="18"/>
  <c r="W24" i="18"/>
  <c r="T24" i="18"/>
  <c r="Q25" i="18"/>
  <c r="R25" i="18"/>
  <c r="S25" i="18"/>
  <c r="T25" i="18"/>
  <c r="Q26" i="18"/>
  <c r="R26" i="18"/>
  <c r="S26" i="18"/>
  <c r="T26" i="18"/>
  <c r="Q27" i="18"/>
  <c r="R27" i="18"/>
  <c r="S27" i="18"/>
  <c r="T27" i="18"/>
  <c r="Q28" i="18"/>
  <c r="U28" i="18"/>
  <c r="R28" i="18"/>
  <c r="S28" i="18"/>
  <c r="T28" i="18"/>
  <c r="T5" i="18"/>
  <c r="N6" i="18"/>
  <c r="AL6" i="18"/>
  <c r="N7" i="18"/>
  <c r="AL7" i="18"/>
  <c r="N8" i="18"/>
  <c r="AL8" i="18"/>
  <c r="N9" i="18"/>
  <c r="AL9" i="18"/>
  <c r="N10" i="18"/>
  <c r="AL10" i="18"/>
  <c r="N11" i="18"/>
  <c r="AL11" i="18"/>
  <c r="N12" i="18"/>
  <c r="AL12" i="18"/>
  <c r="N13" i="18"/>
  <c r="AL13" i="18"/>
  <c r="N14" i="18"/>
  <c r="AL14" i="18"/>
  <c r="N15" i="18"/>
  <c r="AL15" i="18"/>
  <c r="N16" i="18"/>
  <c r="AL16" i="18"/>
  <c r="N17" i="18"/>
  <c r="AL17" i="18"/>
  <c r="N18" i="18"/>
  <c r="AL18" i="18"/>
  <c r="N19" i="18"/>
  <c r="AL19" i="18"/>
  <c r="N20" i="18"/>
  <c r="AL20" i="18"/>
  <c r="N21" i="18"/>
  <c r="AL21" i="18"/>
  <c r="N22" i="18"/>
  <c r="AL22" i="18"/>
  <c r="N23" i="18"/>
  <c r="AL23" i="18"/>
  <c r="N24" i="18"/>
  <c r="AL24" i="18"/>
  <c r="N25" i="18"/>
  <c r="AL25" i="18"/>
  <c r="N26" i="18"/>
  <c r="AL26" i="18"/>
  <c r="N27" i="18"/>
  <c r="AL27" i="18"/>
  <c r="N28" i="18"/>
  <c r="AL28" i="18"/>
  <c r="N5" i="18"/>
  <c r="AL5" i="18"/>
  <c r="M6" i="18"/>
  <c r="M7" i="18"/>
  <c r="M8" i="18"/>
  <c r="M9" i="18"/>
  <c r="V9" i="18" s="1"/>
  <c r="M10" i="18"/>
  <c r="M11" i="18"/>
  <c r="X11" i="18" s="1"/>
  <c r="M12" i="18"/>
  <c r="M13" i="18"/>
  <c r="M14" i="18"/>
  <c r="M15" i="18"/>
  <c r="M16" i="18"/>
  <c r="M17" i="18"/>
  <c r="M18" i="18"/>
  <c r="W18" i="18" s="1"/>
  <c r="M19" i="18"/>
  <c r="W19" i="18"/>
  <c r="M20" i="18"/>
  <c r="M21" i="18"/>
  <c r="M22" i="18"/>
  <c r="M23" i="18"/>
  <c r="M24" i="18"/>
  <c r="M25" i="18"/>
  <c r="M26" i="18"/>
  <c r="U26" i="18"/>
  <c r="M27" i="18"/>
  <c r="W27" i="18"/>
  <c r="M28" i="18"/>
  <c r="M5" i="18"/>
  <c r="V5" i="18" s="1"/>
  <c r="K6" i="18"/>
  <c r="AI6" i="18"/>
  <c r="K7" i="18"/>
  <c r="AI7" i="18"/>
  <c r="K8" i="18"/>
  <c r="AI8" i="18"/>
  <c r="K9" i="18"/>
  <c r="AI9" i="18"/>
  <c r="K10" i="18"/>
  <c r="AI10" i="18"/>
  <c r="K11" i="18"/>
  <c r="AI11" i="18"/>
  <c r="K12" i="18"/>
  <c r="AI12" i="18"/>
  <c r="K13" i="18"/>
  <c r="AI13" i="18"/>
  <c r="K14" i="18"/>
  <c r="AI14" i="18"/>
  <c r="K15" i="18"/>
  <c r="AI15" i="18"/>
  <c r="K16" i="18"/>
  <c r="AI16" i="18"/>
  <c r="K17" i="18"/>
  <c r="AI17" i="18"/>
  <c r="K18" i="18"/>
  <c r="AI18" i="18"/>
  <c r="K19" i="18"/>
  <c r="AI19" i="18"/>
  <c r="K20" i="18"/>
  <c r="AI20" i="18"/>
  <c r="K21" i="18"/>
  <c r="AI21" i="18"/>
  <c r="K22" i="18"/>
  <c r="AI22" i="18"/>
  <c r="K23" i="18"/>
  <c r="AI23" i="18"/>
  <c r="K24" i="18"/>
  <c r="AI24" i="18"/>
  <c r="K25" i="18"/>
  <c r="AI25" i="18"/>
  <c r="K26" i="18"/>
  <c r="AI26" i="18"/>
  <c r="K27" i="18"/>
  <c r="AI27" i="18"/>
  <c r="K28" i="18"/>
  <c r="AI28" i="18"/>
  <c r="K5" i="18"/>
  <c r="AI5" i="18"/>
  <c r="V35" i="32"/>
  <c r="V36" i="32"/>
  <c r="V37" i="32"/>
  <c r="V34" i="32"/>
  <c r="Q35" i="32"/>
  <c r="Q36" i="32"/>
  <c r="Q37" i="32"/>
  <c r="Q34" i="32"/>
  <c r="B26" i="32"/>
  <c r="B27" i="32"/>
  <c r="B28" i="32"/>
  <c r="B25" i="32"/>
  <c r="N9" i="32"/>
  <c r="O9" i="32"/>
  <c r="R9" i="32"/>
  <c r="S9" i="32"/>
  <c r="T9" i="32"/>
  <c r="U9" i="32"/>
  <c r="N10" i="32"/>
  <c r="O10" i="32"/>
  <c r="T10" i="32"/>
  <c r="U10" i="32"/>
  <c r="N11" i="32"/>
  <c r="O11" i="32"/>
  <c r="R11" i="32"/>
  <c r="S11" i="32"/>
  <c r="T11" i="32"/>
  <c r="U11" i="32"/>
  <c r="N12" i="32"/>
  <c r="O12" i="32"/>
  <c r="R12" i="32"/>
  <c r="S12" i="32"/>
  <c r="T12" i="32"/>
  <c r="U12" i="32"/>
  <c r="N13" i="32"/>
  <c r="O13" i="32"/>
  <c r="R13" i="32"/>
  <c r="S13" i="32"/>
  <c r="T13" i="32"/>
  <c r="U13" i="32"/>
  <c r="N14" i="32"/>
  <c r="O14" i="32"/>
  <c r="R14" i="32"/>
  <c r="S14" i="32"/>
  <c r="T14" i="32"/>
  <c r="U14" i="32"/>
  <c r="N15" i="32"/>
  <c r="O15" i="32"/>
  <c r="R15" i="32"/>
  <c r="S15" i="32"/>
  <c r="T15" i="32"/>
  <c r="U15" i="32"/>
  <c r="N16" i="32"/>
  <c r="O16" i="32"/>
  <c r="R16" i="32"/>
  <c r="S16" i="32"/>
  <c r="T16" i="32"/>
  <c r="U16" i="32"/>
  <c r="N17" i="32"/>
  <c r="O17" i="32"/>
  <c r="R17" i="32"/>
  <c r="S17" i="32"/>
  <c r="T17" i="32"/>
  <c r="U17" i="32"/>
  <c r="N18" i="32"/>
  <c r="O18" i="32"/>
  <c r="R18" i="32"/>
  <c r="S18" i="32"/>
  <c r="T18" i="32"/>
  <c r="U18" i="32"/>
  <c r="R19" i="32"/>
  <c r="S19" i="32"/>
  <c r="T19" i="32"/>
  <c r="U19" i="32"/>
  <c r="T8" i="32"/>
  <c r="R8" i="32"/>
  <c r="P8" i="32"/>
  <c r="U8" i="32"/>
  <c r="S8" i="32"/>
  <c r="Q8" i="32"/>
  <c r="I9" i="32"/>
  <c r="I10" i="32"/>
  <c r="AE10" i="32"/>
  <c r="I11" i="32"/>
  <c r="I12" i="32"/>
  <c r="I13" i="32"/>
  <c r="I14" i="32"/>
  <c r="I15" i="32"/>
  <c r="I16" i="32"/>
  <c r="I17" i="32"/>
  <c r="I18" i="32"/>
  <c r="I19" i="32"/>
  <c r="I8" i="32"/>
  <c r="AB9" i="32"/>
  <c r="Y8" i="32"/>
  <c r="K16" i="32"/>
  <c r="L16" i="32"/>
  <c r="D18" i="32"/>
  <c r="F9" i="32"/>
  <c r="F10" i="32"/>
  <c r="K10" i="32" s="1"/>
  <c r="L10" i="32" s="1"/>
  <c r="F11" i="32"/>
  <c r="F12" i="32"/>
  <c r="F13" i="32"/>
  <c r="F14" i="32"/>
  <c r="F15" i="32"/>
  <c r="F16" i="32"/>
  <c r="F17" i="32"/>
  <c r="K17" i="32"/>
  <c r="L17" i="32" s="1"/>
  <c r="F18" i="32"/>
  <c r="K18" i="32" s="1"/>
  <c r="L18" i="32" s="1"/>
  <c r="F19" i="32"/>
  <c r="F8" i="32"/>
  <c r="H9" i="32"/>
  <c r="F4" i="31"/>
  <c r="D9" i="32"/>
  <c r="K9" i="32"/>
  <c r="L9" i="32" s="1"/>
  <c r="P9" i="32"/>
  <c r="H10" i="32"/>
  <c r="D10" i="32"/>
  <c r="R10" i="32"/>
  <c r="P10" i="32"/>
  <c r="H11" i="32"/>
  <c r="H12" i="32"/>
  <c r="H13" i="32"/>
  <c r="H14" i="32"/>
  <c r="H15" i="32"/>
  <c r="H16" i="32"/>
  <c r="H17" i="32"/>
  <c r="H18" i="32"/>
  <c r="H19" i="32"/>
  <c r="H8" i="32"/>
  <c r="A5" i="18"/>
  <c r="G5" i="18"/>
  <c r="AC5" i="18"/>
  <c r="CE5" i="18"/>
  <c r="GJ9" i="44" s="1"/>
  <c r="H5" i="18"/>
  <c r="S5" i="18"/>
  <c r="AG5" i="18"/>
  <c r="BZ5" i="18"/>
  <c r="GC9" i="44" s="1"/>
  <c r="A6" i="18"/>
  <c r="G6" i="18"/>
  <c r="H6" i="18"/>
  <c r="AG6" i="18"/>
  <c r="BZ6" i="18"/>
  <c r="A7" i="18"/>
  <c r="G7" i="18"/>
  <c r="E60" i="18" s="1"/>
  <c r="AC7" i="18"/>
  <c r="H7" i="18"/>
  <c r="AD7" i="18" s="1"/>
  <c r="O6" i="17"/>
  <c r="AE7" i="18" s="1"/>
  <c r="AG7" i="18"/>
  <c r="A8" i="18"/>
  <c r="G8" i="18"/>
  <c r="H8" i="18"/>
  <c r="AG8" i="18"/>
  <c r="A9" i="18"/>
  <c r="G9" i="18"/>
  <c r="AC9" i="18"/>
  <c r="CE9" i="18"/>
  <c r="H9" i="18"/>
  <c r="AG9" i="18"/>
  <c r="A10" i="18"/>
  <c r="G10" i="18"/>
  <c r="E63" i="18"/>
  <c r="H10" i="18"/>
  <c r="AG10" i="18"/>
  <c r="GI14" i="45" s="1"/>
  <c r="A11" i="18"/>
  <c r="G11" i="18"/>
  <c r="AC11" i="18" s="1"/>
  <c r="H11" i="18"/>
  <c r="AG11" i="18"/>
  <c r="A12" i="18"/>
  <c r="G12" i="18"/>
  <c r="H12" i="18"/>
  <c r="AD12" i="18" s="1"/>
  <c r="AG12" i="18"/>
  <c r="A13" i="18"/>
  <c r="G13" i="18"/>
  <c r="H13" i="18"/>
  <c r="AD13" i="18"/>
  <c r="O12" i="17" s="1"/>
  <c r="AE13" i="18" s="1"/>
  <c r="AY13" i="18" s="1"/>
  <c r="AG13" i="18"/>
  <c r="A14" i="18"/>
  <c r="G14" i="18"/>
  <c r="H14" i="18"/>
  <c r="AD14" i="18"/>
  <c r="O13" i="17" s="1"/>
  <c r="AE14" i="18" s="1"/>
  <c r="AG14" i="18"/>
  <c r="BZ14" i="18"/>
  <c r="A15" i="18"/>
  <c r="G15" i="18"/>
  <c r="E68" i="18" s="1"/>
  <c r="H15" i="18"/>
  <c r="AG15" i="18"/>
  <c r="GI19" i="41"/>
  <c r="BZ15" i="18"/>
  <c r="GC19" i="41" s="1"/>
  <c r="A16" i="18"/>
  <c r="G16" i="18"/>
  <c r="H16" i="18"/>
  <c r="AD16" i="18" s="1"/>
  <c r="AG16" i="18"/>
  <c r="BZ16" i="18"/>
  <c r="A17" i="18"/>
  <c r="G17" i="18"/>
  <c r="H17" i="18"/>
  <c r="AD17" i="18"/>
  <c r="O16" i="17" s="1"/>
  <c r="AE17" i="18" s="1"/>
  <c r="AG17" i="18"/>
  <c r="A18" i="18"/>
  <c r="G18" i="18"/>
  <c r="H18" i="18"/>
  <c r="AD18" i="18"/>
  <c r="AG18" i="18"/>
  <c r="A19" i="18"/>
  <c r="G19" i="18"/>
  <c r="H19" i="18"/>
  <c r="H18" i="17" s="1"/>
  <c r="AD19" i="18"/>
  <c r="O18" i="17"/>
  <c r="AE19" i="18" s="1"/>
  <c r="AG19" i="18"/>
  <c r="BZ19" i="18" s="1"/>
  <c r="GC23" i="44" s="1"/>
  <c r="A20" i="18"/>
  <c r="G20" i="18"/>
  <c r="H20" i="18"/>
  <c r="AG20" i="18"/>
  <c r="A21" i="18"/>
  <c r="G21" i="18"/>
  <c r="AC21" i="18"/>
  <c r="H21" i="18"/>
  <c r="AD21" i="18"/>
  <c r="O20" i="17" s="1"/>
  <c r="AE21" i="18" s="1"/>
  <c r="AG21" i="18"/>
  <c r="BZ21" i="18" s="1"/>
  <c r="GC25" i="43"/>
  <c r="A22" i="18"/>
  <c r="G22" i="18"/>
  <c r="H22" i="18"/>
  <c r="AG22" i="18"/>
  <c r="GI26" i="41" s="1"/>
  <c r="A23" i="18"/>
  <c r="G23" i="18"/>
  <c r="H23" i="18"/>
  <c r="AG23" i="18"/>
  <c r="A24" i="18"/>
  <c r="G24" i="18"/>
  <c r="H24" i="18"/>
  <c r="H23" i="17"/>
  <c r="I24" i="18" s="1"/>
  <c r="AD24" i="18"/>
  <c r="AG24" i="18"/>
  <c r="A25" i="18"/>
  <c r="G25" i="18"/>
  <c r="H25" i="18"/>
  <c r="AG25" i="18"/>
  <c r="A26" i="18"/>
  <c r="G26" i="18"/>
  <c r="H26" i="18"/>
  <c r="AG26" i="18"/>
  <c r="A27" i="18"/>
  <c r="G27" i="18"/>
  <c r="H27" i="18"/>
  <c r="AD27" i="18"/>
  <c r="O26" i="17" s="1"/>
  <c r="AE27" i="18" s="1"/>
  <c r="AG27" i="18"/>
  <c r="BZ27" i="18"/>
  <c r="A28" i="18"/>
  <c r="G28" i="18"/>
  <c r="H28" i="18"/>
  <c r="AG28" i="18"/>
  <c r="GI32" i="43" s="1"/>
  <c r="D3" i="12"/>
  <c r="DA3" i="12"/>
  <c r="D4" i="12"/>
  <c r="GL4" i="12"/>
  <c r="DK20" i="41" s="1"/>
  <c r="DA4" i="12"/>
  <c r="D5" i="12"/>
  <c r="DA5" i="12"/>
  <c r="D6" i="12"/>
  <c r="GL6" i="12"/>
  <c r="DA6" i="12"/>
  <c r="D7" i="12"/>
  <c r="GL7" i="12"/>
  <c r="DA7" i="12"/>
  <c r="DA8" i="12"/>
  <c r="D9" i="12"/>
  <c r="DA9" i="12"/>
  <c r="D10" i="12"/>
  <c r="C218" i="12"/>
  <c r="GL10" i="12"/>
  <c r="DA10" i="12"/>
  <c r="D11" i="12"/>
  <c r="AM11" i="12" s="1"/>
  <c r="DA11" i="12"/>
  <c r="D12" i="12"/>
  <c r="DA12" i="12"/>
  <c r="D13" i="12"/>
  <c r="GH13" i="12" s="1"/>
  <c r="AQ29" i="41" s="1"/>
  <c r="AH13" i="12"/>
  <c r="GL13" i="12"/>
  <c r="DA13" i="12"/>
  <c r="D14" i="12"/>
  <c r="GL14" i="12"/>
  <c r="DK30" i="45"/>
  <c r="DA14" i="12"/>
  <c r="D15" i="12"/>
  <c r="DA15" i="12"/>
  <c r="D16" i="12"/>
  <c r="GL16" i="12"/>
  <c r="DA16" i="12"/>
  <c r="D17" i="12"/>
  <c r="DA17" i="12"/>
  <c r="D18" i="12"/>
  <c r="AI18" i="12"/>
  <c r="DA18" i="12"/>
  <c r="D19" i="12"/>
  <c r="DA19" i="12"/>
  <c r="D20" i="12"/>
  <c r="GH20" i="12" s="1"/>
  <c r="DA20" i="12"/>
  <c r="D21" i="12"/>
  <c r="DA21" i="12"/>
  <c r="D22" i="12"/>
  <c r="GL22" i="12"/>
  <c r="DA22" i="12"/>
  <c r="DA23" i="12"/>
  <c r="D44" i="12"/>
  <c r="DA44" i="12"/>
  <c r="A80" i="12"/>
  <c r="B80"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K19" i="12"/>
  <c r="AI80" i="12"/>
  <c r="AJ80" i="12"/>
  <c r="A81" i="12"/>
  <c r="B81"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AI81" i="12"/>
  <c r="AJ81" i="12"/>
  <c r="AO81" i="12"/>
  <c r="AP81" i="12"/>
  <c r="A82" i="12"/>
  <c r="C82" i="12"/>
  <c r="E82" i="12"/>
  <c r="G82" i="12"/>
  <c r="H82" i="12"/>
  <c r="I82" i="12"/>
  <c r="J82" i="12"/>
  <c r="K82" i="12"/>
  <c r="L82" i="12"/>
  <c r="M82" i="12"/>
  <c r="N82" i="12"/>
  <c r="O82" i="12"/>
  <c r="P82" i="12"/>
  <c r="Q82" i="12"/>
  <c r="R82" i="12"/>
  <c r="S82" i="12"/>
  <c r="U82" i="12"/>
  <c r="W82" i="12"/>
  <c r="Y82" i="12"/>
  <c r="AA82" i="12"/>
  <c r="AC82" i="12"/>
  <c r="AE82" i="12"/>
  <c r="AG82" i="12"/>
  <c r="AI82" i="12"/>
  <c r="AO82" i="12"/>
  <c r="A83" i="12"/>
  <c r="B83" i="12"/>
  <c r="C83" i="12"/>
  <c r="D83" i="12"/>
  <c r="E83" i="12"/>
  <c r="F83" i="12"/>
  <c r="G83" i="12"/>
  <c r="H83" i="12"/>
  <c r="I83" i="12"/>
  <c r="J83" i="12"/>
  <c r="K83" i="12"/>
  <c r="L83" i="12"/>
  <c r="K8" i="12"/>
  <c r="M83" i="12"/>
  <c r="N83" i="12"/>
  <c r="O83" i="12"/>
  <c r="P83" i="12"/>
  <c r="Q83" i="12"/>
  <c r="R83" i="12"/>
  <c r="S83" i="12"/>
  <c r="T83" i="12"/>
  <c r="U83" i="12"/>
  <c r="V83" i="12"/>
  <c r="W83" i="12"/>
  <c r="X83" i="12"/>
  <c r="Y83" i="12"/>
  <c r="Z83" i="12"/>
  <c r="AA83" i="12"/>
  <c r="AB83" i="12"/>
  <c r="AC83" i="12"/>
  <c r="AD83" i="12"/>
  <c r="AE83" i="12"/>
  <c r="AF83" i="12"/>
  <c r="AG83" i="12"/>
  <c r="AH83" i="12"/>
  <c r="AI83" i="12"/>
  <c r="AJ83" i="12"/>
  <c r="AO83" i="12"/>
  <c r="AP83" i="12"/>
  <c r="A84" i="12"/>
  <c r="B84"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AI84" i="12"/>
  <c r="AJ84" i="12"/>
  <c r="AO84" i="12"/>
  <c r="AP84" i="12"/>
  <c r="A85" i="12"/>
  <c r="B85"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AI85" i="12"/>
  <c r="AJ85" i="12"/>
  <c r="AO85" i="12"/>
  <c r="AP85" i="12"/>
  <c r="A86" i="12"/>
  <c r="B86"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AI86" i="12"/>
  <c r="AJ86" i="12"/>
  <c r="AO86" i="12"/>
  <c r="AP86" i="12"/>
  <c r="A87" i="12"/>
  <c r="B87"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AI87" i="12"/>
  <c r="AJ87" i="12"/>
  <c r="AO87" i="12"/>
  <c r="AP87" i="12"/>
  <c r="A88" i="12"/>
  <c r="B88"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AI88" i="12"/>
  <c r="AJ88" i="12"/>
  <c r="AO88" i="12"/>
  <c r="AP88" i="12"/>
  <c r="A89" i="12"/>
  <c r="B89"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AI89" i="12"/>
  <c r="AJ89" i="12"/>
  <c r="AO89" i="12"/>
  <c r="AP89" i="12"/>
  <c r="A90" i="12"/>
  <c r="B90"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AI90" i="12"/>
  <c r="AJ90" i="12"/>
  <c r="AO90" i="12"/>
  <c r="AP90" i="12"/>
  <c r="A91" i="12"/>
  <c r="B91"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AI91" i="12"/>
  <c r="AJ91" i="12"/>
  <c r="AO91" i="12"/>
  <c r="AP91" i="12"/>
  <c r="A92" i="12"/>
  <c r="B92"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AI92" i="12"/>
  <c r="AJ92" i="12"/>
  <c r="AO92" i="12"/>
  <c r="AP92" i="12"/>
  <c r="A93" i="12"/>
  <c r="B93"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AI93" i="12"/>
  <c r="AJ93" i="12"/>
  <c r="AO93" i="12"/>
  <c r="AP93" i="12"/>
  <c r="A94" i="12"/>
  <c r="B94"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AI94" i="12"/>
  <c r="AJ94" i="12"/>
  <c r="AO94" i="12"/>
  <c r="AP94" i="12"/>
  <c r="A95" i="12"/>
  <c r="B95"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AI95" i="12"/>
  <c r="AJ95" i="12"/>
  <c r="AO95" i="12"/>
  <c r="AP95" i="12"/>
  <c r="A96" i="12"/>
  <c r="B96" i="12"/>
  <c r="K3" i="12"/>
  <c r="DC3" i="12"/>
  <c r="M3" i="16" s="1"/>
  <c r="DH3"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AI96" i="12"/>
  <c r="AJ96" i="12"/>
  <c r="AO96" i="12"/>
  <c r="AP96" i="12"/>
  <c r="A97" i="12"/>
  <c r="B97" i="12"/>
  <c r="C97" i="12"/>
  <c r="D97" i="12"/>
  <c r="E97" i="12"/>
  <c r="F97" i="12"/>
  <c r="G97" i="12"/>
  <c r="H97" i="12"/>
  <c r="K6"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AI97" i="12"/>
  <c r="AJ97" i="12"/>
  <c r="AO97" i="12"/>
  <c r="AP97" i="12"/>
  <c r="A98" i="12"/>
  <c r="B98"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AI98" i="12"/>
  <c r="AJ98" i="12"/>
  <c r="AO98" i="12"/>
  <c r="AP98" i="12"/>
  <c r="A99" i="12"/>
  <c r="B99"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AI99" i="12"/>
  <c r="AJ99" i="12"/>
  <c r="AO99" i="12"/>
  <c r="AP99" i="12"/>
  <c r="A100" i="12"/>
  <c r="B100"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AI100" i="12"/>
  <c r="AJ100" i="12"/>
  <c r="AO100" i="12"/>
  <c r="AP100" i="12"/>
  <c r="A101" i="12"/>
  <c r="B101"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AI101" i="12"/>
  <c r="AJ101" i="12"/>
  <c r="AO101" i="12"/>
  <c r="AP101" i="12"/>
  <c r="A102" i="12"/>
  <c r="B102"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AI102" i="12"/>
  <c r="AJ102" i="12"/>
  <c r="AO102" i="12"/>
  <c r="AP102" i="12"/>
  <c r="A103" i="12"/>
  <c r="B103"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AI103" i="12"/>
  <c r="AJ103" i="12"/>
  <c r="AO103" i="12"/>
  <c r="AP103" i="12"/>
  <c r="C107" i="12"/>
  <c r="G107" i="12"/>
  <c r="M107" i="12"/>
  <c r="Q107" i="12"/>
  <c r="U107" i="12"/>
  <c r="C108" i="12"/>
  <c r="G108" i="12"/>
  <c r="M108" i="12"/>
  <c r="Q108" i="12"/>
  <c r="U108" i="12"/>
  <c r="B109" i="12"/>
  <c r="C109" i="12" s="1"/>
  <c r="D82" i="12"/>
  <c r="K4" i="12"/>
  <c r="G109" i="12"/>
  <c r="M109" i="12"/>
  <c r="Q109" i="12"/>
  <c r="U109" i="12"/>
  <c r="C110" i="12"/>
  <c r="G110" i="12"/>
  <c r="M110" i="12"/>
  <c r="Q110" i="12"/>
  <c r="U110" i="12"/>
  <c r="C111" i="12"/>
  <c r="G111" i="12"/>
  <c r="M111" i="12"/>
  <c r="Q111" i="12"/>
  <c r="U111" i="12"/>
  <c r="C112" i="12"/>
  <c r="G112" i="12"/>
  <c r="M112" i="12"/>
  <c r="Q112" i="12"/>
  <c r="U112" i="12"/>
  <c r="C113" i="12"/>
  <c r="G113" i="12"/>
  <c r="M113" i="12"/>
  <c r="Q113" i="12"/>
  <c r="U113" i="12"/>
  <c r="C114" i="12"/>
  <c r="G114" i="12"/>
  <c r="M114" i="12"/>
  <c r="Q114" i="12"/>
  <c r="U114" i="12"/>
  <c r="C115" i="12"/>
  <c r="G115" i="12"/>
  <c r="M115" i="12"/>
  <c r="Q115" i="12"/>
  <c r="U115" i="12"/>
  <c r="C116" i="12"/>
  <c r="G116" i="12"/>
  <c r="M116" i="12"/>
  <c r="Q116" i="12"/>
  <c r="U116" i="12"/>
  <c r="C117" i="12"/>
  <c r="G117" i="12"/>
  <c r="M117" i="12"/>
  <c r="Q117" i="12"/>
  <c r="U117" i="12"/>
  <c r="C118" i="12"/>
  <c r="G118" i="12"/>
  <c r="M118" i="12"/>
  <c r="Q118" i="12"/>
  <c r="U118" i="12"/>
  <c r="C119" i="12"/>
  <c r="G119" i="12"/>
  <c r="M119" i="12"/>
  <c r="Q119" i="12"/>
  <c r="U119" i="12"/>
  <c r="C120" i="12"/>
  <c r="G120" i="12"/>
  <c r="M120" i="12"/>
  <c r="Q120" i="12"/>
  <c r="U120" i="12"/>
  <c r="C121" i="12"/>
  <c r="G121" i="12"/>
  <c r="M121" i="12"/>
  <c r="Q121" i="12"/>
  <c r="U121" i="12"/>
  <c r="C122" i="12"/>
  <c r="G122" i="12"/>
  <c r="M122" i="12"/>
  <c r="Q122" i="12"/>
  <c r="U122" i="12"/>
  <c r="C123" i="12"/>
  <c r="G123" i="12"/>
  <c r="M123" i="12"/>
  <c r="Q123" i="12"/>
  <c r="U123" i="12"/>
  <c r="C124" i="12"/>
  <c r="G124" i="12"/>
  <c r="M124" i="12"/>
  <c r="Q124" i="12"/>
  <c r="U124" i="12"/>
  <c r="C125" i="12"/>
  <c r="G125" i="12"/>
  <c r="M125" i="12"/>
  <c r="Q125" i="12"/>
  <c r="U125" i="12"/>
  <c r="C126" i="12"/>
  <c r="G126" i="12"/>
  <c r="M126" i="12"/>
  <c r="Q126" i="12"/>
  <c r="U126" i="12"/>
  <c r="C127" i="12"/>
  <c r="G127" i="12"/>
  <c r="M127" i="12"/>
  <c r="Q127" i="12"/>
  <c r="U127" i="12"/>
  <c r="C128" i="12"/>
  <c r="G128" i="12"/>
  <c r="M128" i="12"/>
  <c r="Q128" i="12"/>
  <c r="U128" i="12"/>
  <c r="C129" i="12"/>
  <c r="Q129" i="12"/>
  <c r="C130" i="12"/>
  <c r="AS138" i="12"/>
  <c r="AT138" i="12"/>
  <c r="AU138" i="12"/>
  <c r="AV138" i="12"/>
  <c r="I139" i="12"/>
  <c r="O139" i="12"/>
  <c r="Q139" i="12"/>
  <c r="S139" i="12"/>
  <c r="U139" i="12"/>
  <c r="AA139" i="12"/>
  <c r="AC139" i="12"/>
  <c r="AE139" i="12"/>
  <c r="AO139" i="12"/>
  <c r="AS139" i="12"/>
  <c r="AT139" i="12"/>
  <c r="AU139" i="12"/>
  <c r="AV139" i="12"/>
  <c r="F140" i="12"/>
  <c r="G140" i="12"/>
  <c r="H140" i="12"/>
  <c r="I140" i="12"/>
  <c r="J140" i="12"/>
  <c r="O140" i="12"/>
  <c r="P140" i="12"/>
  <c r="Q140" i="12"/>
  <c r="R140" i="12"/>
  <c r="S140" i="12"/>
  <c r="T140" i="12"/>
  <c r="U140" i="12"/>
  <c r="V140" i="12"/>
  <c r="AA140" i="12"/>
  <c r="AB140" i="12"/>
  <c r="AC140" i="12"/>
  <c r="AD140" i="12"/>
  <c r="AE140" i="12"/>
  <c r="AF140" i="12"/>
  <c r="AG140" i="12"/>
  <c r="AH140" i="12"/>
  <c r="AO140" i="12"/>
  <c r="AP140" i="12"/>
  <c r="AS140" i="12"/>
  <c r="AT140" i="12"/>
  <c r="AU140" i="12"/>
  <c r="AV140" i="12"/>
  <c r="F141" i="12"/>
  <c r="I141" i="12"/>
  <c r="J141" i="12"/>
  <c r="O141" i="12"/>
  <c r="P141" i="12"/>
  <c r="Q141" i="12"/>
  <c r="R141" i="12"/>
  <c r="S141" i="12"/>
  <c r="T141" i="12"/>
  <c r="U141" i="12"/>
  <c r="V141" i="12"/>
  <c r="AA141" i="12"/>
  <c r="AB141" i="12"/>
  <c r="AC141" i="12"/>
  <c r="AD141" i="12"/>
  <c r="AE141" i="12"/>
  <c r="AF141" i="12"/>
  <c r="AO141" i="12"/>
  <c r="AP141" i="12"/>
  <c r="AS141" i="12"/>
  <c r="AT141" i="12"/>
  <c r="AU141" i="12"/>
  <c r="AV141" i="12"/>
  <c r="F142" i="12"/>
  <c r="G142" i="12"/>
  <c r="H142" i="12"/>
  <c r="I142" i="12"/>
  <c r="J142" i="12"/>
  <c r="O142" i="12"/>
  <c r="P142" i="12"/>
  <c r="Q142" i="12"/>
  <c r="R142" i="12"/>
  <c r="S142" i="12"/>
  <c r="T142" i="12"/>
  <c r="U142" i="12"/>
  <c r="V142" i="12"/>
  <c r="AA142" i="12"/>
  <c r="AB142" i="12"/>
  <c r="AC142" i="12"/>
  <c r="AD142" i="12"/>
  <c r="AE142" i="12"/>
  <c r="AF142" i="12"/>
  <c r="AO142" i="12"/>
  <c r="AP142" i="12"/>
  <c r="AS142" i="12"/>
  <c r="AT142" i="12"/>
  <c r="AU142" i="12"/>
  <c r="AV142" i="12"/>
  <c r="F143" i="12"/>
  <c r="G143" i="12"/>
  <c r="H143" i="12"/>
  <c r="I143" i="12"/>
  <c r="J143" i="12"/>
  <c r="O143" i="12"/>
  <c r="P143" i="12"/>
  <c r="Q143" i="12"/>
  <c r="R143" i="12"/>
  <c r="S143" i="12"/>
  <c r="T143" i="12"/>
  <c r="U143" i="12"/>
  <c r="V143" i="12"/>
  <c r="AA143" i="12"/>
  <c r="AB143" i="12"/>
  <c r="AC143" i="12"/>
  <c r="AD143" i="12"/>
  <c r="AE143" i="12"/>
  <c r="AF143" i="12"/>
  <c r="AO143" i="12"/>
  <c r="AP143" i="12"/>
  <c r="AS143" i="12"/>
  <c r="AT143" i="12"/>
  <c r="AU143" i="12"/>
  <c r="AV143" i="12"/>
  <c r="E144" i="12"/>
  <c r="F144" i="12"/>
  <c r="G144" i="12"/>
  <c r="H144" i="12"/>
  <c r="I144" i="12"/>
  <c r="J144" i="12"/>
  <c r="O144" i="12"/>
  <c r="P144" i="12"/>
  <c r="Q144" i="12"/>
  <c r="R144" i="12"/>
  <c r="S144" i="12"/>
  <c r="T144" i="12"/>
  <c r="U144" i="12"/>
  <c r="V144" i="12"/>
  <c r="AA144" i="12"/>
  <c r="AB144" i="12"/>
  <c r="AC144" i="12"/>
  <c r="AD144" i="12"/>
  <c r="AE144" i="12"/>
  <c r="AF144" i="12"/>
  <c r="AO144" i="12"/>
  <c r="AP144" i="12"/>
  <c r="AS144" i="12"/>
  <c r="AT144" i="12"/>
  <c r="AU144" i="12"/>
  <c r="AV144" i="12"/>
  <c r="C145" i="12"/>
  <c r="D145" i="12"/>
  <c r="E145" i="12"/>
  <c r="F145" i="12"/>
  <c r="G145" i="12"/>
  <c r="H145" i="12"/>
  <c r="I145" i="12"/>
  <c r="J145" i="12"/>
  <c r="O145" i="12"/>
  <c r="P145" i="12"/>
  <c r="Q145" i="12"/>
  <c r="R145" i="12"/>
  <c r="S145" i="12"/>
  <c r="T145" i="12"/>
  <c r="U145" i="12"/>
  <c r="V145" i="12"/>
  <c r="AA145" i="12"/>
  <c r="AB145" i="12"/>
  <c r="AC145" i="12"/>
  <c r="AD145" i="12"/>
  <c r="AE145" i="12"/>
  <c r="AF145" i="12"/>
  <c r="AG145" i="12"/>
  <c r="AH145" i="12"/>
  <c r="AO145" i="12"/>
  <c r="AP145" i="12"/>
  <c r="AQ145" i="12"/>
  <c r="AR145" i="12"/>
  <c r="AS145" i="12"/>
  <c r="AT145" i="12"/>
  <c r="AU145" i="12"/>
  <c r="AV145" i="12"/>
  <c r="C146" i="12"/>
  <c r="D146" i="12"/>
  <c r="E146" i="12"/>
  <c r="F146" i="12"/>
  <c r="G146" i="12"/>
  <c r="H146" i="12"/>
  <c r="I146" i="12"/>
  <c r="J146" i="12"/>
  <c r="O146" i="12"/>
  <c r="P146" i="12"/>
  <c r="Q146" i="12"/>
  <c r="R146" i="12"/>
  <c r="S146" i="12"/>
  <c r="T146" i="12"/>
  <c r="U146" i="12"/>
  <c r="V146" i="12"/>
  <c r="AA146" i="12"/>
  <c r="AB146" i="12"/>
  <c r="AC146" i="12"/>
  <c r="AD146" i="12"/>
  <c r="AE146" i="12"/>
  <c r="AF146" i="12"/>
  <c r="AG146" i="12"/>
  <c r="AH146" i="12"/>
  <c r="AO146" i="12"/>
  <c r="AP146" i="12"/>
  <c r="AQ146" i="12"/>
  <c r="AR146" i="12"/>
  <c r="AS146" i="12"/>
  <c r="AT146" i="12"/>
  <c r="AU146" i="12"/>
  <c r="AV146" i="12"/>
  <c r="C147" i="12"/>
  <c r="D147" i="12"/>
  <c r="E147" i="12"/>
  <c r="F147" i="12"/>
  <c r="G147" i="12"/>
  <c r="H147" i="12"/>
  <c r="I147" i="12"/>
  <c r="J147" i="12"/>
  <c r="O147" i="12"/>
  <c r="P147" i="12"/>
  <c r="Q147" i="12"/>
  <c r="R147" i="12"/>
  <c r="S147" i="12"/>
  <c r="T147" i="12"/>
  <c r="U147" i="12"/>
  <c r="V147" i="12"/>
  <c r="AA147" i="12"/>
  <c r="AB147" i="12"/>
  <c r="AC147" i="12"/>
  <c r="AD147" i="12"/>
  <c r="AE147" i="12"/>
  <c r="AF147" i="12"/>
  <c r="AG147" i="12"/>
  <c r="AH147" i="12"/>
  <c r="AO147" i="12"/>
  <c r="AP147" i="12"/>
  <c r="AQ147" i="12"/>
  <c r="AR147" i="12"/>
  <c r="AS147" i="12"/>
  <c r="AT147" i="12"/>
  <c r="AU147" i="12"/>
  <c r="AV147" i="12"/>
  <c r="C148" i="12"/>
  <c r="D148" i="12"/>
  <c r="E148" i="12"/>
  <c r="F148" i="12"/>
  <c r="G148" i="12"/>
  <c r="H148" i="12"/>
  <c r="I148" i="12"/>
  <c r="J148" i="12"/>
  <c r="O148" i="12"/>
  <c r="P148" i="12"/>
  <c r="Q148" i="12"/>
  <c r="R148" i="12"/>
  <c r="S148" i="12"/>
  <c r="T148" i="12"/>
  <c r="U148" i="12"/>
  <c r="V148" i="12"/>
  <c r="AA148" i="12"/>
  <c r="AB148" i="12"/>
  <c r="AC148" i="12"/>
  <c r="AD148" i="12"/>
  <c r="AE148" i="12"/>
  <c r="AF148" i="12"/>
  <c r="AG148" i="12"/>
  <c r="AH148" i="12"/>
  <c r="AO148" i="12"/>
  <c r="AP148" i="12"/>
  <c r="AQ148" i="12"/>
  <c r="AR148" i="12"/>
  <c r="AS148" i="12"/>
  <c r="AT148" i="12"/>
  <c r="AU148" i="12"/>
  <c r="AV148" i="12"/>
  <c r="C149" i="12"/>
  <c r="D149" i="12"/>
  <c r="E149" i="12"/>
  <c r="F149" i="12"/>
  <c r="G149" i="12"/>
  <c r="H149" i="12"/>
  <c r="I149" i="12"/>
  <c r="J149" i="12"/>
  <c r="O149" i="12"/>
  <c r="P149" i="12"/>
  <c r="Q149" i="12"/>
  <c r="R149" i="12"/>
  <c r="S149" i="12"/>
  <c r="T149" i="12"/>
  <c r="U149" i="12"/>
  <c r="V149" i="12"/>
  <c r="AA149" i="12"/>
  <c r="AB149" i="12"/>
  <c r="AC149" i="12"/>
  <c r="AD149" i="12"/>
  <c r="AE149" i="12"/>
  <c r="AF149" i="12"/>
  <c r="AG149" i="12"/>
  <c r="AH149" i="12"/>
  <c r="AO149" i="12"/>
  <c r="AP149" i="12"/>
  <c r="AQ149" i="12"/>
  <c r="AR149" i="12"/>
  <c r="AS149" i="12"/>
  <c r="AT149" i="12"/>
  <c r="AU149" i="12"/>
  <c r="AV149" i="12"/>
  <c r="C150" i="12"/>
  <c r="D150" i="12"/>
  <c r="E150" i="12"/>
  <c r="F150" i="12"/>
  <c r="G150" i="12"/>
  <c r="H150" i="12"/>
  <c r="I150" i="12"/>
  <c r="J150" i="12"/>
  <c r="O150" i="12"/>
  <c r="P150" i="12"/>
  <c r="Q150" i="12"/>
  <c r="R150" i="12"/>
  <c r="S150" i="12"/>
  <c r="T150" i="12"/>
  <c r="U150" i="12"/>
  <c r="V150" i="12"/>
  <c r="AA150" i="12"/>
  <c r="AB150" i="12"/>
  <c r="AC150" i="12"/>
  <c r="AD150" i="12"/>
  <c r="AE150" i="12"/>
  <c r="AF150" i="12"/>
  <c r="AG150" i="12"/>
  <c r="AH150" i="12"/>
  <c r="AO150" i="12"/>
  <c r="AP150" i="12"/>
  <c r="AQ150" i="12"/>
  <c r="AR150" i="12"/>
  <c r="AS150" i="12"/>
  <c r="AT150" i="12"/>
  <c r="AU150" i="12"/>
  <c r="AV150" i="12"/>
  <c r="C151" i="12"/>
  <c r="D151" i="12"/>
  <c r="E151" i="12"/>
  <c r="F151" i="12"/>
  <c r="G151" i="12"/>
  <c r="H151" i="12"/>
  <c r="I151" i="12"/>
  <c r="J151" i="12"/>
  <c r="O151" i="12"/>
  <c r="P151" i="12"/>
  <c r="Q151" i="12"/>
  <c r="R151" i="12"/>
  <c r="S151" i="12"/>
  <c r="T151" i="12"/>
  <c r="U151" i="12"/>
  <c r="V151" i="12"/>
  <c r="AA151" i="12"/>
  <c r="AB151" i="12"/>
  <c r="AC151" i="12"/>
  <c r="AD151" i="12"/>
  <c r="AE151" i="12"/>
  <c r="AF151" i="12"/>
  <c r="AG151" i="12"/>
  <c r="AH151" i="12"/>
  <c r="AO151" i="12"/>
  <c r="AP151" i="12"/>
  <c r="AQ151" i="12"/>
  <c r="AR151" i="12"/>
  <c r="AS151" i="12"/>
  <c r="AT151" i="12"/>
  <c r="AU151" i="12"/>
  <c r="AV151" i="12"/>
  <c r="C152" i="12"/>
  <c r="D152" i="12"/>
  <c r="E152" i="12"/>
  <c r="F152" i="12"/>
  <c r="G152" i="12"/>
  <c r="H152" i="12"/>
  <c r="I152" i="12"/>
  <c r="J152" i="12"/>
  <c r="O152" i="12"/>
  <c r="P152" i="12"/>
  <c r="Q152" i="12"/>
  <c r="R152" i="12"/>
  <c r="S152" i="12"/>
  <c r="T152" i="12"/>
  <c r="U152" i="12"/>
  <c r="V152" i="12"/>
  <c r="AA152" i="12"/>
  <c r="AB152" i="12"/>
  <c r="AC152" i="12"/>
  <c r="AD152" i="12"/>
  <c r="AE152" i="12"/>
  <c r="AF152" i="12"/>
  <c r="AG152" i="12"/>
  <c r="AH152" i="12"/>
  <c r="AO152" i="12"/>
  <c r="AP152" i="12"/>
  <c r="AQ152" i="12"/>
  <c r="AR152" i="12"/>
  <c r="AS152" i="12"/>
  <c r="AT152" i="12"/>
  <c r="AU152" i="12"/>
  <c r="AV152" i="12"/>
  <c r="C153" i="12"/>
  <c r="D153" i="12"/>
  <c r="E153" i="12"/>
  <c r="F153" i="12"/>
  <c r="G153" i="12"/>
  <c r="H153" i="12"/>
  <c r="I153" i="12"/>
  <c r="J153" i="12"/>
  <c r="O153" i="12"/>
  <c r="P153" i="12"/>
  <c r="Q153" i="12"/>
  <c r="R153" i="12"/>
  <c r="S153" i="12"/>
  <c r="T153" i="12"/>
  <c r="U153" i="12"/>
  <c r="V153" i="12"/>
  <c r="AA153" i="12"/>
  <c r="AB153" i="12"/>
  <c r="AC153" i="12"/>
  <c r="AD153" i="12"/>
  <c r="AE153" i="12"/>
  <c r="AF153" i="12"/>
  <c r="AG153" i="12"/>
  <c r="AH153" i="12"/>
  <c r="AO153" i="12"/>
  <c r="AP153" i="12"/>
  <c r="AQ153" i="12"/>
  <c r="AR153" i="12"/>
  <c r="AS153" i="12"/>
  <c r="AT153" i="12"/>
  <c r="AU153" i="12"/>
  <c r="AV153" i="12"/>
  <c r="C154" i="12"/>
  <c r="D154" i="12"/>
  <c r="E154" i="12"/>
  <c r="F154" i="12"/>
  <c r="G154" i="12"/>
  <c r="H154" i="12"/>
  <c r="I154" i="12"/>
  <c r="J154" i="12"/>
  <c r="O154" i="12"/>
  <c r="P154" i="12"/>
  <c r="Q154" i="12"/>
  <c r="R154" i="12"/>
  <c r="S154" i="12"/>
  <c r="T154" i="12"/>
  <c r="U154" i="12"/>
  <c r="V154" i="12"/>
  <c r="AA154" i="12"/>
  <c r="AB154" i="12"/>
  <c r="AC154" i="12"/>
  <c r="AD154" i="12"/>
  <c r="AE154" i="12"/>
  <c r="AF154" i="12"/>
  <c r="AG154" i="12"/>
  <c r="AH154" i="12"/>
  <c r="AO154" i="12"/>
  <c r="AP154" i="12"/>
  <c r="AQ154" i="12"/>
  <c r="AR154" i="12"/>
  <c r="AS154" i="12"/>
  <c r="AT154" i="12"/>
  <c r="AU154" i="12"/>
  <c r="AV154" i="12"/>
  <c r="C155" i="12"/>
  <c r="D155" i="12"/>
  <c r="E155" i="12"/>
  <c r="F155" i="12"/>
  <c r="G155" i="12"/>
  <c r="H155" i="12"/>
  <c r="I155" i="12"/>
  <c r="J155" i="12"/>
  <c r="O155" i="12"/>
  <c r="P155" i="12"/>
  <c r="Q155" i="12"/>
  <c r="R155" i="12"/>
  <c r="S155" i="12"/>
  <c r="T155" i="12"/>
  <c r="U155" i="12"/>
  <c r="V155" i="12"/>
  <c r="AA155" i="12"/>
  <c r="AB155" i="12"/>
  <c r="AC155" i="12"/>
  <c r="AD155" i="12"/>
  <c r="AE155" i="12"/>
  <c r="AF155" i="12"/>
  <c r="AG155" i="12"/>
  <c r="AH155" i="12"/>
  <c r="AO155" i="12"/>
  <c r="AP155" i="12"/>
  <c r="AS155" i="12"/>
  <c r="AT155" i="12"/>
  <c r="AU155" i="12"/>
  <c r="AV155" i="12"/>
  <c r="C156" i="12"/>
  <c r="D156" i="12"/>
  <c r="E156" i="12"/>
  <c r="F156" i="12"/>
  <c r="G156" i="12"/>
  <c r="H156" i="12"/>
  <c r="I156" i="12"/>
  <c r="J156" i="12"/>
  <c r="O156" i="12"/>
  <c r="P156" i="12"/>
  <c r="Q156" i="12"/>
  <c r="R156" i="12"/>
  <c r="S156" i="12"/>
  <c r="T156" i="12"/>
  <c r="U156" i="12"/>
  <c r="V156" i="12"/>
  <c r="AA156" i="12"/>
  <c r="AB156" i="12"/>
  <c r="AC156" i="12"/>
  <c r="AD156" i="12"/>
  <c r="AE156" i="12"/>
  <c r="AF156" i="12"/>
  <c r="AG156" i="12"/>
  <c r="AH156" i="12"/>
  <c r="AO156" i="12"/>
  <c r="AP156" i="12"/>
  <c r="AQ156" i="12"/>
  <c r="AR156" i="12"/>
  <c r="AS156" i="12"/>
  <c r="AT156" i="12"/>
  <c r="AU156" i="12"/>
  <c r="AV156" i="12"/>
  <c r="C157" i="12"/>
  <c r="D157" i="12"/>
  <c r="E157" i="12"/>
  <c r="F157" i="12"/>
  <c r="G157" i="12"/>
  <c r="H157" i="12"/>
  <c r="I157" i="12"/>
  <c r="J157" i="12"/>
  <c r="M157" i="12"/>
  <c r="N157" i="12"/>
  <c r="O157" i="12"/>
  <c r="P157" i="12"/>
  <c r="Q157" i="12"/>
  <c r="R157" i="12"/>
  <c r="S157" i="12"/>
  <c r="T157" i="12"/>
  <c r="U157" i="12"/>
  <c r="V157" i="12"/>
  <c r="W157" i="12"/>
  <c r="X157" i="12"/>
  <c r="Y157" i="12"/>
  <c r="Z157" i="12"/>
  <c r="AA157" i="12"/>
  <c r="AB157" i="12"/>
  <c r="AC157" i="12"/>
  <c r="AD157" i="12"/>
  <c r="AE157" i="12"/>
  <c r="AF157" i="12"/>
  <c r="AG157" i="12"/>
  <c r="AH157" i="12"/>
  <c r="AI157" i="12"/>
  <c r="AJ157" i="12"/>
  <c r="AO157" i="12"/>
  <c r="AP157" i="12"/>
  <c r="AQ157" i="12"/>
  <c r="AR157" i="12"/>
  <c r="AS157" i="12"/>
  <c r="AT157" i="12"/>
  <c r="AU157" i="12"/>
  <c r="AV157" i="12"/>
  <c r="C158" i="12"/>
  <c r="D158" i="12"/>
  <c r="E158" i="12"/>
  <c r="F158" i="12"/>
  <c r="G158" i="12"/>
  <c r="H158" i="12"/>
  <c r="I158" i="12"/>
  <c r="J158" i="12"/>
  <c r="M158" i="12"/>
  <c r="N158" i="12"/>
  <c r="O158" i="12"/>
  <c r="P158" i="12"/>
  <c r="Q158" i="12"/>
  <c r="R158" i="12"/>
  <c r="S158" i="12"/>
  <c r="T158" i="12"/>
  <c r="U158" i="12"/>
  <c r="V158" i="12"/>
  <c r="W158" i="12"/>
  <c r="X158" i="12"/>
  <c r="Y158" i="12"/>
  <c r="Z158" i="12"/>
  <c r="AA158" i="12"/>
  <c r="AB158" i="12"/>
  <c r="AC158" i="12"/>
  <c r="AD158" i="12"/>
  <c r="AE158" i="12"/>
  <c r="AF158" i="12"/>
  <c r="AG158" i="12"/>
  <c r="AH158" i="12"/>
  <c r="AI158" i="12"/>
  <c r="AJ158" i="12"/>
  <c r="AO158" i="12"/>
  <c r="AP158" i="12"/>
  <c r="AQ158" i="12"/>
  <c r="AR158" i="12"/>
  <c r="AS158" i="12"/>
  <c r="AT158" i="12"/>
  <c r="AU158" i="12"/>
  <c r="AV158" i="12"/>
  <c r="C159" i="12"/>
  <c r="D159" i="12"/>
  <c r="E159" i="12"/>
  <c r="F159" i="12"/>
  <c r="G159" i="12"/>
  <c r="H159" i="12"/>
  <c r="I159" i="12"/>
  <c r="J159" i="12"/>
  <c r="M159" i="12"/>
  <c r="N159" i="12"/>
  <c r="O159" i="12"/>
  <c r="P159" i="12"/>
  <c r="Q159" i="12"/>
  <c r="R159" i="12"/>
  <c r="S159" i="12"/>
  <c r="T159" i="12"/>
  <c r="U159" i="12"/>
  <c r="V159" i="12"/>
  <c r="W159" i="12"/>
  <c r="X159" i="12"/>
  <c r="Y159" i="12"/>
  <c r="Z159" i="12"/>
  <c r="AA159" i="12"/>
  <c r="AB159" i="12"/>
  <c r="AC159" i="12"/>
  <c r="AD159" i="12"/>
  <c r="AE159" i="12"/>
  <c r="AF159" i="12"/>
  <c r="AG159" i="12"/>
  <c r="AH159" i="12"/>
  <c r="AI159" i="12"/>
  <c r="AJ159" i="12"/>
  <c r="AO159" i="12"/>
  <c r="AP159" i="12"/>
  <c r="AS159" i="12"/>
  <c r="AT159" i="12"/>
  <c r="AU159" i="12"/>
  <c r="AV159" i="12"/>
  <c r="C160" i="12"/>
  <c r="D160" i="12"/>
  <c r="E160" i="12"/>
  <c r="F160" i="12"/>
  <c r="G160" i="12"/>
  <c r="H160" i="12"/>
  <c r="I160" i="12"/>
  <c r="J160" i="12"/>
  <c r="M160" i="12"/>
  <c r="N160" i="12"/>
  <c r="O160" i="12"/>
  <c r="P160" i="12"/>
  <c r="Q160" i="12"/>
  <c r="R160" i="12"/>
  <c r="S160" i="12"/>
  <c r="T160" i="12"/>
  <c r="U160" i="12"/>
  <c r="V160" i="12"/>
  <c r="W160" i="12"/>
  <c r="X160" i="12"/>
  <c r="Y160" i="12"/>
  <c r="Z160" i="12"/>
  <c r="AA160" i="12"/>
  <c r="AB160" i="12"/>
  <c r="AC160" i="12"/>
  <c r="AD160" i="12"/>
  <c r="AE160" i="12"/>
  <c r="AF160" i="12"/>
  <c r="AG160" i="12"/>
  <c r="AH160" i="12"/>
  <c r="AI160" i="12"/>
  <c r="AJ160" i="12"/>
  <c r="AO160" i="12"/>
  <c r="AP160" i="12"/>
  <c r="AQ160" i="12"/>
  <c r="AR160" i="12"/>
  <c r="AS160" i="12"/>
  <c r="AT160" i="12"/>
  <c r="AU160" i="12"/>
  <c r="AV160" i="12"/>
  <c r="E161" i="12"/>
  <c r="F161" i="12"/>
  <c r="I161" i="12"/>
  <c r="J161" i="12"/>
  <c r="O161" i="12"/>
  <c r="P161" i="12"/>
  <c r="Q161" i="12"/>
  <c r="R161" i="12"/>
  <c r="S161" i="12"/>
  <c r="T161" i="12"/>
  <c r="U161" i="12"/>
  <c r="V161" i="12"/>
  <c r="AA161" i="12"/>
  <c r="AB161" i="12"/>
  <c r="AC161" i="12"/>
  <c r="AD161" i="12"/>
  <c r="AE161" i="12"/>
  <c r="AF161" i="12"/>
  <c r="AO161" i="12"/>
  <c r="AP161" i="12"/>
  <c r="AQ161" i="12"/>
  <c r="AR161" i="12"/>
  <c r="AS161" i="12"/>
  <c r="AT161" i="12"/>
  <c r="AU161" i="12"/>
  <c r="AV161" i="12"/>
  <c r="A162" i="12"/>
  <c r="B162" i="12"/>
  <c r="C162" i="12"/>
  <c r="D162" i="12"/>
  <c r="E162" i="12"/>
  <c r="F162" i="12"/>
  <c r="G162" i="12"/>
  <c r="H162" i="12"/>
  <c r="I162" i="12"/>
  <c r="J162" i="12"/>
  <c r="K162" i="12"/>
  <c r="L162" i="12"/>
  <c r="M162" i="12"/>
  <c r="N162" i="12"/>
  <c r="O162" i="12"/>
  <c r="P162" i="12"/>
  <c r="Q162" i="12"/>
  <c r="R162" i="12"/>
  <c r="S162" i="12"/>
  <c r="T162" i="12"/>
  <c r="U162" i="12"/>
  <c r="V162" i="12"/>
  <c r="W162" i="12"/>
  <c r="X162" i="12"/>
  <c r="Y162" i="12"/>
  <c r="Z162" i="12"/>
  <c r="AA162" i="12"/>
  <c r="AB162" i="12"/>
  <c r="AC162" i="12"/>
  <c r="AD162" i="12"/>
  <c r="AE162" i="12"/>
  <c r="AF162" i="12"/>
  <c r="AG162" i="12"/>
  <c r="AH162" i="12"/>
  <c r="AI162" i="12"/>
  <c r="AJ162" i="12"/>
  <c r="AO162" i="12"/>
  <c r="AP162" i="12"/>
  <c r="AQ162" i="12"/>
  <c r="AR162" i="12"/>
  <c r="AS162" i="12"/>
  <c r="AT162" i="12"/>
  <c r="AU162" i="12"/>
  <c r="AV162" i="12"/>
  <c r="B23" i="27"/>
  <c r="B25" i="27"/>
  <c r="I23" i="27"/>
  <c r="K23" i="27"/>
  <c r="P23" i="27"/>
  <c r="P25" i="27" s="1"/>
  <c r="P30" i="27" s="1"/>
  <c r="P35" i="27" s="1"/>
  <c r="B24" i="27"/>
  <c r="I24" i="27"/>
  <c r="K24" i="27"/>
  <c r="J24" i="27"/>
  <c r="P24" i="27"/>
  <c r="I25" i="27"/>
  <c r="B27" i="27"/>
  <c r="P27" i="27"/>
  <c r="M28" i="27"/>
  <c r="M29" i="27" s="1"/>
  <c r="B34" i="27"/>
  <c r="G34" i="27"/>
  <c r="I34" i="27"/>
  <c r="J34" i="27"/>
  <c r="K34" i="27"/>
  <c r="P34" i="27"/>
  <c r="B38" i="27"/>
  <c r="P38" i="27"/>
  <c r="P39" i="27"/>
  <c r="B44" i="27"/>
  <c r="B45" i="27"/>
  <c r="E45" i="27" s="1"/>
  <c r="B46" i="27"/>
  <c r="P44" i="27"/>
  <c r="P45" i="27"/>
  <c r="P46" i="27"/>
  <c r="P47" i="27" s="1"/>
  <c r="F60" i="27"/>
  <c r="E61" i="27"/>
  <c r="E62" i="27"/>
  <c r="B23" i="26"/>
  <c r="B25" i="26" s="1"/>
  <c r="I23" i="26"/>
  <c r="J23" i="26" s="1"/>
  <c r="P23" i="26"/>
  <c r="P25" i="26"/>
  <c r="B24" i="26"/>
  <c r="I24" i="26"/>
  <c r="P24" i="26"/>
  <c r="I25" i="26"/>
  <c r="B27" i="26"/>
  <c r="N27" i="26"/>
  <c r="N29" i="26" s="1"/>
  <c r="P27" i="26"/>
  <c r="P29" i="26"/>
  <c r="P30" i="26" s="1"/>
  <c r="P35" i="26"/>
  <c r="L29" i="24" s="1"/>
  <c r="N62" i="35" s="1"/>
  <c r="R62" i="35" s="1"/>
  <c r="B34" i="26"/>
  <c r="G34" i="26"/>
  <c r="I34" i="26"/>
  <c r="J34" i="26"/>
  <c r="K34" i="26"/>
  <c r="P34" i="26"/>
  <c r="B38" i="26"/>
  <c r="P38" i="26"/>
  <c r="P39" i="26"/>
  <c r="B44" i="26"/>
  <c r="L44" i="26"/>
  <c r="P44" i="26"/>
  <c r="B45" i="26"/>
  <c r="K45" i="26"/>
  <c r="P45" i="26"/>
  <c r="B46" i="26"/>
  <c r="I46" i="26"/>
  <c r="P46" i="26"/>
  <c r="F60" i="26"/>
  <c r="E61" i="26"/>
  <c r="E62" i="26"/>
  <c r="B23" i="25"/>
  <c r="B25" i="25" s="1"/>
  <c r="I23" i="25"/>
  <c r="P23" i="25"/>
  <c r="P25" i="25" s="1"/>
  <c r="B24" i="25"/>
  <c r="I24" i="25"/>
  <c r="P24" i="25"/>
  <c r="I25" i="25"/>
  <c r="K25" i="25"/>
  <c r="B27" i="25"/>
  <c r="P27" i="25"/>
  <c r="M28" i="25"/>
  <c r="M29" i="25"/>
  <c r="G34" i="25"/>
  <c r="B38" i="25"/>
  <c r="P38" i="25"/>
  <c r="P39" i="25"/>
  <c r="B44" i="25"/>
  <c r="J44" i="25"/>
  <c r="P44" i="25"/>
  <c r="P45" i="25"/>
  <c r="P46" i="25"/>
  <c r="B45" i="25"/>
  <c r="B46" i="25"/>
  <c r="F60" i="25"/>
  <c r="E61" i="25"/>
  <c r="E62" i="25"/>
  <c r="B23" i="15"/>
  <c r="B25" i="15" s="1"/>
  <c r="I23" i="15"/>
  <c r="I27" i="15" s="1"/>
  <c r="P23" i="15"/>
  <c r="P25" i="15" s="1"/>
  <c r="B24" i="15"/>
  <c r="I24" i="15"/>
  <c r="I25" i="15"/>
  <c r="K25" i="15" s="1"/>
  <c r="P24" i="15"/>
  <c r="B27" i="15"/>
  <c r="P27" i="15"/>
  <c r="P29" i="15" s="1"/>
  <c r="M28" i="15"/>
  <c r="M29" i="15" s="1"/>
  <c r="B38" i="15"/>
  <c r="P38" i="15"/>
  <c r="B44" i="15"/>
  <c r="P44" i="15"/>
  <c r="B45" i="15"/>
  <c r="P45" i="15"/>
  <c r="B46" i="15"/>
  <c r="J46" i="15"/>
  <c r="P46" i="15"/>
  <c r="P47" i="15" s="1"/>
  <c r="F60" i="15"/>
  <c r="E61" i="15"/>
  <c r="E62" i="15"/>
  <c r="I5" i="23"/>
  <c r="E60" i="27" s="1"/>
  <c r="C17" i="23"/>
  <c r="I24" i="23"/>
  <c r="F69" i="27"/>
  <c r="I25" i="23"/>
  <c r="E71" i="27"/>
  <c r="I5" i="24"/>
  <c r="E60" i="26"/>
  <c r="C17" i="24"/>
  <c r="I24" i="24"/>
  <c r="E69" i="26"/>
  <c r="I25" i="24"/>
  <c r="F71" i="26"/>
  <c r="I5" i="21"/>
  <c r="C17" i="21"/>
  <c r="F64" i="25"/>
  <c r="F66" i="25"/>
  <c r="I24" i="21"/>
  <c r="F69" i="25"/>
  <c r="I25" i="21"/>
  <c r="F71" i="25"/>
  <c r="I5" i="13"/>
  <c r="E60" i="15" s="1"/>
  <c r="C17" i="13"/>
  <c r="I21" i="13"/>
  <c r="F67" i="15"/>
  <c r="I22" i="13"/>
  <c r="E69" i="25"/>
  <c r="I25" i="13"/>
  <c r="E71" i="25"/>
  <c r="H6" i="17"/>
  <c r="I7" i="18"/>
  <c r="H11" i="17"/>
  <c r="I12" i="18"/>
  <c r="H12" i="17"/>
  <c r="I13" i="18"/>
  <c r="H13" i="17"/>
  <c r="I14" i="18"/>
  <c r="H16" i="17"/>
  <c r="I17" i="18"/>
  <c r="H17" i="17"/>
  <c r="I18" i="18"/>
  <c r="I19" i="18"/>
  <c r="H20" i="17"/>
  <c r="I21" i="18"/>
  <c r="H5" i="1"/>
  <c r="M5" i="1"/>
  <c r="H6" i="1"/>
  <c r="M6" i="1"/>
  <c r="L9" i="1"/>
  <c r="E21" i="1"/>
  <c r="E25" i="1"/>
  <c r="J16" i="22"/>
  <c r="J17" i="22"/>
  <c r="J18" i="22"/>
  <c r="J19" i="22"/>
  <c r="Q16" i="32"/>
  <c r="Q12" i="32"/>
  <c r="Q19" i="32"/>
  <c r="Q17" i="32"/>
  <c r="Q15" i="32"/>
  <c r="Q13" i="32"/>
  <c r="Q11" i="32"/>
  <c r="Q9" i="32"/>
  <c r="Q20" i="32" s="1"/>
  <c r="C26" i="32" s="1"/>
  <c r="O8" i="32"/>
  <c r="O19" i="32"/>
  <c r="F69" i="26"/>
  <c r="F71" i="27"/>
  <c r="F71" i="15"/>
  <c r="Q18" i="32"/>
  <c r="Q14" i="32"/>
  <c r="Q10" i="32"/>
  <c r="AH82" i="12"/>
  <c r="Z82" i="12"/>
  <c r="AN82" i="12"/>
  <c r="T82" i="12"/>
  <c r="AB82" i="12"/>
  <c r="AJ82" i="12"/>
  <c r="B82" i="12"/>
  <c r="F82" i="12"/>
  <c r="K5" i="12"/>
  <c r="E69" i="15"/>
  <c r="CS23" i="12"/>
  <c r="AG3" i="12"/>
  <c r="AF82" i="12"/>
  <c r="X82" i="12"/>
  <c r="AL82" i="12"/>
  <c r="V82" i="12"/>
  <c r="AD82" i="12"/>
  <c r="AP82" i="12"/>
  <c r="AM15" i="12"/>
  <c r="AN15" i="12"/>
  <c r="E69" i="27"/>
  <c r="E71" i="26"/>
  <c r="E66" i="15"/>
  <c r="BU8" i="32"/>
  <c r="FE16" i="44"/>
  <c r="AY13" i="32"/>
  <c r="AY17" i="32"/>
  <c r="X19" i="32"/>
  <c r="AY10" i="32"/>
  <c r="AM11" i="32"/>
  <c r="AT11" i="32"/>
  <c r="AU11" i="32" s="1"/>
  <c r="AY12" i="32"/>
  <c r="AY18" i="32"/>
  <c r="AY11" i="32"/>
  <c r="AY14" i="32"/>
  <c r="P18" i="32"/>
  <c r="P16" i="32"/>
  <c r="P14" i="32"/>
  <c r="P12" i="32"/>
  <c r="AA19" i="32"/>
  <c r="AA18" i="32"/>
  <c r="AA17" i="32"/>
  <c r="AA16" i="32"/>
  <c r="AA15" i="32"/>
  <c r="AA14" i="32"/>
  <c r="AA13" i="32"/>
  <c r="AA12" i="32"/>
  <c r="AA11" i="32"/>
  <c r="AA10" i="32"/>
  <c r="AA9" i="32"/>
  <c r="P17" i="32"/>
  <c r="P15" i="32"/>
  <c r="P13" i="32"/>
  <c r="P11" i="32"/>
  <c r="AY8" i="32"/>
  <c r="BA8" i="32"/>
  <c r="AM13" i="12"/>
  <c r="GL23" i="12"/>
  <c r="GL21" i="12"/>
  <c r="GL19" i="12"/>
  <c r="DK35" i="41" s="1"/>
  <c r="GL17" i="12"/>
  <c r="DK33" i="43"/>
  <c r="GL15" i="12"/>
  <c r="GL11" i="12"/>
  <c r="GL9" i="12"/>
  <c r="GI3" i="12"/>
  <c r="GL44" i="12"/>
  <c r="GL20" i="12"/>
  <c r="DK36" i="41" s="1"/>
  <c r="GL18" i="12"/>
  <c r="GL12" i="12"/>
  <c r="GL8" i="12"/>
  <c r="GI4" i="12"/>
  <c r="P19" i="32"/>
  <c r="N19" i="32"/>
  <c r="AY19" i="32"/>
  <c r="AW19" i="32"/>
  <c r="E13" i="34"/>
  <c r="L38" i="26"/>
  <c r="E71" i="15"/>
  <c r="E68" i="25"/>
  <c r="I45" i="27"/>
  <c r="W17" i="18"/>
  <c r="W13" i="18"/>
  <c r="X7" i="18"/>
  <c r="AR22" i="12"/>
  <c r="Y5" i="15"/>
  <c r="AA5" i="15"/>
  <c r="AA10" i="15" s="1"/>
  <c r="Z5" i="15"/>
  <c r="Z10" i="15"/>
  <c r="O6" i="25"/>
  <c r="M7" i="15"/>
  <c r="O7" i="15"/>
  <c r="N7" i="15"/>
  <c r="L38" i="25"/>
  <c r="M6" i="15"/>
  <c r="M5" i="15"/>
  <c r="N5" i="15"/>
  <c r="F69" i="15"/>
  <c r="N34" i="26"/>
  <c r="M34" i="26"/>
  <c r="E67" i="15"/>
  <c r="E67" i="25"/>
  <c r="E68" i="15"/>
  <c r="O6" i="15"/>
  <c r="N6" i="15"/>
  <c r="E143" i="12"/>
  <c r="E142" i="12"/>
  <c r="E141" i="12"/>
  <c r="E140" i="12"/>
  <c r="AP139" i="12"/>
  <c r="X8" i="32"/>
  <c r="P5" i="12"/>
  <c r="O186" i="12"/>
  <c r="T182" i="12"/>
  <c r="N155" i="12"/>
  <c r="N182" i="12"/>
  <c r="S182" i="12"/>
  <c r="Q182" i="12"/>
  <c r="O182" i="12"/>
  <c r="M155" i="12"/>
  <c r="T171" i="12"/>
  <c r="R171" i="12"/>
  <c r="U171" i="12"/>
  <c r="S171" i="12"/>
  <c r="T170" i="12"/>
  <c r="R170" i="12"/>
  <c r="P170" i="12"/>
  <c r="D143" i="12"/>
  <c r="N143" i="12"/>
  <c r="N170" i="12"/>
  <c r="U170" i="12"/>
  <c r="S170" i="12"/>
  <c r="Q170" i="12"/>
  <c r="O170" i="12"/>
  <c r="C143" i="12"/>
  <c r="M143" i="12"/>
  <c r="P6" i="12"/>
  <c r="T169" i="12"/>
  <c r="R169" i="12"/>
  <c r="P169" i="12"/>
  <c r="D142" i="12"/>
  <c r="N142" i="12"/>
  <c r="N169" i="12"/>
  <c r="U169" i="12"/>
  <c r="S169" i="12"/>
  <c r="Q169" i="12"/>
  <c r="O169" i="12"/>
  <c r="C142" i="12"/>
  <c r="M142" i="12"/>
  <c r="G141" i="12"/>
  <c r="R168" i="12"/>
  <c r="AR5" i="12"/>
  <c r="AQ141" i="12"/>
  <c r="AR141" i="12"/>
  <c r="AG143" i="12"/>
  <c r="AH143" i="12"/>
  <c r="AG142" i="12"/>
  <c r="AH142" i="12"/>
  <c r="AG141" i="12"/>
  <c r="G161" i="12"/>
  <c r="G139" i="12"/>
  <c r="AR140" i="12"/>
  <c r="AQ140" i="12"/>
  <c r="AR159" i="12"/>
  <c r="AQ159" i="12"/>
  <c r="AR155" i="12"/>
  <c r="AQ155" i="12"/>
  <c r="AR144" i="12"/>
  <c r="AQ144" i="12"/>
  <c r="AH144" i="12"/>
  <c r="AR143" i="12"/>
  <c r="AQ143" i="12"/>
  <c r="AR142" i="12"/>
  <c r="AQ142" i="12"/>
  <c r="N139" i="12"/>
  <c r="H161" i="12"/>
  <c r="E139" i="12"/>
  <c r="AQ139" i="12"/>
  <c r="AR139" i="12"/>
  <c r="M139" i="12"/>
  <c r="AG144" i="12"/>
  <c r="AH139" i="12"/>
  <c r="AG161" i="12"/>
  <c r="AG139" i="12"/>
  <c r="AH161" i="12"/>
  <c r="K207" i="12"/>
  <c r="R207" i="12"/>
  <c r="L160" i="12"/>
  <c r="K160" i="12"/>
  <c r="AG7" i="12"/>
  <c r="AG6" i="12"/>
  <c r="AG4" i="12"/>
  <c r="F9" i="16"/>
  <c r="N9" i="12" s="1"/>
  <c r="P9" i="12"/>
  <c r="Q9" i="12" s="1"/>
  <c r="F10" i="16"/>
  <c r="P3" i="12"/>
  <c r="K167" i="12"/>
  <c r="W140" i="12"/>
  <c r="CA25" i="18"/>
  <c r="CA8" i="18"/>
  <c r="GD12" i="44"/>
  <c r="CA28" i="18"/>
  <c r="GD32" i="41" s="1"/>
  <c r="CA15" i="18"/>
  <c r="GD19" i="45" s="1"/>
  <c r="CA27" i="18"/>
  <c r="CA10" i="18"/>
  <c r="CA14" i="18"/>
  <c r="GD18" i="45" s="1"/>
  <c r="CA22" i="18"/>
  <c r="U166" i="12"/>
  <c r="J167" i="12"/>
  <c r="K157" i="12"/>
  <c r="L157" i="12"/>
  <c r="K159" i="12"/>
  <c r="L159" i="12"/>
  <c r="K158" i="12"/>
  <c r="L158" i="12"/>
  <c r="L144" i="12"/>
  <c r="K139" i="12"/>
  <c r="GP15" i="12"/>
  <c r="EB88" i="41" s="1"/>
  <c r="EC88" i="41" s="1"/>
  <c r="N103" i="35"/>
  <c r="B141" i="12"/>
  <c r="K38" i="35"/>
  <c r="AI1" i="18"/>
  <c r="F46" i="26"/>
  <c r="AC10" i="18"/>
  <c r="L167" i="12"/>
  <c r="J25" i="25"/>
  <c r="J23" i="25"/>
  <c r="ER13" i="12"/>
  <c r="ER5" i="12"/>
  <c r="O44" i="26"/>
  <c r="J44" i="26"/>
  <c r="F3" i="16"/>
  <c r="AI19" i="12"/>
  <c r="AI17" i="12"/>
  <c r="AM17" i="12"/>
  <c r="AI16" i="12"/>
  <c r="AH12" i="12"/>
  <c r="AH11" i="12"/>
  <c r="AH10" i="12"/>
  <c r="AM10" i="12"/>
  <c r="AN10" i="12" s="1"/>
  <c r="C215" i="12"/>
  <c r="AG5" i="12"/>
  <c r="AM5" i="12"/>
  <c r="A141" i="12"/>
  <c r="H139" i="12"/>
  <c r="P139" i="12"/>
  <c r="T74" i="35"/>
  <c r="W74" i="35"/>
  <c r="F61" i="27"/>
  <c r="E65" i="26"/>
  <c r="F62" i="15"/>
  <c r="AL7" i="15"/>
  <c r="AX10" i="27"/>
  <c r="V14" i="18"/>
  <c r="CK24" i="18"/>
  <c r="AZ10" i="25"/>
  <c r="W8" i="18"/>
  <c r="W6" i="18"/>
  <c r="CJ5" i="18"/>
  <c r="CI9" i="18"/>
  <c r="CK9" i="18" s="1"/>
  <c r="CI7" i="18"/>
  <c r="CJ7" i="18"/>
  <c r="N8" i="32"/>
  <c r="HC8" i="12"/>
  <c r="HB8" i="12"/>
  <c r="HH6" i="12"/>
  <c r="HC5" i="12"/>
  <c r="HA5" i="12"/>
  <c r="HH5" i="12"/>
  <c r="HF5" i="12"/>
  <c r="HB5" i="12"/>
  <c r="HA4" i="12"/>
  <c r="HG4" i="12"/>
  <c r="HB4" i="12"/>
  <c r="HH4" i="12"/>
  <c r="J183" i="12"/>
  <c r="J178" i="12"/>
  <c r="J177" i="12"/>
  <c r="K172" i="12"/>
  <c r="K168" i="12"/>
  <c r="W141" i="12"/>
  <c r="AH141" i="12"/>
  <c r="O168" i="12"/>
  <c r="C141" i="12"/>
  <c r="M141" i="12"/>
  <c r="H141" i="12"/>
  <c r="P168" i="12"/>
  <c r="D141" i="12"/>
  <c r="N141" i="12"/>
  <c r="X141" i="12"/>
  <c r="L141" i="12"/>
  <c r="C180" i="12"/>
  <c r="X140" i="12"/>
  <c r="AJ140" i="12"/>
  <c r="L140" i="12"/>
  <c r="L143" i="12"/>
  <c r="X143" i="12"/>
  <c r="AJ143" i="12"/>
  <c r="K140" i="12"/>
  <c r="Z143" i="12"/>
  <c r="Y142" i="12"/>
  <c r="AJ141" i="12"/>
  <c r="Z141" i="12"/>
  <c r="AI140" i="12"/>
  <c r="AI139" i="12"/>
  <c r="Y139" i="12"/>
  <c r="K141" i="12"/>
  <c r="AI143" i="12"/>
  <c r="Y143" i="12"/>
  <c r="Z142" i="12"/>
  <c r="AI141" i="12"/>
  <c r="Y141" i="12"/>
  <c r="AJ139" i="12"/>
  <c r="AF139" i="12"/>
  <c r="AD139" i="12"/>
  <c r="AB139" i="12"/>
  <c r="Z139" i="12"/>
  <c r="V139" i="12"/>
  <c r="T139" i="12"/>
  <c r="R139" i="12"/>
  <c r="D215" i="12"/>
  <c r="H215" i="12" s="1"/>
  <c r="BA10" i="32"/>
  <c r="AY9" i="32"/>
  <c r="H12" i="33"/>
  <c r="B136" i="44" s="1"/>
  <c r="FW136" i="44"/>
  <c r="I6" i="33"/>
  <c r="AA6" i="33"/>
  <c r="CK12" i="18"/>
  <c r="S10" i="32"/>
  <c r="G56" i="32"/>
  <c r="H5" i="33"/>
  <c r="Z5" i="33" s="1"/>
  <c r="AB5" i="33" s="1"/>
  <c r="EG3" i="44" s="1"/>
  <c r="H4" i="33"/>
  <c r="J4" i="33" s="1"/>
  <c r="O4" i="33"/>
  <c r="D227" i="12"/>
  <c r="D226" i="12"/>
  <c r="E226" i="12"/>
  <c r="D224" i="12"/>
  <c r="E224" i="12"/>
  <c r="GE13" i="12"/>
  <c r="D221" i="12"/>
  <c r="E221" i="12" s="1"/>
  <c r="FT12" i="12"/>
  <c r="GV85" i="41"/>
  <c r="D219" i="12"/>
  <c r="E219" i="12"/>
  <c r="D218" i="12"/>
  <c r="E218" i="12"/>
  <c r="P15" i="12"/>
  <c r="K181" i="12"/>
  <c r="AI154" i="12"/>
  <c r="B155" i="12"/>
  <c r="K180" i="12"/>
  <c r="C176" i="12"/>
  <c r="C173" i="12"/>
  <c r="K173" i="12"/>
  <c r="W155" i="12"/>
  <c r="AI155" i="12"/>
  <c r="K155" i="12"/>
  <c r="Z155" i="12"/>
  <c r="Y155" i="12"/>
  <c r="W154" i="12"/>
  <c r="K154" i="12"/>
  <c r="T181" i="12"/>
  <c r="R181" i="12"/>
  <c r="P181" i="12"/>
  <c r="N181" i="12"/>
  <c r="L181" i="12"/>
  <c r="J181" i="12"/>
  <c r="U181" i="12"/>
  <c r="S181" i="12"/>
  <c r="Q181" i="12"/>
  <c r="O181" i="12"/>
  <c r="M181" i="12"/>
  <c r="K153" i="12"/>
  <c r="W153" i="12"/>
  <c r="AI153" i="12"/>
  <c r="T180" i="12"/>
  <c r="R180" i="12"/>
  <c r="P180" i="12"/>
  <c r="N180" i="12"/>
  <c r="L180" i="12"/>
  <c r="J180" i="12"/>
  <c r="U180" i="12"/>
  <c r="S180" i="12"/>
  <c r="Q180" i="12"/>
  <c r="O180" i="12"/>
  <c r="M180" i="12"/>
  <c r="R179" i="12"/>
  <c r="L179" i="12"/>
  <c r="U183" i="12"/>
  <c r="S183" i="12"/>
  <c r="Q183" i="12"/>
  <c r="O183" i="12"/>
  <c r="M183" i="12"/>
  <c r="K183" i="12"/>
  <c r="T183" i="12"/>
  <c r="R183" i="12"/>
  <c r="P183" i="12"/>
  <c r="N183" i="12"/>
  <c r="L183" i="12"/>
  <c r="U178" i="12"/>
  <c r="S178" i="12"/>
  <c r="Q178" i="12"/>
  <c r="O178" i="12"/>
  <c r="M178" i="12"/>
  <c r="K178" i="12"/>
  <c r="AI151" i="12"/>
  <c r="T178" i="12"/>
  <c r="R178" i="12"/>
  <c r="P178" i="12"/>
  <c r="N178" i="12"/>
  <c r="L178" i="12"/>
  <c r="AJ151" i="12"/>
  <c r="U177" i="12"/>
  <c r="S177" i="12"/>
  <c r="Q177" i="12"/>
  <c r="O177" i="12"/>
  <c r="Y150" i="12"/>
  <c r="M177" i="12"/>
  <c r="K177" i="12"/>
  <c r="AI150" i="12"/>
  <c r="T177" i="12"/>
  <c r="R177" i="12"/>
  <c r="P177" i="12"/>
  <c r="Z150" i="12"/>
  <c r="N177" i="12"/>
  <c r="L177" i="12"/>
  <c r="AJ150" i="12"/>
  <c r="U176" i="12"/>
  <c r="S176" i="12"/>
  <c r="Q176" i="12"/>
  <c r="O176" i="12"/>
  <c r="Y149" i="12"/>
  <c r="M176" i="12"/>
  <c r="K176" i="12"/>
  <c r="T176" i="12"/>
  <c r="R176" i="12"/>
  <c r="P176" i="12"/>
  <c r="Z149" i="12"/>
  <c r="N176" i="12"/>
  <c r="U175" i="12"/>
  <c r="S175" i="12"/>
  <c r="Q175" i="12"/>
  <c r="O175" i="12"/>
  <c r="Y148" i="12"/>
  <c r="F12" i="16"/>
  <c r="T175" i="12"/>
  <c r="R175" i="12"/>
  <c r="P175" i="12"/>
  <c r="Z148" i="12"/>
  <c r="N175" i="12"/>
  <c r="U174" i="12"/>
  <c r="S174" i="12"/>
  <c r="Q174" i="12"/>
  <c r="O174" i="12"/>
  <c r="Y147" i="12"/>
  <c r="T174" i="12"/>
  <c r="R174" i="12"/>
  <c r="P174" i="12"/>
  <c r="Z147" i="12"/>
  <c r="N174" i="12"/>
  <c r="T173" i="12"/>
  <c r="R173" i="12"/>
  <c r="P173" i="12"/>
  <c r="Z146" i="12"/>
  <c r="N173" i="12"/>
  <c r="U173" i="12"/>
  <c r="S173" i="12"/>
  <c r="Q173" i="12"/>
  <c r="O173" i="12"/>
  <c r="Y146" i="12"/>
  <c r="M173" i="12"/>
  <c r="HA9" i="12"/>
  <c r="K145" i="12"/>
  <c r="T172" i="12"/>
  <c r="R172" i="12"/>
  <c r="P172" i="12"/>
  <c r="Z145" i="12"/>
  <c r="N172" i="12"/>
  <c r="L172" i="12"/>
  <c r="J172" i="12"/>
  <c r="U172" i="12"/>
  <c r="S172" i="12"/>
  <c r="Q172" i="12"/>
  <c r="O172" i="12"/>
  <c r="Y145" i="12"/>
  <c r="M172" i="12"/>
  <c r="HB20" i="12"/>
  <c r="GZ20" i="12"/>
  <c r="HG20" i="12"/>
  <c r="HE20" i="12"/>
  <c r="HC20" i="12"/>
  <c r="HA20" i="12"/>
  <c r="HH20" i="12"/>
  <c r="HC19" i="12"/>
  <c r="HA19" i="12"/>
  <c r="HH19" i="12"/>
  <c r="HF19" i="12"/>
  <c r="HB19" i="12"/>
  <c r="GZ19" i="12"/>
  <c r="HF18" i="12"/>
  <c r="GZ18" i="12"/>
  <c r="HB17" i="12"/>
  <c r="GZ17" i="12"/>
  <c r="HE17" i="12"/>
  <c r="HC17" i="12"/>
  <c r="HA17" i="12"/>
  <c r="HH17" i="12"/>
  <c r="HB16" i="12"/>
  <c r="GZ16" i="12"/>
  <c r="HE16" i="12"/>
  <c r="HC16" i="12"/>
  <c r="HA16" i="12"/>
  <c r="HH16" i="12"/>
  <c r="GZ15" i="12"/>
  <c r="HG15" i="12"/>
  <c r="HE15" i="12"/>
  <c r="HC15" i="12"/>
  <c r="HA15" i="12"/>
  <c r="HH15" i="12"/>
  <c r="HB14" i="12"/>
  <c r="HG14" i="12"/>
  <c r="HB12" i="12"/>
  <c r="GZ12" i="12"/>
  <c r="HG12" i="12"/>
  <c r="HE12" i="12"/>
  <c r="HC12" i="12"/>
  <c r="HH12" i="12"/>
  <c r="HB11" i="12"/>
  <c r="GZ11" i="12"/>
  <c r="HG11" i="12"/>
  <c r="HE11" i="12"/>
  <c r="HC11" i="12"/>
  <c r="HH11" i="12"/>
  <c r="HC10" i="12"/>
  <c r="HA10" i="12"/>
  <c r="HH10" i="12"/>
  <c r="HB10" i="12"/>
  <c r="GZ10" i="12"/>
  <c r="HG10" i="12"/>
  <c r="HC9" i="12"/>
  <c r="HH9" i="12"/>
  <c r="HF9" i="12"/>
  <c r="HB9" i="12"/>
  <c r="GZ9" i="12"/>
  <c r="HG9" i="12"/>
  <c r="AL5" i="15"/>
  <c r="AL10" i="15" s="1"/>
  <c r="AY5" i="15"/>
  <c r="CJ11" i="18"/>
  <c r="CK11" i="18" s="1"/>
  <c r="CJ9" i="18"/>
  <c r="CK27" i="18"/>
  <c r="X14" i="18"/>
  <c r="W14" i="18"/>
  <c r="U17" i="18"/>
  <c r="X20" i="18"/>
  <c r="H26" i="17"/>
  <c r="I27" i="18"/>
  <c r="H15" i="17"/>
  <c r="I16" i="18"/>
  <c r="V10" i="18"/>
  <c r="AN12" i="18"/>
  <c r="T12" i="18"/>
  <c r="X12" i="18"/>
  <c r="S10" i="18"/>
  <c r="W10" i="18" s="1"/>
  <c r="AN11" i="18"/>
  <c r="P11" i="18"/>
  <c r="Q11" i="18"/>
  <c r="T11" i="18"/>
  <c r="P9" i="18"/>
  <c r="S9" i="18"/>
  <c r="CE11" i="18"/>
  <c r="CA7" i="18"/>
  <c r="GD11" i="45"/>
  <c r="CE7" i="18"/>
  <c r="GJ11" i="44"/>
  <c r="AN7" i="18"/>
  <c r="P8" i="18"/>
  <c r="R8" i="18"/>
  <c r="V8" i="18" s="1"/>
  <c r="P7" i="18"/>
  <c r="R7" i="18"/>
  <c r="V7" i="18" s="1"/>
  <c r="AN6" i="18"/>
  <c r="AI145" i="12"/>
  <c r="W145" i="12"/>
  <c r="N140" i="12"/>
  <c r="Z140" i="12"/>
  <c r="M140" i="12"/>
  <c r="Y140" i="12"/>
  <c r="W143" i="12"/>
  <c r="K143" i="12"/>
  <c r="O6" i="16"/>
  <c r="E215" i="12"/>
  <c r="E227" i="12"/>
  <c r="HG19" i="12"/>
  <c r="HG18" i="12"/>
  <c r="HG17" i="12"/>
  <c r="HG16" i="12"/>
  <c r="HF12" i="12"/>
  <c r="HF11" i="12"/>
  <c r="HF10" i="12"/>
  <c r="A155" i="12"/>
  <c r="J182" i="12"/>
  <c r="L182" i="12"/>
  <c r="J173" i="12"/>
  <c r="L173" i="12"/>
  <c r="J176" i="12"/>
  <c r="L176" i="12"/>
  <c r="HB15" i="12"/>
  <c r="K146" i="12"/>
  <c r="W146" i="12"/>
  <c r="AI146" i="12"/>
  <c r="X145" i="12"/>
  <c r="AJ145" i="12"/>
  <c r="L146" i="12"/>
  <c r="X146" i="12"/>
  <c r="AJ146" i="12"/>
  <c r="L149" i="12"/>
  <c r="X149" i="12"/>
  <c r="AJ149" i="12"/>
  <c r="K149" i="12"/>
  <c r="W149" i="12"/>
  <c r="AI149" i="12"/>
  <c r="X154" i="12"/>
  <c r="AJ154" i="12"/>
  <c r="L154" i="12"/>
  <c r="N154" i="12"/>
  <c r="Z154" i="12"/>
  <c r="M154" i="12"/>
  <c r="Y154" i="12"/>
  <c r="M153" i="12"/>
  <c r="Y153" i="12"/>
  <c r="X153" i="12"/>
  <c r="AJ153" i="12"/>
  <c r="L153" i="12"/>
  <c r="N153" i="12"/>
  <c r="Z153" i="12"/>
  <c r="W152" i="12"/>
  <c r="AI152" i="12"/>
  <c r="K152" i="12"/>
  <c r="M152" i="12"/>
  <c r="Y152" i="12"/>
  <c r="X152" i="12"/>
  <c r="AJ152" i="12"/>
  <c r="L152" i="12"/>
  <c r="N152" i="12"/>
  <c r="Z152" i="12"/>
  <c r="W156" i="12"/>
  <c r="AI156" i="12"/>
  <c r="K156" i="12"/>
  <c r="M156" i="12"/>
  <c r="Y156" i="12"/>
  <c r="X156" i="12"/>
  <c r="AJ156" i="12"/>
  <c r="L156" i="12"/>
  <c r="N156" i="12"/>
  <c r="Z156" i="12"/>
  <c r="X151" i="12"/>
  <c r="L151" i="12"/>
  <c r="N151" i="12"/>
  <c r="Z151" i="12"/>
  <c r="W151" i="12"/>
  <c r="K151" i="12"/>
  <c r="M151" i="12"/>
  <c r="Y151" i="12"/>
  <c r="L150" i="12"/>
  <c r="X150" i="12"/>
  <c r="N150" i="12"/>
  <c r="W150" i="12"/>
  <c r="K150" i="12"/>
  <c r="M150" i="12"/>
  <c r="N149" i="12"/>
  <c r="M149" i="12"/>
  <c r="N148" i="12"/>
  <c r="M148" i="12"/>
  <c r="N147" i="12"/>
  <c r="M147" i="12"/>
  <c r="N146" i="12"/>
  <c r="A146" i="12"/>
  <c r="M146" i="12"/>
  <c r="A145" i="12"/>
  <c r="M145" i="12"/>
  <c r="L145" i="12"/>
  <c r="N145" i="12"/>
  <c r="AL6" i="15"/>
  <c r="AM6" i="15"/>
  <c r="BS11" i="18"/>
  <c r="BR9" i="18"/>
  <c r="CB20" i="18"/>
  <c r="GE24" i="43" s="1"/>
  <c r="BQ7" i="18"/>
  <c r="CA9" i="18"/>
  <c r="Q6" i="18"/>
  <c r="U6" i="18" s="1"/>
  <c r="R6" i="18"/>
  <c r="V6" i="18"/>
  <c r="BP5" i="18"/>
  <c r="BP29" i="18" s="1"/>
  <c r="E172" i="41"/>
  <c r="R5" i="18"/>
  <c r="CB18" i="18"/>
  <c r="GE22" i="44"/>
  <c r="D139" i="12"/>
  <c r="X139" i="12"/>
  <c r="C139" i="12"/>
  <c r="W139" i="12"/>
  <c r="M169" i="12"/>
  <c r="B142" i="12"/>
  <c r="K169" i="12"/>
  <c r="J169" i="12"/>
  <c r="L169" i="12"/>
  <c r="A144" i="12"/>
  <c r="X155" i="12"/>
  <c r="L155" i="12"/>
  <c r="AJ155" i="12"/>
  <c r="HA12" i="12"/>
  <c r="B148" i="12"/>
  <c r="K175" i="12"/>
  <c r="M175" i="12"/>
  <c r="A148" i="12"/>
  <c r="J175" i="12"/>
  <c r="L175" i="12"/>
  <c r="HA11" i="12"/>
  <c r="L174" i="12"/>
  <c r="B147" i="12"/>
  <c r="K174" i="12"/>
  <c r="M174" i="12"/>
  <c r="J174" i="12"/>
  <c r="BQ5" i="18"/>
  <c r="P171" i="12"/>
  <c r="D144" i="12"/>
  <c r="L171" i="12"/>
  <c r="N171" i="12"/>
  <c r="J171" i="12"/>
  <c r="Q171" i="12"/>
  <c r="M171" i="12"/>
  <c r="O171" i="12"/>
  <c r="C144" i="12"/>
  <c r="K171" i="12"/>
  <c r="X142" i="12"/>
  <c r="L142" i="12"/>
  <c r="AJ142" i="12"/>
  <c r="W142" i="12"/>
  <c r="AI142" i="12"/>
  <c r="K142" i="12"/>
  <c r="M144" i="12"/>
  <c r="Y144" i="12"/>
  <c r="N144" i="12"/>
  <c r="B144" i="12"/>
  <c r="Z144" i="12"/>
  <c r="W147" i="12"/>
  <c r="AI147" i="12"/>
  <c r="L148" i="12"/>
  <c r="X148" i="12"/>
  <c r="AJ148" i="12"/>
  <c r="X147" i="12"/>
  <c r="AJ147" i="12"/>
  <c r="K148" i="12"/>
  <c r="W148" i="12"/>
  <c r="AI148" i="12"/>
  <c r="K147" i="12"/>
  <c r="L147" i="12"/>
  <c r="W144" i="12"/>
  <c r="AI144" i="12"/>
  <c r="X144" i="12"/>
  <c r="AJ144" i="12"/>
  <c r="Y161" i="12"/>
  <c r="A161" i="12"/>
  <c r="M161" i="12"/>
  <c r="Z161" i="12"/>
  <c r="N161" i="12"/>
  <c r="B161" i="12"/>
  <c r="X161" i="12"/>
  <c r="AJ161" i="12"/>
  <c r="W161" i="12"/>
  <c r="AI161" i="12"/>
  <c r="L161" i="12"/>
  <c r="K161" i="12"/>
  <c r="CL5" i="12"/>
  <c r="CJ19" i="12"/>
  <c r="B92" i="41" s="1"/>
  <c r="AK5" i="26"/>
  <c r="AL5" i="27"/>
  <c r="AL10" i="27" s="1"/>
  <c r="AU19" i="32"/>
  <c r="AT17" i="32"/>
  <c r="AU17" i="32" s="1"/>
  <c r="X19" i="18"/>
  <c r="U8" i="18"/>
  <c r="X27" i="18"/>
  <c r="K185" i="12"/>
  <c r="M185" i="12"/>
  <c r="O185" i="12"/>
  <c r="Q185" i="12"/>
  <c r="S185" i="12"/>
  <c r="U185" i="12"/>
  <c r="V27" i="18"/>
  <c r="V23" i="18"/>
  <c r="D252" i="12"/>
  <c r="D230" i="12"/>
  <c r="D228" i="12"/>
  <c r="D222" i="12"/>
  <c r="D216" i="12"/>
  <c r="T185" i="12"/>
  <c r="P185" i="12"/>
  <c r="L185" i="12"/>
  <c r="T184" i="12"/>
  <c r="P184" i="12"/>
  <c r="CM12" i="12"/>
  <c r="K184" i="12"/>
  <c r="M184" i="12"/>
  <c r="O184" i="12"/>
  <c r="Q184" i="12"/>
  <c r="S184" i="12"/>
  <c r="U184" i="12"/>
  <c r="V19" i="18"/>
  <c r="D211" i="12"/>
  <c r="BB11" i="32"/>
  <c r="BB17" i="32"/>
  <c r="BB18" i="32"/>
  <c r="AW14" i="32"/>
  <c r="BA14" i="32"/>
  <c r="BC14" i="32"/>
  <c r="AW16" i="32"/>
  <c r="BA16" i="32"/>
  <c r="AZ18" i="32"/>
  <c r="AX18" i="32"/>
  <c r="BD18" i="32"/>
  <c r="BA19" i="32"/>
  <c r="BC19" i="32"/>
  <c r="D231" i="12"/>
  <c r="D229" i="12"/>
  <c r="E229" i="12" s="1"/>
  <c r="D223" i="12"/>
  <c r="E223" i="12" s="1"/>
  <c r="D217" i="12"/>
  <c r="E217" i="12"/>
  <c r="R185" i="12"/>
  <c r="N185" i="12"/>
  <c r="J185" i="12"/>
  <c r="R184" i="12"/>
  <c r="N184" i="12"/>
  <c r="J184" i="12"/>
  <c r="CM20" i="12"/>
  <c r="HB44" i="12"/>
  <c r="GZ44" i="12"/>
  <c r="HB22" i="12"/>
  <c r="GZ22" i="12"/>
  <c r="HG44" i="12"/>
  <c r="HE44" i="12"/>
  <c r="HG22" i="12"/>
  <c r="HC44" i="12"/>
  <c r="HA44" i="12"/>
  <c r="HC23" i="12"/>
  <c r="HA23" i="12"/>
  <c r="HC21" i="12"/>
  <c r="HA21" i="12"/>
  <c r="HH44" i="12"/>
  <c r="HH23" i="12"/>
  <c r="HH22" i="12"/>
  <c r="HH21" i="12"/>
  <c r="B83" i="35"/>
  <c r="E222" i="12"/>
  <c r="E252" i="12"/>
  <c r="P34" i="25"/>
  <c r="X28" i="18"/>
  <c r="X26" i="18"/>
  <c r="X24" i="18"/>
  <c r="X21" i="18"/>
  <c r="HB23" i="12"/>
  <c r="GZ23" i="12"/>
  <c r="HB21" i="12"/>
  <c r="GZ21" i="12"/>
  <c r="HG23" i="12"/>
  <c r="HG21" i="12"/>
  <c r="B139" i="12"/>
  <c r="A139" i="12"/>
  <c r="P29" i="27"/>
  <c r="L29" i="23"/>
  <c r="O62" i="35" s="1"/>
  <c r="S62" i="35" s="1"/>
  <c r="P47" i="25"/>
  <c r="A150" i="12"/>
  <c r="B150" i="12"/>
  <c r="A152" i="12"/>
  <c r="AZ11" i="32"/>
  <c r="AW13" i="32"/>
  <c r="BA13" i="32"/>
  <c r="BC13" i="32"/>
  <c r="BC15" i="32"/>
  <c r="AW15" i="32"/>
  <c r="BA15" i="32"/>
  <c r="AZ17" i="32"/>
  <c r="AX17" i="32"/>
  <c r="BD17" i="32"/>
  <c r="D250" i="12"/>
  <c r="E250" i="12" s="1"/>
  <c r="C250" i="12"/>
  <c r="HC42" i="12"/>
  <c r="HA42" i="12"/>
  <c r="HF42" i="12"/>
  <c r="L205" i="12"/>
  <c r="J205" i="12"/>
  <c r="M205" i="12"/>
  <c r="HA40" i="12"/>
  <c r="HG40" i="12"/>
  <c r="L168" i="12"/>
  <c r="BE22" i="12"/>
  <c r="C206" i="12"/>
  <c r="C200" i="12"/>
  <c r="C196" i="12"/>
  <c r="C194" i="12"/>
  <c r="C197" i="12"/>
  <c r="AX22" i="12"/>
  <c r="A153" i="12"/>
  <c r="AM44" i="12"/>
  <c r="AN44" i="12" s="1"/>
  <c r="AR43" i="12"/>
  <c r="BA43" i="12"/>
  <c r="AR37" i="12"/>
  <c r="AR33" i="12"/>
  <c r="AR31" i="12"/>
  <c r="AY31" i="12"/>
  <c r="CU41" i="12"/>
  <c r="M114" i="44" s="1"/>
  <c r="CK41" i="12"/>
  <c r="CS39" i="12"/>
  <c r="CQ39" i="12"/>
  <c r="I112" i="44" s="1"/>
  <c r="CO39" i="12"/>
  <c r="G112" i="41" s="1"/>
  <c r="CQ37" i="12"/>
  <c r="CO37" i="12"/>
  <c r="CM37" i="12"/>
  <c r="E110" i="44" s="1"/>
  <c r="CK37" i="12"/>
  <c r="CT36" i="12"/>
  <c r="CP36" i="12"/>
  <c r="CM35" i="12"/>
  <c r="E108" i="41" s="1"/>
  <c r="CL34" i="12"/>
  <c r="CS33" i="12"/>
  <c r="CQ33" i="12"/>
  <c r="CM33" i="12"/>
  <c r="CR32" i="12"/>
  <c r="J105" i="41" s="1"/>
  <c r="CN32" i="12"/>
  <c r="CL32" i="12"/>
  <c r="CU31" i="12"/>
  <c r="CQ31" i="12"/>
  <c r="CT30" i="12"/>
  <c r="CU29" i="12"/>
  <c r="M102" i="45"/>
  <c r="CS29" i="12"/>
  <c r="CK29" i="12"/>
  <c r="CN28" i="12"/>
  <c r="CT26" i="12"/>
  <c r="L99" i="41" s="1"/>
  <c r="CK25" i="12"/>
  <c r="CR24" i="12"/>
  <c r="CL24" i="12"/>
  <c r="D97" i="41" s="1"/>
  <c r="CJ24" i="12"/>
  <c r="EB42" i="12"/>
  <c r="EJ42" i="12" s="1"/>
  <c r="GB25" i="12"/>
  <c r="AM43" i="12"/>
  <c r="AR42" i="12"/>
  <c r="AX42" i="12" s="1"/>
  <c r="AR38" i="12"/>
  <c r="AR34" i="12"/>
  <c r="AR32" i="12"/>
  <c r="AR28" i="12"/>
  <c r="BE28" i="12"/>
  <c r="AR26" i="12"/>
  <c r="BF26" i="12" s="1"/>
  <c r="AR24" i="12"/>
  <c r="AY24" i="12" s="1"/>
  <c r="CN43" i="12"/>
  <c r="CP41" i="12"/>
  <c r="CL41" i="12"/>
  <c r="D114" i="41" s="1"/>
  <c r="CR39" i="12"/>
  <c r="J112" i="41" s="1"/>
  <c r="CN39" i="12"/>
  <c r="F112" i="44" s="1"/>
  <c r="CQ38" i="12"/>
  <c r="CK38" i="12"/>
  <c r="CT37" i="12"/>
  <c r="CP37" i="12"/>
  <c r="CU36" i="12"/>
  <c r="M109" i="41" s="1"/>
  <c r="CS36" i="12"/>
  <c r="K109" i="45" s="1"/>
  <c r="CT35" i="12"/>
  <c r="L108" i="41" s="1"/>
  <c r="CQ34" i="12"/>
  <c r="CM34" i="12"/>
  <c r="CT33" i="12"/>
  <c r="CQ32" i="12"/>
  <c r="CO32" i="12"/>
  <c r="G105" i="41" s="1"/>
  <c r="CM32" i="12"/>
  <c r="CT31" i="12"/>
  <c r="L104" i="41" s="1"/>
  <c r="CP31" i="12"/>
  <c r="CL31" i="12"/>
  <c r="D104" i="41" s="1"/>
  <c r="CT29" i="12"/>
  <c r="CR29" i="12"/>
  <c r="CJ29" i="12"/>
  <c r="B102" i="41"/>
  <c r="CU28" i="12"/>
  <c r="M101" i="43"/>
  <c r="CP27" i="12"/>
  <c r="H100" i="44" s="1"/>
  <c r="CQ26" i="12"/>
  <c r="CM26" i="12"/>
  <c r="CU24" i="12"/>
  <c r="CS24" i="12"/>
  <c r="CQ24" i="12"/>
  <c r="I97" i="41" s="1"/>
  <c r="CM24" i="12"/>
  <c r="E97" i="41" s="1"/>
  <c r="CK24" i="12"/>
  <c r="GC43" i="12"/>
  <c r="DX116" i="44" s="1"/>
  <c r="GW116" i="44" s="1"/>
  <c r="FY43" i="12"/>
  <c r="DT116" i="41" s="1"/>
  <c r="GE37" i="12"/>
  <c r="FY37" i="12"/>
  <c r="FU37" i="12"/>
  <c r="DP110" i="41" s="1"/>
  <c r="FY35" i="12"/>
  <c r="GC33" i="12"/>
  <c r="GE32" i="12"/>
  <c r="GA32" i="12"/>
  <c r="FY32" i="12"/>
  <c r="DT105" i="41" s="1"/>
  <c r="FW32" i="12"/>
  <c r="GE31" i="12"/>
  <c r="GA31" i="12"/>
  <c r="DV104" i="41" s="1"/>
  <c r="CL4" i="12"/>
  <c r="CU11" i="12"/>
  <c r="M84" i="41" s="1"/>
  <c r="CT9" i="12"/>
  <c r="CU7" i="12"/>
  <c r="D181" i="12"/>
  <c r="AM20" i="12"/>
  <c r="AN20" i="12"/>
  <c r="C183" i="12"/>
  <c r="F20" i="16"/>
  <c r="CN7" i="12"/>
  <c r="AN11" i="12"/>
  <c r="C174" i="12"/>
  <c r="A147" i="12"/>
  <c r="C170" i="12"/>
  <c r="GK13" i="12"/>
  <c r="DJ29" i="43" s="1"/>
  <c r="AR13" i="12"/>
  <c r="A159" i="12"/>
  <c r="AR23" i="12"/>
  <c r="BF23" i="12"/>
  <c r="ER23" i="12"/>
  <c r="CQ23" i="12"/>
  <c r="I96" i="41" s="1"/>
  <c r="ER9" i="12"/>
  <c r="CQ9" i="12"/>
  <c r="C252" i="12"/>
  <c r="H252" i="12" s="1"/>
  <c r="ER18" i="12"/>
  <c r="AR12" i="12"/>
  <c r="ER10" i="12"/>
  <c r="CT6" i="12"/>
  <c r="C214" i="12"/>
  <c r="ER20" i="12"/>
  <c r="GB20" i="12" s="1"/>
  <c r="B145" i="12"/>
  <c r="CR6" i="12"/>
  <c r="J79" i="41" s="1"/>
  <c r="CL10" i="12"/>
  <c r="CN10" i="12"/>
  <c r="CP10" i="12"/>
  <c r="CT10" i="12"/>
  <c r="CN12" i="12"/>
  <c r="CR12" i="12"/>
  <c r="CT12" i="12"/>
  <c r="L85" i="41" s="1"/>
  <c r="CP17" i="12"/>
  <c r="CR18" i="12"/>
  <c r="CL19" i="12"/>
  <c r="CR19" i="12"/>
  <c r="CP20" i="12"/>
  <c r="CN21" i="12"/>
  <c r="CM18" i="12"/>
  <c r="E91" i="41" s="1"/>
  <c r="CU6" i="12"/>
  <c r="B151" i="12"/>
  <c r="J90" i="41"/>
  <c r="CT19" i="12"/>
  <c r="B146" i="12"/>
  <c r="A157" i="12"/>
  <c r="A151" i="12"/>
  <c r="B152" i="12"/>
  <c r="B158" i="12"/>
  <c r="A158" i="12"/>
  <c r="J38" i="32"/>
  <c r="B44" i="32"/>
  <c r="H38" i="32"/>
  <c r="B60" i="32"/>
  <c r="C60" i="32" s="1"/>
  <c r="D60" i="32" s="1"/>
  <c r="D71" i="43" s="1"/>
  <c r="FY71" i="43" s="1"/>
  <c r="E56" i="32"/>
  <c r="B154" i="12"/>
  <c r="AU24" i="12"/>
  <c r="AV24" i="12"/>
  <c r="AZ28" i="12"/>
  <c r="B159" i="12"/>
  <c r="AW26" i="12"/>
  <c r="BE26" i="12"/>
  <c r="Y42" i="41" s="1"/>
  <c r="AX26" i="12"/>
  <c r="BB26" i="12"/>
  <c r="BB34" i="12"/>
  <c r="V50" i="41" s="1"/>
  <c r="AV31" i="12"/>
  <c r="AZ31" i="12"/>
  <c r="BD31" i="12"/>
  <c r="AU31" i="12"/>
  <c r="S47" i="45"/>
  <c r="AX43" i="12"/>
  <c r="R59" i="41" s="1"/>
  <c r="BF43" i="12"/>
  <c r="B149" i="12"/>
  <c r="A149" i="12"/>
  <c r="G176" i="12"/>
  <c r="B153" i="12"/>
  <c r="GZ5" i="12"/>
  <c r="AX23" i="12"/>
  <c r="BB23" i="12"/>
  <c r="AW23" i="12"/>
  <c r="BA23" i="12"/>
  <c r="AV23" i="12"/>
  <c r="AU23" i="12"/>
  <c r="O39" i="41" s="1"/>
  <c r="AY23" i="12"/>
  <c r="S39" i="41" s="1"/>
  <c r="BC23" i="12"/>
  <c r="GT23" i="12"/>
  <c r="B157" i="12"/>
  <c r="HB42" i="12"/>
  <c r="HG42" i="12"/>
  <c r="R205" i="12"/>
  <c r="N205" i="12"/>
  <c r="S205" i="12"/>
  <c r="O205" i="12"/>
  <c r="T205" i="12"/>
  <c r="P205" i="12"/>
  <c r="U205" i="12"/>
  <c r="Q205" i="12"/>
  <c r="GZ40" i="12"/>
  <c r="A160" i="12"/>
  <c r="B160" i="12"/>
  <c r="A156" i="12"/>
  <c r="B156" i="12"/>
  <c r="B140" i="12"/>
  <c r="N167" i="12"/>
  <c r="A140" i="12"/>
  <c r="P167" i="12"/>
  <c r="Q167" i="12"/>
  <c r="I56" i="32"/>
  <c r="M38" i="32"/>
  <c r="B45" i="32" s="1"/>
  <c r="D45" i="32"/>
  <c r="CB12" i="18"/>
  <c r="GE16" i="45" s="1"/>
  <c r="CB28" i="18"/>
  <c r="GE32" i="45" s="1"/>
  <c r="L45" i="27"/>
  <c r="E249" i="12"/>
  <c r="GD41" i="12"/>
  <c r="FZ41" i="12"/>
  <c r="FV41" i="12"/>
  <c r="GA41" i="12"/>
  <c r="GB41" i="12"/>
  <c r="FT41" i="12"/>
  <c r="GC41" i="12"/>
  <c r="DY41" i="12"/>
  <c r="AG41" i="12"/>
  <c r="K204" i="12"/>
  <c r="T204" i="12"/>
  <c r="R204" i="12"/>
  <c r="P204" i="12"/>
  <c r="N204" i="12"/>
  <c r="L204" i="12"/>
  <c r="J204" i="12"/>
  <c r="U204" i="12"/>
  <c r="S204" i="12"/>
  <c r="Q204" i="12"/>
  <c r="O204" i="12"/>
  <c r="M204" i="12"/>
  <c r="HB41" i="12"/>
  <c r="GZ41" i="12"/>
  <c r="HG41" i="12"/>
  <c r="HC41" i="12"/>
  <c r="HA41" i="12"/>
  <c r="HH41" i="12"/>
  <c r="HE41" i="12"/>
  <c r="EB44" i="12"/>
  <c r="O44" i="16"/>
  <c r="E248" i="12"/>
  <c r="E246" i="12"/>
  <c r="E245" i="12"/>
  <c r="E243" i="12"/>
  <c r="E241" i="12"/>
  <c r="E240" i="12"/>
  <c r="E239" i="12"/>
  <c r="E238" i="12"/>
  <c r="E237" i="12"/>
  <c r="E234" i="12"/>
  <c r="E233" i="12"/>
  <c r="E232" i="12"/>
  <c r="DY43" i="12"/>
  <c r="EB43" i="12" s="1"/>
  <c r="EM43" i="12" s="1"/>
  <c r="DY40" i="12"/>
  <c r="DY38" i="12"/>
  <c r="O38" i="16"/>
  <c r="DY37" i="12"/>
  <c r="EB37" i="12" s="1"/>
  <c r="EH37" i="12" s="1"/>
  <c r="O37" i="16"/>
  <c r="DY35" i="12"/>
  <c r="EB35" i="12" s="1"/>
  <c r="EH35" i="12" s="1"/>
  <c r="CZ51" i="43" s="1"/>
  <c r="O35" i="16"/>
  <c r="DY34" i="12"/>
  <c r="DY33" i="12"/>
  <c r="EB33" i="12" s="1"/>
  <c r="EM33" i="12" s="1"/>
  <c r="DY32" i="12"/>
  <c r="DY31" i="12"/>
  <c r="O31" i="16" s="1"/>
  <c r="EB31" i="12"/>
  <c r="DY30" i="12"/>
  <c r="O30" i="16"/>
  <c r="DY29" i="12"/>
  <c r="O29" i="16"/>
  <c r="DY28" i="12"/>
  <c r="DY26" i="12"/>
  <c r="O26" i="16"/>
  <c r="DY25" i="12"/>
  <c r="O25" i="16" s="1"/>
  <c r="EB25" i="12"/>
  <c r="DY24" i="12"/>
  <c r="EB26" i="12"/>
  <c r="EG26" i="12" s="1"/>
  <c r="EB38" i="12"/>
  <c r="O43" i="16"/>
  <c r="G216" i="12"/>
  <c r="G215" i="12"/>
  <c r="H10" i="33"/>
  <c r="F215" i="12"/>
  <c r="AN5" i="18"/>
  <c r="O8" i="16"/>
  <c r="EB7" i="12"/>
  <c r="O7" i="16"/>
  <c r="P4" i="12"/>
  <c r="DH4" i="12"/>
  <c r="A142" i="12"/>
  <c r="J168" i="12"/>
  <c r="F139" i="12"/>
  <c r="J139" i="12"/>
  <c r="L139" i="12"/>
  <c r="GZ8" i="12"/>
  <c r="T167" i="12"/>
  <c r="U167" i="12"/>
  <c r="R167" i="12"/>
  <c r="S167" i="12"/>
  <c r="O167" i="12"/>
  <c r="D161" i="12"/>
  <c r="HE8" i="12"/>
  <c r="HE5" i="12"/>
  <c r="HE4" i="12"/>
  <c r="GZ4" i="12"/>
  <c r="L170" i="12"/>
  <c r="M170" i="12"/>
  <c r="D140" i="12"/>
  <c r="C140" i="12"/>
  <c r="A143" i="12"/>
  <c r="J170" i="12"/>
  <c r="K170" i="12"/>
  <c r="B143" i="12"/>
  <c r="C161" i="12"/>
  <c r="FZ20" i="12"/>
  <c r="FX23" i="12"/>
  <c r="FY23" i="12"/>
  <c r="GE23" i="12"/>
  <c r="DZ96" i="41"/>
  <c r="GY96" i="41" s="1"/>
  <c r="FW23" i="12"/>
  <c r="DR96" i="41" s="1"/>
  <c r="FV23" i="12"/>
  <c r="H181" i="12"/>
  <c r="A154" i="12"/>
  <c r="EN42" i="12"/>
  <c r="FW18" i="12"/>
  <c r="GC18" i="12"/>
  <c r="DX91" i="41" s="1"/>
  <c r="FZ18" i="12"/>
  <c r="GT24" i="12"/>
  <c r="AX24" i="12"/>
  <c r="R40" i="41" s="1"/>
  <c r="BB24" i="12"/>
  <c r="V40" i="41" s="1"/>
  <c r="BF24" i="12"/>
  <c r="GT32" i="12"/>
  <c r="AW32" i="12"/>
  <c r="Q48" i="41" s="1"/>
  <c r="BA32" i="12"/>
  <c r="U48" i="43" s="1"/>
  <c r="BE32" i="12"/>
  <c r="Y48" i="41" s="1"/>
  <c r="AX32" i="12"/>
  <c r="BB32" i="12"/>
  <c r="BF32" i="12"/>
  <c r="GD20" i="12"/>
  <c r="DY93" i="41" s="1"/>
  <c r="AR12" i="18"/>
  <c r="AV12" i="18" s="1"/>
  <c r="M35" i="16"/>
  <c r="DF35" i="12"/>
  <c r="F35" i="16"/>
  <c r="D198" i="12" s="1"/>
  <c r="K199" i="12"/>
  <c r="HF36" i="12"/>
  <c r="T199" i="12"/>
  <c r="R199" i="12"/>
  <c r="P199" i="12"/>
  <c r="N199" i="12"/>
  <c r="L199" i="12"/>
  <c r="J199" i="12"/>
  <c r="U199" i="12"/>
  <c r="S199" i="12"/>
  <c r="Q199" i="12"/>
  <c r="O199" i="12"/>
  <c r="M199" i="12"/>
  <c r="HB36" i="12"/>
  <c r="GZ36" i="12"/>
  <c r="HG36" i="12"/>
  <c r="HE36" i="12"/>
  <c r="HC36" i="12"/>
  <c r="HA36" i="12"/>
  <c r="HH36" i="12"/>
  <c r="J198" i="12"/>
  <c r="U198" i="12"/>
  <c r="S198" i="12"/>
  <c r="Q198" i="12"/>
  <c r="O198" i="12"/>
  <c r="M198" i="12"/>
  <c r="K198" i="12"/>
  <c r="T198" i="12"/>
  <c r="R198" i="12"/>
  <c r="P198" i="12"/>
  <c r="N198" i="12"/>
  <c r="L198" i="12"/>
  <c r="HC35" i="12"/>
  <c r="HA35" i="12"/>
  <c r="HH35" i="12"/>
  <c r="HF35" i="12"/>
  <c r="HB35" i="12"/>
  <c r="GZ35" i="12"/>
  <c r="HG35" i="12"/>
  <c r="EE7" i="12"/>
  <c r="EO7" i="12"/>
  <c r="DG23" i="45" s="1"/>
  <c r="AO13" i="18"/>
  <c r="AS13" i="18" s="1"/>
  <c r="AR13" i="18"/>
  <c r="BJ13" i="18"/>
  <c r="AP13" i="18"/>
  <c r="BH13" i="18"/>
  <c r="BI13" i="18"/>
  <c r="AQ13" i="18"/>
  <c r="AU13" i="18" s="1"/>
  <c r="AR17" i="18"/>
  <c r="AV17" i="18"/>
  <c r="BJ17" i="18"/>
  <c r="BH17" i="18"/>
  <c r="BI17" i="18"/>
  <c r="AQ17" i="18"/>
  <c r="AU17" i="18"/>
  <c r="BG17" i="18"/>
  <c r="AO17" i="18"/>
  <c r="BI21" i="18"/>
  <c r="AR19" i="18"/>
  <c r="AV19" i="18" s="1"/>
  <c r="BJ19" i="18"/>
  <c r="AO19" i="18"/>
  <c r="AS19" i="18" s="1"/>
  <c r="BI19" i="18"/>
  <c r="AQ19" i="18"/>
  <c r="AU19" i="18"/>
  <c r="AP19" i="18"/>
  <c r="AT19" i="18" s="1"/>
  <c r="BH19" i="18"/>
  <c r="AR27" i="18"/>
  <c r="AV27" i="18"/>
  <c r="BJ27" i="18"/>
  <c r="BI27" i="18"/>
  <c r="AQ27" i="18"/>
  <c r="AU27" i="18" s="1"/>
  <c r="GK31" i="12"/>
  <c r="DJ47" i="41"/>
  <c r="GK29" i="12"/>
  <c r="DJ45" i="45" s="1"/>
  <c r="AL6" i="27"/>
  <c r="AW9" i="32"/>
  <c r="AP56" i="32"/>
  <c r="AV38" i="32"/>
  <c r="AK45" i="32"/>
  <c r="AM45" i="32" s="1"/>
  <c r="AW38" i="32"/>
  <c r="AK62" i="32" s="1"/>
  <c r="AL62" i="32" s="1"/>
  <c r="N38" i="32"/>
  <c r="B62" i="32"/>
  <c r="C62" i="32"/>
  <c r="D62" i="32" s="1"/>
  <c r="H83" i="35"/>
  <c r="AT38" i="32"/>
  <c r="AK61" i="32" s="1"/>
  <c r="AL61" i="32" s="1"/>
  <c r="AS38" i="32"/>
  <c r="AK44" i="32"/>
  <c r="AM44" i="32" s="1"/>
  <c r="K38" i="32"/>
  <c r="B61" i="32"/>
  <c r="C61" i="32" s="1"/>
  <c r="D61" i="32" s="1"/>
  <c r="AP38" i="32"/>
  <c r="AK43" i="32"/>
  <c r="AM43" i="32" s="1"/>
  <c r="AQ38" i="32"/>
  <c r="AK60" i="32"/>
  <c r="AL60" i="32"/>
  <c r="AN56" i="32"/>
  <c r="G38" i="32"/>
  <c r="B43" i="32" s="1"/>
  <c r="D43" i="32" s="1"/>
  <c r="D12" i="43" s="1"/>
  <c r="AR56" i="32"/>
  <c r="AL56" i="32"/>
  <c r="AM38" i="32"/>
  <c r="AK42" i="32"/>
  <c r="AM42" i="32"/>
  <c r="AN38" i="32"/>
  <c r="I34" i="25"/>
  <c r="J34" i="25"/>
  <c r="B34" i="25"/>
  <c r="K34" i="25"/>
  <c r="M34" i="25"/>
  <c r="N34" i="25"/>
  <c r="AK59" i="32"/>
  <c r="AL59" i="32" s="1"/>
  <c r="B82" i="35"/>
  <c r="F68" i="15"/>
  <c r="H74" i="35"/>
  <c r="K74" i="35"/>
  <c r="Q5" i="18"/>
  <c r="E70" i="25"/>
  <c r="F70" i="15"/>
  <c r="EF43" i="12"/>
  <c r="EJ43" i="12"/>
  <c r="EN43" i="12"/>
  <c r="EE43" i="12"/>
  <c r="EI43" i="12"/>
  <c r="AY14" i="18"/>
  <c r="BC14" i="18"/>
  <c r="BL14" i="18" s="1"/>
  <c r="BA14" i="18"/>
  <c r="BE14" i="18" s="1"/>
  <c r="BN14" i="18" s="1"/>
  <c r="AZ14" i="18"/>
  <c r="BD14" i="18" s="1"/>
  <c r="BM14" i="18" s="1"/>
  <c r="AY12" i="18"/>
  <c r="BC12" i="18" s="1"/>
  <c r="BL12" i="18" s="1"/>
  <c r="AQ12" i="18"/>
  <c r="AU12" i="18"/>
  <c r="BH12" i="18"/>
  <c r="AO14" i="18"/>
  <c r="AS14" i="18" s="1"/>
  <c r="BG14" i="18"/>
  <c r="AR14" i="18"/>
  <c r="AV14" i="18" s="1"/>
  <c r="BC13" i="18"/>
  <c r="BL13" i="18"/>
  <c r="BA13" i="18"/>
  <c r="BE13" i="18"/>
  <c r="BN13" i="18"/>
  <c r="AX13" i="18"/>
  <c r="BB13" i="18" s="1"/>
  <c r="BK13" i="18" s="1"/>
  <c r="AZ13" i="18"/>
  <c r="BD13" i="18" s="1"/>
  <c r="BM13" i="18" s="1"/>
  <c r="BA17" i="18"/>
  <c r="BE17" i="18" s="1"/>
  <c r="BN17" i="18" s="1"/>
  <c r="AX17" i="18"/>
  <c r="BB17" i="18" s="1"/>
  <c r="BK17" i="18" s="1"/>
  <c r="AZ17" i="18"/>
  <c r="BD17" i="18"/>
  <c r="BM17" i="18" s="1"/>
  <c r="AY19" i="18"/>
  <c r="BC19" i="18" s="1"/>
  <c r="BL19" i="18"/>
  <c r="BA19" i="18"/>
  <c r="BE19" i="18" s="1"/>
  <c r="BN19" i="18" s="1"/>
  <c r="AX19" i="18"/>
  <c r="BB19" i="18" s="1"/>
  <c r="BK19" i="18" s="1"/>
  <c r="AZ19" i="18"/>
  <c r="BD19" i="18" s="1"/>
  <c r="BM19" i="18"/>
  <c r="AY27" i="18"/>
  <c r="BC27" i="18" s="1"/>
  <c r="BL27" i="18" s="1"/>
  <c r="AX27" i="18"/>
  <c r="BB27" i="18" s="1"/>
  <c r="BK27" i="18" s="1"/>
  <c r="AZ27" i="18"/>
  <c r="BD27" i="18" s="1"/>
  <c r="BM27" i="18" s="1"/>
  <c r="GK40" i="12"/>
  <c r="DJ56" i="45"/>
  <c r="GK35" i="12"/>
  <c r="DJ51" i="43"/>
  <c r="GK34" i="12"/>
  <c r="DJ50" i="41" s="1"/>
  <c r="BJ14" i="18"/>
  <c r="C178" i="12"/>
  <c r="GB32" i="12"/>
  <c r="FX32" i="12"/>
  <c r="GD32" i="12"/>
  <c r="FZ32" i="12"/>
  <c r="DU105" i="41" s="1"/>
  <c r="FV32" i="12"/>
  <c r="GB43" i="12"/>
  <c r="FX43" i="12"/>
  <c r="FT43" i="12"/>
  <c r="GD37" i="12"/>
  <c r="DY110" i="41" s="1"/>
  <c r="GX110" i="41" s="1"/>
  <c r="FZ37" i="12"/>
  <c r="FT37" i="12"/>
  <c r="DO110" i="41"/>
  <c r="GN110" i="41" s="1"/>
  <c r="GD35" i="12"/>
  <c r="DY108" i="45" s="1"/>
  <c r="FV35" i="12"/>
  <c r="GB35" i="12"/>
  <c r="FX35" i="12"/>
  <c r="FT35" i="12"/>
  <c r="FX33" i="12"/>
  <c r="DS106" i="41"/>
  <c r="GR106" i="41"/>
  <c r="FT33" i="12"/>
  <c r="GD33" i="12"/>
  <c r="FZ33" i="12"/>
  <c r="DU106" i="41" s="1"/>
  <c r="GB31" i="12"/>
  <c r="FX31" i="12"/>
  <c r="FV31" i="12"/>
  <c r="GD31" i="12"/>
  <c r="FZ31" i="12"/>
  <c r="DU104" i="41" s="1"/>
  <c r="GT104" i="41" s="1"/>
  <c r="DI13" i="12"/>
  <c r="CN19" i="12"/>
  <c r="CM23" i="12"/>
  <c r="E96" i="41" s="1"/>
  <c r="CU9" i="12"/>
  <c r="M82" i="41" s="1"/>
  <c r="AK6" i="25"/>
  <c r="CB17" i="18"/>
  <c r="GE21" i="41"/>
  <c r="S29" i="18"/>
  <c r="FV5" i="12"/>
  <c r="FY5" i="12"/>
  <c r="DT78" i="41" s="1"/>
  <c r="F44" i="15"/>
  <c r="O44" i="15"/>
  <c r="I44" i="15"/>
  <c r="L44" i="15"/>
  <c r="J44" i="15"/>
  <c r="N27" i="25"/>
  <c r="N29" i="25"/>
  <c r="N30" i="25"/>
  <c r="B29" i="25"/>
  <c r="B30" i="25"/>
  <c r="K44" i="26"/>
  <c r="I44" i="26"/>
  <c r="AM18" i="12"/>
  <c r="AN18" i="12" s="1"/>
  <c r="C181" i="12"/>
  <c r="E181" i="12"/>
  <c r="M17" i="16"/>
  <c r="DF17" i="12"/>
  <c r="DI17" i="12" s="1"/>
  <c r="DV17" i="12" s="1"/>
  <c r="F17" i="16"/>
  <c r="N17" i="12" s="1"/>
  <c r="CQ7" i="12"/>
  <c r="AR7" i="12"/>
  <c r="BF7" i="12" s="1"/>
  <c r="CM17" i="12"/>
  <c r="CO17" i="12"/>
  <c r="F38" i="26"/>
  <c r="F62" i="26"/>
  <c r="CS3" i="12"/>
  <c r="CL15" i="12"/>
  <c r="D88" i="41"/>
  <c r="CQ15" i="12"/>
  <c r="CS15" i="12"/>
  <c r="K88" i="41" s="1"/>
  <c r="CS18" i="12"/>
  <c r="K91" i="41" s="1"/>
  <c r="CO21" i="12"/>
  <c r="CT21" i="12"/>
  <c r="CP23" i="12"/>
  <c r="CR23" i="12"/>
  <c r="P10" i="15"/>
  <c r="AY10" i="27"/>
  <c r="F44" i="25"/>
  <c r="L44" i="25"/>
  <c r="O44" i="25"/>
  <c r="K23" i="26"/>
  <c r="J25" i="27"/>
  <c r="K25" i="27"/>
  <c r="K27" i="27" s="1"/>
  <c r="C172" i="12"/>
  <c r="M14" i="16"/>
  <c r="DF14" i="12"/>
  <c r="F14" i="16"/>
  <c r="CU10" i="12"/>
  <c r="M83" i="45"/>
  <c r="CM10" i="12"/>
  <c r="CO10" i="12"/>
  <c r="F38" i="25"/>
  <c r="O38" i="25"/>
  <c r="CB25" i="18"/>
  <c r="GE29" i="44" s="1"/>
  <c r="F44" i="26"/>
  <c r="K44" i="15"/>
  <c r="O10" i="25"/>
  <c r="C235" i="12"/>
  <c r="GK27" i="12"/>
  <c r="DJ43" i="44" s="1"/>
  <c r="C234" i="12"/>
  <c r="H234" i="12" s="1"/>
  <c r="C233" i="12"/>
  <c r="GK25" i="12"/>
  <c r="DJ41" i="41" s="1"/>
  <c r="C232" i="12"/>
  <c r="H232" i="12"/>
  <c r="GK24" i="12"/>
  <c r="DJ40" i="41" s="1"/>
  <c r="M28" i="16"/>
  <c r="DF28" i="12" s="1"/>
  <c r="F28" i="16"/>
  <c r="M32" i="16"/>
  <c r="DF32" i="12" s="1"/>
  <c r="DI32" i="12"/>
  <c r="DM32" i="12" s="1"/>
  <c r="F32" i="16"/>
  <c r="N32" i="12" s="1"/>
  <c r="D195" i="12"/>
  <c r="M34" i="16"/>
  <c r="DF34" i="12"/>
  <c r="DI34" i="12" s="1"/>
  <c r="DV34" i="12" s="1"/>
  <c r="F34" i="16"/>
  <c r="N34" i="12" s="1"/>
  <c r="M38" i="16"/>
  <c r="DF38" i="12"/>
  <c r="DI38" i="12"/>
  <c r="F38" i="16"/>
  <c r="N38" i="12"/>
  <c r="M40" i="16"/>
  <c r="DF40" i="12" s="1"/>
  <c r="F40" i="16"/>
  <c r="F24" i="16"/>
  <c r="M26" i="16"/>
  <c r="DF26" i="12"/>
  <c r="DI26" i="12"/>
  <c r="F26" i="16"/>
  <c r="F42" i="16"/>
  <c r="M42" i="16"/>
  <c r="DF42" i="12"/>
  <c r="DI42" i="12" s="1"/>
  <c r="DM13" i="12"/>
  <c r="DV13" i="12"/>
  <c r="DS13" i="12"/>
  <c r="DP13" i="12"/>
  <c r="Q34" i="12"/>
  <c r="D197" i="12"/>
  <c r="C56" i="32"/>
  <c r="AV7" i="12"/>
  <c r="AX7" i="12"/>
  <c r="Q17" i="12"/>
  <c r="D180" i="12"/>
  <c r="P34" i="15"/>
  <c r="CB5" i="18"/>
  <c r="FW17" i="12"/>
  <c r="GE17" i="12"/>
  <c r="DZ90" i="41" s="1"/>
  <c r="F46" i="27"/>
  <c r="E46" i="27"/>
  <c r="E47" i="27"/>
  <c r="F44" i="27"/>
  <c r="J44" i="27"/>
  <c r="L44" i="27"/>
  <c r="L47" i="27"/>
  <c r="ER3" i="12"/>
  <c r="CT3" i="12"/>
  <c r="CU23" i="12"/>
  <c r="M96" i="45"/>
  <c r="CL23" i="12"/>
  <c r="ER4" i="12"/>
  <c r="CU4" i="12"/>
  <c r="E46" i="26"/>
  <c r="O46" i="26"/>
  <c r="J45" i="26"/>
  <c r="F45" i="26"/>
  <c r="F47" i="26"/>
  <c r="C229" i="12"/>
  <c r="H229" i="12"/>
  <c r="EB21" i="12"/>
  <c r="AY22" i="12"/>
  <c r="BD22" i="12"/>
  <c r="X38" i="41" s="1"/>
  <c r="AV22" i="12"/>
  <c r="K23" i="25"/>
  <c r="AW22" i="12"/>
  <c r="CK4" i="12"/>
  <c r="CN4" i="12"/>
  <c r="F77" i="41" s="1"/>
  <c r="CP4" i="12"/>
  <c r="CR4" i="12"/>
  <c r="CJ15" i="12"/>
  <c r="CM15" i="12"/>
  <c r="E88" i="41" s="1"/>
  <c r="P47" i="26"/>
  <c r="CM4" i="12"/>
  <c r="CJ13" i="12"/>
  <c r="CN23" i="12"/>
  <c r="AB10" i="25"/>
  <c r="Z10" i="27"/>
  <c r="AW7" i="25"/>
  <c r="AW6" i="27"/>
  <c r="F27" i="16"/>
  <c r="BD5" i="12"/>
  <c r="BC5" i="12"/>
  <c r="GT5" i="12"/>
  <c r="D172" i="12"/>
  <c r="K25" i="26"/>
  <c r="F45" i="15"/>
  <c r="O46" i="27"/>
  <c r="I44" i="25"/>
  <c r="K46" i="27"/>
  <c r="O44" i="27"/>
  <c r="J45" i="27"/>
  <c r="J47" i="27" s="1"/>
  <c r="J46" i="27"/>
  <c r="K45" i="27"/>
  <c r="I44" i="27"/>
  <c r="O45" i="15"/>
  <c r="K44" i="25"/>
  <c r="J46" i="26"/>
  <c r="I46" i="27"/>
  <c r="K46" i="26"/>
  <c r="K47" i="26"/>
  <c r="C223" i="12"/>
  <c r="H223" i="12"/>
  <c r="L166" i="12"/>
  <c r="M166" i="12"/>
  <c r="J166" i="12"/>
  <c r="K166" i="12"/>
  <c r="O6" i="33"/>
  <c r="C3" i="45" s="1"/>
  <c r="EH3" i="45" s="1"/>
  <c r="AM8" i="12"/>
  <c r="AN8" i="12" s="1"/>
  <c r="DV38" i="12"/>
  <c r="DN38" i="12"/>
  <c r="DU38" i="12"/>
  <c r="DU13" i="12"/>
  <c r="DT13" i="12"/>
  <c r="DL13" i="12"/>
  <c r="DR13" i="12"/>
  <c r="AM7" i="12"/>
  <c r="AN7" i="12" s="1"/>
  <c r="AM42" i="12"/>
  <c r="AN42" i="12"/>
  <c r="AM40" i="12"/>
  <c r="AN40" i="12"/>
  <c r="AM38" i="12"/>
  <c r="AN38" i="12"/>
  <c r="AM34" i="12"/>
  <c r="AN34" i="12" s="1"/>
  <c r="AM32" i="12"/>
  <c r="AN32" i="12"/>
  <c r="AM30" i="12"/>
  <c r="AN30" i="12"/>
  <c r="AM26" i="12"/>
  <c r="AN26" i="12"/>
  <c r="AM24" i="12"/>
  <c r="AN24" i="12" s="1"/>
  <c r="F43" i="16"/>
  <c r="N43" i="12"/>
  <c r="Q43" i="12" s="1"/>
  <c r="F211" i="12"/>
  <c r="FV3" i="12"/>
  <c r="DQ76" i="41" s="1"/>
  <c r="EB3" i="12"/>
  <c r="EP3" i="12" s="1"/>
  <c r="EG3" i="12"/>
  <c r="CY19" i="45" s="1"/>
  <c r="HD19" i="45" s="1"/>
  <c r="O3" i="16"/>
  <c r="G211" i="12"/>
  <c r="EN3" i="12"/>
  <c r="DF19" i="41" s="1"/>
  <c r="HK19" i="41" s="1"/>
  <c r="EM3" i="12"/>
  <c r="EF3" i="12"/>
  <c r="DV42" i="12"/>
  <c r="DS42" i="12"/>
  <c r="DU42" i="12"/>
  <c r="DO136" i="41"/>
  <c r="AV136" i="41"/>
  <c r="B136" i="41"/>
  <c r="AD136" i="41"/>
  <c r="CX136" i="41"/>
  <c r="GI11" i="41"/>
  <c r="GI14" i="41"/>
  <c r="GI21" i="41"/>
  <c r="GI25" i="41"/>
  <c r="GI28" i="41"/>
  <c r="GI32" i="41"/>
  <c r="GP31" i="12"/>
  <c r="EB104" i="43" s="1"/>
  <c r="EC104" i="43"/>
  <c r="GJ9" i="41"/>
  <c r="GG9" i="41"/>
  <c r="GJ10" i="41"/>
  <c r="GA11" i="41"/>
  <c r="GJ13" i="41"/>
  <c r="GA14" i="41"/>
  <c r="FE16" i="41"/>
  <c r="GJ16" i="41"/>
  <c r="GJ18" i="41"/>
  <c r="GJ19" i="41"/>
  <c r="GG19" i="41"/>
  <c r="DK21" i="41"/>
  <c r="DG23" i="41"/>
  <c r="HL23" i="41" s="1"/>
  <c r="GJ23" i="41"/>
  <c r="GG23" i="41"/>
  <c r="DK24" i="41"/>
  <c r="CU26" i="41"/>
  <c r="GJ26" i="41"/>
  <c r="CU27" i="41"/>
  <c r="GA28" i="41"/>
  <c r="DK29" i="41"/>
  <c r="GA29" i="41"/>
  <c r="DK30" i="41"/>
  <c r="DK31" i="41"/>
  <c r="GA32" i="41"/>
  <c r="DK33" i="41"/>
  <c r="CU34" i="41"/>
  <c r="GN36" i="41"/>
  <c r="GP26" i="12"/>
  <c r="EB99" i="41" s="1"/>
  <c r="EB99" i="45"/>
  <c r="GI9" i="41"/>
  <c r="GJ11" i="41"/>
  <c r="GG11" i="41"/>
  <c r="GJ14" i="41"/>
  <c r="GG14" i="41"/>
  <c r="DK19" i="41"/>
  <c r="CU20" i="41"/>
  <c r="GJ20" i="41"/>
  <c r="W21" i="41"/>
  <c r="CU21" i="41"/>
  <c r="GJ21" i="41"/>
  <c r="GG21" i="41"/>
  <c r="GJ22" i="41"/>
  <c r="DK23" i="41"/>
  <c r="GI23" i="41"/>
  <c r="CU24" i="41"/>
  <c r="GJ24" i="41"/>
  <c r="CU25" i="41"/>
  <c r="GJ25" i="41"/>
  <c r="GG25" i="41"/>
  <c r="DK26" i="41"/>
  <c r="DK27" i="41"/>
  <c r="GJ28" i="41"/>
  <c r="CU29" i="41"/>
  <c r="GJ29" i="41"/>
  <c r="GG29" i="41"/>
  <c r="CU30" i="41"/>
  <c r="GG30" i="41"/>
  <c r="CU31" i="41"/>
  <c r="GJ32" i="41"/>
  <c r="GG32" i="41"/>
  <c r="CU33" i="41"/>
  <c r="CU35" i="41"/>
  <c r="DK37" i="41"/>
  <c r="DO83" i="41"/>
  <c r="GN83" i="41" s="1"/>
  <c r="DO91" i="41"/>
  <c r="GN91" i="41"/>
  <c r="J92" i="41"/>
  <c r="F92" i="41"/>
  <c r="EC99" i="41"/>
  <c r="J100" i="41"/>
  <c r="DS108" i="41"/>
  <c r="GR108" i="41" s="1"/>
  <c r="DO108" i="41"/>
  <c r="GN108" i="41" s="1"/>
  <c r="CU38" i="41"/>
  <c r="CU39" i="41"/>
  <c r="DK40" i="41"/>
  <c r="DK41" i="41"/>
  <c r="CU45" i="41"/>
  <c r="CU46" i="41"/>
  <c r="DK48" i="41"/>
  <c r="CU49" i="41"/>
  <c r="CU50" i="41"/>
  <c r="DK51" i="41"/>
  <c r="DK52" i="41"/>
  <c r="CU53" i="41"/>
  <c r="CU54" i="41"/>
  <c r="DK55" i="41"/>
  <c r="DK56" i="41"/>
  <c r="DK57" i="41"/>
  <c r="DK59" i="41"/>
  <c r="CU59" i="41"/>
  <c r="DK60" i="41"/>
  <c r="H92" i="41"/>
  <c r="M97" i="41"/>
  <c r="H109" i="41"/>
  <c r="M114" i="41"/>
  <c r="GN57" i="41"/>
  <c r="M80" i="41"/>
  <c r="F80" i="41"/>
  <c r="M96" i="41"/>
  <c r="J96" i="41"/>
  <c r="C104" i="41"/>
  <c r="DW104" i="41"/>
  <c r="GV104" i="41" s="1"/>
  <c r="M105" i="41"/>
  <c r="F105" i="41"/>
  <c r="DK34" i="41"/>
  <c r="CU36" i="41"/>
  <c r="CU37" i="41"/>
  <c r="Y38" i="41"/>
  <c r="DK38" i="41"/>
  <c r="O40" i="41"/>
  <c r="S40" i="41"/>
  <c r="CU40" i="41"/>
  <c r="CU41" i="41"/>
  <c r="CU42" i="41"/>
  <c r="DK45" i="41"/>
  <c r="DK46" i="41"/>
  <c r="DK49" i="41"/>
  <c r="DK50" i="41"/>
  <c r="CU51" i="41"/>
  <c r="CU52" i="41"/>
  <c r="DK53" i="41"/>
  <c r="CZ53" i="41"/>
  <c r="HE53" i="41" s="1"/>
  <c r="DK54" i="41"/>
  <c r="CU55" i="41"/>
  <c r="CU56" i="41"/>
  <c r="GN58" i="41"/>
  <c r="M85" i="41"/>
  <c r="D92" i="41"/>
  <c r="L92" i="41"/>
  <c r="H96" i="41"/>
  <c r="M101" i="41"/>
  <c r="H105" i="41"/>
  <c r="DQ108" i="41"/>
  <c r="GP108" i="41"/>
  <c r="L109" i="41"/>
  <c r="EA116" i="41"/>
  <c r="CU57" i="41"/>
  <c r="FW71" i="41"/>
  <c r="GN71" i="41"/>
  <c r="D78" i="41"/>
  <c r="L78" i="41"/>
  <c r="D82" i="41"/>
  <c r="L82" i="41"/>
  <c r="M83" i="41"/>
  <c r="H86" i="41"/>
  <c r="L86" i="41"/>
  <c r="H90" i="41"/>
  <c r="GX93" i="41"/>
  <c r="L94" i="41"/>
  <c r="M102" i="41"/>
  <c r="L102" i="41"/>
  <c r="GT106" i="41"/>
  <c r="DY106" i="41"/>
  <c r="GX106" i="41"/>
  <c r="D107" i="41"/>
  <c r="DU110" i="41"/>
  <c r="GT110" i="41" s="1"/>
  <c r="EA114" i="41"/>
  <c r="DQ114" i="41"/>
  <c r="GP114" i="41" s="1"/>
  <c r="DU114" i="41"/>
  <c r="GT114" i="41" s="1"/>
  <c r="CX142" i="41"/>
  <c r="AK145" i="41"/>
  <c r="CO145" i="41"/>
  <c r="GV145" i="41"/>
  <c r="GO152" i="41"/>
  <c r="GN24" i="41"/>
  <c r="H22" i="35"/>
  <c r="GB9" i="41"/>
  <c r="GF9" i="41"/>
  <c r="GH9" i="41"/>
  <c r="GA10" i="41"/>
  <c r="GC10" i="41"/>
  <c r="GG10" i="41"/>
  <c r="GI10" i="41"/>
  <c r="GF11" i="41"/>
  <c r="GA13" i="41"/>
  <c r="GG13" i="41"/>
  <c r="GI13" i="41"/>
  <c r="GD14" i="41"/>
  <c r="GF14" i="41"/>
  <c r="GH14" i="41"/>
  <c r="GG15" i="41"/>
  <c r="GI15" i="41"/>
  <c r="GA16" i="41"/>
  <c r="GG16" i="41"/>
  <c r="GI16" i="41"/>
  <c r="GG18" i="41"/>
  <c r="GI18" i="41"/>
  <c r="GF19" i="41"/>
  <c r="GH19" i="41"/>
  <c r="GA20" i="41"/>
  <c r="GC20" i="41"/>
  <c r="GI20" i="41"/>
  <c r="GB21" i="41"/>
  <c r="GF21" i="41"/>
  <c r="GH21" i="41"/>
  <c r="DK22" i="41"/>
  <c r="GB22" i="41"/>
  <c r="GF22" i="41"/>
  <c r="GI22" i="41"/>
  <c r="GG22" i="41"/>
  <c r="GE22" i="41"/>
  <c r="GF10" i="41"/>
  <c r="GH10" i="41"/>
  <c r="GD13" i="41"/>
  <c r="GF13" i="41"/>
  <c r="GH13" i="41"/>
  <c r="GF15" i="41"/>
  <c r="GH15" i="41"/>
  <c r="GB16" i="41"/>
  <c r="GF16" i="41"/>
  <c r="GH16" i="41"/>
  <c r="GF18" i="41"/>
  <c r="GF20" i="41"/>
  <c r="GH20" i="41"/>
  <c r="GH22" i="41"/>
  <c r="GN22" i="41"/>
  <c r="GM23" i="41"/>
  <c r="Q42" i="41"/>
  <c r="DK44" i="41"/>
  <c r="P23" i="41"/>
  <c r="GF23" i="41"/>
  <c r="GA24" i="41"/>
  <c r="GG24" i="41"/>
  <c r="GF25" i="41"/>
  <c r="GH25" i="41"/>
  <c r="GA26" i="41"/>
  <c r="GG26" i="41"/>
  <c r="GF28" i="41"/>
  <c r="GH28" i="41"/>
  <c r="GB29" i="41"/>
  <c r="GD29" i="41"/>
  <c r="GF29" i="41"/>
  <c r="GH29" i="41"/>
  <c r="GN29" i="41"/>
  <c r="GF30" i="41"/>
  <c r="GH30" i="41"/>
  <c r="GN30" i="41"/>
  <c r="GN31" i="41"/>
  <c r="GF32" i="41"/>
  <c r="GH32" i="41"/>
  <c r="R38" i="41"/>
  <c r="Q39" i="41"/>
  <c r="U39" i="41"/>
  <c r="W39" i="41"/>
  <c r="P40" i="41"/>
  <c r="GN42" i="41"/>
  <c r="GM43" i="41"/>
  <c r="GN44" i="41"/>
  <c r="GB24" i="41"/>
  <c r="GF24" i="41"/>
  <c r="GH24" i="41"/>
  <c r="GD26" i="41"/>
  <c r="GF26" i="41"/>
  <c r="GH26" i="41"/>
  <c r="V39" i="41"/>
  <c r="Z39" i="41"/>
  <c r="R58" i="41"/>
  <c r="CU58" i="41"/>
  <c r="DK58" i="41"/>
  <c r="R48" i="41"/>
  <c r="V48" i="41"/>
  <c r="Z48" i="41"/>
  <c r="GM59" i="41"/>
  <c r="H104" i="41"/>
  <c r="F104" i="41"/>
  <c r="Z59" i="41"/>
  <c r="CW59" i="41"/>
  <c r="HB59" i="41" s="1"/>
  <c r="DE59" i="41"/>
  <c r="HJ59" i="41" s="1"/>
  <c r="GP76" i="41"/>
  <c r="DW76" i="41"/>
  <c r="GV76" i="41"/>
  <c r="EA76" i="41"/>
  <c r="G78" i="41"/>
  <c r="DQ78" i="41"/>
  <c r="GP78" i="41"/>
  <c r="DY78" i="41"/>
  <c r="GX78" i="41" s="1"/>
  <c r="EA78" i="41"/>
  <c r="B79" i="41"/>
  <c r="L79" i="41"/>
  <c r="I80" i="41"/>
  <c r="E82" i="41"/>
  <c r="I82" i="41"/>
  <c r="EA82" i="41"/>
  <c r="D83" i="41"/>
  <c r="L83" i="41"/>
  <c r="F85" i="41"/>
  <c r="H85" i="41"/>
  <c r="J85" i="41"/>
  <c r="I86" i="41"/>
  <c r="EA86" i="41"/>
  <c r="EA88" i="41"/>
  <c r="EA90" i="41"/>
  <c r="J91" i="41"/>
  <c r="DR91" i="41"/>
  <c r="GQ91" i="41"/>
  <c r="GW91" i="41"/>
  <c r="E92" i="41"/>
  <c r="K92" i="41"/>
  <c r="F93" i="41"/>
  <c r="H93" i="41"/>
  <c r="L93" i="41"/>
  <c r="G94" i="41"/>
  <c r="EA94" i="41"/>
  <c r="G96" i="41"/>
  <c r="DQ96" i="41"/>
  <c r="GP96" i="41"/>
  <c r="DS96" i="41"/>
  <c r="GR96" i="41"/>
  <c r="B97" i="41"/>
  <c r="J97" i="41"/>
  <c r="L97" i="41"/>
  <c r="C98" i="41"/>
  <c r="DW98" i="41"/>
  <c r="GV98" i="41" s="1"/>
  <c r="B99" i="41"/>
  <c r="J99" i="41"/>
  <c r="EA100" i="41"/>
  <c r="F101" i="41"/>
  <c r="C102" i="41"/>
  <c r="G102" i="41"/>
  <c r="EA102" i="41"/>
  <c r="L103" i="41"/>
  <c r="I104" i="41"/>
  <c r="M104" i="41"/>
  <c r="DP105" i="41"/>
  <c r="GO105" i="41" s="1"/>
  <c r="GS105" i="41"/>
  <c r="DX105" i="41"/>
  <c r="GW105" i="41"/>
  <c r="H25" i="35"/>
  <c r="EA105" i="41"/>
  <c r="DY105" i="41"/>
  <c r="GX105" i="41"/>
  <c r="GT105" i="41"/>
  <c r="DQ105" i="41"/>
  <c r="GP105" i="41" s="1"/>
  <c r="K106" i="41"/>
  <c r="L106" i="41"/>
  <c r="C77" i="41"/>
  <c r="DP78" i="41"/>
  <c r="GO78" i="41"/>
  <c r="GS78" i="41"/>
  <c r="GU78" i="41"/>
  <c r="E83" i="41"/>
  <c r="K83" i="41"/>
  <c r="E85" i="41"/>
  <c r="I85" i="41"/>
  <c r="DZ86" i="41"/>
  <c r="GY86" i="41"/>
  <c r="GY90" i="41"/>
  <c r="E93" i="41"/>
  <c r="GQ96" i="41"/>
  <c r="C97" i="41"/>
  <c r="K97" i="41"/>
  <c r="E99" i="41"/>
  <c r="I99" i="41"/>
  <c r="K99" i="41"/>
  <c r="DR105" i="41"/>
  <c r="GQ105" i="41" s="1"/>
  <c r="DV105" i="41"/>
  <c r="GU105" i="41" s="1"/>
  <c r="DZ105" i="41"/>
  <c r="GY105" i="41" s="1"/>
  <c r="E106" i="41"/>
  <c r="DT104" i="41"/>
  <c r="GS104" i="41"/>
  <c r="GU104" i="41"/>
  <c r="E105" i="41"/>
  <c r="I105" i="41"/>
  <c r="K105" i="41"/>
  <c r="DX106" i="41"/>
  <c r="GW106" i="41" s="1"/>
  <c r="E107" i="41"/>
  <c r="G107" i="41"/>
  <c r="I107" i="41"/>
  <c r="EA107" i="41"/>
  <c r="DT108" i="41"/>
  <c r="GS108" i="41" s="1"/>
  <c r="K109" i="41"/>
  <c r="EA109" i="41"/>
  <c r="H110" i="41"/>
  <c r="L110" i="41"/>
  <c r="GO110" i="41"/>
  <c r="DR110" i="41"/>
  <c r="GQ110" i="41"/>
  <c r="DT110" i="41"/>
  <c r="GS110" i="41" s="1"/>
  <c r="DZ110" i="41"/>
  <c r="GY110" i="41"/>
  <c r="C111" i="41"/>
  <c r="EA111" i="41"/>
  <c r="F112" i="41"/>
  <c r="I113" i="41"/>
  <c r="EA113" i="41"/>
  <c r="H114" i="41"/>
  <c r="DX114" i="41"/>
  <c r="GW114" i="41"/>
  <c r="EA115" i="41"/>
  <c r="F116" i="41"/>
  <c r="DP116" i="41"/>
  <c r="GO116" i="41"/>
  <c r="GS116" i="41"/>
  <c r="DV116" i="41"/>
  <c r="GU116" i="41"/>
  <c r="DX116" i="41"/>
  <c r="GW116" i="41" s="1"/>
  <c r="M117" i="41"/>
  <c r="EA117" i="41"/>
  <c r="GO123" i="41"/>
  <c r="E110" i="41"/>
  <c r="G110" i="41"/>
  <c r="I110" i="41"/>
  <c r="I112" i="41"/>
  <c r="K112" i="41"/>
  <c r="C114" i="41"/>
  <c r="DY114" i="41"/>
  <c r="GX114" i="41" s="1"/>
  <c r="C116" i="41"/>
  <c r="G116" i="41"/>
  <c r="K116" i="41"/>
  <c r="DO116" i="41"/>
  <c r="GN116" i="41"/>
  <c r="DS116" i="41"/>
  <c r="GR116" i="41"/>
  <c r="AJ148" i="41"/>
  <c r="AL148" i="41"/>
  <c r="BC148" i="41"/>
  <c r="BU148" i="41"/>
  <c r="BW148" i="41"/>
  <c r="CN148" i="41"/>
  <c r="DD148" i="41"/>
  <c r="DF148" i="41"/>
  <c r="DV148" i="41"/>
  <c r="EM148" i="41"/>
  <c r="EO148" i="41"/>
  <c r="EY148" i="41"/>
  <c r="FI148" i="41"/>
  <c r="FK148" i="41"/>
  <c r="GD148" i="41"/>
  <c r="GU148" i="41"/>
  <c r="GW148" i="41"/>
  <c r="CG142" i="41"/>
  <c r="DO142" i="41"/>
  <c r="ER142" i="41"/>
  <c r="FW142" i="41"/>
  <c r="AK148" i="41"/>
  <c r="AD152" i="41" s="1"/>
  <c r="D161" i="41" s="1"/>
  <c r="D15" i="35" s="1"/>
  <c r="BB148" i="41"/>
  <c r="BD148" i="41"/>
  <c r="BV148" i="41"/>
  <c r="CM148" i="41"/>
  <c r="CO148" i="41"/>
  <c r="DE148" i="41"/>
  <c r="DU148" i="41"/>
  <c r="DW148" i="41"/>
  <c r="EN148" i="41"/>
  <c r="EX148" i="41"/>
  <c r="EZ148" i="41"/>
  <c r="FJ148" i="41"/>
  <c r="BC145" i="41"/>
  <c r="AV152" i="41"/>
  <c r="CN145" i="41"/>
  <c r="AL22" i="35"/>
  <c r="GB9" i="45"/>
  <c r="GF9" i="45"/>
  <c r="GH9" i="45"/>
  <c r="GC10" i="45"/>
  <c r="GG10" i="45"/>
  <c r="GI10" i="45"/>
  <c r="GF11" i="45"/>
  <c r="GH11" i="45"/>
  <c r="GG12" i="45"/>
  <c r="GG13" i="45"/>
  <c r="GI13" i="45"/>
  <c r="GD14" i="45"/>
  <c r="GF14" i="45"/>
  <c r="GH14" i="45"/>
  <c r="GG15" i="45"/>
  <c r="GI15" i="45"/>
  <c r="GA16" i="45"/>
  <c r="GG16" i="45"/>
  <c r="GG17" i="45"/>
  <c r="GI17" i="45"/>
  <c r="GG18" i="45"/>
  <c r="GI18" i="45"/>
  <c r="GB19" i="45"/>
  <c r="GF19" i="45"/>
  <c r="GH19" i="45"/>
  <c r="GC20" i="45"/>
  <c r="GI20" i="45"/>
  <c r="GB21" i="45"/>
  <c r="GF21" i="45"/>
  <c r="GH21" i="45"/>
  <c r="GE22" i="45"/>
  <c r="GG22" i="45"/>
  <c r="GI22" i="45"/>
  <c r="CW23" i="45"/>
  <c r="HB23" i="45" s="1"/>
  <c r="GF23" i="45"/>
  <c r="GA24" i="45"/>
  <c r="GG24" i="45"/>
  <c r="GF25" i="45"/>
  <c r="GH25" i="45"/>
  <c r="CU27" i="45"/>
  <c r="DK27" i="45"/>
  <c r="GF27" i="45"/>
  <c r="GI27" i="45"/>
  <c r="GG27" i="45"/>
  <c r="GA27" i="45"/>
  <c r="GM28" i="45"/>
  <c r="GF10" i="45"/>
  <c r="GH10" i="45"/>
  <c r="GD12" i="45"/>
  <c r="GF12" i="45"/>
  <c r="GH12" i="45"/>
  <c r="GD13" i="45"/>
  <c r="GF13" i="45"/>
  <c r="GH13" i="45"/>
  <c r="GF15" i="45"/>
  <c r="GH15" i="45"/>
  <c r="GB16" i="45"/>
  <c r="GF16" i="45"/>
  <c r="GH16" i="45"/>
  <c r="GF17" i="45"/>
  <c r="GH17" i="45"/>
  <c r="GF18" i="45"/>
  <c r="GF33" i="45" s="1"/>
  <c r="GF20" i="45"/>
  <c r="GH20" i="45"/>
  <c r="GB22" i="45"/>
  <c r="GF22" i="45"/>
  <c r="GH22" i="45"/>
  <c r="GF24" i="45"/>
  <c r="GH24" i="45"/>
  <c r="GH27" i="45"/>
  <c r="CU28" i="45"/>
  <c r="GF28" i="45"/>
  <c r="GH28" i="45"/>
  <c r="GJ28" i="45"/>
  <c r="CU29" i="45"/>
  <c r="GB29" i="45"/>
  <c r="GD29" i="45"/>
  <c r="GF29" i="45"/>
  <c r="GH29" i="45"/>
  <c r="GJ29" i="45"/>
  <c r="GF30" i="45"/>
  <c r="GH30" i="45"/>
  <c r="CU31" i="45"/>
  <c r="GF31" i="45"/>
  <c r="GH31" i="45"/>
  <c r="GJ31" i="45"/>
  <c r="CU32" i="45"/>
  <c r="GF32" i="45"/>
  <c r="GH32" i="45"/>
  <c r="GJ32" i="45"/>
  <c r="CU33" i="45"/>
  <c r="DK34" i="45"/>
  <c r="CU35" i="45"/>
  <c r="GM35" i="45"/>
  <c r="GN36" i="45"/>
  <c r="R38" i="45"/>
  <c r="X38" i="45"/>
  <c r="DK38" i="45"/>
  <c r="GN38" i="45"/>
  <c r="CU39" i="45"/>
  <c r="Y42" i="45"/>
  <c r="Q42" i="45"/>
  <c r="CU43" i="45"/>
  <c r="GD26" i="45"/>
  <c r="GF26" i="45"/>
  <c r="GH26" i="45"/>
  <c r="GA28" i="45"/>
  <c r="GA29" i="45"/>
  <c r="GG29" i="45"/>
  <c r="GG30" i="45"/>
  <c r="GC31" i="45"/>
  <c r="GG31" i="45"/>
  <c r="GA32" i="45"/>
  <c r="GG32" i="45"/>
  <c r="V39" i="45"/>
  <c r="Z39" i="45"/>
  <c r="Z42" i="45"/>
  <c r="CU42" i="45"/>
  <c r="DK42" i="45"/>
  <c r="P47" i="45"/>
  <c r="GM58" i="45"/>
  <c r="GN59" i="45"/>
  <c r="U59" i="45"/>
  <c r="DE59" i="45"/>
  <c r="HJ59" i="45"/>
  <c r="CW59" i="45"/>
  <c r="V50" i="45"/>
  <c r="DK57" i="45"/>
  <c r="R59" i="45"/>
  <c r="Z59" i="45"/>
  <c r="D107" i="45"/>
  <c r="R58" i="45"/>
  <c r="C77" i="45"/>
  <c r="EA77" i="45"/>
  <c r="EC77" i="45"/>
  <c r="DT78" i="45"/>
  <c r="GS78" i="45"/>
  <c r="DV78" i="45"/>
  <c r="GU78" i="45" s="1"/>
  <c r="EA79" i="45"/>
  <c r="EC79" i="45"/>
  <c r="F80" i="45"/>
  <c r="EA81" i="45"/>
  <c r="EC81" i="45"/>
  <c r="D82" i="45"/>
  <c r="L82" i="45"/>
  <c r="E83" i="45"/>
  <c r="EA83" i="45"/>
  <c r="EC83" i="45"/>
  <c r="F84" i="45"/>
  <c r="L84" i="45"/>
  <c r="E85" i="45"/>
  <c r="G85" i="45"/>
  <c r="I85" i="45"/>
  <c r="DO85" i="45"/>
  <c r="GN85" i="45"/>
  <c r="DS85" i="45"/>
  <c r="GR85" i="45" s="1"/>
  <c r="DW85" i="45"/>
  <c r="GV85" i="45" s="1"/>
  <c r="EA85" i="45"/>
  <c r="EC85" i="45"/>
  <c r="H86" i="45"/>
  <c r="L86" i="45"/>
  <c r="DZ86" i="45"/>
  <c r="GY86" i="45" s="1"/>
  <c r="EA87" i="45"/>
  <c r="EC87" i="45"/>
  <c r="B88" i="45"/>
  <c r="D88" i="45"/>
  <c r="EA89" i="45"/>
  <c r="EC89" i="45"/>
  <c r="B90" i="45"/>
  <c r="F90" i="45"/>
  <c r="H90" i="45"/>
  <c r="J90" i="45"/>
  <c r="DR90" i="45"/>
  <c r="GQ90" i="45"/>
  <c r="DZ90" i="45"/>
  <c r="GY90" i="45" s="1"/>
  <c r="E91" i="45"/>
  <c r="DO91" i="45"/>
  <c r="GN91" i="45" s="1"/>
  <c r="DU91" i="45"/>
  <c r="GT91" i="45" s="1"/>
  <c r="EA91" i="45"/>
  <c r="EC91" i="45"/>
  <c r="B92" i="45"/>
  <c r="D92" i="45"/>
  <c r="H92" i="45"/>
  <c r="J92" i="45"/>
  <c r="L92" i="45"/>
  <c r="E93" i="45"/>
  <c r="DU93" i="45"/>
  <c r="GT93" i="45" s="1"/>
  <c r="DW93" i="45"/>
  <c r="GV93" i="45"/>
  <c r="DY93" i="45"/>
  <c r="GX93" i="45" s="1"/>
  <c r="EA93" i="45"/>
  <c r="EC93" i="45"/>
  <c r="L94" i="45"/>
  <c r="EA95" i="45"/>
  <c r="EC95" i="45"/>
  <c r="D96" i="45"/>
  <c r="H96" i="45"/>
  <c r="J96" i="45"/>
  <c r="DR96" i="45"/>
  <c r="GQ96" i="45"/>
  <c r="DZ96" i="45"/>
  <c r="GY96" i="45" s="1"/>
  <c r="C97" i="45"/>
  <c r="E97" i="45"/>
  <c r="I97" i="45"/>
  <c r="K97" i="45"/>
  <c r="EA97" i="45"/>
  <c r="EC97" i="45"/>
  <c r="E99" i="45"/>
  <c r="I99" i="45"/>
  <c r="K99" i="45"/>
  <c r="EA99" i="45"/>
  <c r="EC99" i="45"/>
  <c r="H100" i="45"/>
  <c r="J100" i="45"/>
  <c r="EA101" i="45"/>
  <c r="EC101" i="45"/>
  <c r="B102" i="45"/>
  <c r="J102" i="45"/>
  <c r="L102" i="45"/>
  <c r="D104" i="45"/>
  <c r="F104" i="45"/>
  <c r="H104" i="45"/>
  <c r="DT104" i="45"/>
  <c r="GS104" i="45"/>
  <c r="DV104" i="45"/>
  <c r="GU104" i="45"/>
  <c r="E105" i="45"/>
  <c r="G105" i="45"/>
  <c r="I105" i="45"/>
  <c r="K105" i="45"/>
  <c r="E107" i="45"/>
  <c r="I107" i="45"/>
  <c r="K76" i="45"/>
  <c r="I80" i="45"/>
  <c r="E82" i="45"/>
  <c r="I82" i="45"/>
  <c r="DT85" i="45"/>
  <c r="GS85" i="45" s="1"/>
  <c r="I86" i="45"/>
  <c r="E88" i="45"/>
  <c r="K88" i="45"/>
  <c r="DR91" i="45"/>
  <c r="GQ91" i="45"/>
  <c r="DX91" i="45"/>
  <c r="GW91" i="45" s="1"/>
  <c r="E92" i="45"/>
  <c r="K92" i="45"/>
  <c r="G94" i="45"/>
  <c r="E96" i="45"/>
  <c r="G96" i="45"/>
  <c r="I96" i="45"/>
  <c r="C98" i="45"/>
  <c r="C102" i="45"/>
  <c r="G102" i="45"/>
  <c r="C104" i="45"/>
  <c r="G104" i="45"/>
  <c r="I104" i="45"/>
  <c r="DP105" i="45"/>
  <c r="GO105" i="45"/>
  <c r="DR105" i="45"/>
  <c r="GQ105" i="45" s="1"/>
  <c r="DT105" i="45"/>
  <c r="GS105" i="45" s="1"/>
  <c r="DV105" i="45"/>
  <c r="GU105" i="45" s="1"/>
  <c r="DX105" i="45"/>
  <c r="GW105" i="45"/>
  <c r="DZ105" i="45"/>
  <c r="GY105" i="45" s="1"/>
  <c r="E106" i="45"/>
  <c r="K106" i="45"/>
  <c r="E108" i="45"/>
  <c r="DO108" i="45"/>
  <c r="GN108" i="45"/>
  <c r="DQ108" i="45"/>
  <c r="GP108" i="45"/>
  <c r="DS108" i="45"/>
  <c r="GR108" i="45"/>
  <c r="GX108" i="45"/>
  <c r="EA108" i="45"/>
  <c r="EC108" i="45"/>
  <c r="H109" i="45"/>
  <c r="L109" i="45"/>
  <c r="E110" i="45"/>
  <c r="G110" i="45"/>
  <c r="I110" i="45"/>
  <c r="DO110" i="45"/>
  <c r="GN110" i="45" s="1"/>
  <c r="DU110" i="45"/>
  <c r="GT110" i="45"/>
  <c r="DY110" i="45"/>
  <c r="GX110" i="45" s="1"/>
  <c r="EA110" i="45"/>
  <c r="EC110" i="45"/>
  <c r="G112" i="45"/>
  <c r="I112" i="45"/>
  <c r="K112" i="45"/>
  <c r="C114" i="45"/>
  <c r="DO114" i="45"/>
  <c r="GN114" i="45" s="1"/>
  <c r="DQ114" i="45"/>
  <c r="GP114" i="45" s="1"/>
  <c r="DU114" i="45"/>
  <c r="GT114" i="45"/>
  <c r="DY114" i="45"/>
  <c r="GX114" i="45" s="1"/>
  <c r="EA114" i="45"/>
  <c r="EC114" i="45"/>
  <c r="C116" i="45"/>
  <c r="G116" i="45"/>
  <c r="K116" i="45"/>
  <c r="DT108" i="45"/>
  <c r="GS108" i="45" s="1"/>
  <c r="DP110" i="45"/>
  <c r="GO110" i="45"/>
  <c r="DR110" i="45"/>
  <c r="GQ110" i="45"/>
  <c r="DT110" i="45"/>
  <c r="GS110" i="45" s="1"/>
  <c r="DZ110" i="45"/>
  <c r="GY110" i="45" s="1"/>
  <c r="C111" i="45"/>
  <c r="I111" i="45"/>
  <c r="DX114" i="45"/>
  <c r="GW114" i="45"/>
  <c r="EG136" i="45"/>
  <c r="FC136" i="45"/>
  <c r="GO136" i="45"/>
  <c r="AL148" i="45"/>
  <c r="BC148" i="45"/>
  <c r="BW148" i="45"/>
  <c r="CN148" i="45"/>
  <c r="DF148" i="45"/>
  <c r="DV148" i="45"/>
  <c r="EO148" i="45"/>
  <c r="EY148" i="45"/>
  <c r="FK148" i="45"/>
  <c r="GD148" i="45"/>
  <c r="GW148" i="45"/>
  <c r="AV136" i="45"/>
  <c r="ER136" i="45"/>
  <c r="CG142" i="45"/>
  <c r="DO142" i="45"/>
  <c r="ER142" i="45"/>
  <c r="FW142" i="45"/>
  <c r="AK148" i="45"/>
  <c r="BD148" i="45"/>
  <c r="BV148" i="45"/>
  <c r="CO148" i="45"/>
  <c r="DE148" i="45"/>
  <c r="DW148" i="45"/>
  <c r="EN148" i="45"/>
  <c r="EZ148" i="45"/>
  <c r="FJ148" i="45"/>
  <c r="GE9" i="44"/>
  <c r="GG9" i="44"/>
  <c r="GI9" i="44"/>
  <c r="GF10" i="44"/>
  <c r="GH10" i="44"/>
  <c r="GA11" i="44"/>
  <c r="GG11" i="44"/>
  <c r="GI11" i="44"/>
  <c r="GF12" i="44"/>
  <c r="GH12" i="44"/>
  <c r="GD13" i="44"/>
  <c r="GF13" i="44"/>
  <c r="GH13" i="44"/>
  <c r="GA14" i="44"/>
  <c r="GG14" i="44"/>
  <c r="GI14" i="44"/>
  <c r="GF15" i="44"/>
  <c r="GH15" i="44"/>
  <c r="GB16" i="44"/>
  <c r="GF16" i="44"/>
  <c r="GH16" i="44"/>
  <c r="GF17" i="44"/>
  <c r="GF18" i="44"/>
  <c r="GA19" i="44"/>
  <c r="GC19" i="44"/>
  <c r="GG19" i="44"/>
  <c r="GI19" i="44"/>
  <c r="GF20" i="44"/>
  <c r="GH20" i="44"/>
  <c r="W21" i="44"/>
  <c r="GG21" i="44"/>
  <c r="GI21" i="44"/>
  <c r="GB22" i="44"/>
  <c r="GF22" i="44"/>
  <c r="GH22" i="44"/>
  <c r="GG23" i="44"/>
  <c r="GI23" i="44"/>
  <c r="GF24" i="44"/>
  <c r="GH24" i="44"/>
  <c r="GG25" i="44"/>
  <c r="GI25" i="44"/>
  <c r="GD26" i="44"/>
  <c r="GF26" i="44"/>
  <c r="GH26" i="44"/>
  <c r="GA27" i="44"/>
  <c r="GG27" i="44"/>
  <c r="GI27" i="44"/>
  <c r="GA28" i="44"/>
  <c r="GI28" i="44"/>
  <c r="GM28" i="44"/>
  <c r="GN30" i="44"/>
  <c r="GN31" i="44"/>
  <c r="GB9" i="44"/>
  <c r="GF9" i="44"/>
  <c r="GH9" i="44"/>
  <c r="GF11" i="44"/>
  <c r="GH11" i="44"/>
  <c r="GD14" i="44"/>
  <c r="GF14" i="44"/>
  <c r="GH14" i="44"/>
  <c r="CY19" i="44"/>
  <c r="HD19" i="44" s="1"/>
  <c r="GB19" i="44"/>
  <c r="GD19" i="44"/>
  <c r="GF19" i="44"/>
  <c r="GH19" i="44"/>
  <c r="GB21" i="44"/>
  <c r="GF21" i="44"/>
  <c r="GH21" i="44"/>
  <c r="P23" i="44"/>
  <c r="GF23" i="44"/>
  <c r="GF25" i="44"/>
  <c r="GH25" i="44"/>
  <c r="GF27" i="44"/>
  <c r="GF28" i="44"/>
  <c r="GH28" i="44"/>
  <c r="DK30" i="44"/>
  <c r="GN52" i="44"/>
  <c r="GB29" i="44"/>
  <c r="GD29" i="44"/>
  <c r="GF29" i="44"/>
  <c r="GH29" i="44"/>
  <c r="GF30" i="44"/>
  <c r="GH30" i="44"/>
  <c r="GF31" i="44"/>
  <c r="GH31" i="44"/>
  <c r="GB32" i="44"/>
  <c r="GF32" i="44"/>
  <c r="GH32" i="44"/>
  <c r="GN32" i="44"/>
  <c r="P38" i="44"/>
  <c r="R38" i="44"/>
  <c r="X38" i="44"/>
  <c r="O39" i="44"/>
  <c r="Q39" i="44"/>
  <c r="S39" i="44"/>
  <c r="U39" i="44"/>
  <c r="W39" i="44"/>
  <c r="P40" i="44"/>
  <c r="R40" i="44"/>
  <c r="V40" i="44"/>
  <c r="DJ41" i="44"/>
  <c r="R42" i="44"/>
  <c r="Z42" i="44"/>
  <c r="O47" i="44"/>
  <c r="S47" i="44"/>
  <c r="R48" i="44"/>
  <c r="V48" i="44"/>
  <c r="Z48" i="44"/>
  <c r="V50" i="44"/>
  <c r="CU50" i="44"/>
  <c r="DK50" i="44"/>
  <c r="CU52" i="44"/>
  <c r="DK52" i="44"/>
  <c r="P39" i="44"/>
  <c r="V39" i="44"/>
  <c r="Z39" i="44"/>
  <c r="P47" i="44"/>
  <c r="T47" i="44"/>
  <c r="GM51" i="44"/>
  <c r="J90" i="44"/>
  <c r="H90" i="44"/>
  <c r="F90" i="44"/>
  <c r="EA91" i="44"/>
  <c r="DU91" i="44"/>
  <c r="GT91" i="44"/>
  <c r="DO91" i="44"/>
  <c r="GN91" i="44" s="1"/>
  <c r="L92" i="44"/>
  <c r="J92" i="44"/>
  <c r="H92" i="44"/>
  <c r="D92" i="44"/>
  <c r="B92" i="44"/>
  <c r="EA95" i="44"/>
  <c r="DB58" i="44"/>
  <c r="HG58" i="44" s="1"/>
  <c r="R59" i="44"/>
  <c r="Z59" i="44"/>
  <c r="CW59" i="44"/>
  <c r="DA59" i="44"/>
  <c r="HF59" i="44" s="1"/>
  <c r="DE59" i="44"/>
  <c r="HJ59" i="44"/>
  <c r="DQ76" i="44"/>
  <c r="GP76" i="44" s="1"/>
  <c r="DW76" i="44"/>
  <c r="GV76" i="44" s="1"/>
  <c r="EA76" i="44"/>
  <c r="F77" i="44"/>
  <c r="H77" i="44"/>
  <c r="G78" i="44"/>
  <c r="DQ78" i="44"/>
  <c r="GP78" i="44"/>
  <c r="DY78" i="44"/>
  <c r="GX78" i="44"/>
  <c r="EA78" i="44"/>
  <c r="B79" i="44"/>
  <c r="L79" i="44"/>
  <c r="I80" i="44"/>
  <c r="EA80" i="44"/>
  <c r="E82" i="44"/>
  <c r="I82" i="44"/>
  <c r="EA82" i="44"/>
  <c r="D83" i="44"/>
  <c r="H83" i="44"/>
  <c r="L83" i="44"/>
  <c r="F85" i="44"/>
  <c r="H85" i="44"/>
  <c r="J85" i="44"/>
  <c r="L85" i="44"/>
  <c r="I86" i="44"/>
  <c r="EA86" i="44"/>
  <c r="E88" i="44"/>
  <c r="K88" i="44"/>
  <c r="DR91" i="44"/>
  <c r="GQ91" i="44"/>
  <c r="E92" i="44"/>
  <c r="G94" i="44"/>
  <c r="AB25" i="35"/>
  <c r="EA93" i="44"/>
  <c r="DY93" i="44"/>
  <c r="GX93" i="44" s="1"/>
  <c r="L94" i="44"/>
  <c r="R58" i="44"/>
  <c r="C77" i="44"/>
  <c r="DT78" i="44"/>
  <c r="GS78" i="44"/>
  <c r="DV78" i="44"/>
  <c r="GU78" i="44" s="1"/>
  <c r="E83" i="44"/>
  <c r="E85" i="44"/>
  <c r="G85" i="44"/>
  <c r="I85" i="44"/>
  <c r="DZ86" i="44"/>
  <c r="GY86" i="44" s="1"/>
  <c r="E96" i="44"/>
  <c r="G96" i="44"/>
  <c r="I96" i="44"/>
  <c r="K96" i="44"/>
  <c r="M96" i="44"/>
  <c r="C98" i="44"/>
  <c r="C102" i="44"/>
  <c r="G102" i="44"/>
  <c r="M102" i="44"/>
  <c r="C104" i="44"/>
  <c r="G104" i="44"/>
  <c r="I104" i="44"/>
  <c r="M104" i="44"/>
  <c r="DP105" i="44"/>
  <c r="GO105" i="44" s="1"/>
  <c r="DR105" i="44"/>
  <c r="GQ105" i="44" s="1"/>
  <c r="DT105" i="44"/>
  <c r="GS105" i="44"/>
  <c r="DV105" i="44"/>
  <c r="GU105" i="44" s="1"/>
  <c r="DX105" i="44"/>
  <c r="GW105" i="44" s="1"/>
  <c r="DZ105" i="44"/>
  <c r="GY105" i="44" s="1"/>
  <c r="E106" i="44"/>
  <c r="K106" i="44"/>
  <c r="C110" i="44"/>
  <c r="G110" i="44"/>
  <c r="I110" i="44"/>
  <c r="G112" i="44"/>
  <c r="K112" i="44"/>
  <c r="C114" i="44"/>
  <c r="C116" i="44"/>
  <c r="G116" i="44"/>
  <c r="K116" i="44"/>
  <c r="DR90" i="44"/>
  <c r="GQ90" i="44" s="1"/>
  <c r="DZ90" i="44"/>
  <c r="GY90" i="44" s="1"/>
  <c r="E91" i="44"/>
  <c r="E93" i="44"/>
  <c r="D96" i="44"/>
  <c r="H96" i="44"/>
  <c r="J96" i="44"/>
  <c r="DR96" i="44"/>
  <c r="GQ96" i="44"/>
  <c r="DZ96" i="44"/>
  <c r="GY96" i="44" s="1"/>
  <c r="C97" i="44"/>
  <c r="E97" i="44"/>
  <c r="I97" i="44"/>
  <c r="K97" i="44"/>
  <c r="E99" i="44"/>
  <c r="I99" i="44"/>
  <c r="K99" i="44"/>
  <c r="J100" i="44"/>
  <c r="B102" i="44"/>
  <c r="J102" i="44"/>
  <c r="D104" i="44"/>
  <c r="F104" i="44"/>
  <c r="H104" i="44"/>
  <c r="DT104" i="44"/>
  <c r="GS104" i="44" s="1"/>
  <c r="DV104" i="44"/>
  <c r="GU104" i="44" s="1"/>
  <c r="DZ104" i="44"/>
  <c r="GY104" i="44" s="1"/>
  <c r="E105" i="44"/>
  <c r="G105" i="44"/>
  <c r="I105" i="44"/>
  <c r="K105" i="44"/>
  <c r="DQ105" i="44"/>
  <c r="GP105" i="44" s="1"/>
  <c r="DU105" i="44"/>
  <c r="GT105" i="44"/>
  <c r="DW105" i="44"/>
  <c r="GV105" i="44"/>
  <c r="DY105" i="44"/>
  <c r="GX105" i="44"/>
  <c r="DX106" i="44"/>
  <c r="GW106" i="44" s="1"/>
  <c r="E107" i="44"/>
  <c r="G107" i="44"/>
  <c r="I107" i="44"/>
  <c r="DT108" i="44"/>
  <c r="GS108" i="44" s="1"/>
  <c r="K109" i="44"/>
  <c r="H110" i="44"/>
  <c r="DP110" i="44"/>
  <c r="GO110" i="44" s="1"/>
  <c r="DR110" i="44"/>
  <c r="GQ110" i="44" s="1"/>
  <c r="DT110" i="44"/>
  <c r="GS110" i="44"/>
  <c r="DZ110" i="44"/>
  <c r="GY110" i="44" s="1"/>
  <c r="C111" i="44"/>
  <c r="J112" i="44"/>
  <c r="I113" i="44"/>
  <c r="D114" i="44"/>
  <c r="H114" i="44"/>
  <c r="DX114" i="44"/>
  <c r="GW114" i="44" s="1"/>
  <c r="F116" i="44"/>
  <c r="EA116" i="44"/>
  <c r="G123" i="44"/>
  <c r="AW123" i="44"/>
  <c r="BC123" i="44"/>
  <c r="BT123" i="44"/>
  <c r="BZ123" i="44"/>
  <c r="DG123" i="44"/>
  <c r="DP123" i="44"/>
  <c r="FD123" i="44"/>
  <c r="FH123" i="44"/>
  <c r="GR123" i="44"/>
  <c r="GX123" i="44"/>
  <c r="DP116" i="44"/>
  <c r="GO116" i="44" s="1"/>
  <c r="DT116" i="44"/>
  <c r="GS116" i="44"/>
  <c r="DV116" i="44"/>
  <c r="GU116" i="44"/>
  <c r="J123" i="44"/>
  <c r="AF123" i="44"/>
  <c r="BB123" i="44"/>
  <c r="BF123" i="44"/>
  <c r="BS123" i="44"/>
  <c r="BY123" i="44"/>
  <c r="CZ123" i="44"/>
  <c r="DD123" i="44"/>
  <c r="DO123" i="44"/>
  <c r="DU123" i="44"/>
  <c r="FM123" i="44"/>
  <c r="FY123" i="44"/>
  <c r="GE123" i="44"/>
  <c r="GQ123" i="44"/>
  <c r="AD136" i="44"/>
  <c r="BO136" i="44"/>
  <c r="CX136" i="44"/>
  <c r="EG136" i="44"/>
  <c r="FC136" i="44"/>
  <c r="GO136" i="44"/>
  <c r="GO142" i="44"/>
  <c r="AJ148" i="44"/>
  <c r="AL148" i="44"/>
  <c r="BC148" i="44"/>
  <c r="BU148" i="44"/>
  <c r="BW148" i="44"/>
  <c r="CN148" i="44"/>
  <c r="DD148" i="44"/>
  <c r="DF148" i="44"/>
  <c r="DV148" i="44"/>
  <c r="EM148" i="44"/>
  <c r="EO148" i="44"/>
  <c r="EY148" i="44"/>
  <c r="FI148" i="44"/>
  <c r="FK148" i="44"/>
  <c r="GD148" i="44"/>
  <c r="GU148" i="44"/>
  <c r="GW148" i="44"/>
  <c r="AV136" i="44"/>
  <c r="CG136" i="44"/>
  <c r="DO136" i="44"/>
  <c r="ER136" i="44"/>
  <c r="CG142" i="44"/>
  <c r="DO142" i="44"/>
  <c r="ER142" i="44"/>
  <c r="FW142" i="44"/>
  <c r="AK148" i="44"/>
  <c r="AD152" i="44" s="1"/>
  <c r="BB148" i="44"/>
  <c r="BD148" i="44"/>
  <c r="BV148" i="44"/>
  <c r="CM148" i="44"/>
  <c r="CO148" i="44"/>
  <c r="DE148" i="44"/>
  <c r="DU148" i="44"/>
  <c r="DW148" i="44"/>
  <c r="EN148" i="44"/>
  <c r="EX148" i="44"/>
  <c r="EZ148" i="44"/>
  <c r="FJ148" i="44"/>
  <c r="GN24" i="43"/>
  <c r="GC9" i="43"/>
  <c r="GE9" i="43"/>
  <c r="GG9" i="43"/>
  <c r="GI9" i="43"/>
  <c r="GF10" i="43"/>
  <c r="GH10" i="43"/>
  <c r="GA11" i="43"/>
  <c r="GG11" i="43"/>
  <c r="GI11" i="43"/>
  <c r="GD12" i="43"/>
  <c r="GF12" i="43"/>
  <c r="GH12" i="43"/>
  <c r="GD13" i="43"/>
  <c r="GF13" i="43"/>
  <c r="GH13" i="43"/>
  <c r="GA14" i="43"/>
  <c r="GG14" i="43"/>
  <c r="GI14" i="43"/>
  <c r="GF15" i="43"/>
  <c r="GH15" i="43"/>
  <c r="GB16" i="43"/>
  <c r="GF16" i="43"/>
  <c r="GH16" i="43"/>
  <c r="GF17" i="43"/>
  <c r="GH17" i="43"/>
  <c r="GF18" i="43"/>
  <c r="CX19" i="43"/>
  <c r="HC19" i="43"/>
  <c r="GA19" i="43"/>
  <c r="GC19" i="43"/>
  <c r="GG19" i="43"/>
  <c r="GI19" i="43"/>
  <c r="GF20" i="43"/>
  <c r="GH20" i="43"/>
  <c r="W21" i="43"/>
  <c r="GA21" i="43"/>
  <c r="GG21" i="43"/>
  <c r="GI21" i="43"/>
  <c r="DK22" i="43"/>
  <c r="GB22" i="43"/>
  <c r="GF22" i="43"/>
  <c r="GM22" i="43"/>
  <c r="GI22" i="43"/>
  <c r="GG22" i="43"/>
  <c r="GE22" i="43"/>
  <c r="GB9" i="43"/>
  <c r="GF9" i="43"/>
  <c r="GH9" i="43"/>
  <c r="GD11" i="43"/>
  <c r="GF11" i="43"/>
  <c r="GH11" i="43"/>
  <c r="GD14" i="43"/>
  <c r="GF14" i="43"/>
  <c r="GH14" i="43"/>
  <c r="CY19" i="43"/>
  <c r="GD19" i="43"/>
  <c r="GF19" i="43"/>
  <c r="GH19" i="43"/>
  <c r="GB21" i="43"/>
  <c r="GF21" i="43"/>
  <c r="GH21" i="43"/>
  <c r="GH22" i="43"/>
  <c r="GM23" i="43"/>
  <c r="P23" i="43"/>
  <c r="Z23" i="43"/>
  <c r="GF23" i="43"/>
  <c r="GA24" i="43"/>
  <c r="GG24" i="43"/>
  <c r="GF25" i="43"/>
  <c r="GH25" i="43"/>
  <c r="GA26" i="43"/>
  <c r="GG26" i="43"/>
  <c r="GI26" i="43"/>
  <c r="GF27" i="43"/>
  <c r="GF28" i="43"/>
  <c r="GH28" i="43"/>
  <c r="GN28" i="43"/>
  <c r="GB29" i="43"/>
  <c r="GD29" i="43"/>
  <c r="GF29" i="43"/>
  <c r="GH29" i="43"/>
  <c r="GN29" i="43"/>
  <c r="GF30" i="43"/>
  <c r="GH30" i="43"/>
  <c r="GF31" i="43"/>
  <c r="GH31" i="43"/>
  <c r="GN31" i="43"/>
  <c r="GF32" i="43"/>
  <c r="GH32" i="43"/>
  <c r="GN32" i="43"/>
  <c r="P38" i="43"/>
  <c r="R38" i="43"/>
  <c r="X38" i="43"/>
  <c r="O39" i="43"/>
  <c r="Q39" i="43"/>
  <c r="S39" i="43"/>
  <c r="U39" i="43"/>
  <c r="W39" i="43"/>
  <c r="P40" i="43"/>
  <c r="V40" i="43"/>
  <c r="DK41" i="43"/>
  <c r="DK43" i="43"/>
  <c r="GB24" i="43"/>
  <c r="GF24" i="43"/>
  <c r="GH24" i="43"/>
  <c r="GD26" i="43"/>
  <c r="GF26" i="43"/>
  <c r="GH26" i="43"/>
  <c r="P39" i="43"/>
  <c r="V39" i="43"/>
  <c r="Z39" i="43"/>
  <c r="GM42" i="43"/>
  <c r="GN43" i="43"/>
  <c r="R48" i="43"/>
  <c r="V48" i="43"/>
  <c r="Z48" i="43"/>
  <c r="V50" i="43"/>
  <c r="HE51" i="43"/>
  <c r="CZ53" i="43"/>
  <c r="HE53" i="43"/>
  <c r="CU57" i="43"/>
  <c r="GN57" i="43"/>
  <c r="GM58" i="43"/>
  <c r="GN59" i="43"/>
  <c r="U59" i="43"/>
  <c r="DE59" i="43"/>
  <c r="HJ59" i="43"/>
  <c r="CW59" i="43"/>
  <c r="HB59" i="43"/>
  <c r="DF59" i="43"/>
  <c r="HK59" i="43" s="1"/>
  <c r="DK57" i="43"/>
  <c r="R59" i="43"/>
  <c r="Z59" i="43"/>
  <c r="EA105" i="43"/>
  <c r="DY105" i="43"/>
  <c r="GX105" i="43" s="1"/>
  <c r="DW105" i="43"/>
  <c r="GV105" i="43" s="1"/>
  <c r="DU105" i="43"/>
  <c r="GT105" i="43"/>
  <c r="DS105" i="43"/>
  <c r="GR105" i="43" s="1"/>
  <c r="DQ105" i="43"/>
  <c r="GP105" i="43" s="1"/>
  <c r="L106" i="43"/>
  <c r="R58" i="43"/>
  <c r="L76" i="43"/>
  <c r="C77" i="43"/>
  <c r="E77" i="43"/>
  <c r="EA77" i="43"/>
  <c r="B78" i="43"/>
  <c r="D78" i="43"/>
  <c r="L78" i="43"/>
  <c r="DP78" i="43"/>
  <c r="GO78" i="43"/>
  <c r="DT78" i="43"/>
  <c r="GS78" i="43" s="1"/>
  <c r="DV78" i="43"/>
  <c r="GU78" i="43"/>
  <c r="EA79" i="43"/>
  <c r="F80" i="43"/>
  <c r="EA81" i="43"/>
  <c r="D82" i="43"/>
  <c r="L82" i="43"/>
  <c r="E83" i="43"/>
  <c r="G83" i="43"/>
  <c r="EA83" i="43"/>
  <c r="F84" i="43"/>
  <c r="L84" i="43"/>
  <c r="E85" i="43"/>
  <c r="G85" i="43"/>
  <c r="I85" i="43"/>
  <c r="DO85" i="43"/>
  <c r="GN85" i="43" s="1"/>
  <c r="DW85" i="43"/>
  <c r="GV85" i="43"/>
  <c r="H86" i="43"/>
  <c r="L86" i="43"/>
  <c r="DZ86" i="43"/>
  <c r="GY86" i="43"/>
  <c r="EA87" i="43"/>
  <c r="B88" i="43"/>
  <c r="D88" i="43"/>
  <c r="EA89" i="43"/>
  <c r="B90" i="43"/>
  <c r="F90" i="43"/>
  <c r="H90" i="43"/>
  <c r="J90" i="43"/>
  <c r="DR90" i="43"/>
  <c r="GQ90" i="43"/>
  <c r="DZ90" i="43"/>
  <c r="GY90" i="43" s="1"/>
  <c r="E91" i="43"/>
  <c r="DO91" i="43"/>
  <c r="GN91" i="43"/>
  <c r="DU91" i="43"/>
  <c r="GT91" i="43"/>
  <c r="EA91" i="43"/>
  <c r="B92" i="43"/>
  <c r="D92" i="43"/>
  <c r="H92" i="43"/>
  <c r="J92" i="43"/>
  <c r="L92" i="43"/>
  <c r="E93" i="43"/>
  <c r="DU93" i="43"/>
  <c r="GT93" i="43" s="1"/>
  <c r="DW93" i="43"/>
  <c r="GV93" i="43"/>
  <c r="DY93" i="43"/>
  <c r="GX93" i="43"/>
  <c r="EA93" i="43"/>
  <c r="F94" i="43"/>
  <c r="L94" i="43"/>
  <c r="EA95" i="43"/>
  <c r="D96" i="43"/>
  <c r="H96" i="43"/>
  <c r="J96" i="43"/>
  <c r="DR96" i="43"/>
  <c r="GQ96" i="43"/>
  <c r="DZ96" i="43"/>
  <c r="GY96" i="43" s="1"/>
  <c r="C97" i="43"/>
  <c r="E97" i="43"/>
  <c r="I97" i="43"/>
  <c r="K97" i="43"/>
  <c r="EA97" i="43"/>
  <c r="E99" i="43"/>
  <c r="I99" i="43"/>
  <c r="K99" i="43"/>
  <c r="EA99" i="43"/>
  <c r="H100" i="43"/>
  <c r="J100" i="43"/>
  <c r="EA101" i="43"/>
  <c r="B102" i="43"/>
  <c r="J102" i="43"/>
  <c r="L102" i="43"/>
  <c r="C104" i="43"/>
  <c r="G104" i="43"/>
  <c r="DR105" i="43"/>
  <c r="GQ105" i="43"/>
  <c r="DV105" i="43"/>
  <c r="GU105" i="43" s="1"/>
  <c r="DZ105" i="43"/>
  <c r="GY105" i="43"/>
  <c r="E106" i="43"/>
  <c r="EA103" i="43"/>
  <c r="L104" i="43"/>
  <c r="H104" i="43"/>
  <c r="F104" i="43"/>
  <c r="D104" i="43"/>
  <c r="K76" i="43"/>
  <c r="G78" i="43"/>
  <c r="I80" i="43"/>
  <c r="E82" i="43"/>
  <c r="I82" i="43"/>
  <c r="I86" i="43"/>
  <c r="I88" i="43"/>
  <c r="K88" i="43"/>
  <c r="E90" i="43"/>
  <c r="I90" i="43"/>
  <c r="DR91" i="43"/>
  <c r="GQ91" i="43"/>
  <c r="DX91" i="43"/>
  <c r="GW91" i="43" s="1"/>
  <c r="E92" i="43"/>
  <c r="K92" i="43"/>
  <c r="G94" i="43"/>
  <c r="E96" i="43"/>
  <c r="G96" i="43"/>
  <c r="I96" i="43"/>
  <c r="K96" i="43"/>
  <c r="C98" i="43"/>
  <c r="C102" i="43"/>
  <c r="G102" i="43"/>
  <c r="K102" i="43"/>
  <c r="I104" i="43"/>
  <c r="M104" i="43"/>
  <c r="DT104" i="43"/>
  <c r="GS104" i="43" s="1"/>
  <c r="DV104" i="43"/>
  <c r="GU104" i="43"/>
  <c r="DZ104" i="43"/>
  <c r="GY104" i="43"/>
  <c r="E105" i="43"/>
  <c r="G105" i="43"/>
  <c r="I105" i="43"/>
  <c r="K105" i="43"/>
  <c r="DX106" i="43"/>
  <c r="GW106" i="43"/>
  <c r="E107" i="43"/>
  <c r="G107" i="43"/>
  <c r="I107" i="43"/>
  <c r="EA107" i="43"/>
  <c r="L108" i="43"/>
  <c r="DT108" i="43"/>
  <c r="GS108" i="43" s="1"/>
  <c r="K109" i="43"/>
  <c r="EA109" i="43"/>
  <c r="H110" i="43"/>
  <c r="L110" i="43"/>
  <c r="DP110" i="43"/>
  <c r="GO110" i="43" s="1"/>
  <c r="DR110" i="43"/>
  <c r="GQ110" i="43"/>
  <c r="DT110" i="43"/>
  <c r="GS110" i="43" s="1"/>
  <c r="DZ110" i="43"/>
  <c r="GY110" i="43" s="1"/>
  <c r="C111" i="43"/>
  <c r="I111" i="43"/>
  <c r="EA111" i="43"/>
  <c r="F112" i="43"/>
  <c r="J112" i="43"/>
  <c r="I113" i="43"/>
  <c r="EA113" i="43"/>
  <c r="D114" i="43"/>
  <c r="H114" i="43"/>
  <c r="DV114" i="43"/>
  <c r="GU114" i="43"/>
  <c r="DX114" i="43"/>
  <c r="GW114" i="43"/>
  <c r="EA115" i="43"/>
  <c r="F116" i="43"/>
  <c r="DP116" i="43"/>
  <c r="GO116" i="43"/>
  <c r="DT116" i="43"/>
  <c r="GS116" i="43"/>
  <c r="DV116" i="43"/>
  <c r="GU116" i="43" s="1"/>
  <c r="DX116" i="43"/>
  <c r="GW116" i="43" s="1"/>
  <c r="EA117" i="43"/>
  <c r="E108" i="43"/>
  <c r="E110" i="43"/>
  <c r="G110" i="43"/>
  <c r="I110" i="43"/>
  <c r="G112" i="43"/>
  <c r="K112" i="43"/>
  <c r="C114" i="43"/>
  <c r="C116" i="43"/>
  <c r="G116" i="43"/>
  <c r="K116" i="43"/>
  <c r="AD142" i="43"/>
  <c r="BO142" i="43"/>
  <c r="CX142" i="43"/>
  <c r="EG142" i="43"/>
  <c r="FC142" i="43"/>
  <c r="GO142" i="43"/>
  <c r="AJ148" i="43"/>
  <c r="AL148" i="43"/>
  <c r="BC148" i="43"/>
  <c r="AV152" i="43" s="1"/>
  <c r="BU148" i="43"/>
  <c r="BW148" i="43"/>
  <c r="CN148" i="43"/>
  <c r="DD148" i="43"/>
  <c r="DF148" i="43"/>
  <c r="DV148" i="43"/>
  <c r="EM148" i="43"/>
  <c r="EO148" i="43"/>
  <c r="EY148" i="43"/>
  <c r="FI148" i="43"/>
  <c r="FK148" i="43"/>
  <c r="GD148" i="43"/>
  <c r="GU148" i="43"/>
  <c r="GW148" i="43"/>
  <c r="CG142" i="43"/>
  <c r="DO142" i="43"/>
  <c r="ER142" i="43"/>
  <c r="FW142" i="43"/>
  <c r="AK148" i="43"/>
  <c r="BB148" i="43"/>
  <c r="BD148" i="43"/>
  <c r="BV148" i="43"/>
  <c r="BO152" i="43" s="1"/>
  <c r="CM148" i="43"/>
  <c r="CO148" i="43"/>
  <c r="DE148" i="43"/>
  <c r="DU148" i="43"/>
  <c r="DW148" i="43"/>
  <c r="EN148" i="43"/>
  <c r="EX148" i="43"/>
  <c r="EZ148" i="43"/>
  <c r="FJ148" i="43"/>
  <c r="AL25" i="35"/>
  <c r="HB59" i="45"/>
  <c r="HB59" i="44"/>
  <c r="R25" i="35"/>
  <c r="HD19" i="43"/>
  <c r="DV145" i="41"/>
  <c r="DO152" i="41"/>
  <c r="GO71" i="44"/>
  <c r="I35" i="25"/>
  <c r="B64" i="25" s="1"/>
  <c r="K35" i="25"/>
  <c r="B66" i="25"/>
  <c r="B35" i="25"/>
  <c r="B131" i="44"/>
  <c r="AM61" i="32"/>
  <c r="B131" i="43"/>
  <c r="D12" i="45"/>
  <c r="AD136" i="45"/>
  <c r="FW136" i="45"/>
  <c r="AC25" i="18"/>
  <c r="E78" i="18"/>
  <c r="CQ11" i="12"/>
  <c r="E81" i="18"/>
  <c r="AC28" i="18"/>
  <c r="AC27" i="18"/>
  <c r="E80" i="18"/>
  <c r="AC26" i="18"/>
  <c r="E79" i="18"/>
  <c r="AC23" i="18"/>
  <c r="E76" i="18"/>
  <c r="AC19" i="18"/>
  <c r="E72" i="18"/>
  <c r="AC18" i="18"/>
  <c r="E71" i="18"/>
  <c r="AC17" i="18"/>
  <c r="E70" i="18"/>
  <c r="AC16" i="18"/>
  <c r="E69" i="18"/>
  <c r="AC14" i="18"/>
  <c r="E67" i="18"/>
  <c r="AC13" i="18"/>
  <c r="E66" i="18"/>
  <c r="I27" i="25"/>
  <c r="F39" i="16"/>
  <c r="D202" i="12" s="1"/>
  <c r="F29" i="16"/>
  <c r="GI13" i="43"/>
  <c r="GI15" i="43"/>
  <c r="GI16" i="43"/>
  <c r="GG17" i="43"/>
  <c r="GG18" i="43"/>
  <c r="GI20" i="43"/>
  <c r="GI10" i="44"/>
  <c r="GI13" i="44"/>
  <c r="GI15" i="44"/>
  <c r="GI16" i="44"/>
  <c r="GG17" i="44"/>
  <c r="GG18" i="44"/>
  <c r="GI20" i="44"/>
  <c r="GG22" i="44"/>
  <c r="GG26" i="44"/>
  <c r="GG30" i="44"/>
  <c r="GI31" i="44"/>
  <c r="GI32" i="44"/>
  <c r="AD142" i="44"/>
  <c r="BO142" i="44"/>
  <c r="EG142" i="44"/>
  <c r="GJ10" i="45"/>
  <c r="GJ12" i="45"/>
  <c r="GJ17" i="45"/>
  <c r="GJ24" i="45"/>
  <c r="GI26" i="45"/>
  <c r="CX142" i="45"/>
  <c r="E74" i="18"/>
  <c r="U24" i="18"/>
  <c r="X8" i="18"/>
  <c r="GI10" i="43"/>
  <c r="GI23" i="43"/>
  <c r="GI25" i="43"/>
  <c r="GI27" i="43"/>
  <c r="GI28" i="43"/>
  <c r="GG29" i="43"/>
  <c r="GG30" i="43"/>
  <c r="GI31" i="43"/>
  <c r="GG29" i="44"/>
  <c r="CX142" i="44"/>
  <c r="GI9" i="45"/>
  <c r="GI11" i="45"/>
  <c r="GG14" i="45"/>
  <c r="GG19" i="45"/>
  <c r="GG21" i="45"/>
  <c r="GG23" i="45"/>
  <c r="GG25" i="45"/>
  <c r="GI32" i="45"/>
  <c r="E62" i="18"/>
  <c r="GJ15" i="45"/>
  <c r="E64" i="18"/>
  <c r="E58" i="18"/>
  <c r="G64" i="18"/>
  <c r="CK5" i="18"/>
  <c r="T64" i="18"/>
  <c r="R64" i="18"/>
  <c r="P64" i="18"/>
  <c r="N64" i="18"/>
  <c r="L64" i="18"/>
  <c r="J64" i="18"/>
  <c r="H64" i="18"/>
  <c r="F64" i="18"/>
  <c r="U64" i="18"/>
  <c r="S64" i="18"/>
  <c r="Q64" i="18"/>
  <c r="O64" i="18"/>
  <c r="M64" i="18"/>
  <c r="K64" i="18"/>
  <c r="I64" i="18"/>
  <c r="U5" i="18"/>
  <c r="G58" i="18"/>
  <c r="I58" i="18"/>
  <c r="K58" i="18"/>
  <c r="M58" i="18"/>
  <c r="O58" i="18"/>
  <c r="Q58" i="18"/>
  <c r="S58" i="18"/>
  <c r="U58" i="18"/>
  <c r="F58" i="18"/>
  <c r="H58" i="18"/>
  <c r="J58" i="18"/>
  <c r="L58" i="18"/>
  <c r="N58" i="18"/>
  <c r="P58" i="18"/>
  <c r="R58" i="18"/>
  <c r="U11" i="18"/>
  <c r="V28" i="18"/>
  <c r="W23" i="18"/>
  <c r="W21" i="18"/>
  <c r="X17" i="18"/>
  <c r="V17" i="18"/>
  <c r="V15" i="18"/>
  <c r="X13" i="18"/>
  <c r="V13" i="18"/>
  <c r="W12" i="18"/>
  <c r="GG10" i="43"/>
  <c r="GJ11" i="43"/>
  <c r="GJ12" i="43"/>
  <c r="GJ13" i="43"/>
  <c r="GA13" i="43"/>
  <c r="GG13" i="43"/>
  <c r="GJ14" i="43"/>
  <c r="GJ15" i="43"/>
  <c r="GG15" i="43"/>
  <c r="GG16" i="43"/>
  <c r="GI17" i="43"/>
  <c r="GJ18" i="43"/>
  <c r="GI18" i="43"/>
  <c r="GJ21" i="43"/>
  <c r="GJ22" i="43"/>
  <c r="GJ23" i="43"/>
  <c r="GG23" i="43"/>
  <c r="GJ24" i="43"/>
  <c r="GJ25" i="43"/>
  <c r="GG25" i="43"/>
  <c r="GJ26" i="43"/>
  <c r="GJ27" i="43"/>
  <c r="GG27" i="43"/>
  <c r="GG31" i="43"/>
  <c r="GG32" i="43"/>
  <c r="GG10" i="44"/>
  <c r="GI12" i="44"/>
  <c r="GJ13" i="44"/>
  <c r="GA13" i="44"/>
  <c r="GG13" i="44"/>
  <c r="GJ14" i="44"/>
  <c r="GG15" i="44"/>
  <c r="GG16" i="44"/>
  <c r="GI17" i="44"/>
  <c r="GJ18" i="44"/>
  <c r="GI18" i="44"/>
  <c r="GJ22" i="44"/>
  <c r="GI22" i="44"/>
  <c r="GG24" i="44"/>
  <c r="GI26" i="44"/>
  <c r="GJ31" i="44"/>
  <c r="GG31" i="44"/>
  <c r="GG32" i="44"/>
  <c r="GJ9" i="45"/>
  <c r="GG9" i="45"/>
  <c r="GJ11" i="45"/>
  <c r="GA11" i="45"/>
  <c r="GG11" i="45"/>
  <c r="GC19" i="45"/>
  <c r="GI19" i="45"/>
  <c r="GI21" i="45"/>
  <c r="GI23" i="45"/>
  <c r="GI25" i="45"/>
  <c r="GG26" i="45"/>
  <c r="GJ27" i="45"/>
  <c r="GI31" i="45"/>
  <c r="GA26" i="44"/>
  <c r="GA18" i="44"/>
  <c r="GA16" i="44"/>
  <c r="GA14" i="45"/>
  <c r="GA10" i="44"/>
  <c r="BY6" i="18"/>
  <c r="BZ26" i="18"/>
  <c r="BZ24" i="18"/>
  <c r="BZ10" i="18"/>
  <c r="V24" i="18"/>
  <c r="W25" i="18"/>
  <c r="V21" i="18"/>
  <c r="U14" i="18"/>
  <c r="X10" i="18"/>
  <c r="U10" i="18"/>
  <c r="GJ9" i="43"/>
  <c r="GC10" i="43"/>
  <c r="GJ16" i="43"/>
  <c r="GJ19" i="43"/>
  <c r="GJ20" i="43"/>
  <c r="GJ28" i="43"/>
  <c r="GA28" i="43"/>
  <c r="GJ29" i="43"/>
  <c r="GA29" i="43"/>
  <c r="GC31" i="43"/>
  <c r="GJ10" i="44"/>
  <c r="GC10" i="44"/>
  <c r="GJ16" i="44"/>
  <c r="GJ20" i="44"/>
  <c r="GA20" i="44"/>
  <c r="GA24" i="44"/>
  <c r="GC31" i="44"/>
  <c r="GJ32" i="44"/>
  <c r="GJ19" i="45"/>
  <c r="GA19" i="45"/>
  <c r="GJ21" i="45"/>
  <c r="GA21" i="45"/>
  <c r="GJ23" i="45"/>
  <c r="GJ25" i="45"/>
  <c r="GJ26" i="45"/>
  <c r="GA26" i="45"/>
  <c r="DQ17" i="12"/>
  <c r="DT17" i="12"/>
  <c r="DR17" i="12"/>
  <c r="DW17" i="12"/>
  <c r="DU17" i="12"/>
  <c r="DL17" i="12"/>
  <c r="DM17" i="12"/>
  <c r="M251" i="12"/>
  <c r="O251" i="12"/>
  <c r="S251" i="12"/>
  <c r="U251" i="12"/>
  <c r="W251" i="12"/>
  <c r="Y251" i="12"/>
  <c r="AA251" i="12"/>
  <c r="L251" i="12"/>
  <c r="N251" i="12"/>
  <c r="P251" i="12"/>
  <c r="R251" i="12"/>
  <c r="T251" i="12"/>
  <c r="V251" i="12"/>
  <c r="X251" i="12"/>
  <c r="Z251" i="12"/>
  <c r="M249" i="12"/>
  <c r="O249" i="12"/>
  <c r="S249" i="12"/>
  <c r="U249" i="12"/>
  <c r="W249" i="12"/>
  <c r="Y249" i="12"/>
  <c r="AA249" i="12"/>
  <c r="L249" i="12"/>
  <c r="N249" i="12"/>
  <c r="P249" i="12"/>
  <c r="R249" i="12"/>
  <c r="T249" i="12"/>
  <c r="V249" i="12"/>
  <c r="X249" i="12"/>
  <c r="Z249" i="12"/>
  <c r="M247" i="12"/>
  <c r="O247" i="12"/>
  <c r="S247" i="12"/>
  <c r="U247" i="12"/>
  <c r="W247" i="12"/>
  <c r="Y247" i="12"/>
  <c r="AA247" i="12"/>
  <c r="L247" i="12"/>
  <c r="N247" i="12"/>
  <c r="P247" i="12"/>
  <c r="R247" i="12"/>
  <c r="T247" i="12"/>
  <c r="V247" i="12"/>
  <c r="X247" i="12"/>
  <c r="Z247" i="12"/>
  <c r="M245" i="12"/>
  <c r="O245" i="12"/>
  <c r="S245" i="12"/>
  <c r="U245" i="12"/>
  <c r="W245" i="12"/>
  <c r="Y245" i="12"/>
  <c r="AA245" i="12"/>
  <c r="L245" i="12"/>
  <c r="N245" i="12"/>
  <c r="P245" i="12"/>
  <c r="R245" i="12"/>
  <c r="T245" i="12"/>
  <c r="V245" i="12"/>
  <c r="X245" i="12"/>
  <c r="Z245" i="12"/>
  <c r="M233" i="12"/>
  <c r="O233" i="12"/>
  <c r="S233" i="12"/>
  <c r="U233" i="12"/>
  <c r="W233" i="12"/>
  <c r="Y233" i="12"/>
  <c r="AA233" i="12"/>
  <c r="L233" i="12"/>
  <c r="N233" i="12"/>
  <c r="P233" i="12"/>
  <c r="R233" i="12"/>
  <c r="T233" i="12"/>
  <c r="V233" i="12"/>
  <c r="X233" i="12"/>
  <c r="Z233" i="12"/>
  <c r="M231" i="12"/>
  <c r="O231" i="12"/>
  <c r="S231" i="12"/>
  <c r="U231" i="12"/>
  <c r="W231" i="12"/>
  <c r="Y231" i="12"/>
  <c r="AA231" i="12"/>
  <c r="L231" i="12"/>
  <c r="N231" i="12"/>
  <c r="P231" i="12"/>
  <c r="R231" i="12"/>
  <c r="T231" i="12"/>
  <c r="V231" i="12"/>
  <c r="X231" i="12"/>
  <c r="Z231" i="12"/>
  <c r="M229" i="12"/>
  <c r="O229" i="12"/>
  <c r="S229" i="12"/>
  <c r="U229" i="12"/>
  <c r="W229" i="12"/>
  <c r="Y229" i="12"/>
  <c r="AA229" i="12"/>
  <c r="L229" i="12"/>
  <c r="N229" i="12"/>
  <c r="P229" i="12"/>
  <c r="R229" i="12"/>
  <c r="T229" i="12"/>
  <c r="V229" i="12"/>
  <c r="X229" i="12"/>
  <c r="Z229" i="12"/>
  <c r="M227" i="12"/>
  <c r="O227" i="12"/>
  <c r="S227" i="12"/>
  <c r="U227" i="12"/>
  <c r="W227" i="12"/>
  <c r="Y227" i="12"/>
  <c r="AA227" i="12"/>
  <c r="L227" i="12"/>
  <c r="N227" i="12"/>
  <c r="P227" i="12"/>
  <c r="R227" i="12"/>
  <c r="T227" i="12"/>
  <c r="V227" i="12"/>
  <c r="X227" i="12"/>
  <c r="Z227" i="12"/>
  <c r="M225" i="12"/>
  <c r="O225" i="12"/>
  <c r="S225" i="12"/>
  <c r="U225" i="12"/>
  <c r="W225" i="12"/>
  <c r="Y225" i="12"/>
  <c r="AA225" i="12"/>
  <c r="L225" i="12"/>
  <c r="N225" i="12"/>
  <c r="P225" i="12"/>
  <c r="R225" i="12"/>
  <c r="T225" i="12"/>
  <c r="V225" i="12"/>
  <c r="X225" i="12"/>
  <c r="Z225" i="12"/>
  <c r="M223" i="12"/>
  <c r="O223" i="12"/>
  <c r="S223" i="12"/>
  <c r="U223" i="12"/>
  <c r="W223" i="12"/>
  <c r="Y223" i="12"/>
  <c r="AA223" i="12"/>
  <c r="L223" i="12"/>
  <c r="N223" i="12"/>
  <c r="P223" i="12"/>
  <c r="R223" i="12"/>
  <c r="T223" i="12"/>
  <c r="V223" i="12"/>
  <c r="X223" i="12"/>
  <c r="Z223" i="12"/>
  <c r="M221" i="12"/>
  <c r="O221" i="12"/>
  <c r="S221" i="12"/>
  <c r="U221" i="12"/>
  <c r="W221" i="12"/>
  <c r="Y221" i="12"/>
  <c r="AA221" i="12"/>
  <c r="L221" i="12"/>
  <c r="N221" i="12"/>
  <c r="P221" i="12"/>
  <c r="R221" i="12"/>
  <c r="T221" i="12"/>
  <c r="V221" i="12"/>
  <c r="X221" i="12"/>
  <c r="Z221" i="12"/>
  <c r="M219" i="12"/>
  <c r="O219" i="12"/>
  <c r="S219" i="12"/>
  <c r="U219" i="12"/>
  <c r="W219" i="12"/>
  <c r="Y219" i="12"/>
  <c r="AA219" i="12"/>
  <c r="L219" i="12"/>
  <c r="N219" i="12"/>
  <c r="P219" i="12"/>
  <c r="R219" i="12"/>
  <c r="T219" i="12"/>
  <c r="V219" i="12"/>
  <c r="X219" i="12"/>
  <c r="Z219" i="12"/>
  <c r="M217" i="12"/>
  <c r="O217" i="12"/>
  <c r="S217" i="12"/>
  <c r="U217" i="12"/>
  <c r="W217" i="12"/>
  <c r="Y217" i="12"/>
  <c r="AA217" i="12"/>
  <c r="L217" i="12"/>
  <c r="N217" i="12"/>
  <c r="P217" i="12"/>
  <c r="R217" i="12"/>
  <c r="T217" i="12"/>
  <c r="V217" i="12"/>
  <c r="X217" i="12"/>
  <c r="Z217" i="12"/>
  <c r="M215" i="12"/>
  <c r="O215" i="12"/>
  <c r="S215" i="12"/>
  <c r="U215" i="12"/>
  <c r="W215" i="12"/>
  <c r="Y215" i="12"/>
  <c r="AA215" i="12"/>
  <c r="L215" i="12"/>
  <c r="N215" i="12"/>
  <c r="P215" i="12"/>
  <c r="R215" i="12"/>
  <c r="T215" i="12"/>
  <c r="V215" i="12"/>
  <c r="X215" i="12"/>
  <c r="Z215" i="12"/>
  <c r="M213" i="12"/>
  <c r="O213" i="12"/>
  <c r="S213" i="12"/>
  <c r="U213" i="12"/>
  <c r="W213" i="12"/>
  <c r="Y213" i="12"/>
  <c r="AA213" i="12"/>
  <c r="L213" i="12"/>
  <c r="N213" i="12"/>
  <c r="P213" i="12"/>
  <c r="R213" i="12"/>
  <c r="T213" i="12"/>
  <c r="V213" i="12"/>
  <c r="X213" i="12"/>
  <c r="Z213" i="12"/>
  <c r="EA77" i="41"/>
  <c r="GP7" i="12"/>
  <c r="EB80" i="45" s="1"/>
  <c r="AA243" i="12"/>
  <c r="Y243" i="12"/>
  <c r="W243" i="12"/>
  <c r="U243" i="12"/>
  <c r="S243" i="12"/>
  <c r="O243" i="12"/>
  <c r="M243" i="12"/>
  <c r="AA242" i="12"/>
  <c r="Y242" i="12"/>
  <c r="W242" i="12"/>
  <c r="U242" i="12"/>
  <c r="S242" i="12"/>
  <c r="O242" i="12"/>
  <c r="M242" i="12"/>
  <c r="AA241" i="12"/>
  <c r="Y241" i="12"/>
  <c r="W241" i="12"/>
  <c r="U241" i="12"/>
  <c r="S241" i="12"/>
  <c r="O241" i="12"/>
  <c r="M241" i="12"/>
  <c r="AA240" i="12"/>
  <c r="Y240" i="12"/>
  <c r="W240" i="12"/>
  <c r="U240" i="12"/>
  <c r="S240" i="12"/>
  <c r="O240" i="12"/>
  <c r="M240" i="12"/>
  <c r="AA239" i="12"/>
  <c r="Y239" i="12"/>
  <c r="W239" i="12"/>
  <c r="U239" i="12"/>
  <c r="S239" i="12"/>
  <c r="O239" i="12"/>
  <c r="M239" i="12"/>
  <c r="AA238" i="12"/>
  <c r="Y238" i="12"/>
  <c r="W238" i="12"/>
  <c r="U238" i="12"/>
  <c r="S238" i="12"/>
  <c r="O238" i="12"/>
  <c r="M238" i="12"/>
  <c r="AA237" i="12"/>
  <c r="Y237" i="12"/>
  <c r="W237" i="12"/>
  <c r="U237" i="12"/>
  <c r="S237" i="12"/>
  <c r="O237" i="12"/>
  <c r="M237" i="12"/>
  <c r="AA236" i="12"/>
  <c r="Y236" i="12"/>
  <c r="W236" i="12"/>
  <c r="U236" i="12"/>
  <c r="S236" i="12"/>
  <c r="O236" i="12"/>
  <c r="M236" i="12"/>
  <c r="AA235" i="12"/>
  <c r="Y235" i="12"/>
  <c r="W235" i="12"/>
  <c r="U235" i="12"/>
  <c r="S235" i="12"/>
  <c r="O235" i="12"/>
  <c r="M235" i="12"/>
  <c r="M252" i="12"/>
  <c r="O252" i="12"/>
  <c r="S252" i="12"/>
  <c r="U252" i="12"/>
  <c r="W252" i="12"/>
  <c r="Y252" i="12"/>
  <c r="AA252" i="12"/>
  <c r="L252" i="12"/>
  <c r="N252" i="12"/>
  <c r="P252" i="12"/>
  <c r="R252" i="12"/>
  <c r="T252" i="12"/>
  <c r="V252" i="12"/>
  <c r="X252" i="12"/>
  <c r="Z252" i="12"/>
  <c r="M250" i="12"/>
  <c r="O250" i="12"/>
  <c r="S250" i="12"/>
  <c r="U250" i="12"/>
  <c r="W250" i="12"/>
  <c r="Y250" i="12"/>
  <c r="AA250" i="12"/>
  <c r="L250" i="12"/>
  <c r="N250" i="12"/>
  <c r="P250" i="12"/>
  <c r="R250" i="12"/>
  <c r="T250" i="12"/>
  <c r="V250" i="12"/>
  <c r="X250" i="12"/>
  <c r="Z250" i="12"/>
  <c r="M248" i="12"/>
  <c r="O248" i="12"/>
  <c r="S248" i="12"/>
  <c r="U248" i="12"/>
  <c r="W248" i="12"/>
  <c r="Y248" i="12"/>
  <c r="AA248" i="12"/>
  <c r="L248" i="12"/>
  <c r="N248" i="12"/>
  <c r="P248" i="12"/>
  <c r="R248" i="12"/>
  <c r="T248" i="12"/>
  <c r="V248" i="12"/>
  <c r="X248" i="12"/>
  <c r="Z248" i="12"/>
  <c r="M246" i="12"/>
  <c r="O246" i="12"/>
  <c r="S246" i="12"/>
  <c r="U246" i="12"/>
  <c r="W246" i="12"/>
  <c r="Y246" i="12"/>
  <c r="AA246" i="12"/>
  <c r="L246" i="12"/>
  <c r="N246" i="12"/>
  <c r="P246" i="12"/>
  <c r="R246" i="12"/>
  <c r="T246" i="12"/>
  <c r="V246" i="12"/>
  <c r="X246" i="12"/>
  <c r="Z246" i="12"/>
  <c r="M244" i="12"/>
  <c r="O244" i="12"/>
  <c r="S244" i="12"/>
  <c r="U244" i="12"/>
  <c r="W244" i="12"/>
  <c r="Y244" i="12"/>
  <c r="AA244" i="12"/>
  <c r="L244" i="12"/>
  <c r="N244" i="12"/>
  <c r="P244" i="12"/>
  <c r="R244" i="12"/>
  <c r="T244" i="12"/>
  <c r="V244" i="12"/>
  <c r="X244" i="12"/>
  <c r="Z244" i="12"/>
  <c r="M232" i="12"/>
  <c r="O232" i="12"/>
  <c r="S232" i="12"/>
  <c r="U232" i="12"/>
  <c r="W232" i="12"/>
  <c r="Y232" i="12"/>
  <c r="AA232" i="12"/>
  <c r="L232" i="12"/>
  <c r="N232" i="12"/>
  <c r="P232" i="12"/>
  <c r="R232" i="12"/>
  <c r="T232" i="12"/>
  <c r="V232" i="12"/>
  <c r="X232" i="12"/>
  <c r="Z232" i="12"/>
  <c r="M230" i="12"/>
  <c r="O230" i="12"/>
  <c r="S230" i="12"/>
  <c r="U230" i="12"/>
  <c r="W230" i="12"/>
  <c r="Y230" i="12"/>
  <c r="AA230" i="12"/>
  <c r="L230" i="12"/>
  <c r="N230" i="12"/>
  <c r="P230" i="12"/>
  <c r="R230" i="12"/>
  <c r="T230" i="12"/>
  <c r="V230" i="12"/>
  <c r="X230" i="12"/>
  <c r="Z230" i="12"/>
  <c r="M228" i="12"/>
  <c r="O228" i="12"/>
  <c r="S228" i="12"/>
  <c r="U228" i="12"/>
  <c r="W228" i="12"/>
  <c r="Y228" i="12"/>
  <c r="AA228" i="12"/>
  <c r="L228" i="12"/>
  <c r="N228" i="12"/>
  <c r="P228" i="12"/>
  <c r="R228" i="12"/>
  <c r="T228" i="12"/>
  <c r="V228" i="12"/>
  <c r="X228" i="12"/>
  <c r="Z228" i="12"/>
  <c r="M224" i="12"/>
  <c r="O224" i="12"/>
  <c r="S224" i="12"/>
  <c r="U224" i="12"/>
  <c r="W224" i="12"/>
  <c r="Y224" i="12"/>
  <c r="AA224" i="12"/>
  <c r="L224" i="12"/>
  <c r="N224" i="12"/>
  <c r="P224" i="12"/>
  <c r="R224" i="12"/>
  <c r="T224" i="12"/>
  <c r="V224" i="12"/>
  <c r="X224" i="12"/>
  <c r="Z224" i="12"/>
  <c r="M222" i="12"/>
  <c r="O222" i="12"/>
  <c r="S222" i="12"/>
  <c r="U222" i="12"/>
  <c r="W222" i="12"/>
  <c r="Y222" i="12"/>
  <c r="AA222" i="12"/>
  <c r="L222" i="12"/>
  <c r="N222" i="12"/>
  <c r="P222" i="12"/>
  <c r="R222" i="12"/>
  <c r="T222" i="12"/>
  <c r="V222" i="12"/>
  <c r="X222" i="12"/>
  <c r="Z222" i="12"/>
  <c r="M220" i="12"/>
  <c r="O220" i="12"/>
  <c r="S220" i="12"/>
  <c r="U220" i="12"/>
  <c r="W220" i="12"/>
  <c r="Y220" i="12"/>
  <c r="AA220" i="12"/>
  <c r="L220" i="12"/>
  <c r="N220" i="12"/>
  <c r="P220" i="12"/>
  <c r="R220" i="12"/>
  <c r="T220" i="12"/>
  <c r="V220" i="12"/>
  <c r="X220" i="12"/>
  <c r="Z220" i="12"/>
  <c r="M216" i="12"/>
  <c r="O216" i="12"/>
  <c r="S216" i="12"/>
  <c r="U216" i="12"/>
  <c r="W216" i="12"/>
  <c r="Y216" i="12"/>
  <c r="AA216" i="12"/>
  <c r="L216" i="12"/>
  <c r="N216" i="12"/>
  <c r="P216" i="12"/>
  <c r="R216" i="12"/>
  <c r="T216" i="12"/>
  <c r="V216" i="12"/>
  <c r="X216" i="12"/>
  <c r="Z216" i="12"/>
  <c r="M214" i="12"/>
  <c r="O214" i="12"/>
  <c r="S214" i="12"/>
  <c r="U214" i="12"/>
  <c r="W214" i="12"/>
  <c r="Y214" i="12"/>
  <c r="AA214" i="12"/>
  <c r="L214" i="12"/>
  <c r="N214" i="12"/>
  <c r="P214" i="12"/>
  <c r="R214" i="12"/>
  <c r="T214" i="12"/>
  <c r="V214" i="12"/>
  <c r="X214" i="12"/>
  <c r="Z214" i="12"/>
  <c r="M212" i="12"/>
  <c r="O212" i="12"/>
  <c r="S212" i="12"/>
  <c r="U212" i="12"/>
  <c r="W212" i="12"/>
  <c r="Y212" i="12"/>
  <c r="AA212" i="12"/>
  <c r="L212" i="12"/>
  <c r="N212" i="12"/>
  <c r="P212" i="12"/>
  <c r="R212" i="12"/>
  <c r="T212" i="12"/>
  <c r="V212" i="12"/>
  <c r="X212" i="12"/>
  <c r="Z212" i="12"/>
  <c r="Z235" i="12"/>
  <c r="Z236" i="12"/>
  <c r="Z237" i="12"/>
  <c r="Z238" i="12"/>
  <c r="Z239" i="12"/>
  <c r="Z240" i="12"/>
  <c r="Z241" i="12"/>
  <c r="Z242" i="12"/>
  <c r="Z243" i="12"/>
  <c r="EB29" i="12"/>
  <c r="CL13" i="12"/>
  <c r="D86" i="45" s="1"/>
  <c r="X243" i="12"/>
  <c r="V243" i="12"/>
  <c r="T243" i="12"/>
  <c r="R243" i="12"/>
  <c r="P243" i="12"/>
  <c r="N243" i="12"/>
  <c r="X242" i="12"/>
  <c r="V242" i="12"/>
  <c r="T242" i="12"/>
  <c r="R242" i="12"/>
  <c r="P242" i="12"/>
  <c r="N242" i="12"/>
  <c r="X241" i="12"/>
  <c r="V241" i="12"/>
  <c r="T241" i="12"/>
  <c r="R241" i="12"/>
  <c r="P241" i="12"/>
  <c r="N241" i="12"/>
  <c r="X240" i="12"/>
  <c r="V240" i="12"/>
  <c r="T240" i="12"/>
  <c r="R240" i="12"/>
  <c r="P240" i="12"/>
  <c r="N240" i="12"/>
  <c r="X239" i="12"/>
  <c r="V239" i="12"/>
  <c r="T239" i="12"/>
  <c r="R239" i="12"/>
  <c r="P239" i="12"/>
  <c r="N239" i="12"/>
  <c r="X238" i="12"/>
  <c r="V238" i="12"/>
  <c r="T238" i="12"/>
  <c r="R238" i="12"/>
  <c r="P238" i="12"/>
  <c r="N238" i="12"/>
  <c r="X237" i="12"/>
  <c r="V237" i="12"/>
  <c r="T237" i="12"/>
  <c r="R237" i="12"/>
  <c r="P237" i="12"/>
  <c r="N237" i="12"/>
  <c r="X236" i="12"/>
  <c r="V236" i="12"/>
  <c r="T236" i="12"/>
  <c r="R236" i="12"/>
  <c r="P236" i="12"/>
  <c r="N236" i="12"/>
  <c r="X235" i="12"/>
  <c r="V235" i="12"/>
  <c r="T235" i="12"/>
  <c r="R235" i="12"/>
  <c r="P235" i="12"/>
  <c r="N235" i="12"/>
  <c r="M211" i="12"/>
  <c r="O211" i="12"/>
  <c r="S211" i="12"/>
  <c r="V211" i="12"/>
  <c r="T211" i="12"/>
  <c r="Y211" i="12"/>
  <c r="AA211" i="12"/>
  <c r="L211" i="12"/>
  <c r="N211" i="12"/>
  <c r="P211" i="12"/>
  <c r="R211" i="12"/>
  <c r="W211" i="12"/>
  <c r="U211" i="12"/>
  <c r="X211" i="12"/>
  <c r="EH25" i="12"/>
  <c r="CZ41" i="45" s="1"/>
  <c r="HE41" i="45" s="1"/>
  <c r="EE25" i="12"/>
  <c r="EL25" i="12"/>
  <c r="EM25" i="12"/>
  <c r="EN33" i="12"/>
  <c r="EF33" i="12"/>
  <c r="EO33" i="12"/>
  <c r="GW43" i="12"/>
  <c r="EL43" i="12"/>
  <c r="EO43" i="12"/>
  <c r="W39" i="45"/>
  <c r="O39" i="45"/>
  <c r="O47" i="45"/>
  <c r="M79" i="45"/>
  <c r="FW9" i="12"/>
  <c r="FV9" i="12"/>
  <c r="GC9" i="12"/>
  <c r="EO37" i="12"/>
  <c r="DG53" i="45" s="1"/>
  <c r="AU26" i="12"/>
  <c r="AY26" i="12"/>
  <c r="BC26" i="12"/>
  <c r="GT26" i="12"/>
  <c r="BA26" i="12"/>
  <c r="AV26" i="12"/>
  <c r="AZ26" i="12"/>
  <c r="BD26" i="12"/>
  <c r="X42" i="45"/>
  <c r="AU34" i="12"/>
  <c r="AY34" i="12"/>
  <c r="BC34" i="12"/>
  <c r="AV34" i="12"/>
  <c r="AZ34" i="12"/>
  <c r="BD34" i="12"/>
  <c r="AU42" i="12"/>
  <c r="AY42" i="12"/>
  <c r="S58" i="45" s="1"/>
  <c r="BC42" i="12"/>
  <c r="AV42" i="12"/>
  <c r="AZ42" i="12"/>
  <c r="BD42" i="12"/>
  <c r="EK42" i="12"/>
  <c r="FZ5" i="12"/>
  <c r="D173" i="12"/>
  <c r="N10" i="12"/>
  <c r="Q10" i="12" s="1"/>
  <c r="GS10" i="12" s="1"/>
  <c r="H250" i="12"/>
  <c r="DF3" i="12"/>
  <c r="DI3" i="12" s="1"/>
  <c r="DF20" i="12"/>
  <c r="CP5" i="12"/>
  <c r="H78" i="44"/>
  <c r="CN15" i="12"/>
  <c r="CJ18" i="12"/>
  <c r="CL18" i="12"/>
  <c r="CS20" i="12"/>
  <c r="CK44" i="12"/>
  <c r="GE12" i="12"/>
  <c r="GK9" i="12"/>
  <c r="AN41" i="12"/>
  <c r="AN39" i="12"/>
  <c r="AN37" i="12"/>
  <c r="AN33" i="12"/>
  <c r="AN25" i="12"/>
  <c r="F41" i="16"/>
  <c r="N41" i="12" s="1"/>
  <c r="F37" i="16"/>
  <c r="F31" i="16"/>
  <c r="H251" i="12"/>
  <c r="EA114" i="44"/>
  <c r="EA112" i="44"/>
  <c r="GP38" i="12"/>
  <c r="EA110" i="44"/>
  <c r="EA108" i="44"/>
  <c r="DK49" i="43"/>
  <c r="DK45" i="43"/>
  <c r="CU44" i="45"/>
  <c r="CU41" i="43"/>
  <c r="EA97" i="44"/>
  <c r="FV20" i="12"/>
  <c r="GE9" i="12"/>
  <c r="GB9" i="12"/>
  <c r="DW82" i="45"/>
  <c r="GA9" i="12"/>
  <c r="FX9" i="12"/>
  <c r="DS82" i="43"/>
  <c r="GR82" i="43" s="1"/>
  <c r="FY9" i="12"/>
  <c r="G181" i="12"/>
  <c r="F181" i="12"/>
  <c r="AW24" i="12"/>
  <c r="BA24" i="12"/>
  <c r="BE24" i="12"/>
  <c r="AZ24" i="12"/>
  <c r="T40" i="44" s="1"/>
  <c r="GT28" i="12"/>
  <c r="AY28" i="12"/>
  <c r="S44" i="43" s="1"/>
  <c r="BC28" i="12"/>
  <c r="AV28" i="12"/>
  <c r="BF28" i="12"/>
  <c r="AY32" i="12"/>
  <c r="AV32" i="12"/>
  <c r="BD32" i="12"/>
  <c r="Y38" i="45"/>
  <c r="E211" i="12"/>
  <c r="E228" i="12"/>
  <c r="F94" i="41"/>
  <c r="GA10" i="12"/>
  <c r="GD10" i="12"/>
  <c r="GE10" i="12"/>
  <c r="GD18" i="12"/>
  <c r="FU18" i="12"/>
  <c r="M117" i="44"/>
  <c r="EG42" i="12"/>
  <c r="EO42" i="12"/>
  <c r="DG58" i="44" s="1"/>
  <c r="HL58" i="44" s="1"/>
  <c r="GT31" i="12"/>
  <c r="AX31" i="12"/>
  <c r="BB31" i="12"/>
  <c r="BF31" i="12"/>
  <c r="AW31" i="12"/>
  <c r="BA31" i="12"/>
  <c r="BE31" i="12"/>
  <c r="AV43" i="12"/>
  <c r="AZ43" i="12"/>
  <c r="BD43" i="12"/>
  <c r="AU43" i="12"/>
  <c r="AY43" i="12"/>
  <c r="BC43" i="12"/>
  <c r="BE43" i="12"/>
  <c r="Y59" i="44" s="1"/>
  <c r="B78" i="44"/>
  <c r="DO85" i="41"/>
  <c r="GN85" i="41" s="1"/>
  <c r="DS85" i="41"/>
  <c r="GR85" i="41" s="1"/>
  <c r="FV13" i="12"/>
  <c r="FX13" i="12"/>
  <c r="GD13" i="12"/>
  <c r="FZ13" i="12"/>
  <c r="DU86" i="43" s="1"/>
  <c r="FW13" i="12"/>
  <c r="DR86" i="43" s="1"/>
  <c r="GQ86" i="43" s="1"/>
  <c r="BE5" i="12"/>
  <c r="AW5" i="12"/>
  <c r="Q21" i="45" s="1"/>
  <c r="BB5" i="12"/>
  <c r="CU20" i="44"/>
  <c r="DK36" i="44"/>
  <c r="DK31" i="43"/>
  <c r="FX5" i="12"/>
  <c r="BB22" i="12"/>
  <c r="V38" i="45" s="1"/>
  <c r="GT22" i="12"/>
  <c r="AU22" i="12"/>
  <c r="O38" i="41" s="1"/>
  <c r="FL18" i="12"/>
  <c r="CO18" i="12"/>
  <c r="FH17" i="12"/>
  <c r="CK17" i="12"/>
  <c r="C207" i="12"/>
  <c r="FW5" i="12"/>
  <c r="GE5" i="12"/>
  <c r="FY13" i="12"/>
  <c r="GA13" i="12"/>
  <c r="DC8" i="12"/>
  <c r="M8" i="16" s="1"/>
  <c r="DF8" i="12" s="1"/>
  <c r="F8" i="16"/>
  <c r="AM12" i="12"/>
  <c r="AN12" i="12"/>
  <c r="GH5" i="12"/>
  <c r="CT21" i="41"/>
  <c r="C168" i="12"/>
  <c r="DK20" i="45"/>
  <c r="DC11" i="12"/>
  <c r="M11" i="16"/>
  <c r="DF11" i="12" s="1"/>
  <c r="DI11" i="12" s="1"/>
  <c r="F11" i="16"/>
  <c r="N11" i="12" s="1"/>
  <c r="Q11" i="12" s="1"/>
  <c r="DC23" i="12"/>
  <c r="M23" i="16" s="1"/>
  <c r="DF23" i="12" s="1"/>
  <c r="F23" i="16"/>
  <c r="AR4" i="12"/>
  <c r="C212" i="12"/>
  <c r="AR8" i="12"/>
  <c r="AY8" i="12" s="1"/>
  <c r="C171" i="12"/>
  <c r="GK8" i="12"/>
  <c r="DJ24" i="41" s="1"/>
  <c r="C227" i="12"/>
  <c r="H227" i="12" s="1"/>
  <c r="C182" i="12"/>
  <c r="ER19" i="12"/>
  <c r="CQ19" i="12"/>
  <c r="I92" i="41" s="1"/>
  <c r="DY20" i="12"/>
  <c r="AR20" i="12"/>
  <c r="DY12" i="12"/>
  <c r="D220" i="12"/>
  <c r="DY10" i="12"/>
  <c r="AR10" i="12"/>
  <c r="AU10" i="12" s="1"/>
  <c r="D214" i="12"/>
  <c r="AR6" i="12"/>
  <c r="FN3" i="12"/>
  <c r="GA3" i="12" s="1"/>
  <c r="DV76" i="43" s="1"/>
  <c r="GU76" i="43" s="1"/>
  <c r="CQ3" i="12"/>
  <c r="FR3" i="12"/>
  <c r="GE3" i="12" s="1"/>
  <c r="CU3" i="12"/>
  <c r="CU17" i="12"/>
  <c r="CU19" i="12"/>
  <c r="CK6" i="12"/>
  <c r="CU5" i="12"/>
  <c r="M78" i="43"/>
  <c r="CU13" i="12"/>
  <c r="M86" i="45" s="1"/>
  <c r="GP14" i="12"/>
  <c r="EB87" i="43"/>
  <c r="EC87" i="43" s="1"/>
  <c r="N13" i="12"/>
  <c r="Q13" i="12"/>
  <c r="AD13" i="12" s="1"/>
  <c r="AB13" i="12"/>
  <c r="CO6" i="12"/>
  <c r="CS6" i="12"/>
  <c r="CJ11" i="12"/>
  <c r="CP11" i="12"/>
  <c r="CN13" i="12"/>
  <c r="CJ20" i="12"/>
  <c r="CL20" i="12"/>
  <c r="CM21" i="12"/>
  <c r="CJ22" i="12"/>
  <c r="B95" i="44"/>
  <c r="CL22" i="12"/>
  <c r="CN22" i="12"/>
  <c r="CJ23" i="12"/>
  <c r="B96" i="41" s="1"/>
  <c r="CN44" i="12"/>
  <c r="CP44" i="12"/>
  <c r="CR44" i="12"/>
  <c r="CT44" i="12"/>
  <c r="GP18" i="12"/>
  <c r="EB91" i="41" s="1"/>
  <c r="EC91" i="41" s="1"/>
  <c r="HF23" i="12"/>
  <c r="O23" i="16"/>
  <c r="EB23" i="12"/>
  <c r="EJ23" i="12" s="1"/>
  <c r="CS5" i="12"/>
  <c r="K78" i="43" s="1"/>
  <c r="FZ17" i="12"/>
  <c r="DU90" i="43" s="1"/>
  <c r="DU90" i="41"/>
  <c r="GT90" i="41" s="1"/>
  <c r="FX17" i="12"/>
  <c r="DF29" i="12"/>
  <c r="DI29" i="12" s="1"/>
  <c r="GV29" i="12" s="1"/>
  <c r="GA17" i="12"/>
  <c r="FY17" i="12"/>
  <c r="DT90" i="41" s="1"/>
  <c r="GS90" i="41" s="1"/>
  <c r="EA112" i="41"/>
  <c r="GP27" i="12"/>
  <c r="EB100" i="43"/>
  <c r="EC100" i="43" s="1"/>
  <c r="EG7" i="12"/>
  <c r="CY23" i="45" s="1"/>
  <c r="EF7" i="12"/>
  <c r="GW35" i="12"/>
  <c r="EK35" i="12"/>
  <c r="EH26" i="12"/>
  <c r="CZ42" i="41"/>
  <c r="HE42" i="41" s="1"/>
  <c r="EL26" i="12"/>
  <c r="EO26" i="12"/>
  <c r="DG42" i="43" s="1"/>
  <c r="HL42" i="43" s="1"/>
  <c r="O24" i="16"/>
  <c r="EB24" i="12"/>
  <c r="EN24" i="12" s="1"/>
  <c r="DF40" i="45" s="1"/>
  <c r="HK40" i="45" s="1"/>
  <c r="O28" i="16"/>
  <c r="EB28" i="12"/>
  <c r="O32" i="16"/>
  <c r="EB32" i="12"/>
  <c r="EM32" i="12"/>
  <c r="O40" i="16"/>
  <c r="EB40" i="12"/>
  <c r="EB18" i="12"/>
  <c r="O18" i="16"/>
  <c r="O16" i="16"/>
  <c r="O59" i="41"/>
  <c r="DI59" i="41"/>
  <c r="B78" i="41"/>
  <c r="EA110" i="41"/>
  <c r="GP37" i="12"/>
  <c r="EB110" i="41" s="1"/>
  <c r="EC110" i="41" s="1"/>
  <c r="EA101" i="41"/>
  <c r="EA99" i="41"/>
  <c r="DK42" i="41"/>
  <c r="H19" i="35"/>
  <c r="HB43" i="12"/>
  <c r="HB38" i="12"/>
  <c r="HB33" i="12"/>
  <c r="HB31" i="12"/>
  <c r="HB27" i="12"/>
  <c r="HB25" i="12"/>
  <c r="HG43" i="12"/>
  <c r="HE38" i="12"/>
  <c r="HE31" i="12"/>
  <c r="HE27" i="12"/>
  <c r="DI20" i="12"/>
  <c r="GZ43" i="12"/>
  <c r="GZ33" i="12"/>
  <c r="GZ25" i="12"/>
  <c r="HE43" i="12"/>
  <c r="I145" i="44"/>
  <c r="B152" i="44" s="1"/>
  <c r="AI3" i="33"/>
  <c r="D38" i="32"/>
  <c r="B42" i="32" s="1"/>
  <c r="D42" i="32" s="1"/>
  <c r="D12" i="41" s="1"/>
  <c r="E38" i="32"/>
  <c r="B59" i="32" s="1"/>
  <c r="C59" i="32" s="1"/>
  <c r="D59" i="32" s="1"/>
  <c r="BO131" i="41" s="1"/>
  <c r="BW146" i="41" s="1"/>
  <c r="B132" i="44"/>
  <c r="B65" i="44"/>
  <c r="FW66" i="44"/>
  <c r="FW66" i="43"/>
  <c r="AA3" i="33"/>
  <c r="J3" i="33"/>
  <c r="FW66" i="45"/>
  <c r="AB3" i="33"/>
  <c r="AV137" i="45"/>
  <c r="EG142" i="41"/>
  <c r="FC142" i="41"/>
  <c r="AD142" i="41"/>
  <c r="BO142" i="41"/>
  <c r="GO142" i="41"/>
  <c r="FE23" i="44"/>
  <c r="AM9" i="32"/>
  <c r="AT9" i="32"/>
  <c r="AU9" i="32"/>
  <c r="FJ145" i="44"/>
  <c r="FC152" i="44" s="1"/>
  <c r="GP32" i="12"/>
  <c r="EB105" i="41"/>
  <c r="EC105" i="41" s="1"/>
  <c r="GA10" i="43"/>
  <c r="GA16" i="43"/>
  <c r="GA18" i="43"/>
  <c r="GC20" i="43"/>
  <c r="GE16" i="43"/>
  <c r="DO26" i="12"/>
  <c r="DU34" i="12"/>
  <c r="DW34" i="12"/>
  <c r="DL34" i="12"/>
  <c r="DP34" i="12"/>
  <c r="D206" i="12"/>
  <c r="DF49" i="41"/>
  <c r="HK49" i="41" s="1"/>
  <c r="O22" i="16"/>
  <c r="EB22" i="12"/>
  <c r="O14" i="16"/>
  <c r="DU29" i="12"/>
  <c r="DP29" i="12"/>
  <c r="F198" i="12"/>
  <c r="EP7" i="12"/>
  <c r="EJ7" i="12"/>
  <c r="GW7" i="12"/>
  <c r="EI25" i="12"/>
  <c r="EP25" i="12"/>
  <c r="EK26" i="12"/>
  <c r="EP26" i="12"/>
  <c r="EG33" i="12"/>
  <c r="EG37" i="12"/>
  <c r="EI38" i="12"/>
  <c r="EG43" i="12"/>
  <c r="O15" i="16"/>
  <c r="EB15" i="12"/>
  <c r="O13" i="16"/>
  <c r="EB13" i="12"/>
  <c r="EB11" i="12"/>
  <c r="O11" i="16"/>
  <c r="EB9" i="12"/>
  <c r="O9" i="16"/>
  <c r="J78" i="41"/>
  <c r="H218" i="12"/>
  <c r="DI7" i="12"/>
  <c r="H221" i="12"/>
  <c r="FZ23" i="12"/>
  <c r="DU96" i="41"/>
  <c r="GT96" i="41" s="1"/>
  <c r="F7" i="16"/>
  <c r="F252" i="12"/>
  <c r="G252" i="12"/>
  <c r="G231" i="12"/>
  <c r="F231" i="12"/>
  <c r="F230" i="12"/>
  <c r="G230" i="12"/>
  <c r="G229" i="12"/>
  <c r="F229" i="12"/>
  <c r="F228" i="12"/>
  <c r="G228" i="12"/>
  <c r="G227" i="12"/>
  <c r="F227" i="12"/>
  <c r="F226" i="12"/>
  <c r="G226" i="12"/>
  <c r="F224" i="12"/>
  <c r="G224" i="12"/>
  <c r="G223" i="12"/>
  <c r="F223" i="12"/>
  <c r="F222" i="12"/>
  <c r="G222" i="12"/>
  <c r="G221" i="12"/>
  <c r="F221" i="12"/>
  <c r="F220" i="12"/>
  <c r="G220" i="12"/>
  <c r="G219" i="12"/>
  <c r="F219" i="12"/>
  <c r="F218" i="12"/>
  <c r="G218" i="12"/>
  <c r="G217" i="12"/>
  <c r="F217" i="12"/>
  <c r="HF37" i="12"/>
  <c r="HH37" i="12"/>
  <c r="HF34" i="12"/>
  <c r="HH34" i="12"/>
  <c r="HF32" i="12"/>
  <c r="HH32" i="12"/>
  <c r="HF30" i="12"/>
  <c r="HH30" i="12"/>
  <c r="HF28" i="12"/>
  <c r="HH28" i="12"/>
  <c r="HF26" i="12"/>
  <c r="HH26" i="12"/>
  <c r="HF24" i="12"/>
  <c r="HH24" i="12"/>
  <c r="EA89" i="41"/>
  <c r="EA81" i="41"/>
  <c r="H240" i="12"/>
  <c r="H239" i="12"/>
  <c r="HB39" i="12"/>
  <c r="GZ39" i="12"/>
  <c r="HB37" i="12"/>
  <c r="GZ37" i="12"/>
  <c r="HB34" i="12"/>
  <c r="GZ34" i="12"/>
  <c r="HB32" i="12"/>
  <c r="GZ32" i="12"/>
  <c r="HB30" i="12"/>
  <c r="GZ30" i="12"/>
  <c r="HB28" i="12"/>
  <c r="GZ28" i="12"/>
  <c r="HB26" i="12"/>
  <c r="GZ26" i="12"/>
  <c r="HB24" i="12"/>
  <c r="GZ24" i="12"/>
  <c r="HG39" i="12"/>
  <c r="HE39" i="12"/>
  <c r="HE37" i="12"/>
  <c r="HE34" i="12"/>
  <c r="HE32" i="12"/>
  <c r="HE30" i="12"/>
  <c r="HE28" i="12"/>
  <c r="HE26" i="12"/>
  <c r="HE24" i="12"/>
  <c r="F246" i="12"/>
  <c r="F240" i="12"/>
  <c r="F238" i="12"/>
  <c r="F234" i="12"/>
  <c r="F232" i="12"/>
  <c r="F250" i="12"/>
  <c r="HF38" i="12"/>
  <c r="HH38" i="12"/>
  <c r="HF33" i="12"/>
  <c r="HH33" i="12"/>
  <c r="HF31" i="12"/>
  <c r="HH31" i="12"/>
  <c r="HF27" i="12"/>
  <c r="HH27" i="12"/>
  <c r="HF25" i="12"/>
  <c r="HH25" i="12"/>
  <c r="H245" i="12"/>
  <c r="GP43" i="12"/>
  <c r="EB116" i="44"/>
  <c r="EC116" i="44"/>
  <c r="EA106" i="41"/>
  <c r="HC43" i="12"/>
  <c r="HA43" i="12"/>
  <c r="HC39" i="12"/>
  <c r="HA39" i="12"/>
  <c r="HC38" i="12"/>
  <c r="HA38" i="12"/>
  <c r="HC37" i="12"/>
  <c r="HA37" i="12"/>
  <c r="HC34" i="12"/>
  <c r="HA34" i="12"/>
  <c r="HC33" i="12"/>
  <c r="HA33" i="12"/>
  <c r="HC32" i="12"/>
  <c r="HA32" i="12"/>
  <c r="HC31" i="12"/>
  <c r="HA31" i="12"/>
  <c r="HC30" i="12"/>
  <c r="HA30" i="12"/>
  <c r="HC28" i="12"/>
  <c r="HA28" i="12"/>
  <c r="HC27" i="12"/>
  <c r="HA27" i="12"/>
  <c r="HC26" i="12"/>
  <c r="HA26" i="12"/>
  <c r="HC25" i="12"/>
  <c r="HA25" i="12"/>
  <c r="HC24" i="12"/>
  <c r="HA24" i="12"/>
  <c r="HH43" i="12"/>
  <c r="HH39" i="12"/>
  <c r="HG38" i="12"/>
  <c r="HG37" i="12"/>
  <c r="HG34" i="12"/>
  <c r="HG33" i="12"/>
  <c r="HG32" i="12"/>
  <c r="HG31" i="12"/>
  <c r="HG30" i="12"/>
  <c r="HG28" i="12"/>
  <c r="HG27" i="12"/>
  <c r="HG26" i="12"/>
  <c r="HG25" i="12"/>
  <c r="HG24" i="12"/>
  <c r="G245" i="12"/>
  <c r="G243" i="12"/>
  <c r="G241" i="12"/>
  <c r="G239" i="12"/>
  <c r="G237" i="12"/>
  <c r="G233" i="12"/>
  <c r="G251" i="12"/>
  <c r="G249" i="12"/>
  <c r="DF33" i="12"/>
  <c r="DI33" i="12" s="1"/>
  <c r="DF37" i="12"/>
  <c r="DI37" i="12"/>
  <c r="DF39" i="12"/>
  <c r="DI39" i="12"/>
  <c r="DF41" i="12"/>
  <c r="DI41" i="12" s="1"/>
  <c r="DF43" i="12"/>
  <c r="DI43" i="12" s="1"/>
  <c r="DF27" i="12"/>
  <c r="DI27" i="12" s="1"/>
  <c r="J206" i="12"/>
  <c r="T202" i="12"/>
  <c r="R202" i="12"/>
  <c r="P202" i="12"/>
  <c r="N202" i="12"/>
  <c r="L202" i="12"/>
  <c r="J202" i="12"/>
  <c r="T201" i="12"/>
  <c r="R201" i="12"/>
  <c r="P201" i="12"/>
  <c r="N201" i="12"/>
  <c r="L201" i="12"/>
  <c r="J201" i="12"/>
  <c r="T197" i="12"/>
  <c r="R197" i="12"/>
  <c r="P197" i="12"/>
  <c r="N197" i="12"/>
  <c r="L197" i="12"/>
  <c r="J197" i="12"/>
  <c r="T196" i="12"/>
  <c r="R196" i="12"/>
  <c r="P196" i="12"/>
  <c r="N196" i="12"/>
  <c r="L196" i="12"/>
  <c r="J196" i="12"/>
  <c r="T195" i="12"/>
  <c r="R195" i="12"/>
  <c r="P195" i="12"/>
  <c r="N195" i="12"/>
  <c r="L195" i="12"/>
  <c r="J195" i="12"/>
  <c r="T194" i="12"/>
  <c r="R194" i="12"/>
  <c r="P194" i="12"/>
  <c r="N194" i="12"/>
  <c r="L194" i="12"/>
  <c r="J194" i="12"/>
  <c r="T193" i="12"/>
  <c r="R193" i="12"/>
  <c r="P193" i="12"/>
  <c r="N193" i="12"/>
  <c r="L193" i="12"/>
  <c r="J193" i="12"/>
  <c r="T192" i="12"/>
  <c r="R192" i="12"/>
  <c r="P192" i="12"/>
  <c r="N192" i="12"/>
  <c r="L192" i="12"/>
  <c r="J192" i="12"/>
  <c r="T191" i="12"/>
  <c r="R191" i="12"/>
  <c r="P191" i="12"/>
  <c r="N191" i="12"/>
  <c r="L191" i="12"/>
  <c r="J191" i="12"/>
  <c r="T190" i="12"/>
  <c r="R190" i="12"/>
  <c r="P190" i="12"/>
  <c r="N190" i="12"/>
  <c r="L190" i="12"/>
  <c r="J190" i="12"/>
  <c r="T189" i="12"/>
  <c r="R189" i="12"/>
  <c r="P189" i="12"/>
  <c r="N189" i="12"/>
  <c r="L189" i="12"/>
  <c r="J189" i="12"/>
  <c r="T188" i="12"/>
  <c r="R188" i="12"/>
  <c r="P188" i="12"/>
  <c r="N188" i="12"/>
  <c r="L188" i="12"/>
  <c r="J188" i="12"/>
  <c r="T187" i="12"/>
  <c r="R187" i="12"/>
  <c r="P187" i="12"/>
  <c r="N187" i="12"/>
  <c r="L187" i="12"/>
  <c r="J187" i="12"/>
  <c r="F233" i="12"/>
  <c r="F237" i="12"/>
  <c r="F239" i="12"/>
  <c r="F241" i="12"/>
  <c r="F243" i="12"/>
  <c r="F245" i="12"/>
  <c r="F249" i="12"/>
  <c r="F251" i="12"/>
  <c r="G232" i="12"/>
  <c r="G234" i="12"/>
  <c r="G238" i="12"/>
  <c r="G240" i="12"/>
  <c r="G246" i="12"/>
  <c r="G250" i="12"/>
  <c r="CU24" i="43"/>
  <c r="CU25" i="43"/>
  <c r="CU27" i="43"/>
  <c r="CU28" i="43"/>
  <c r="CU29" i="43"/>
  <c r="CU31" i="43"/>
  <c r="CU32" i="43"/>
  <c r="CU33" i="43"/>
  <c r="CU35" i="43"/>
  <c r="CU37" i="43"/>
  <c r="CU38" i="43"/>
  <c r="CU50" i="43"/>
  <c r="CU52" i="43"/>
  <c r="CU56" i="43"/>
  <c r="CU59" i="43"/>
  <c r="U202" i="12"/>
  <c r="S202" i="12"/>
  <c r="Q202" i="12"/>
  <c r="O202" i="12"/>
  <c r="M202" i="12"/>
  <c r="U201" i="12"/>
  <c r="S201" i="12"/>
  <c r="Q201" i="12"/>
  <c r="O201" i="12"/>
  <c r="M201" i="12"/>
  <c r="S200" i="12"/>
  <c r="U197" i="12"/>
  <c r="S197" i="12"/>
  <c r="Q197" i="12"/>
  <c r="O197" i="12"/>
  <c r="M197" i="12"/>
  <c r="U196" i="12"/>
  <c r="S196" i="12"/>
  <c r="Q196" i="12"/>
  <c r="O196" i="12"/>
  <c r="M196" i="12"/>
  <c r="U195" i="12"/>
  <c r="S195" i="12"/>
  <c r="Q195" i="12"/>
  <c r="O195" i="12"/>
  <c r="M195" i="12"/>
  <c r="U194" i="12"/>
  <c r="S194" i="12"/>
  <c r="Q194" i="12"/>
  <c r="O194" i="12"/>
  <c r="M194" i="12"/>
  <c r="U193" i="12"/>
  <c r="S193" i="12"/>
  <c r="Q193" i="12"/>
  <c r="O193" i="12"/>
  <c r="M193" i="12"/>
  <c r="U192" i="12"/>
  <c r="S192" i="12"/>
  <c r="Q192" i="12"/>
  <c r="O192" i="12"/>
  <c r="M192" i="12"/>
  <c r="U191" i="12"/>
  <c r="S191" i="12"/>
  <c r="Q191" i="12"/>
  <c r="O191" i="12"/>
  <c r="M191" i="12"/>
  <c r="U190" i="12"/>
  <c r="S190" i="12"/>
  <c r="Q190" i="12"/>
  <c r="O190" i="12"/>
  <c r="M190" i="12"/>
  <c r="U189" i="12"/>
  <c r="S189" i="12"/>
  <c r="Q189" i="12"/>
  <c r="O189" i="12"/>
  <c r="M189" i="12"/>
  <c r="U188" i="12"/>
  <c r="S188" i="12"/>
  <c r="Q188" i="12"/>
  <c r="O188" i="12"/>
  <c r="M188" i="12"/>
  <c r="U187" i="12"/>
  <c r="S187" i="12"/>
  <c r="Q187" i="12"/>
  <c r="O187" i="12"/>
  <c r="M187" i="12"/>
  <c r="CU20" i="43"/>
  <c r="CU36" i="43"/>
  <c r="CU45" i="43"/>
  <c r="CU49" i="43"/>
  <c r="CU51" i="43"/>
  <c r="CU55" i="43"/>
  <c r="CU58" i="43"/>
  <c r="M90" i="43"/>
  <c r="CU19" i="44"/>
  <c r="V43" i="12"/>
  <c r="AA43" i="12"/>
  <c r="AB43" i="12"/>
  <c r="GW59" i="41" s="1"/>
  <c r="Z43" i="12"/>
  <c r="AD43" i="12"/>
  <c r="L59" i="44"/>
  <c r="T43" i="12"/>
  <c r="Y43" i="12"/>
  <c r="W43" i="12"/>
  <c r="AC17" i="12"/>
  <c r="Y17" i="12"/>
  <c r="AB17" i="12"/>
  <c r="GS17" i="12"/>
  <c r="Z34" i="12"/>
  <c r="GS34" i="12"/>
  <c r="U34" i="12"/>
  <c r="BP50" i="44"/>
  <c r="AA34" i="12"/>
  <c r="W34" i="12"/>
  <c r="AC34" i="12"/>
  <c r="BX50" i="44" s="1"/>
  <c r="T34" i="12"/>
  <c r="AE34" i="12"/>
  <c r="V34" i="12"/>
  <c r="AB34" i="12"/>
  <c r="X34" i="12"/>
  <c r="AD34" i="12"/>
  <c r="Y34" i="12"/>
  <c r="BT50" i="44" s="1"/>
  <c r="GR59" i="41"/>
  <c r="EB99" i="43"/>
  <c r="EC99" i="43"/>
  <c r="M77" i="45"/>
  <c r="M77" i="44"/>
  <c r="M82" i="45"/>
  <c r="M82" i="44"/>
  <c r="DO114" i="41"/>
  <c r="GN114" i="41"/>
  <c r="S39" i="45"/>
  <c r="Z42" i="41"/>
  <c r="F85" i="45"/>
  <c r="J79" i="45"/>
  <c r="DH41" i="45"/>
  <c r="HM41" i="45" s="1"/>
  <c r="EH43" i="12"/>
  <c r="EP43" i="12"/>
  <c r="DH59" i="44" s="1"/>
  <c r="HM59" i="44" s="1"/>
  <c r="EK43" i="12"/>
  <c r="DC59" i="41" s="1"/>
  <c r="EN40" i="12"/>
  <c r="EP38" i="12"/>
  <c r="EM38" i="12"/>
  <c r="EJ37" i="12"/>
  <c r="GW37" i="12"/>
  <c r="EK37" i="12"/>
  <c r="EF35" i="12"/>
  <c r="EN35" i="12"/>
  <c r="DF51" i="45" s="1"/>
  <c r="HK51" i="45"/>
  <c r="EG35" i="12"/>
  <c r="EO35" i="12"/>
  <c r="EJ33" i="12"/>
  <c r="GW33" i="12"/>
  <c r="EK33" i="12"/>
  <c r="DC49" i="44" s="1"/>
  <c r="EF32" i="12"/>
  <c r="EN32" i="12"/>
  <c r="EI32" i="12"/>
  <c r="EF26" i="12"/>
  <c r="CX42" i="43"/>
  <c r="HC42" i="43"/>
  <c r="EJ26" i="12"/>
  <c r="EN26" i="12"/>
  <c r="EE26" i="12"/>
  <c r="EI26" i="12"/>
  <c r="EM26" i="12"/>
  <c r="EF25" i="12"/>
  <c r="EJ25" i="12"/>
  <c r="EN25" i="12"/>
  <c r="DF41" i="43" s="1"/>
  <c r="GW25" i="12"/>
  <c r="EG25" i="12"/>
  <c r="EK25" i="12"/>
  <c r="EO25" i="12"/>
  <c r="EM24" i="12"/>
  <c r="DE40" i="44" s="1"/>
  <c r="S59" i="41"/>
  <c r="F90" i="41"/>
  <c r="M80" i="45"/>
  <c r="M80" i="43"/>
  <c r="M84" i="45"/>
  <c r="M84" i="43"/>
  <c r="Y38" i="43"/>
  <c r="Y40" i="43"/>
  <c r="DG53" i="43"/>
  <c r="HL53" i="43"/>
  <c r="DY78" i="43"/>
  <c r="GX78" i="43"/>
  <c r="DY104" i="43"/>
  <c r="GX104" i="43"/>
  <c r="DX105" i="43"/>
  <c r="GW105" i="43" s="1"/>
  <c r="DY106" i="43"/>
  <c r="GX106" i="43" s="1"/>
  <c r="DY108" i="43"/>
  <c r="GX108" i="43" s="1"/>
  <c r="DY110" i="43"/>
  <c r="GX110" i="43"/>
  <c r="DY114" i="43"/>
  <c r="GX114" i="43" s="1"/>
  <c r="F86" i="44"/>
  <c r="AZ13" i="12"/>
  <c r="AX13" i="12"/>
  <c r="BF13" i="12"/>
  <c r="BD13" i="12"/>
  <c r="BE13" i="12"/>
  <c r="GA23" i="12"/>
  <c r="FV10" i="12"/>
  <c r="DQ83" i="44" s="1"/>
  <c r="FZ10" i="12"/>
  <c r="DU83" i="45" s="1"/>
  <c r="GT83" i="45" s="1"/>
  <c r="FW10" i="12"/>
  <c r="GB10" i="12"/>
  <c r="DW83" i="44"/>
  <c r="GV83" i="44" s="1"/>
  <c r="FU10" i="12"/>
  <c r="FX20" i="12"/>
  <c r="GD23" i="12"/>
  <c r="DY96" i="45"/>
  <c r="GX96" i="45" s="1"/>
  <c r="FT23" i="12"/>
  <c r="DO96" i="44" s="1"/>
  <c r="Y44" i="43"/>
  <c r="Y48" i="43"/>
  <c r="J77" i="43"/>
  <c r="L79" i="43"/>
  <c r="M82" i="43"/>
  <c r="L83" i="43"/>
  <c r="J85" i="43"/>
  <c r="M96" i="43"/>
  <c r="J97" i="43"/>
  <c r="L99" i="43"/>
  <c r="M102" i="43"/>
  <c r="L103" i="43"/>
  <c r="J105" i="43"/>
  <c r="K106" i="43"/>
  <c r="M114" i="43"/>
  <c r="DK28" i="45"/>
  <c r="DK28" i="44"/>
  <c r="DK35" i="45"/>
  <c r="DK35" i="44"/>
  <c r="DK37" i="45"/>
  <c r="DK37" i="44"/>
  <c r="DK32" i="45"/>
  <c r="DK32" i="44"/>
  <c r="DK29" i="45"/>
  <c r="DK29" i="44"/>
  <c r="DK26" i="44"/>
  <c r="M85" i="45"/>
  <c r="M85" i="44"/>
  <c r="EA117" i="45"/>
  <c r="EA117" i="44"/>
  <c r="EA94" i="45"/>
  <c r="EA94" i="44"/>
  <c r="DK58" i="45"/>
  <c r="DK58" i="44"/>
  <c r="CU58" i="45"/>
  <c r="CU58" i="44"/>
  <c r="EA113" i="45"/>
  <c r="EA113" i="44"/>
  <c r="EA111" i="45"/>
  <c r="EA111" i="44"/>
  <c r="EA109" i="44"/>
  <c r="DK51" i="45"/>
  <c r="DK51" i="44"/>
  <c r="EA107" i="45"/>
  <c r="EA107" i="44"/>
  <c r="EA105" i="45"/>
  <c r="EA105" i="44"/>
  <c r="DK47" i="45"/>
  <c r="DK47" i="44"/>
  <c r="DK46" i="45"/>
  <c r="DK46" i="44"/>
  <c r="EA102" i="45"/>
  <c r="EA102" i="44"/>
  <c r="DK44" i="45"/>
  <c r="DK44" i="44"/>
  <c r="EA100" i="45"/>
  <c r="EA100" i="44"/>
  <c r="DK41" i="45"/>
  <c r="DK41" i="44"/>
  <c r="EA108" i="41"/>
  <c r="EA104" i="41"/>
  <c r="EA103" i="41"/>
  <c r="EA97" i="41"/>
  <c r="GN20" i="43"/>
  <c r="GN23" i="43"/>
  <c r="DG23" i="43"/>
  <c r="HL23" i="43" s="1"/>
  <c r="CU23" i="43"/>
  <c r="GN25" i="43"/>
  <c r="GN27" i="43"/>
  <c r="DK29" i="43"/>
  <c r="GN34" i="43"/>
  <c r="DK35" i="43"/>
  <c r="GN36" i="43"/>
  <c r="DK37" i="43"/>
  <c r="GN38" i="43"/>
  <c r="O40" i="43"/>
  <c r="S40" i="43"/>
  <c r="DF42" i="43"/>
  <c r="HK42" i="43" s="1"/>
  <c r="GN44" i="43"/>
  <c r="GN46" i="43"/>
  <c r="GN48" i="43"/>
  <c r="S48" i="43"/>
  <c r="GN50" i="43"/>
  <c r="J50" i="43"/>
  <c r="W50" i="43"/>
  <c r="DK51" i="43"/>
  <c r="GN52" i="43"/>
  <c r="GN54" i="43"/>
  <c r="GN56" i="43"/>
  <c r="O58" i="43"/>
  <c r="GN60" i="43"/>
  <c r="EA76" i="43"/>
  <c r="DQ78" i="43"/>
  <c r="GP78" i="43"/>
  <c r="DS78" i="43"/>
  <c r="GR78" i="43"/>
  <c r="M79" i="43"/>
  <c r="B79" i="43"/>
  <c r="J79" i="43"/>
  <c r="EA80" i="43"/>
  <c r="DQ82" i="43"/>
  <c r="GP82" i="43" s="1"/>
  <c r="DW82" i="43"/>
  <c r="GV82" i="43" s="1"/>
  <c r="M83" i="43"/>
  <c r="H85" i="43"/>
  <c r="L85" i="43"/>
  <c r="DQ86" i="43"/>
  <c r="GP86" i="43"/>
  <c r="GT86" i="43"/>
  <c r="EA88" i="43"/>
  <c r="GT90" i="43"/>
  <c r="DW90" i="43"/>
  <c r="GV90" i="43" s="1"/>
  <c r="B91" i="43"/>
  <c r="J91" i="43"/>
  <c r="H93" i="43"/>
  <c r="L93" i="43"/>
  <c r="D97" i="43"/>
  <c r="L97" i="43"/>
  <c r="DW98" i="43"/>
  <c r="GV98" i="43" s="1"/>
  <c r="B99" i="43"/>
  <c r="J99" i="43"/>
  <c r="EA100" i="43"/>
  <c r="D105" i="43"/>
  <c r="H105" i="43"/>
  <c r="L105" i="43"/>
  <c r="DO106" i="43"/>
  <c r="GN106" i="43"/>
  <c r="DS106" i="43"/>
  <c r="GR106" i="43"/>
  <c r="DU106" i="43"/>
  <c r="GT106" i="43"/>
  <c r="EA108" i="43"/>
  <c r="H109" i="43"/>
  <c r="L109" i="43"/>
  <c r="DO110" i="43"/>
  <c r="GN110" i="43" s="1"/>
  <c r="DU110" i="43"/>
  <c r="GT110" i="43"/>
  <c r="EA112" i="43"/>
  <c r="DO114" i="43"/>
  <c r="GN114" i="43"/>
  <c r="DQ114" i="43"/>
  <c r="GP114" i="43" s="1"/>
  <c r="DU114" i="43"/>
  <c r="GT114" i="43" s="1"/>
  <c r="DW114" i="43"/>
  <c r="GV114" i="43"/>
  <c r="L117" i="43"/>
  <c r="GN20" i="44"/>
  <c r="GN22" i="44"/>
  <c r="DG23" i="44"/>
  <c r="HL23" i="44" s="1"/>
  <c r="CU28" i="44"/>
  <c r="CU34" i="44"/>
  <c r="CU37" i="44"/>
  <c r="Y38" i="44"/>
  <c r="CU38" i="44"/>
  <c r="Y40" i="44"/>
  <c r="CU40" i="44"/>
  <c r="DG41" i="44"/>
  <c r="HL41" i="44"/>
  <c r="CU43" i="44"/>
  <c r="Y44" i="44"/>
  <c r="CU45" i="44"/>
  <c r="CU47" i="44"/>
  <c r="Y48" i="44"/>
  <c r="CU49" i="44"/>
  <c r="CU55" i="44"/>
  <c r="CU57" i="44"/>
  <c r="CU59" i="44"/>
  <c r="DY83" i="44"/>
  <c r="GX83" i="44" s="1"/>
  <c r="M78" i="44"/>
  <c r="EB88" i="45"/>
  <c r="EB88" i="44"/>
  <c r="EC88" i="44" s="1"/>
  <c r="DK24" i="45"/>
  <c r="DK24" i="44"/>
  <c r="DK60" i="45"/>
  <c r="DK60" i="44"/>
  <c r="DK31" i="45"/>
  <c r="DK31" i="44"/>
  <c r="DK33" i="45"/>
  <c r="DK33" i="44"/>
  <c r="DK39" i="45"/>
  <c r="DK39" i="44"/>
  <c r="DK23" i="45"/>
  <c r="DK23" i="44"/>
  <c r="EA90" i="45"/>
  <c r="EA90" i="44"/>
  <c r="DK59" i="45"/>
  <c r="DK59" i="44"/>
  <c r="EA115" i="45"/>
  <c r="EA115" i="44"/>
  <c r="DK56" i="45"/>
  <c r="DK56" i="44"/>
  <c r="CU56" i="44"/>
  <c r="DK55" i="45"/>
  <c r="DK55" i="44"/>
  <c r="DK54" i="45"/>
  <c r="DK54" i="44"/>
  <c r="CU54" i="45"/>
  <c r="CU54" i="44"/>
  <c r="DK53" i="44"/>
  <c r="DK49" i="45"/>
  <c r="DK49" i="44"/>
  <c r="DK48" i="44"/>
  <c r="EA104" i="45"/>
  <c r="EA104" i="44"/>
  <c r="DK45" i="45"/>
  <c r="DK45" i="44"/>
  <c r="DK43" i="45"/>
  <c r="DK43" i="44"/>
  <c r="AM14" i="12"/>
  <c r="AN14" i="12"/>
  <c r="EA87" i="41"/>
  <c r="EA83" i="41"/>
  <c r="EA79" i="41"/>
  <c r="DK20" i="43"/>
  <c r="CU21" i="43"/>
  <c r="DK21" i="43"/>
  <c r="DK23" i="43"/>
  <c r="DK24" i="43"/>
  <c r="DK27" i="43"/>
  <c r="DK28" i="43"/>
  <c r="DK32" i="43"/>
  <c r="DK36" i="43"/>
  <c r="DK38" i="43"/>
  <c r="DK40" i="43"/>
  <c r="CU44" i="43"/>
  <c r="DK44" i="43"/>
  <c r="CU46" i="43"/>
  <c r="DK46" i="43"/>
  <c r="Q48" i="43"/>
  <c r="DK48" i="43"/>
  <c r="D50" i="43"/>
  <c r="DK50" i="43"/>
  <c r="DK52" i="43"/>
  <c r="DK54" i="43"/>
  <c r="DK56" i="43"/>
  <c r="DK58" i="43"/>
  <c r="GM59" i="43"/>
  <c r="GQ59" i="43" s="1"/>
  <c r="DK60" i="43"/>
  <c r="M77" i="43"/>
  <c r="F77" i="43"/>
  <c r="EA78" i="43"/>
  <c r="EA82" i="43"/>
  <c r="D83" i="43"/>
  <c r="H83" i="43"/>
  <c r="M85" i="43"/>
  <c r="F85" i="43"/>
  <c r="EA86" i="43"/>
  <c r="EA90" i="43"/>
  <c r="F93" i="43"/>
  <c r="EA94" i="43"/>
  <c r="D95" i="43"/>
  <c r="DQ96" i="43"/>
  <c r="GP96" i="43"/>
  <c r="DS96" i="43"/>
  <c r="GR96" i="43" s="1"/>
  <c r="M97" i="43"/>
  <c r="B97" i="43"/>
  <c r="F101" i="43"/>
  <c r="EA102" i="43"/>
  <c r="DQ104" i="43"/>
  <c r="GP104" i="43"/>
  <c r="DS104" i="43"/>
  <c r="GR104" i="43"/>
  <c r="DU104" i="43"/>
  <c r="GT104" i="43"/>
  <c r="DW104" i="43"/>
  <c r="GV104" i="43"/>
  <c r="M105" i="43"/>
  <c r="F105" i="43"/>
  <c r="DP105" i="43"/>
  <c r="GO105" i="43"/>
  <c r="DT105" i="43"/>
  <c r="EA106" i="43"/>
  <c r="D107" i="43"/>
  <c r="DO108" i="43"/>
  <c r="GN108" i="43" s="1"/>
  <c r="DQ108" i="43"/>
  <c r="GP108" i="43" s="1"/>
  <c r="DS108" i="43"/>
  <c r="GR108" i="43" s="1"/>
  <c r="M109" i="43"/>
  <c r="EA110" i="43"/>
  <c r="EA114" i="43"/>
  <c r="DO116" i="43"/>
  <c r="GN116" i="43" s="1"/>
  <c r="DS116" i="43"/>
  <c r="GR116" i="43"/>
  <c r="M117" i="43"/>
  <c r="F117" i="43"/>
  <c r="DK20" i="44"/>
  <c r="DK21" i="44"/>
  <c r="DK22" i="44"/>
  <c r="CU23" i="44"/>
  <c r="CU24" i="44"/>
  <c r="CU25" i="44"/>
  <c r="CU26" i="44"/>
  <c r="CU27" i="44"/>
  <c r="CU31" i="44"/>
  <c r="CU32" i="44"/>
  <c r="CU33" i="44"/>
  <c r="CU35" i="44"/>
  <c r="CU36" i="44"/>
  <c r="CU39" i="44"/>
  <c r="CU41" i="44"/>
  <c r="Y42" i="44"/>
  <c r="CU42" i="44"/>
  <c r="CU44" i="44"/>
  <c r="CU48" i="44"/>
  <c r="DG53" i="44"/>
  <c r="HL53" i="44" s="1"/>
  <c r="L76" i="44"/>
  <c r="L78" i="44"/>
  <c r="M79" i="44"/>
  <c r="L82" i="44"/>
  <c r="M83" i="44"/>
  <c r="L86" i="44"/>
  <c r="I90" i="44"/>
  <c r="J91" i="44"/>
  <c r="GN26" i="44"/>
  <c r="GN36" i="44"/>
  <c r="GN38" i="44"/>
  <c r="O38" i="44"/>
  <c r="O40" i="44"/>
  <c r="S40" i="44"/>
  <c r="GN42" i="44"/>
  <c r="W42" i="44"/>
  <c r="CX42" i="44"/>
  <c r="HC42" i="44" s="1"/>
  <c r="DF42" i="44"/>
  <c r="HK42" i="44"/>
  <c r="GN44" i="44"/>
  <c r="GN46" i="44"/>
  <c r="GN48" i="44"/>
  <c r="S48" i="44"/>
  <c r="O50" i="44"/>
  <c r="W50" i="44"/>
  <c r="GN51" i="44"/>
  <c r="CU51" i="44"/>
  <c r="CZ51" i="44"/>
  <c r="HE51" i="44" s="1"/>
  <c r="CZ53" i="44"/>
  <c r="HE53" i="44"/>
  <c r="CX59" i="44"/>
  <c r="HC59" i="44"/>
  <c r="CZ59" i="44"/>
  <c r="HE59" i="44"/>
  <c r="DF59" i="44"/>
  <c r="HK59" i="44"/>
  <c r="H84" i="44"/>
  <c r="L84" i="44"/>
  <c r="DO85" i="44"/>
  <c r="GN85" i="44"/>
  <c r="DS85" i="44"/>
  <c r="GR85" i="44"/>
  <c r="DW85" i="44"/>
  <c r="GV85" i="44"/>
  <c r="D88" i="44"/>
  <c r="E90" i="44"/>
  <c r="DX91" i="44"/>
  <c r="GW91" i="44" s="1"/>
  <c r="DY96" i="44"/>
  <c r="GX96" i="44" s="1"/>
  <c r="DY104" i="44"/>
  <c r="GX104" i="44"/>
  <c r="DY106" i="44"/>
  <c r="GX106" i="44" s="1"/>
  <c r="DY108" i="44"/>
  <c r="GX108" i="44" s="1"/>
  <c r="DY110" i="44"/>
  <c r="GX110" i="44" s="1"/>
  <c r="DY114" i="44"/>
  <c r="GX114" i="44"/>
  <c r="DS116" i="44"/>
  <c r="GR116" i="44" s="1"/>
  <c r="CU20" i="45"/>
  <c r="W21" i="45"/>
  <c r="CU21" i="45"/>
  <c r="CU23" i="45"/>
  <c r="CU24" i="45"/>
  <c r="CU25" i="45"/>
  <c r="GN29" i="44"/>
  <c r="CU29" i="44"/>
  <c r="CU30" i="44"/>
  <c r="Q40" i="44"/>
  <c r="U40" i="44"/>
  <c r="Q42" i="44"/>
  <c r="U42" i="44"/>
  <c r="Q48" i="44"/>
  <c r="U48" i="44"/>
  <c r="GM52" i="44"/>
  <c r="U59" i="44"/>
  <c r="D78" i="44"/>
  <c r="M80" i="44"/>
  <c r="F80" i="44"/>
  <c r="D82" i="44"/>
  <c r="DO83" i="44"/>
  <c r="GN83" i="44"/>
  <c r="GP83" i="44"/>
  <c r="DU83" i="44"/>
  <c r="GT83" i="44" s="1"/>
  <c r="M84" i="44"/>
  <c r="F84" i="44"/>
  <c r="H86" i="44"/>
  <c r="B88" i="44"/>
  <c r="F88" i="44"/>
  <c r="B90" i="44"/>
  <c r="DU90" i="44"/>
  <c r="GT90" i="44"/>
  <c r="DW90" i="44"/>
  <c r="GV90" i="44" s="1"/>
  <c r="B91" i="44"/>
  <c r="K92" i="44"/>
  <c r="L93" i="44"/>
  <c r="L96" i="44"/>
  <c r="L97" i="44"/>
  <c r="L99" i="44"/>
  <c r="L103" i="44"/>
  <c r="L105" i="44"/>
  <c r="L109" i="44"/>
  <c r="CU34" i="45"/>
  <c r="CU38" i="45"/>
  <c r="CU45" i="45"/>
  <c r="F93" i="44"/>
  <c r="GN96" i="44"/>
  <c r="DQ96" i="44"/>
  <c r="GP96" i="44" s="1"/>
  <c r="DS96" i="44"/>
  <c r="GR96" i="44" s="1"/>
  <c r="M97" i="44"/>
  <c r="B97" i="44"/>
  <c r="J97" i="44"/>
  <c r="DW98" i="44"/>
  <c r="GV98" i="44" s="1"/>
  <c r="B99" i="44"/>
  <c r="J99" i="44"/>
  <c r="M101" i="44"/>
  <c r="F101" i="44"/>
  <c r="DQ104" i="44"/>
  <c r="GP104" i="44" s="1"/>
  <c r="DS104" i="44"/>
  <c r="GR104" i="44"/>
  <c r="DU104" i="44"/>
  <c r="GT104" i="44"/>
  <c r="DW104" i="44"/>
  <c r="GV104" i="44" s="1"/>
  <c r="M105" i="44"/>
  <c r="F105" i="44"/>
  <c r="J105" i="44"/>
  <c r="DS106" i="44"/>
  <c r="GR106" i="44" s="1"/>
  <c r="DU106" i="44"/>
  <c r="GT106" i="44"/>
  <c r="DO108" i="44"/>
  <c r="GN108" i="44"/>
  <c r="DQ108" i="44"/>
  <c r="GP108" i="44" s="1"/>
  <c r="DS108" i="44"/>
  <c r="GR108" i="44" s="1"/>
  <c r="M109" i="44"/>
  <c r="DO110" i="44"/>
  <c r="GN110" i="44" s="1"/>
  <c r="DU110" i="44"/>
  <c r="GT110" i="44" s="1"/>
  <c r="DO114" i="44"/>
  <c r="GN114" i="44" s="1"/>
  <c r="DQ114" i="44"/>
  <c r="GP114" i="44" s="1"/>
  <c r="DU114" i="44"/>
  <c r="GT114" i="44"/>
  <c r="DW114" i="44"/>
  <c r="GV114" i="44" s="1"/>
  <c r="DO116" i="44"/>
  <c r="GN116" i="44" s="1"/>
  <c r="GN19" i="45"/>
  <c r="Y21" i="45"/>
  <c r="HL23" i="45"/>
  <c r="Z29" i="45"/>
  <c r="GN33" i="45"/>
  <c r="GN37" i="45"/>
  <c r="Q39" i="45"/>
  <c r="U39" i="45"/>
  <c r="GN41" i="45"/>
  <c r="GN42" i="45"/>
  <c r="T42" i="45"/>
  <c r="GM42" i="45"/>
  <c r="GN43" i="45"/>
  <c r="HL53" i="45"/>
  <c r="L79" i="45"/>
  <c r="L83" i="45"/>
  <c r="L85" i="45"/>
  <c r="H93" i="44"/>
  <c r="D97" i="44"/>
  <c r="D105" i="44"/>
  <c r="H105" i="44"/>
  <c r="D107" i="44"/>
  <c r="H109" i="44"/>
  <c r="DB23" i="45"/>
  <c r="HG23" i="45" s="1"/>
  <c r="CU47" i="45"/>
  <c r="CU49" i="45"/>
  <c r="CU51" i="45"/>
  <c r="CU55" i="45"/>
  <c r="DB49" i="45"/>
  <c r="HG49" i="45"/>
  <c r="DF49" i="45"/>
  <c r="HK49" i="45" s="1"/>
  <c r="CZ51" i="45"/>
  <c r="HE51" i="45"/>
  <c r="CZ53" i="45"/>
  <c r="HE53" i="45" s="1"/>
  <c r="J91" i="45"/>
  <c r="M92" i="45"/>
  <c r="J97" i="45"/>
  <c r="J99" i="45"/>
  <c r="J105" i="45"/>
  <c r="G107" i="45"/>
  <c r="J112" i="45"/>
  <c r="M117" i="45"/>
  <c r="Q47" i="45"/>
  <c r="U47" i="45"/>
  <c r="GN58" i="45"/>
  <c r="O58" i="45"/>
  <c r="H77" i="45"/>
  <c r="DQ78" i="45"/>
  <c r="DS78" i="45"/>
  <c r="GR78" i="45" s="1"/>
  <c r="DY78" i="45"/>
  <c r="GX78" i="45" s="1"/>
  <c r="DQ82" i="45"/>
  <c r="GP82" i="45"/>
  <c r="DS82" i="45"/>
  <c r="GR82" i="45"/>
  <c r="GV82" i="45"/>
  <c r="D83" i="45"/>
  <c r="H83" i="45"/>
  <c r="H85" i="45"/>
  <c r="DQ86" i="45"/>
  <c r="GP86" i="45" s="1"/>
  <c r="DU86" i="45"/>
  <c r="GT86" i="45" s="1"/>
  <c r="DU90" i="45"/>
  <c r="GT90" i="45" s="1"/>
  <c r="DW90" i="45"/>
  <c r="GV90" i="45"/>
  <c r="D91" i="45"/>
  <c r="H93" i="45"/>
  <c r="L93" i="45"/>
  <c r="DQ96" i="45"/>
  <c r="GP96" i="45"/>
  <c r="DS96" i="45"/>
  <c r="GR96" i="45"/>
  <c r="D97" i="45"/>
  <c r="L97" i="45"/>
  <c r="DW98" i="45"/>
  <c r="GV98" i="45"/>
  <c r="L99" i="45"/>
  <c r="L103" i="45"/>
  <c r="DQ104" i="45"/>
  <c r="GP104" i="45"/>
  <c r="DS104" i="45"/>
  <c r="GR104" i="45" s="1"/>
  <c r="DU104" i="45"/>
  <c r="GT104" i="45"/>
  <c r="DW104" i="45"/>
  <c r="GV104" i="45"/>
  <c r="DY104" i="45"/>
  <c r="GX104" i="45"/>
  <c r="D105" i="45"/>
  <c r="H105" i="45"/>
  <c r="M105" i="45"/>
  <c r="DQ105" i="45"/>
  <c r="GP105" i="45" s="1"/>
  <c r="DS105" i="45"/>
  <c r="GR105" i="45" s="1"/>
  <c r="DU105" i="45"/>
  <c r="GT105" i="45" s="1"/>
  <c r="DW105" i="45"/>
  <c r="GV105" i="45"/>
  <c r="DY105" i="45"/>
  <c r="GX105" i="45" s="1"/>
  <c r="L106" i="45"/>
  <c r="L108" i="45"/>
  <c r="H110" i="45"/>
  <c r="L110" i="45"/>
  <c r="D114" i="45"/>
  <c r="H114" i="45"/>
  <c r="B91" i="45"/>
  <c r="B93" i="45"/>
  <c r="F93" i="45"/>
  <c r="M97" i="45"/>
  <c r="B97" i="45"/>
  <c r="B99" i="45"/>
  <c r="M101" i="45"/>
  <c r="F101" i="45"/>
  <c r="L105" i="45"/>
  <c r="F105" i="45"/>
  <c r="F112" i="45"/>
  <c r="M114" i="45"/>
  <c r="F116" i="45"/>
  <c r="DJ41" i="43"/>
  <c r="DJ56" i="43"/>
  <c r="DK19" i="43"/>
  <c r="DQ76" i="43"/>
  <c r="GP76" i="43" s="1"/>
  <c r="DW76" i="43"/>
  <c r="CY19" i="41"/>
  <c r="HD19" i="41" s="1"/>
  <c r="DK19" i="44"/>
  <c r="I84" i="41"/>
  <c r="I84" i="45"/>
  <c r="I84" i="44"/>
  <c r="I84" i="43"/>
  <c r="N39" i="12"/>
  <c r="Q39" i="12" s="1"/>
  <c r="X39" i="12" s="1"/>
  <c r="CX131" i="43"/>
  <c r="DF146" i="43"/>
  <c r="GC14" i="43"/>
  <c r="CB6" i="18"/>
  <c r="GB10" i="41"/>
  <c r="GB10" i="45"/>
  <c r="GB10" i="43"/>
  <c r="D86" i="41"/>
  <c r="EB111" i="41"/>
  <c r="EC111" i="41"/>
  <c r="EB111" i="44"/>
  <c r="EC111" i="44" s="1"/>
  <c r="DZ85" i="44"/>
  <c r="GY85" i="44" s="1"/>
  <c r="K93" i="45"/>
  <c r="K93" i="44"/>
  <c r="K93" i="43"/>
  <c r="K93" i="41"/>
  <c r="B91" i="41"/>
  <c r="H78" i="41"/>
  <c r="H78" i="43"/>
  <c r="AC10" i="12"/>
  <c r="DX78" i="41"/>
  <c r="GW78" i="41" s="1"/>
  <c r="DC58" i="41"/>
  <c r="HH58" i="41" s="1"/>
  <c r="X58" i="41"/>
  <c r="P58" i="45"/>
  <c r="P58" i="44"/>
  <c r="P58" i="43"/>
  <c r="P58" i="41"/>
  <c r="W50" i="45"/>
  <c r="O50" i="41"/>
  <c r="O50" i="45"/>
  <c r="X42" i="41"/>
  <c r="X42" i="44"/>
  <c r="P42" i="41"/>
  <c r="DQ82" i="41"/>
  <c r="GP82" i="41" s="1"/>
  <c r="DQ82" i="44"/>
  <c r="GP82" i="44"/>
  <c r="DD59" i="41"/>
  <c r="HI59" i="41"/>
  <c r="DD59" i="45"/>
  <c r="HI59" i="45" s="1"/>
  <c r="DD59" i="43"/>
  <c r="HI59" i="43" s="1"/>
  <c r="DF49" i="43"/>
  <c r="HK49" i="43"/>
  <c r="DF49" i="44"/>
  <c r="HK49" i="44"/>
  <c r="DD41" i="45"/>
  <c r="HI41" i="45" s="1"/>
  <c r="DD41" i="43"/>
  <c r="HI41" i="43" s="1"/>
  <c r="DD41" i="41"/>
  <c r="HI41" i="41"/>
  <c r="DD41" i="44"/>
  <c r="HI41" i="44"/>
  <c r="CZ41" i="41"/>
  <c r="HE41" i="41" s="1"/>
  <c r="CZ41" i="44"/>
  <c r="HE41" i="44" s="1"/>
  <c r="CZ41" i="43"/>
  <c r="HE41" i="43"/>
  <c r="N31" i="12"/>
  <c r="Q31" i="12" s="1"/>
  <c r="D194" i="12"/>
  <c r="Q41" i="12"/>
  <c r="D204" i="12"/>
  <c r="C117" i="41"/>
  <c r="C117" i="45"/>
  <c r="C117" i="43"/>
  <c r="D91" i="41"/>
  <c r="F88" i="41"/>
  <c r="F88" i="45"/>
  <c r="F88" i="43"/>
  <c r="GV3" i="12"/>
  <c r="HE3" i="12"/>
  <c r="DQ3" i="12"/>
  <c r="DV3" i="12"/>
  <c r="DR3" i="12"/>
  <c r="DU3" i="12"/>
  <c r="DL3" i="12"/>
  <c r="DP3" i="12"/>
  <c r="DW3" i="12"/>
  <c r="F173" i="12"/>
  <c r="H173" i="12"/>
  <c r="G173" i="12"/>
  <c r="E173" i="12"/>
  <c r="T58" i="44"/>
  <c r="T58" i="43"/>
  <c r="T58" i="41"/>
  <c r="O58" i="44"/>
  <c r="O58" i="41"/>
  <c r="X50" i="41"/>
  <c r="X50" i="44"/>
  <c r="X50" i="45"/>
  <c r="X50" i="43"/>
  <c r="P50" i="45"/>
  <c r="T42" i="41"/>
  <c r="T42" i="44"/>
  <c r="U42" i="41"/>
  <c r="U42" i="45"/>
  <c r="W42" i="45"/>
  <c r="W42" i="41"/>
  <c r="DG53" i="41"/>
  <c r="HL53" i="41" s="1"/>
  <c r="DX82" i="45"/>
  <c r="GW82" i="45"/>
  <c r="DX82" i="41"/>
  <c r="GW82" i="41" s="1"/>
  <c r="DX82" i="43"/>
  <c r="GW82" i="43" s="1"/>
  <c r="DG59" i="41"/>
  <c r="HL59" i="41" s="1"/>
  <c r="DG59" i="45"/>
  <c r="HL59" i="45"/>
  <c r="DG59" i="43"/>
  <c r="HL59" i="43"/>
  <c r="CX49" i="41"/>
  <c r="HC49" i="41" s="1"/>
  <c r="CX49" i="43"/>
  <c r="HC49" i="43" s="1"/>
  <c r="DE41" i="45"/>
  <c r="HJ41" i="45" s="1"/>
  <c r="DE41" i="44"/>
  <c r="HJ41" i="44" s="1"/>
  <c r="CW41" i="41"/>
  <c r="CW41" i="45"/>
  <c r="CW41" i="44"/>
  <c r="HB41" i="44" s="1"/>
  <c r="CW41" i="43"/>
  <c r="HB41" i="43" s="1"/>
  <c r="B96" i="45"/>
  <c r="B96" i="43"/>
  <c r="H84" i="41"/>
  <c r="H84" i="43"/>
  <c r="H84" i="45"/>
  <c r="K79" i="44"/>
  <c r="M78" i="41"/>
  <c r="M90" i="41"/>
  <c r="I76" i="41"/>
  <c r="I76" i="45"/>
  <c r="I76" i="44"/>
  <c r="I76" i="43"/>
  <c r="AV6" i="12"/>
  <c r="P22" i="45" s="1"/>
  <c r="BE6" i="12"/>
  <c r="AW6" i="12"/>
  <c r="BB6" i="12"/>
  <c r="BD6" i="12"/>
  <c r="BA6" i="12"/>
  <c r="AZ6" i="12"/>
  <c r="BC6" i="12"/>
  <c r="BB10" i="12"/>
  <c r="H220" i="12"/>
  <c r="E220" i="12"/>
  <c r="AW20" i="12"/>
  <c r="AZ20" i="12"/>
  <c r="BD20" i="12"/>
  <c r="BB20" i="12"/>
  <c r="BC20" i="12"/>
  <c r="GT20" i="12"/>
  <c r="BA20" i="12"/>
  <c r="BF20" i="12"/>
  <c r="AU20" i="12"/>
  <c r="AY20" i="12"/>
  <c r="AX20" i="12"/>
  <c r="BE20" i="12"/>
  <c r="AV20" i="12"/>
  <c r="P36" i="41" s="1"/>
  <c r="AV8" i="12"/>
  <c r="P24" i="44" s="1"/>
  <c r="BB8" i="12"/>
  <c r="AW8" i="12"/>
  <c r="BE8" i="12"/>
  <c r="AX8" i="12"/>
  <c r="BF8" i="12"/>
  <c r="BA8" i="12"/>
  <c r="BF4" i="12"/>
  <c r="BB4" i="12"/>
  <c r="V20" i="44" s="1"/>
  <c r="AX4" i="12"/>
  <c r="BE4" i="12"/>
  <c r="BA4" i="12"/>
  <c r="U20" i="43" s="1"/>
  <c r="AW4" i="12"/>
  <c r="BD4" i="12"/>
  <c r="AV4" i="12"/>
  <c r="AY4" i="12"/>
  <c r="AU4" i="12"/>
  <c r="O20" i="43" s="1"/>
  <c r="BC4" i="12"/>
  <c r="AZ4" i="12"/>
  <c r="GT4" i="12"/>
  <c r="DS11" i="12"/>
  <c r="DM11" i="12"/>
  <c r="DW11" i="12"/>
  <c r="DN11" i="12"/>
  <c r="D171" i="12"/>
  <c r="N8" i="12"/>
  <c r="Q8" i="12"/>
  <c r="DV86" i="41"/>
  <c r="GU86" i="41" s="1"/>
  <c r="DV86" i="43"/>
  <c r="GU86" i="43"/>
  <c r="DV86" i="45"/>
  <c r="GU86" i="45" s="1"/>
  <c r="DV86" i="44"/>
  <c r="GU86" i="44" s="1"/>
  <c r="C90" i="41"/>
  <c r="C90" i="43"/>
  <c r="C90" i="45"/>
  <c r="C90" i="44"/>
  <c r="G91" i="41"/>
  <c r="G91" i="45"/>
  <c r="G91" i="44"/>
  <c r="G91" i="43"/>
  <c r="V38" i="41"/>
  <c r="V38" i="44"/>
  <c r="V38" i="43"/>
  <c r="DW78" i="41"/>
  <c r="GV78" i="41" s="1"/>
  <c r="DW78" i="44"/>
  <c r="GV78" i="44"/>
  <c r="V21" i="41"/>
  <c r="V21" i="45"/>
  <c r="V21" i="44"/>
  <c r="V21" i="43"/>
  <c r="DR86" i="41"/>
  <c r="GQ86" i="41" s="1"/>
  <c r="DR86" i="45"/>
  <c r="GQ86" i="45" s="1"/>
  <c r="DR86" i="44"/>
  <c r="GQ86" i="44" s="1"/>
  <c r="DU86" i="41"/>
  <c r="GT86" i="41" s="1"/>
  <c r="DU86" i="44"/>
  <c r="GT86" i="44"/>
  <c r="DY86" i="41"/>
  <c r="GX86" i="41" s="1"/>
  <c r="DY86" i="44"/>
  <c r="GX86" i="44"/>
  <c r="DQ86" i="41"/>
  <c r="GP86" i="41"/>
  <c r="DQ86" i="44"/>
  <c r="GP86" i="44"/>
  <c r="Y59" i="41"/>
  <c r="Y59" i="45"/>
  <c r="Y59" i="43"/>
  <c r="S59" i="45"/>
  <c r="S59" i="43"/>
  <c r="P59" i="41"/>
  <c r="P59" i="44"/>
  <c r="Q47" i="44"/>
  <c r="V47" i="45"/>
  <c r="V47" i="44"/>
  <c r="DP91" i="45"/>
  <c r="GO91" i="45" s="1"/>
  <c r="DP91" i="43"/>
  <c r="GO91" i="43" s="1"/>
  <c r="DZ83" i="41"/>
  <c r="GY83" i="41"/>
  <c r="DZ83" i="45"/>
  <c r="GY83" i="45" s="1"/>
  <c r="DY83" i="41"/>
  <c r="GX83" i="41"/>
  <c r="X48" i="44"/>
  <c r="S48" i="41"/>
  <c r="S44" i="41"/>
  <c r="S44" i="45"/>
  <c r="T40" i="41"/>
  <c r="T40" i="43"/>
  <c r="DS82" i="41"/>
  <c r="GR82" i="41" s="1"/>
  <c r="DS82" i="44"/>
  <c r="GR82" i="44"/>
  <c r="DW82" i="41"/>
  <c r="GV82" i="41"/>
  <c r="DW82" i="44"/>
  <c r="GV82" i="44"/>
  <c r="F117" i="41"/>
  <c r="F117" i="44"/>
  <c r="F117" i="45"/>
  <c r="E94" i="41"/>
  <c r="E94" i="45"/>
  <c r="E94" i="44"/>
  <c r="E94" i="43"/>
  <c r="B84" i="45"/>
  <c r="G79" i="41"/>
  <c r="G79" i="45"/>
  <c r="G79" i="44"/>
  <c r="G79" i="43"/>
  <c r="M86" i="41"/>
  <c r="C79" i="45"/>
  <c r="C79" i="44"/>
  <c r="C79" i="43"/>
  <c r="M92" i="43"/>
  <c r="M92" i="41"/>
  <c r="M92" i="44"/>
  <c r="G214" i="12"/>
  <c r="F214" i="12"/>
  <c r="E214" i="12"/>
  <c r="H214" i="12"/>
  <c r="O20" i="16"/>
  <c r="EB20" i="12"/>
  <c r="FV19" i="12"/>
  <c r="GA19" i="12"/>
  <c r="GC19" i="12"/>
  <c r="FX19" i="12"/>
  <c r="DS92" i="41" s="1"/>
  <c r="GE19" i="12"/>
  <c r="FZ19" i="12"/>
  <c r="FW19" i="12"/>
  <c r="N23" i="12"/>
  <c r="Q23" i="12"/>
  <c r="D186" i="12"/>
  <c r="D174" i="12"/>
  <c r="DZ78" i="41"/>
  <c r="GY78" i="41"/>
  <c r="DZ78" i="45"/>
  <c r="GY78" i="45"/>
  <c r="DZ78" i="44"/>
  <c r="GY78" i="44" s="1"/>
  <c r="DZ78" i="43"/>
  <c r="GY78" i="43" s="1"/>
  <c r="GZ3" i="12"/>
  <c r="DS78" i="41"/>
  <c r="GR78" i="41" s="1"/>
  <c r="DS78" i="44"/>
  <c r="GR78" i="44"/>
  <c r="Q21" i="41"/>
  <c r="Q21" i="44"/>
  <c r="Q21" i="43"/>
  <c r="DS86" i="41"/>
  <c r="GR86" i="41"/>
  <c r="DS86" i="44"/>
  <c r="GR86" i="44"/>
  <c r="W59" i="41"/>
  <c r="W59" i="43"/>
  <c r="O59" i="44"/>
  <c r="DI59" i="44" s="1"/>
  <c r="O59" i="45"/>
  <c r="DI59" i="45" s="1"/>
  <c r="T59" i="41"/>
  <c r="T59" i="45"/>
  <c r="T59" i="43"/>
  <c r="T59" i="44"/>
  <c r="U47" i="44"/>
  <c r="Z47" i="45"/>
  <c r="Z47" i="44"/>
  <c r="R47" i="45"/>
  <c r="DG58" i="41"/>
  <c r="HL58" i="41" s="1"/>
  <c r="DV83" i="44"/>
  <c r="GU83" i="44" s="1"/>
  <c r="P48" i="41"/>
  <c r="P48" i="44"/>
  <c r="P48" i="43"/>
  <c r="Y40" i="41"/>
  <c r="DT82" i="41"/>
  <c r="GS82" i="41" s="1"/>
  <c r="DT82" i="44"/>
  <c r="GS82" i="44" s="1"/>
  <c r="DT82" i="43"/>
  <c r="GS82" i="43" s="1"/>
  <c r="DT82" i="45"/>
  <c r="GS82" i="45"/>
  <c r="DV82" i="41"/>
  <c r="GU82" i="41" s="1"/>
  <c r="DV82" i="45"/>
  <c r="GU82" i="45" s="1"/>
  <c r="DV82" i="44"/>
  <c r="GU82" i="44" s="1"/>
  <c r="DV82" i="43"/>
  <c r="GU82" i="43"/>
  <c r="DQ93" i="41"/>
  <c r="GP93" i="41"/>
  <c r="DQ93" i="45"/>
  <c r="GP93" i="45" s="1"/>
  <c r="DQ93" i="44"/>
  <c r="GP93" i="44" s="1"/>
  <c r="DQ93" i="43"/>
  <c r="GP93" i="43"/>
  <c r="FY19" i="12"/>
  <c r="EB100" i="41"/>
  <c r="EC100" i="41"/>
  <c r="DT90" i="43"/>
  <c r="GS90" i="43" s="1"/>
  <c r="K78" i="41"/>
  <c r="K78" i="44"/>
  <c r="DW29" i="12"/>
  <c r="DL29" i="12"/>
  <c r="DV29" i="12"/>
  <c r="DO29" i="12"/>
  <c r="DR29" i="12"/>
  <c r="DM29" i="12"/>
  <c r="DT29" i="12"/>
  <c r="DN29" i="12"/>
  <c r="DQ29" i="12"/>
  <c r="DS29" i="12"/>
  <c r="EI23" i="12"/>
  <c r="DA39" i="44" s="1"/>
  <c r="EE23" i="12"/>
  <c r="EK23" i="12"/>
  <c r="EN23" i="12"/>
  <c r="DF39" i="44" s="1"/>
  <c r="HK39" i="44" s="1"/>
  <c r="DP20" i="12"/>
  <c r="DQ20" i="12"/>
  <c r="DN20" i="12"/>
  <c r="DT20" i="12"/>
  <c r="DW20" i="12"/>
  <c r="DR20" i="12"/>
  <c r="DM20" i="12"/>
  <c r="DU20" i="12"/>
  <c r="GV20" i="12"/>
  <c r="DL20" i="12"/>
  <c r="DO20" i="12"/>
  <c r="DS20" i="12"/>
  <c r="DV20" i="12"/>
  <c r="EG18" i="12"/>
  <c r="EI18" i="12"/>
  <c r="DA34" i="44" s="1"/>
  <c r="EF18" i="12"/>
  <c r="EJ18" i="12"/>
  <c r="EL18" i="12"/>
  <c r="EN18" i="12"/>
  <c r="EK18" i="12"/>
  <c r="EH40" i="12"/>
  <c r="CZ56" i="41" s="1"/>
  <c r="EP40" i="12"/>
  <c r="EK40" i="12"/>
  <c r="GW40" i="12"/>
  <c r="EG40" i="12"/>
  <c r="CY56" i="44" s="1"/>
  <c r="EJ32" i="12"/>
  <c r="DB48" i="41" s="1"/>
  <c r="HG48" i="41" s="1"/>
  <c r="EE32" i="12"/>
  <c r="EH32" i="12"/>
  <c r="EP32" i="12"/>
  <c r="EK32" i="12"/>
  <c r="GW32" i="12"/>
  <c r="EL32" i="12"/>
  <c r="EG32" i="12"/>
  <c r="EO32" i="12"/>
  <c r="EH28" i="12"/>
  <c r="GW28" i="12"/>
  <c r="GW24" i="12"/>
  <c r="EG24" i="12"/>
  <c r="DG42" i="41"/>
  <c r="HL42" i="41"/>
  <c r="DG42" i="45"/>
  <c r="HL42" i="45"/>
  <c r="CZ42" i="45"/>
  <c r="HE42" i="45" s="1"/>
  <c r="DC51" i="45"/>
  <c r="HH51" i="45" s="1"/>
  <c r="DC51" i="43"/>
  <c r="HH51" i="43"/>
  <c r="CX23" i="41"/>
  <c r="HC23" i="41"/>
  <c r="CX23" i="44"/>
  <c r="HC23" i="44" s="1"/>
  <c r="DD42" i="45"/>
  <c r="HI42" i="45" s="1"/>
  <c r="CY23" i="41"/>
  <c r="HD23" i="41" s="1"/>
  <c r="HD23" i="45"/>
  <c r="CY23" i="43"/>
  <c r="HD23" i="43"/>
  <c r="CY23" i="44"/>
  <c r="HD23" i="44" s="1"/>
  <c r="EG3" i="41"/>
  <c r="GN3" i="41"/>
  <c r="B3" i="41"/>
  <c r="C88" i="35"/>
  <c r="D98" i="35"/>
  <c r="D97" i="35"/>
  <c r="D96" i="35"/>
  <c r="D95" i="35"/>
  <c r="D94" i="35"/>
  <c r="D93" i="35"/>
  <c r="D92" i="35"/>
  <c r="D91" i="35"/>
  <c r="D90" i="35"/>
  <c r="D89" i="35"/>
  <c r="D88" i="35"/>
  <c r="C98" i="35"/>
  <c r="C97" i="35"/>
  <c r="C96" i="35"/>
  <c r="C95" i="35"/>
  <c r="C94" i="35"/>
  <c r="C93" i="35"/>
  <c r="C92" i="35"/>
  <c r="C91" i="35"/>
  <c r="C90" i="35"/>
  <c r="C89" i="35"/>
  <c r="E88" i="35"/>
  <c r="B98" i="35"/>
  <c r="B97" i="35"/>
  <c r="B96" i="35"/>
  <c r="B95" i="35"/>
  <c r="B94" i="35"/>
  <c r="B93" i="35"/>
  <c r="B92" i="35"/>
  <c r="B91" i="35"/>
  <c r="B90" i="35"/>
  <c r="B89" i="35"/>
  <c r="B88" i="35"/>
  <c r="E98" i="35"/>
  <c r="E97" i="35"/>
  <c r="E96" i="35"/>
  <c r="E95" i="35"/>
  <c r="E94" i="35"/>
  <c r="E93" i="35"/>
  <c r="E92" i="35"/>
  <c r="E91" i="35"/>
  <c r="E90" i="35"/>
  <c r="E89" i="35"/>
  <c r="J149" i="44"/>
  <c r="AD132" i="44"/>
  <c r="AL149" i="44"/>
  <c r="BO132" i="44"/>
  <c r="BW149" i="44" s="1"/>
  <c r="CX132" i="44"/>
  <c r="DF149" i="44" s="1"/>
  <c r="EG132" i="44"/>
  <c r="EO149" i="44" s="1"/>
  <c r="FC132" i="44"/>
  <c r="FK149" i="44"/>
  <c r="AV132" i="44"/>
  <c r="BD149" i="44"/>
  <c r="CG132" i="44"/>
  <c r="CO149" i="44" s="1"/>
  <c r="DO132" i="44"/>
  <c r="DW149" i="44" s="1"/>
  <c r="ER132" i="44"/>
  <c r="EZ149" i="44"/>
  <c r="DQ27" i="12"/>
  <c r="DS27" i="12"/>
  <c r="DP33" i="12"/>
  <c r="DU33" i="12"/>
  <c r="DN33" i="12"/>
  <c r="DV33" i="12"/>
  <c r="D170" i="12"/>
  <c r="N7" i="12"/>
  <c r="Q7" i="12" s="1"/>
  <c r="EI9" i="12"/>
  <c r="EJ9" i="12"/>
  <c r="EM9" i="12"/>
  <c r="EN9" i="12"/>
  <c r="EK9" i="12"/>
  <c r="GW9" i="12"/>
  <c r="EG9" i="12"/>
  <c r="EO9" i="12"/>
  <c r="EF9" i="12"/>
  <c r="EL9" i="12"/>
  <c r="EH9" i="12"/>
  <c r="EE9" i="12"/>
  <c r="EP9" i="12"/>
  <c r="EL11" i="12"/>
  <c r="EM11" i="12"/>
  <c r="EK11" i="12"/>
  <c r="EF11" i="12"/>
  <c r="EJ11" i="12"/>
  <c r="EG11" i="12"/>
  <c r="EH11" i="12"/>
  <c r="EO11" i="12"/>
  <c r="CY59" i="41"/>
  <c r="HD59" i="41"/>
  <c r="CY59" i="44"/>
  <c r="HD59" i="44" s="1"/>
  <c r="CY59" i="45"/>
  <c r="HD59" i="45" s="1"/>
  <c r="CY59" i="43"/>
  <c r="HD59" i="43" s="1"/>
  <c r="DA54" i="41"/>
  <c r="HF54" i="41"/>
  <c r="CY49" i="41"/>
  <c r="HD49" i="41"/>
  <c r="CY49" i="45"/>
  <c r="HD49" i="45" s="1"/>
  <c r="CY49" i="44"/>
  <c r="HD49" i="44" s="1"/>
  <c r="CY49" i="43"/>
  <c r="HD49" i="43"/>
  <c r="DH41" i="44"/>
  <c r="HM41" i="44" s="1"/>
  <c r="DH41" i="43"/>
  <c r="HM41" i="43"/>
  <c r="DH41" i="41"/>
  <c r="HM41" i="41"/>
  <c r="R16" i="35"/>
  <c r="GV37" i="12"/>
  <c r="DS37" i="12"/>
  <c r="DV37" i="12"/>
  <c r="DT37" i="12"/>
  <c r="DR37" i="12"/>
  <c r="DO37" i="12"/>
  <c r="DP37" i="12"/>
  <c r="DW7" i="12"/>
  <c r="DP7" i="12"/>
  <c r="DV7" i="12"/>
  <c r="DU7" i="12"/>
  <c r="DQ7" i="12"/>
  <c r="DM7" i="12"/>
  <c r="DL7" i="12"/>
  <c r="EN15" i="12"/>
  <c r="EK15" i="12"/>
  <c r="EO15" i="12"/>
  <c r="DG31" i="43" s="1"/>
  <c r="HL31" i="43" s="1"/>
  <c r="CO29" i="44"/>
  <c r="DE48" i="45"/>
  <c r="HJ48" i="45"/>
  <c r="DE48" i="44"/>
  <c r="HJ48" i="44" s="1"/>
  <c r="DE48" i="41"/>
  <c r="HJ48" i="41" s="1"/>
  <c r="DE48" i="43"/>
  <c r="HJ48" i="43"/>
  <c r="DA41" i="41"/>
  <c r="HF41" i="41"/>
  <c r="DA41" i="45"/>
  <c r="HF41" i="45" s="1"/>
  <c r="DA41" i="44"/>
  <c r="HF41" i="44"/>
  <c r="DA41" i="43"/>
  <c r="HF41" i="43"/>
  <c r="GW22" i="12"/>
  <c r="EL22" i="12"/>
  <c r="DD38" i="45" s="1"/>
  <c r="HI38" i="45" s="1"/>
  <c r="EK22" i="12"/>
  <c r="EH22" i="12"/>
  <c r="G206" i="12"/>
  <c r="E206" i="12"/>
  <c r="H206" i="12"/>
  <c r="F206" i="12"/>
  <c r="AB15" i="35"/>
  <c r="GS105" i="43"/>
  <c r="GW59" i="43"/>
  <c r="GV59" i="43"/>
  <c r="R15" i="35"/>
  <c r="DY96" i="41"/>
  <c r="GX96" i="41" s="1"/>
  <c r="DS93" i="45"/>
  <c r="GR93" i="45" s="1"/>
  <c r="DP83" i="41"/>
  <c r="DP83" i="45"/>
  <c r="GO83" i="45"/>
  <c r="DP83" i="43"/>
  <c r="DP83" i="44"/>
  <c r="GO83" i="44"/>
  <c r="DR83" i="41"/>
  <c r="DR83" i="45"/>
  <c r="GQ83" i="45" s="1"/>
  <c r="DR83" i="43"/>
  <c r="DR83" i="44"/>
  <c r="GQ83" i="44" s="1"/>
  <c r="DQ83" i="41"/>
  <c r="DQ83" i="45"/>
  <c r="GP83" i="45" s="1"/>
  <c r="DQ83" i="43"/>
  <c r="GP83" i="43" s="1"/>
  <c r="DV96" i="41"/>
  <c r="DV96" i="43"/>
  <c r="GU96" i="43" s="1"/>
  <c r="DV96" i="44"/>
  <c r="Y29" i="43"/>
  <c r="T29" i="41"/>
  <c r="DE40" i="41"/>
  <c r="HJ40" i="41" s="1"/>
  <c r="DE40" i="45"/>
  <c r="HJ40" i="45" s="1"/>
  <c r="HJ40" i="44"/>
  <c r="DE40" i="43"/>
  <c r="HJ40" i="43"/>
  <c r="DG41" i="43"/>
  <c r="HL41" i="43" s="1"/>
  <c r="DG41" i="41"/>
  <c r="HL41" i="41"/>
  <c r="DG41" i="45"/>
  <c r="HL41" i="45" s="1"/>
  <c r="CY41" i="41"/>
  <c r="HD41" i="41" s="1"/>
  <c r="CY41" i="44"/>
  <c r="HD41" i="44" s="1"/>
  <c r="CY41" i="45"/>
  <c r="HD41" i="45"/>
  <c r="CY41" i="43"/>
  <c r="HD41" i="43" s="1"/>
  <c r="DF41" i="41"/>
  <c r="HK41" i="41" s="1"/>
  <c r="DF41" i="45"/>
  <c r="HK41" i="45" s="1"/>
  <c r="HK41" i="43"/>
  <c r="DF41" i="44"/>
  <c r="HK41" i="44"/>
  <c r="CX41" i="41"/>
  <c r="HC41" i="41" s="1"/>
  <c r="CX41" i="45"/>
  <c r="HC41" i="45" s="1"/>
  <c r="CX41" i="44"/>
  <c r="HC41" i="44"/>
  <c r="CX41" i="43"/>
  <c r="HC41" i="43" s="1"/>
  <c r="DA42" i="41"/>
  <c r="HF42" i="41" s="1"/>
  <c r="DA42" i="43"/>
  <c r="HF42" i="43" s="1"/>
  <c r="DA42" i="45"/>
  <c r="HF42" i="45"/>
  <c r="DA42" i="44"/>
  <c r="HF42" i="44"/>
  <c r="DF42" i="41"/>
  <c r="HK42" i="41" s="1"/>
  <c r="DF42" i="45"/>
  <c r="HK42" i="45" s="1"/>
  <c r="CX42" i="41"/>
  <c r="HC42" i="41"/>
  <c r="CX42" i="45"/>
  <c r="HC42" i="45"/>
  <c r="DF48" i="41"/>
  <c r="HK48" i="41" s="1"/>
  <c r="DC49" i="41"/>
  <c r="HH49" i="41" s="1"/>
  <c r="HH49" i="44"/>
  <c r="DB49" i="41"/>
  <c r="HG49" i="41" s="1"/>
  <c r="DB49" i="44"/>
  <c r="HG49" i="44" s="1"/>
  <c r="DB49" i="43"/>
  <c r="HG49" i="43" s="1"/>
  <c r="DF51" i="43"/>
  <c r="HK51" i="43"/>
  <c r="DE54" i="45"/>
  <c r="HJ54" i="45" s="1"/>
  <c r="DE54" i="44"/>
  <c r="HJ54" i="44" s="1"/>
  <c r="DE54" i="41"/>
  <c r="HJ54" i="41"/>
  <c r="DE54" i="43"/>
  <c r="HJ54" i="43"/>
  <c r="DC59" i="45"/>
  <c r="HH59" i="45" s="1"/>
  <c r="DC59" i="44"/>
  <c r="HH59" i="44" s="1"/>
  <c r="HH59" i="41"/>
  <c r="DC59" i="43"/>
  <c r="HH59" i="43" s="1"/>
  <c r="CZ59" i="41"/>
  <c r="HE59" i="41" s="1"/>
  <c r="CZ59" i="43"/>
  <c r="HE59" i="43"/>
  <c r="CZ59" i="45"/>
  <c r="HE59" i="45"/>
  <c r="BF50" i="45"/>
  <c r="BY50" i="43"/>
  <c r="CQ50" i="41"/>
  <c r="BF50" i="44"/>
  <c r="CQ50" i="44"/>
  <c r="J50" i="41"/>
  <c r="AL50" i="45"/>
  <c r="BD50" i="44"/>
  <c r="BW50" i="44"/>
  <c r="CO50" i="44"/>
  <c r="BW50" i="43"/>
  <c r="BD50" i="45"/>
  <c r="CO50" i="45"/>
  <c r="AL50" i="44"/>
  <c r="AL50" i="43"/>
  <c r="AO50" i="41"/>
  <c r="M50" i="45"/>
  <c r="AO50" i="44"/>
  <c r="CR50" i="44"/>
  <c r="CR50" i="45"/>
  <c r="M50" i="43"/>
  <c r="AO50" i="43"/>
  <c r="BZ50" i="43"/>
  <c r="BX50" i="41"/>
  <c r="CP50" i="41"/>
  <c r="K50" i="41"/>
  <c r="AM50" i="41"/>
  <c r="BE50" i="45"/>
  <c r="CP50" i="45"/>
  <c r="K50" i="44"/>
  <c r="K50" i="43"/>
  <c r="AM50" i="43"/>
  <c r="BX50" i="43"/>
  <c r="K50" i="45"/>
  <c r="AM50" i="45"/>
  <c r="AM50" i="44"/>
  <c r="BE50" i="44"/>
  <c r="CP50" i="44"/>
  <c r="CP50" i="43"/>
  <c r="AK50" i="45"/>
  <c r="BV50" i="44"/>
  <c r="BC50" i="45"/>
  <c r="I50" i="44"/>
  <c r="BA33" i="45"/>
  <c r="BT33" i="45"/>
  <c r="G33" i="44"/>
  <c r="CL59" i="41"/>
  <c r="BA59" i="45"/>
  <c r="G59" i="44"/>
  <c r="AI59" i="44"/>
  <c r="BF59" i="45"/>
  <c r="CQ59" i="41"/>
  <c r="AN59" i="41"/>
  <c r="BY59" i="45"/>
  <c r="L59" i="45"/>
  <c r="AN59" i="45"/>
  <c r="CQ59" i="43"/>
  <c r="CQ59" i="45"/>
  <c r="CQ59" i="44"/>
  <c r="BY59" i="43"/>
  <c r="L59" i="43"/>
  <c r="J59" i="44"/>
  <c r="BD59" i="41"/>
  <c r="CO59" i="41"/>
  <c r="BW59" i="41"/>
  <c r="J59" i="41"/>
  <c r="BD59" i="45"/>
  <c r="BW59" i="45"/>
  <c r="CO59" i="45"/>
  <c r="BD59" i="44"/>
  <c r="BW59" i="44"/>
  <c r="CO59" i="44"/>
  <c r="J59" i="43"/>
  <c r="AL59" i="43"/>
  <c r="AL59" i="41"/>
  <c r="J59" i="45"/>
  <c r="AL59" i="45"/>
  <c r="AL59" i="44"/>
  <c r="BW59" i="43"/>
  <c r="BD59" i="43"/>
  <c r="CO59" i="43"/>
  <c r="D59" i="41"/>
  <c r="AF59" i="41"/>
  <c r="AX59" i="41"/>
  <c r="BQ59" i="41"/>
  <c r="AF59" i="44"/>
  <c r="AX59" i="43"/>
  <c r="BQ59" i="43"/>
  <c r="CI59" i="43"/>
  <c r="AX59" i="45"/>
  <c r="AX59" i="44"/>
  <c r="BQ59" i="44"/>
  <c r="CI59" i="44"/>
  <c r="D59" i="43"/>
  <c r="DY96" i="43"/>
  <c r="GX96" i="43" s="1"/>
  <c r="GP78" i="45"/>
  <c r="DW83" i="41"/>
  <c r="GV83" i="41"/>
  <c r="DW83" i="45"/>
  <c r="GV83" i="45"/>
  <c r="DW83" i="43"/>
  <c r="GV83" i="43" s="1"/>
  <c r="DU83" i="41"/>
  <c r="DU83" i="43"/>
  <c r="GT83" i="43" s="1"/>
  <c r="X29" i="41"/>
  <c r="X29" i="44"/>
  <c r="X29" i="43"/>
  <c r="X29" i="45"/>
  <c r="R29" i="43"/>
  <c r="DC41" i="41"/>
  <c r="DC41" i="44"/>
  <c r="DC41" i="45"/>
  <c r="DC41" i="43"/>
  <c r="DB41" i="41"/>
  <c r="HG41" i="41" s="1"/>
  <c r="DB41" i="43"/>
  <c r="HG41" i="43" s="1"/>
  <c r="DE42" i="45"/>
  <c r="HJ42" i="45" s="1"/>
  <c r="DE42" i="41"/>
  <c r="HJ42" i="41"/>
  <c r="DE42" i="43"/>
  <c r="HJ42" i="43" s="1"/>
  <c r="DE42" i="44"/>
  <c r="HJ42" i="44" s="1"/>
  <c r="CW42" i="41"/>
  <c r="HB42" i="41" s="1"/>
  <c r="CW42" i="45"/>
  <c r="HB42" i="45"/>
  <c r="CW42" i="44"/>
  <c r="CW42" i="43"/>
  <c r="DA48" i="43"/>
  <c r="HF48" i="43" s="1"/>
  <c r="CY51" i="43"/>
  <c r="HD51" i="43"/>
  <c r="DC53" i="41"/>
  <c r="HH53" i="41" s="1"/>
  <c r="DC53" i="44"/>
  <c r="HH53" i="44" s="1"/>
  <c r="DC53" i="43"/>
  <c r="HH53" i="43" s="1"/>
  <c r="DC53" i="45"/>
  <c r="HH53" i="45"/>
  <c r="DH59" i="41"/>
  <c r="HM59" i="41" s="1"/>
  <c r="DH59" i="43"/>
  <c r="HM59" i="43" s="1"/>
  <c r="DH59" i="45"/>
  <c r="HM59" i="45"/>
  <c r="CL50" i="41"/>
  <c r="G50" i="41"/>
  <c r="AI50" i="41"/>
  <c r="BA50" i="45"/>
  <c r="BT50" i="45"/>
  <c r="CL50" i="45"/>
  <c r="G50" i="44"/>
  <c r="BA50" i="44"/>
  <c r="CL50" i="44"/>
  <c r="G50" i="43"/>
  <c r="AI50" i="43"/>
  <c r="BT50" i="43"/>
  <c r="G50" i="45"/>
  <c r="AI50" i="45"/>
  <c r="AI50" i="44"/>
  <c r="CL50" i="43"/>
  <c r="F50" i="41"/>
  <c r="AH50" i="41"/>
  <c r="CK50" i="41"/>
  <c r="AH50" i="45"/>
  <c r="AZ50" i="44"/>
  <c r="BS50" i="44"/>
  <c r="CK50" i="44"/>
  <c r="BS50" i="43"/>
  <c r="CK50" i="43"/>
  <c r="F50" i="45"/>
  <c r="AZ50" i="45"/>
  <c r="CK50" i="45"/>
  <c r="AH50" i="44"/>
  <c r="AH50" i="43"/>
  <c r="AF50" i="41"/>
  <c r="CI50" i="41"/>
  <c r="D50" i="45"/>
  <c r="AF50" i="44"/>
  <c r="AF50" i="43"/>
  <c r="AF50" i="45"/>
  <c r="AX50" i="44"/>
  <c r="CI50" i="44"/>
  <c r="BQ50" i="43"/>
  <c r="B50" i="41"/>
  <c r="AD50" i="41"/>
  <c r="AP50" i="41" s="1"/>
  <c r="CG50" i="41"/>
  <c r="AV50" i="45"/>
  <c r="BH50" i="45" s="1"/>
  <c r="CG50" i="45"/>
  <c r="AD50" i="44"/>
  <c r="AD50" i="43"/>
  <c r="B50" i="45"/>
  <c r="AD50" i="45"/>
  <c r="AP50" i="45"/>
  <c r="AV50" i="44"/>
  <c r="BO50" i="44"/>
  <c r="CG50" i="44"/>
  <c r="BO50" i="43"/>
  <c r="CG50" i="43"/>
  <c r="E50" i="41"/>
  <c r="AG50" i="41"/>
  <c r="CJ50" i="41"/>
  <c r="E50" i="45"/>
  <c r="AG50" i="45"/>
  <c r="AG50" i="44"/>
  <c r="AY50" i="44"/>
  <c r="CJ50" i="44"/>
  <c r="CJ50" i="43"/>
  <c r="AY50" i="45"/>
  <c r="CJ50" i="45"/>
  <c r="E50" i="44"/>
  <c r="BR50" i="44"/>
  <c r="E50" i="43"/>
  <c r="AG50" i="43"/>
  <c r="BR50" i="43"/>
  <c r="CH50" i="41"/>
  <c r="C50" i="41"/>
  <c r="AE50" i="41"/>
  <c r="AW50" i="45"/>
  <c r="CH50" i="45"/>
  <c r="C50" i="44"/>
  <c r="C50" i="43"/>
  <c r="AE50" i="43"/>
  <c r="BP50" i="43"/>
  <c r="C50" i="45"/>
  <c r="AE50" i="45"/>
  <c r="AE50" i="44"/>
  <c r="AW50" i="44"/>
  <c r="CH50" i="44"/>
  <c r="CH50" i="43"/>
  <c r="CO33" i="43"/>
  <c r="CP33" i="44"/>
  <c r="K33" i="43"/>
  <c r="K33" i="45"/>
  <c r="BE33" i="43"/>
  <c r="BX33" i="43"/>
  <c r="AY59" i="41"/>
  <c r="AG59" i="41"/>
  <c r="CJ59" i="41"/>
  <c r="BR59" i="41"/>
  <c r="E59" i="45"/>
  <c r="AG59" i="45"/>
  <c r="CJ59" i="45"/>
  <c r="E59" i="44"/>
  <c r="AG59" i="44"/>
  <c r="BR59" i="44"/>
  <c r="E59" i="43"/>
  <c r="AG59" i="43"/>
  <c r="CJ59" i="43"/>
  <c r="E59" i="41"/>
  <c r="AY59" i="45"/>
  <c r="BR59" i="45"/>
  <c r="AY59" i="44"/>
  <c r="CJ59" i="44"/>
  <c r="BR59" i="43"/>
  <c r="AY59" i="43"/>
  <c r="CG59" i="41"/>
  <c r="AV59" i="43"/>
  <c r="BH59" i="43" s="1"/>
  <c r="BO59" i="45"/>
  <c r="CG59" i="45"/>
  <c r="BB59" i="41"/>
  <c r="BU59" i="41"/>
  <c r="CM59" i="41"/>
  <c r="H59" i="41"/>
  <c r="AJ59" i="41"/>
  <c r="H59" i="45"/>
  <c r="AJ59" i="45"/>
  <c r="AJ59" i="44"/>
  <c r="BB59" i="43"/>
  <c r="BU59" i="43"/>
  <c r="CM59" i="43"/>
  <c r="BB59" i="45"/>
  <c r="BU59" i="45"/>
  <c r="CM59" i="45"/>
  <c r="BB59" i="44"/>
  <c r="BU59" i="44"/>
  <c r="CM59" i="44"/>
  <c r="H59" i="43"/>
  <c r="AJ59" i="43"/>
  <c r="BC59" i="41"/>
  <c r="AK59" i="41"/>
  <c r="BC59" i="45"/>
  <c r="BV59" i="45"/>
  <c r="AK59" i="44"/>
  <c r="BC59" i="43"/>
  <c r="BV59" i="43"/>
  <c r="CN59" i="43"/>
  <c r="GV59" i="41"/>
  <c r="AK59" i="45"/>
  <c r="BC59" i="44"/>
  <c r="CN59" i="44"/>
  <c r="H15" i="35"/>
  <c r="AL19" i="35"/>
  <c r="R19" i="35"/>
  <c r="AB19" i="35"/>
  <c r="GV76" i="43"/>
  <c r="T39" i="12"/>
  <c r="AB39" i="12"/>
  <c r="Y39" i="12"/>
  <c r="Z39" i="12"/>
  <c r="W39" i="12"/>
  <c r="AE39" i="12"/>
  <c r="GS39" i="12"/>
  <c r="U39" i="12"/>
  <c r="AC39" i="12"/>
  <c r="V39" i="12"/>
  <c r="AD39" i="12"/>
  <c r="AA39" i="12"/>
  <c r="GE10" i="44"/>
  <c r="GE10" i="41"/>
  <c r="GE10" i="45"/>
  <c r="GE10" i="43"/>
  <c r="AD31" i="12"/>
  <c r="Y31" i="12"/>
  <c r="U31" i="12"/>
  <c r="AB31" i="12"/>
  <c r="AE31" i="12"/>
  <c r="X31" i="12"/>
  <c r="GS31" i="12"/>
  <c r="BX26" i="44"/>
  <c r="HB41" i="41"/>
  <c r="H194" i="12"/>
  <c r="DT92" i="41"/>
  <c r="GS92" i="41" s="1"/>
  <c r="U11" i="12"/>
  <c r="W11" i="12"/>
  <c r="V11" i="12"/>
  <c r="AB11" i="12"/>
  <c r="AC11" i="12"/>
  <c r="GS11" i="12"/>
  <c r="AE11" i="12"/>
  <c r="T11" i="12"/>
  <c r="AA11" i="12"/>
  <c r="X11" i="12"/>
  <c r="AD11" i="12"/>
  <c r="Z11" i="12"/>
  <c r="Y11" i="12"/>
  <c r="DR92" i="43"/>
  <c r="GQ92" i="43"/>
  <c r="GR92" i="41"/>
  <c r="DS92" i="43"/>
  <c r="GR92" i="43" s="1"/>
  <c r="DS92" i="44"/>
  <c r="DS92" i="45"/>
  <c r="GR92" i="45" s="1"/>
  <c r="EH20" i="12"/>
  <c r="EJ20" i="12"/>
  <c r="EO20" i="12"/>
  <c r="EI20" i="12"/>
  <c r="EL20" i="12"/>
  <c r="GW20" i="12"/>
  <c r="GX20" i="12"/>
  <c r="EN20" i="12"/>
  <c r="AE8" i="12"/>
  <c r="T20" i="41"/>
  <c r="T20" i="45"/>
  <c r="T20" i="44"/>
  <c r="T20" i="43"/>
  <c r="O20" i="41"/>
  <c r="O20" i="45"/>
  <c r="O20" i="44"/>
  <c r="P20" i="41"/>
  <c r="P20" i="45"/>
  <c r="P20" i="44"/>
  <c r="P20" i="43"/>
  <c r="Q20" i="41"/>
  <c r="Q20" i="45"/>
  <c r="Q20" i="44"/>
  <c r="Q20" i="43"/>
  <c r="Y20" i="41"/>
  <c r="Y20" i="45"/>
  <c r="Y20" i="43"/>
  <c r="Y20" i="44"/>
  <c r="V20" i="41"/>
  <c r="V20" i="45"/>
  <c r="V20" i="43"/>
  <c r="U24" i="41"/>
  <c r="U24" i="45"/>
  <c r="U24" i="43"/>
  <c r="U24" i="44"/>
  <c r="R24" i="41"/>
  <c r="R24" i="45"/>
  <c r="R24" i="44"/>
  <c r="R24" i="43"/>
  <c r="Q24" i="41"/>
  <c r="Q24" i="45"/>
  <c r="Q24" i="43"/>
  <c r="Q24" i="44"/>
  <c r="P24" i="41"/>
  <c r="P24" i="45"/>
  <c r="P24" i="43"/>
  <c r="Y36" i="41"/>
  <c r="Y36" i="43"/>
  <c r="Y36" i="44"/>
  <c r="Y36" i="45"/>
  <c r="S36" i="41"/>
  <c r="S36" i="45"/>
  <c r="S36" i="43"/>
  <c r="S36" i="44"/>
  <c r="Z36" i="45"/>
  <c r="Z36" i="41"/>
  <c r="Z36" i="44"/>
  <c r="Z36" i="43"/>
  <c r="V36" i="45"/>
  <c r="V36" i="41"/>
  <c r="V36" i="44"/>
  <c r="V36" i="43"/>
  <c r="T36" i="41"/>
  <c r="T36" i="45"/>
  <c r="T36" i="44"/>
  <c r="T36" i="43"/>
  <c r="V26" i="41"/>
  <c r="V26" i="44"/>
  <c r="T22" i="41"/>
  <c r="X22" i="41"/>
  <c r="X22" i="45"/>
  <c r="X22" i="44"/>
  <c r="X22" i="43"/>
  <c r="G174" i="12"/>
  <c r="H174" i="12"/>
  <c r="F174" i="12"/>
  <c r="E174" i="12"/>
  <c r="DU92" i="41"/>
  <c r="GT92" i="41"/>
  <c r="DU92" i="43"/>
  <c r="DU92" i="44"/>
  <c r="DU92" i="45"/>
  <c r="GT92" i="45"/>
  <c r="DZ92" i="41"/>
  <c r="GY92" i="41" s="1"/>
  <c r="DZ92" i="45"/>
  <c r="GY92" i="45"/>
  <c r="DZ92" i="44"/>
  <c r="GY92" i="44"/>
  <c r="DZ92" i="43"/>
  <c r="GY92" i="43"/>
  <c r="DQ92" i="41"/>
  <c r="GP92" i="41" s="1"/>
  <c r="DQ92" i="44"/>
  <c r="GP92" i="44" s="1"/>
  <c r="F171" i="12"/>
  <c r="G171" i="12"/>
  <c r="H171" i="12"/>
  <c r="E171" i="12"/>
  <c r="W20" i="41"/>
  <c r="W20" i="45"/>
  <c r="W20" i="43"/>
  <c r="W20" i="44"/>
  <c r="S20" i="41"/>
  <c r="S20" i="45"/>
  <c r="S20" i="43"/>
  <c r="S20" i="44"/>
  <c r="X20" i="41"/>
  <c r="X20" i="45"/>
  <c r="X20" i="44"/>
  <c r="X20" i="43"/>
  <c r="U20" i="44"/>
  <c r="R20" i="41"/>
  <c r="R20" i="45"/>
  <c r="R20" i="44"/>
  <c r="R20" i="43"/>
  <c r="Z20" i="41"/>
  <c r="Z20" i="45"/>
  <c r="Z20" i="44"/>
  <c r="Z20" i="43"/>
  <c r="Z24" i="41"/>
  <c r="Z24" i="45"/>
  <c r="Z24" i="44"/>
  <c r="Z24" i="43"/>
  <c r="V24" i="41"/>
  <c r="V24" i="45"/>
  <c r="V24" i="44"/>
  <c r="V24" i="43"/>
  <c r="P36" i="45"/>
  <c r="P36" i="44"/>
  <c r="P36" i="43"/>
  <c r="R36" i="45"/>
  <c r="R36" i="41"/>
  <c r="R36" i="44"/>
  <c r="R36" i="43"/>
  <c r="O36" i="41"/>
  <c r="W36" i="41"/>
  <c r="W36" i="45"/>
  <c r="W36" i="43"/>
  <c r="W36" i="44"/>
  <c r="X36" i="41"/>
  <c r="X36" i="45"/>
  <c r="X36" i="44"/>
  <c r="X36" i="43"/>
  <c r="Q36" i="41"/>
  <c r="Q36" i="43"/>
  <c r="Q36" i="44"/>
  <c r="O26" i="41"/>
  <c r="O26" i="45"/>
  <c r="O26" i="44"/>
  <c r="W22" i="43"/>
  <c r="U22" i="41"/>
  <c r="U22" i="45"/>
  <c r="U22" i="43"/>
  <c r="U22" i="44"/>
  <c r="Q22" i="41"/>
  <c r="P22" i="41"/>
  <c r="P22" i="44"/>
  <c r="P22" i="43"/>
  <c r="BF29" i="41"/>
  <c r="L29" i="41"/>
  <c r="CQ29" i="41"/>
  <c r="AN29" i="41"/>
  <c r="AN29" i="45"/>
  <c r="BF29" i="45"/>
  <c r="BY29" i="45"/>
  <c r="CQ29" i="45"/>
  <c r="BY29" i="44"/>
  <c r="AN29" i="44"/>
  <c r="CQ29" i="44"/>
  <c r="L29" i="43"/>
  <c r="CQ29" i="43"/>
  <c r="BF29" i="44"/>
  <c r="BF29" i="43"/>
  <c r="BY29" i="43"/>
  <c r="L29" i="44"/>
  <c r="L29" i="45"/>
  <c r="DF39" i="45"/>
  <c r="HK39" i="45" s="1"/>
  <c r="DA39" i="41"/>
  <c r="HF39" i="41"/>
  <c r="HF39" i="44"/>
  <c r="DA39" i="45"/>
  <c r="HF39" i="45"/>
  <c r="DA39" i="43"/>
  <c r="HF39" i="43"/>
  <c r="CZ44" i="45"/>
  <c r="HE44" i="45"/>
  <c r="CZ44" i="41"/>
  <c r="HE44" i="41"/>
  <c r="CZ44" i="44"/>
  <c r="HE44" i="44" s="1"/>
  <c r="CZ44" i="43"/>
  <c r="HE44" i="43" s="1"/>
  <c r="DG48" i="43"/>
  <c r="HL48" i="43"/>
  <c r="DD48" i="45"/>
  <c r="HI48" i="45"/>
  <c r="DD48" i="41"/>
  <c r="HI48" i="41"/>
  <c r="DD48" i="43"/>
  <c r="HI48" i="43" s="1"/>
  <c r="DD48" i="44"/>
  <c r="HI48" i="44"/>
  <c r="DC48" i="41"/>
  <c r="HH48" i="41"/>
  <c r="DC48" i="45"/>
  <c r="HH48" i="45"/>
  <c r="DC48" i="44"/>
  <c r="HH48" i="44" s="1"/>
  <c r="DC48" i="43"/>
  <c r="HH48" i="43"/>
  <c r="DB48" i="45"/>
  <c r="HG48" i="45" s="1"/>
  <c r="DB48" i="43"/>
  <c r="HG48" i="43" s="1"/>
  <c r="DB48" i="44"/>
  <c r="HG48" i="44" s="1"/>
  <c r="DC56" i="43"/>
  <c r="HH56" i="43"/>
  <c r="HE56" i="41"/>
  <c r="CZ56" i="45"/>
  <c r="HE56" i="45" s="1"/>
  <c r="CZ56" i="44"/>
  <c r="HE56" i="44" s="1"/>
  <c r="CZ56" i="43"/>
  <c r="HE56" i="43" s="1"/>
  <c r="DC34" i="45"/>
  <c r="HH34" i="45"/>
  <c r="DC34" i="41"/>
  <c r="HH34" i="41" s="1"/>
  <c r="DC34" i="44"/>
  <c r="HH34" i="44" s="1"/>
  <c r="DC34" i="43"/>
  <c r="HH34" i="43" s="1"/>
  <c r="DD34" i="41"/>
  <c r="HI34" i="41" s="1"/>
  <c r="DD34" i="45"/>
  <c r="HI34" i="45" s="1"/>
  <c r="DD34" i="43"/>
  <c r="HI34" i="43"/>
  <c r="CX34" i="44"/>
  <c r="HC34" i="44" s="1"/>
  <c r="CY34" i="41"/>
  <c r="HD34" i="41"/>
  <c r="CY34" i="43"/>
  <c r="HD34" i="43" s="1"/>
  <c r="H16" i="35"/>
  <c r="CY40" i="45"/>
  <c r="HD40" i="45"/>
  <c r="CY40" i="41"/>
  <c r="HD40" i="41"/>
  <c r="CY40" i="44"/>
  <c r="HD40" i="44"/>
  <c r="CY40" i="43"/>
  <c r="HD40" i="43" s="1"/>
  <c r="CY48" i="41"/>
  <c r="HD48" i="41"/>
  <c r="CY48" i="45"/>
  <c r="HD48" i="45"/>
  <c r="CY48" i="44"/>
  <c r="HD48" i="44" s="1"/>
  <c r="CY48" i="43"/>
  <c r="HD48" i="43" s="1"/>
  <c r="DH48" i="41"/>
  <c r="HM48" i="41"/>
  <c r="DH48" i="43"/>
  <c r="HM48" i="43"/>
  <c r="DH48" i="44"/>
  <c r="HM48" i="44"/>
  <c r="CW48" i="41"/>
  <c r="CW48" i="45"/>
  <c r="CW48" i="44"/>
  <c r="CW48" i="43"/>
  <c r="HB48" i="43"/>
  <c r="CY56" i="45"/>
  <c r="HD56" i="45"/>
  <c r="CY56" i="41"/>
  <c r="HD56" i="41"/>
  <c r="HD56" i="44"/>
  <c r="CY56" i="43"/>
  <c r="HD56" i="43" s="1"/>
  <c r="DH56" i="41"/>
  <c r="HM56" i="41" s="1"/>
  <c r="DH56" i="43"/>
  <c r="HM56" i="43" s="1"/>
  <c r="DF34" i="41"/>
  <c r="HK34" i="41"/>
  <c r="DF34" i="45"/>
  <c r="HK34" i="45"/>
  <c r="DF34" i="43"/>
  <c r="HK34" i="43"/>
  <c r="DF34" i="44"/>
  <c r="HK34" i="44"/>
  <c r="HF34" i="44"/>
  <c r="DA34" i="43"/>
  <c r="HF34" i="43" s="1"/>
  <c r="DA34" i="41"/>
  <c r="HF34" i="41" s="1"/>
  <c r="DA34" i="45"/>
  <c r="HF34" i="45" s="1"/>
  <c r="CS50" i="45"/>
  <c r="AV137" i="44"/>
  <c r="ER3" i="41"/>
  <c r="ER130" i="41"/>
  <c r="ER145" i="41"/>
  <c r="EX145" i="41" s="1"/>
  <c r="ER151" i="41" s="1"/>
  <c r="AV137" i="43"/>
  <c r="CZ38" i="44"/>
  <c r="HE38" i="44"/>
  <c r="DG27" i="45"/>
  <c r="HL27" i="45" s="1"/>
  <c r="DG27" i="43"/>
  <c r="HL27" i="43" s="1"/>
  <c r="DG27" i="44"/>
  <c r="HL27" i="44"/>
  <c r="CY27" i="45"/>
  <c r="HD27" i="45"/>
  <c r="DC27" i="44"/>
  <c r="HH27" i="44" s="1"/>
  <c r="DC27" i="43"/>
  <c r="HH27" i="43"/>
  <c r="DC27" i="45"/>
  <c r="HH27" i="45" s="1"/>
  <c r="DD27" i="44"/>
  <c r="HI27" i="44" s="1"/>
  <c r="DH25" i="41"/>
  <c r="HM25" i="41" s="1"/>
  <c r="DH25" i="44"/>
  <c r="HM25" i="44"/>
  <c r="DH25" i="43"/>
  <c r="HM25" i="43" s="1"/>
  <c r="DH25" i="45"/>
  <c r="HM25" i="45"/>
  <c r="CZ25" i="41"/>
  <c r="HE25" i="41"/>
  <c r="CZ25" i="44"/>
  <c r="HE25" i="44"/>
  <c r="CX25" i="41"/>
  <c r="HC25" i="41" s="1"/>
  <c r="CX25" i="44"/>
  <c r="HC25" i="44"/>
  <c r="CX25" i="45"/>
  <c r="HC25" i="45"/>
  <c r="CX25" i="43"/>
  <c r="HC25" i="43"/>
  <c r="CY25" i="41"/>
  <c r="HD25" i="41" s="1"/>
  <c r="CY25" i="45"/>
  <c r="HD25" i="45"/>
  <c r="CY25" i="44"/>
  <c r="HD25" i="44"/>
  <c r="CY25" i="43"/>
  <c r="HD25" i="43"/>
  <c r="DC25" i="41"/>
  <c r="HH25" i="41" s="1"/>
  <c r="DC25" i="45"/>
  <c r="HH25" i="45"/>
  <c r="DC25" i="44"/>
  <c r="HH25" i="44"/>
  <c r="DC25" i="43"/>
  <c r="HH25" i="43"/>
  <c r="DE25" i="41"/>
  <c r="HJ25" i="41" s="1"/>
  <c r="DE25" i="44"/>
  <c r="HJ25" i="44"/>
  <c r="DE25" i="43"/>
  <c r="HJ25" i="43"/>
  <c r="DA25" i="41"/>
  <c r="HF25" i="41"/>
  <c r="DA25" i="44"/>
  <c r="HF25" i="44" s="1"/>
  <c r="DA25" i="43"/>
  <c r="HF25" i="43"/>
  <c r="DA25" i="45"/>
  <c r="HF25" i="45"/>
  <c r="E170" i="12"/>
  <c r="G170" i="12"/>
  <c r="H170" i="12"/>
  <c r="F170" i="12"/>
  <c r="DD38" i="41"/>
  <c r="HI38" i="41" s="1"/>
  <c r="DD38" i="44"/>
  <c r="HI38" i="44"/>
  <c r="DG31" i="44"/>
  <c r="HL31" i="44" s="1"/>
  <c r="DC31" i="44"/>
  <c r="HH31" i="44"/>
  <c r="DC31" i="43"/>
  <c r="HH31" i="43" s="1"/>
  <c r="DF31" i="44"/>
  <c r="HK31" i="44" s="1"/>
  <c r="DF31" i="43"/>
  <c r="HK31" i="43"/>
  <c r="DF31" i="45"/>
  <c r="HK31" i="45"/>
  <c r="CZ27" i="43"/>
  <c r="HE27" i="43" s="1"/>
  <c r="DB27" i="41"/>
  <c r="HG27" i="41" s="1"/>
  <c r="DB27" i="45"/>
  <c r="HG27" i="45"/>
  <c r="DB27" i="44"/>
  <c r="HG27" i="44"/>
  <c r="DB27" i="43"/>
  <c r="HG27" i="43" s="1"/>
  <c r="CX27" i="45"/>
  <c r="HC27" i="45" s="1"/>
  <c r="CX27" i="44"/>
  <c r="HC27" i="44"/>
  <c r="CX27" i="43"/>
  <c r="HC27" i="43" s="1"/>
  <c r="DE27" i="44"/>
  <c r="HJ27" i="44" s="1"/>
  <c r="DE27" i="43"/>
  <c r="HJ27" i="43" s="1"/>
  <c r="DE27" i="45"/>
  <c r="HJ27" i="45"/>
  <c r="DD25" i="44"/>
  <c r="HI25" i="44"/>
  <c r="DD25" i="41"/>
  <c r="HI25" i="41" s="1"/>
  <c r="DD25" i="43"/>
  <c r="HI25" i="43" s="1"/>
  <c r="DD25" i="45"/>
  <c r="HI25" i="45"/>
  <c r="DG25" i="41"/>
  <c r="HL25" i="41"/>
  <c r="DG25" i="43"/>
  <c r="HL25" i="43" s="1"/>
  <c r="DG25" i="44"/>
  <c r="HL25" i="44" s="1"/>
  <c r="DG25" i="45"/>
  <c r="HL25" i="45"/>
  <c r="DF25" i="41"/>
  <c r="HK25" i="41"/>
  <c r="DB25" i="41"/>
  <c r="HG25" i="41" s="1"/>
  <c r="DB25" i="44"/>
  <c r="HG25" i="44" s="1"/>
  <c r="DB25" i="45"/>
  <c r="HG25" i="45"/>
  <c r="DB25" i="43"/>
  <c r="HG25" i="43" s="1"/>
  <c r="AA7" i="12"/>
  <c r="AC7" i="12"/>
  <c r="GX23" i="41"/>
  <c r="U7" i="12"/>
  <c r="AD7" i="12"/>
  <c r="AB7" i="12"/>
  <c r="Y7" i="12"/>
  <c r="V7" i="12"/>
  <c r="GS7" i="12"/>
  <c r="T7" i="12"/>
  <c r="W7" i="12"/>
  <c r="AE7" i="12"/>
  <c r="X7" i="12"/>
  <c r="Z7" i="12"/>
  <c r="HB42" i="43"/>
  <c r="HH41" i="43"/>
  <c r="HH41" i="44"/>
  <c r="GU96" i="44"/>
  <c r="AL20" i="35"/>
  <c r="HH41" i="45"/>
  <c r="HH41" i="41"/>
  <c r="GT83" i="41"/>
  <c r="AL16" i="35"/>
  <c r="GU96" i="41"/>
  <c r="GP83" i="41"/>
  <c r="GQ83" i="43"/>
  <c r="GQ83" i="41"/>
  <c r="GO83" i="43"/>
  <c r="GO83" i="41"/>
  <c r="AB20" i="35"/>
  <c r="BC55" i="41"/>
  <c r="CN55" i="41"/>
  <c r="AK55" i="41"/>
  <c r="I55" i="45"/>
  <c r="BV55" i="44"/>
  <c r="I55" i="43"/>
  <c r="BC55" i="43"/>
  <c r="CN55" i="43"/>
  <c r="BC55" i="44"/>
  <c r="CN55" i="44"/>
  <c r="AK55" i="43"/>
  <c r="D55" i="41"/>
  <c r="BQ55" i="41"/>
  <c r="AF55" i="41"/>
  <c r="AX55" i="41"/>
  <c r="CI55" i="41"/>
  <c r="AF55" i="45"/>
  <c r="AX55" i="45"/>
  <c r="CI55" i="45"/>
  <c r="AF55" i="44"/>
  <c r="AX55" i="44"/>
  <c r="CI55" i="44"/>
  <c r="D55" i="43"/>
  <c r="BQ55" i="43"/>
  <c r="BQ55" i="45"/>
  <c r="BQ55" i="44"/>
  <c r="AF55" i="43"/>
  <c r="AX55" i="43"/>
  <c r="CI55" i="43"/>
  <c r="D55" i="44"/>
  <c r="D55" i="45"/>
  <c r="AE55" i="41"/>
  <c r="BP55" i="41"/>
  <c r="C55" i="41"/>
  <c r="AW55" i="41"/>
  <c r="CH55" i="41"/>
  <c r="AE55" i="45"/>
  <c r="BP55" i="45"/>
  <c r="C55" i="44"/>
  <c r="AW55" i="44"/>
  <c r="CH55" i="44"/>
  <c r="AE55" i="43"/>
  <c r="C55" i="45"/>
  <c r="AW55" i="45"/>
  <c r="CH55" i="45"/>
  <c r="AE55" i="44"/>
  <c r="BP55" i="44"/>
  <c r="C55" i="43"/>
  <c r="AW55" i="43"/>
  <c r="BP55" i="43"/>
  <c r="CH55" i="43"/>
  <c r="E55" i="41"/>
  <c r="AY55" i="41"/>
  <c r="CJ55" i="41"/>
  <c r="AG55" i="41"/>
  <c r="BR55" i="41"/>
  <c r="E55" i="45"/>
  <c r="AY55" i="45"/>
  <c r="CJ55" i="45"/>
  <c r="AG55" i="44"/>
  <c r="BR55" i="44"/>
  <c r="E55" i="43"/>
  <c r="AY55" i="43"/>
  <c r="BR55" i="43"/>
  <c r="CJ55" i="43"/>
  <c r="AG55" i="45"/>
  <c r="BR55" i="45"/>
  <c r="E55" i="44"/>
  <c r="AY55" i="44"/>
  <c r="CJ55" i="44"/>
  <c r="AG55" i="43"/>
  <c r="G55" i="41"/>
  <c r="AI55" i="43"/>
  <c r="G55" i="45"/>
  <c r="CL55" i="45"/>
  <c r="BT55" i="43"/>
  <c r="B55" i="41"/>
  <c r="CA55" i="41"/>
  <c r="AD55" i="41"/>
  <c r="BO55" i="41"/>
  <c r="AD55" i="43"/>
  <c r="AV55" i="43"/>
  <c r="B55" i="43"/>
  <c r="AP55" i="43" s="1"/>
  <c r="AD55" i="44"/>
  <c r="AV55" i="44"/>
  <c r="CG55" i="44"/>
  <c r="AN55" i="41"/>
  <c r="CQ55" i="41"/>
  <c r="AN55" i="45"/>
  <c r="CQ55" i="43"/>
  <c r="BY55" i="43"/>
  <c r="K55" i="41"/>
  <c r="BX55" i="45"/>
  <c r="K55" i="44"/>
  <c r="BE55" i="44"/>
  <c r="CP55" i="44"/>
  <c r="CP55" i="45"/>
  <c r="AM55" i="44"/>
  <c r="BX55" i="44"/>
  <c r="AZ55" i="44"/>
  <c r="CK55" i="44"/>
  <c r="AO55" i="41"/>
  <c r="M55" i="45"/>
  <c r="BG55" i="45"/>
  <c r="CR55" i="45"/>
  <c r="M55" i="43"/>
  <c r="BZ55" i="43"/>
  <c r="CR55" i="43"/>
  <c r="BG55" i="44"/>
  <c r="AO55" i="43"/>
  <c r="BU55" i="41"/>
  <c r="CM55" i="41"/>
  <c r="AJ55" i="45"/>
  <c r="BB55" i="45"/>
  <c r="AJ55" i="44"/>
  <c r="BU55" i="43"/>
  <c r="BU55" i="45"/>
  <c r="BU55" i="44"/>
  <c r="BB55" i="43"/>
  <c r="J55" i="41"/>
  <c r="AL55" i="41"/>
  <c r="BD55" i="41"/>
  <c r="CO55" i="41"/>
  <c r="BW55" i="41"/>
  <c r="BW55" i="45"/>
  <c r="BW55" i="44"/>
  <c r="AL55" i="43"/>
  <c r="BD55" i="43"/>
  <c r="CO55" i="43"/>
  <c r="AL55" i="45"/>
  <c r="BD55" i="45"/>
  <c r="CO55" i="45"/>
  <c r="AL55" i="44"/>
  <c r="BD55" i="44"/>
  <c r="CO55" i="44"/>
  <c r="J55" i="43"/>
  <c r="BW55" i="43"/>
  <c r="J55" i="45"/>
  <c r="J55" i="44"/>
  <c r="BG47" i="45"/>
  <c r="CR47" i="45"/>
  <c r="BW47" i="41"/>
  <c r="BW47" i="45"/>
  <c r="CO47" i="45"/>
  <c r="BW47" i="44"/>
  <c r="BD47" i="41"/>
  <c r="BD47" i="45"/>
  <c r="BD47" i="44"/>
  <c r="BY47" i="45"/>
  <c r="BY47" i="41"/>
  <c r="AN47" i="41"/>
  <c r="CQ47" i="45"/>
  <c r="CQ47" i="44"/>
  <c r="AN47" i="43"/>
  <c r="BF47" i="41"/>
  <c r="CQ47" i="41"/>
  <c r="L47" i="44"/>
  <c r="AN47" i="44"/>
  <c r="BF47" i="43"/>
  <c r="BF47" i="44"/>
  <c r="BF47" i="45"/>
  <c r="L47" i="45"/>
  <c r="BY47" i="43"/>
  <c r="BY47" i="44"/>
  <c r="F47" i="45"/>
  <c r="AH47" i="41"/>
  <c r="BS47" i="45"/>
  <c r="CK47" i="44"/>
  <c r="AH47" i="43"/>
  <c r="BS47" i="43"/>
  <c r="CK47" i="45"/>
  <c r="AH47" i="44"/>
  <c r="BS47" i="44"/>
  <c r="BS47" i="41"/>
  <c r="AZ47" i="41"/>
  <c r="AZ47" i="43"/>
  <c r="AZ47" i="45"/>
  <c r="F47" i="44"/>
  <c r="AZ47" i="44"/>
  <c r="G47" i="44"/>
  <c r="AI47" i="44"/>
  <c r="BA47" i="44"/>
  <c r="CL47" i="44"/>
  <c r="AI47" i="43"/>
  <c r="BA47" i="43"/>
  <c r="G47" i="41"/>
  <c r="AI47" i="41"/>
  <c r="BA47" i="41"/>
  <c r="BT47" i="41"/>
  <c r="CL47" i="41"/>
  <c r="G47" i="45"/>
  <c r="BA47" i="45"/>
  <c r="BT47" i="45"/>
  <c r="CL47" i="45"/>
  <c r="BT47" i="44"/>
  <c r="BT47" i="43"/>
  <c r="GT92" i="44"/>
  <c r="DF36" i="43"/>
  <c r="HK36" i="43"/>
  <c r="DF36" i="44"/>
  <c r="HK36" i="44"/>
  <c r="DF36" i="41"/>
  <c r="DF36" i="45"/>
  <c r="HK36" i="45"/>
  <c r="G27" i="41"/>
  <c r="BT27" i="41"/>
  <c r="CL27" i="45"/>
  <c r="BA27" i="41"/>
  <c r="CL27" i="41"/>
  <c r="G27" i="44"/>
  <c r="AI27" i="44"/>
  <c r="G27" i="43"/>
  <c r="AI27" i="43"/>
  <c r="BA27" i="44"/>
  <c r="BT27" i="44"/>
  <c r="CL27" i="44"/>
  <c r="BA27" i="43"/>
  <c r="CL27" i="43"/>
  <c r="AI27" i="45"/>
  <c r="G27" i="45"/>
  <c r="BT27" i="45"/>
  <c r="BF27" i="41"/>
  <c r="L27" i="41"/>
  <c r="CQ27" i="41"/>
  <c r="BY27" i="41"/>
  <c r="L27" i="45"/>
  <c r="BF27" i="45"/>
  <c r="AN27" i="45"/>
  <c r="CQ27" i="45"/>
  <c r="L27" i="44"/>
  <c r="AN27" i="44"/>
  <c r="CQ27" i="44"/>
  <c r="AN27" i="43"/>
  <c r="CQ27" i="43"/>
  <c r="BF27" i="43"/>
  <c r="L27" i="43"/>
  <c r="BF27" i="44"/>
  <c r="BY27" i="45"/>
  <c r="BY27" i="44"/>
  <c r="BC27" i="41"/>
  <c r="AK27" i="44"/>
  <c r="BG27" i="41"/>
  <c r="CR27" i="41"/>
  <c r="M27" i="45"/>
  <c r="AO27" i="45"/>
  <c r="M27" i="41"/>
  <c r="BZ27" i="41"/>
  <c r="CR27" i="45"/>
  <c r="BG27" i="44"/>
  <c r="BZ27" i="44"/>
  <c r="CR27" i="44"/>
  <c r="BG27" i="43"/>
  <c r="CR27" i="43"/>
  <c r="M27" i="44"/>
  <c r="AO27" i="44"/>
  <c r="M27" i="43"/>
  <c r="AO27" i="43"/>
  <c r="BZ27" i="45"/>
  <c r="K27" i="41"/>
  <c r="CP27" i="41"/>
  <c r="CP27" i="45"/>
  <c r="K27" i="44"/>
  <c r="BE27" i="44"/>
  <c r="BX27" i="44"/>
  <c r="BE27" i="43"/>
  <c r="AM27" i="45"/>
  <c r="D27" i="41"/>
  <c r="AX27" i="41"/>
  <c r="BQ27" i="41"/>
  <c r="D27" i="44"/>
  <c r="AF27" i="44"/>
  <c r="AX27" i="44"/>
  <c r="AF27" i="43"/>
  <c r="AX27" i="43"/>
  <c r="CI27" i="43"/>
  <c r="C27" i="41"/>
  <c r="AW27" i="41"/>
  <c r="CH27" i="41"/>
  <c r="CH27" i="45"/>
  <c r="C27" i="44"/>
  <c r="AW27" i="44"/>
  <c r="BP27" i="44"/>
  <c r="AW27" i="43"/>
  <c r="C27" i="45"/>
  <c r="GT92" i="43"/>
  <c r="M24" i="45"/>
  <c r="AO24" i="45"/>
  <c r="BZ24" i="41"/>
  <c r="BZ24" i="43"/>
  <c r="BZ24" i="44"/>
  <c r="M24" i="43"/>
  <c r="DA36" i="41"/>
  <c r="HF36" i="41" s="1"/>
  <c r="CZ36" i="41"/>
  <c r="HE36" i="41"/>
  <c r="CZ36" i="45"/>
  <c r="HE36" i="45"/>
  <c r="CZ36" i="43"/>
  <c r="HE36" i="43"/>
  <c r="CZ36" i="44"/>
  <c r="HE36" i="44"/>
  <c r="GR92" i="44"/>
  <c r="BB27" i="41"/>
  <c r="CM27" i="41"/>
  <c r="H27" i="41"/>
  <c r="H27" i="45"/>
  <c r="H27" i="44"/>
  <c r="AJ27" i="44"/>
  <c r="BB27" i="44"/>
  <c r="AJ27" i="43"/>
  <c r="BB27" i="43"/>
  <c r="CM27" i="43"/>
  <c r="AZ27" i="41"/>
  <c r="B27" i="41"/>
  <c r="B27" i="45"/>
  <c r="BO27" i="44"/>
  <c r="CG27" i="43"/>
  <c r="AD27" i="45"/>
  <c r="CG27" i="44"/>
  <c r="J27" i="41"/>
  <c r="BW27" i="41"/>
  <c r="J27" i="45"/>
  <c r="AL27" i="41"/>
  <c r="BD27" i="41"/>
  <c r="CO27" i="41"/>
  <c r="BW27" i="45"/>
  <c r="BW27" i="44"/>
  <c r="AL27" i="43"/>
  <c r="BD27" i="43"/>
  <c r="CO27" i="43"/>
  <c r="AL27" i="45"/>
  <c r="BD27" i="45"/>
  <c r="CO27" i="45"/>
  <c r="J27" i="44"/>
  <c r="AL27" i="44"/>
  <c r="BD27" i="44"/>
  <c r="CO27" i="44"/>
  <c r="J27" i="43"/>
  <c r="HB48" i="44"/>
  <c r="HB48" i="41"/>
  <c r="BS23" i="41"/>
  <c r="GS23" i="41"/>
  <c r="AH23" i="45"/>
  <c r="AZ23" i="45"/>
  <c r="CK23" i="45"/>
  <c r="AH23" i="44"/>
  <c r="AZ23" i="44"/>
  <c r="CK23" i="44"/>
  <c r="AZ23" i="43"/>
  <c r="BS23" i="43"/>
  <c r="F23" i="41"/>
  <c r="AZ23" i="41"/>
  <c r="CK23" i="41"/>
  <c r="AH23" i="41"/>
  <c r="BS23" i="45"/>
  <c r="F23" i="44"/>
  <c r="BS23" i="44"/>
  <c r="CK23" i="43"/>
  <c r="AH23" i="43"/>
  <c r="F23" i="43"/>
  <c r="AG23" i="41"/>
  <c r="GR23" i="41"/>
  <c r="BR23" i="44"/>
  <c r="BR23" i="43"/>
  <c r="BT23" i="41"/>
  <c r="G23" i="41"/>
  <c r="CL23" i="41"/>
  <c r="BY23" i="45"/>
  <c r="L23" i="41"/>
  <c r="BY23" i="41"/>
  <c r="CQ23" i="41"/>
  <c r="AN23" i="41"/>
  <c r="GY23" i="41"/>
  <c r="L23" i="44"/>
  <c r="BF23" i="41"/>
  <c r="AN23" i="45"/>
  <c r="CQ23" i="45"/>
  <c r="AN23" i="44"/>
  <c r="CQ23" i="44"/>
  <c r="CQ23" i="43"/>
  <c r="BF23" i="45"/>
  <c r="BY23" i="44"/>
  <c r="AN23" i="43"/>
  <c r="BY23" i="43"/>
  <c r="BF23" i="43"/>
  <c r="L23" i="43"/>
  <c r="BF23" i="44"/>
  <c r="BX23" i="45"/>
  <c r="BE23" i="45"/>
  <c r="H20" i="35"/>
  <c r="AJ23" i="41"/>
  <c r="BU23" i="41"/>
  <c r="BU23" i="45"/>
  <c r="H23" i="44"/>
  <c r="BU23" i="44"/>
  <c r="AJ23" i="43"/>
  <c r="H23" i="41"/>
  <c r="BB23" i="41"/>
  <c r="CM23" i="41"/>
  <c r="AJ23" i="45"/>
  <c r="BB23" i="45"/>
  <c r="CM23" i="45"/>
  <c r="AJ23" i="44"/>
  <c r="BB23" i="44"/>
  <c r="CM23" i="44"/>
  <c r="BU23" i="43"/>
  <c r="BB23" i="43"/>
  <c r="CM23" i="43"/>
  <c r="H23" i="43"/>
  <c r="GU23" i="41"/>
  <c r="CR23" i="41"/>
  <c r="AO23" i="41"/>
  <c r="BG23" i="45"/>
  <c r="CR23" i="45"/>
  <c r="BG23" i="44"/>
  <c r="BZ23" i="44"/>
  <c r="CR23" i="44"/>
  <c r="CR23" i="43"/>
  <c r="BZ23" i="43"/>
  <c r="M23" i="43"/>
  <c r="BG23" i="41"/>
  <c r="BZ23" i="41"/>
  <c r="M23" i="41"/>
  <c r="AO23" i="45"/>
  <c r="BZ23" i="45"/>
  <c r="M23" i="44"/>
  <c r="AO23" i="44"/>
  <c r="BG23" i="43"/>
  <c r="AO23" i="43"/>
  <c r="GZ23" i="41"/>
  <c r="GO23" i="41"/>
  <c r="AV23" i="45"/>
  <c r="CG23" i="45"/>
  <c r="AV23" i="41"/>
  <c r="BO23" i="41"/>
  <c r="CA23" i="41" s="1"/>
  <c r="AD23" i="44"/>
  <c r="AP23" i="44" s="1"/>
  <c r="D23" i="41"/>
  <c r="AX23" i="41"/>
  <c r="AX23" i="44"/>
  <c r="CI23" i="44"/>
  <c r="AF23" i="43"/>
  <c r="J23" i="41"/>
  <c r="BD23" i="41"/>
  <c r="CO23" i="41"/>
  <c r="AL23" i="41"/>
  <c r="AL23" i="45"/>
  <c r="BD23" i="45"/>
  <c r="CO23" i="45"/>
  <c r="AL23" i="44"/>
  <c r="BD23" i="44"/>
  <c r="CO23" i="44"/>
  <c r="CO23" i="43"/>
  <c r="AL23" i="43"/>
  <c r="BW23" i="41"/>
  <c r="GW23" i="41"/>
  <c r="BW23" i="45"/>
  <c r="J23" i="44"/>
  <c r="BW23" i="44"/>
  <c r="BD23" i="43"/>
  <c r="BW23" i="43"/>
  <c r="J23" i="43"/>
  <c r="AW23" i="41"/>
  <c r="BP23" i="41"/>
  <c r="C23" i="41"/>
  <c r="GP23" i="41"/>
  <c r="AE23" i="45"/>
  <c r="BP23" i="45"/>
  <c r="C23" i="44"/>
  <c r="AE23" i="44"/>
  <c r="AW23" i="43"/>
  <c r="AE23" i="43"/>
  <c r="CH23" i="41"/>
  <c r="AE23" i="41"/>
  <c r="AW23" i="45"/>
  <c r="CH23" i="45"/>
  <c r="AW23" i="44"/>
  <c r="BP23" i="44"/>
  <c r="CH23" i="44"/>
  <c r="CH23" i="43"/>
  <c r="BP23" i="43"/>
  <c r="C23" i="43"/>
  <c r="BC23" i="41"/>
  <c r="I23" i="41"/>
  <c r="GV23" i="41"/>
  <c r="I23" i="44"/>
  <c r="AB16" i="35"/>
  <c r="AL15" i="35"/>
  <c r="R20" i="35"/>
  <c r="HK36" i="41"/>
  <c r="AV130" i="41"/>
  <c r="AV145" i="41"/>
  <c r="BB145" i="41" s="1"/>
  <c r="AV151" i="41" s="1"/>
  <c r="CG130" i="41"/>
  <c r="CG145" i="41" s="1"/>
  <c r="CG137" i="41"/>
  <c r="CJ145" i="41"/>
  <c r="AV137" i="41"/>
  <c r="AY145" i="41"/>
  <c r="DO130" i="41"/>
  <c r="DO145" i="41" s="1"/>
  <c r="DU145" i="41" s="1"/>
  <c r="DO151" i="41" s="1"/>
  <c r="CX130" i="41"/>
  <c r="CX145" i="41" s="1"/>
  <c r="DD145" i="41" s="1"/>
  <c r="CX151" i="41" s="1"/>
  <c r="GO130" i="41"/>
  <c r="GO145" i="41" s="1"/>
  <c r="BO130" i="41"/>
  <c r="BO145" i="41"/>
  <c r="BU145" i="41"/>
  <c r="BO151" i="41"/>
  <c r="AD130" i="41"/>
  <c r="AD145" i="41" s="1"/>
  <c r="FW130" i="41"/>
  <c r="FW145" i="41"/>
  <c r="FC130" i="41"/>
  <c r="FC145" i="41"/>
  <c r="FC137" i="41"/>
  <c r="FF145" i="41"/>
  <c r="FI145" i="41" s="1"/>
  <c r="FC151" i="41" s="1"/>
  <c r="FW137" i="41"/>
  <c r="FZ145" i="41"/>
  <c r="EG130" i="41"/>
  <c r="EG145" i="41" s="1"/>
  <c r="HQ145" i="41"/>
  <c r="HW145" i="41" s="1"/>
  <c r="HQ151" i="41" s="1"/>
  <c r="EM145" i="41"/>
  <c r="EG151" i="41" s="1"/>
  <c r="B130" i="41"/>
  <c r="GU145" i="41"/>
  <c r="GO151" i="41" s="1"/>
  <c r="GO137" i="41"/>
  <c r="GR145" i="41"/>
  <c r="BO137" i="41"/>
  <c r="BR145" i="41"/>
  <c r="DO137" i="41"/>
  <c r="DR145" i="41"/>
  <c r="AD137" i="41"/>
  <c r="AG145" i="41"/>
  <c r="CX137" i="41"/>
  <c r="DA145" i="41"/>
  <c r="B145" i="41"/>
  <c r="B137" i="41"/>
  <c r="B140" i="41"/>
  <c r="E145" i="41"/>
  <c r="EG137" i="41"/>
  <c r="HQ137" i="41" s="1"/>
  <c r="EJ145" i="41"/>
  <c r="ER137" i="41"/>
  <c r="EU145" i="41"/>
  <c r="H24" i="35"/>
  <c r="H29" i="35"/>
  <c r="AL24" i="35"/>
  <c r="AL29" i="35"/>
  <c r="AB29" i="35"/>
  <c r="AB24" i="35"/>
  <c r="R29" i="35"/>
  <c r="R24" i="35"/>
  <c r="I27" i="45"/>
  <c r="CN27" i="43"/>
  <c r="BV27" i="44"/>
  <c r="BC27" i="44"/>
  <c r="BV27" i="41"/>
  <c r="BC27" i="43"/>
  <c r="AK27" i="43"/>
  <c r="I27" i="43"/>
  <c r="I27" i="41"/>
  <c r="CN27" i="44"/>
  <c r="CN27" i="45"/>
  <c r="CN27" i="41"/>
  <c r="BV27" i="45"/>
  <c r="I27" i="44"/>
  <c r="AK27" i="45"/>
  <c r="BR27" i="41"/>
  <c r="E27" i="44"/>
  <c r="BR27" i="45"/>
  <c r="E27" i="41"/>
  <c r="AY27" i="43"/>
  <c r="CJ27" i="44"/>
  <c r="CJ27" i="43"/>
  <c r="AG27" i="45"/>
  <c r="CJ27" i="41"/>
  <c r="AY27" i="44"/>
  <c r="E27" i="43"/>
  <c r="AY27" i="41"/>
  <c r="CJ27" i="45"/>
  <c r="AG27" i="44"/>
  <c r="DT41" i="12"/>
  <c r="DQ41" i="12"/>
  <c r="DP41" i="12"/>
  <c r="DV41" i="12"/>
  <c r="DN41" i="12"/>
  <c r="DO41" i="12"/>
  <c r="DM41" i="12"/>
  <c r="DW41" i="12"/>
  <c r="DL41" i="12"/>
  <c r="GV41" i="12"/>
  <c r="DS41" i="12"/>
  <c r="DR41" i="12"/>
  <c r="DU41" i="12"/>
  <c r="DC39" i="43"/>
  <c r="HH39" i="43" s="1"/>
  <c r="DC39" i="45"/>
  <c r="HH39" i="45"/>
  <c r="DC39" i="41"/>
  <c r="HH39" i="41" s="1"/>
  <c r="DC39" i="44"/>
  <c r="HH39" i="44" s="1"/>
  <c r="E27" i="45"/>
  <c r="AW47" i="44"/>
  <c r="AW47" i="43"/>
  <c r="AE47" i="44"/>
  <c r="BP47" i="43"/>
  <c r="DB36" i="45"/>
  <c r="HG36" i="45"/>
  <c r="DB36" i="44"/>
  <c r="HG36" i="44"/>
  <c r="DB36" i="41"/>
  <c r="HG36" i="41" s="1"/>
  <c r="DB36" i="43"/>
  <c r="HG36" i="43"/>
  <c r="BR27" i="44"/>
  <c r="AG27" i="43"/>
  <c r="CW25" i="41"/>
  <c r="DF25" i="43"/>
  <c r="HK25" i="43" s="1"/>
  <c r="DF25" i="45"/>
  <c r="HK25" i="45" s="1"/>
  <c r="CZ48" i="45"/>
  <c r="HE48" i="45" s="1"/>
  <c r="DC56" i="44"/>
  <c r="HH56" i="44" s="1"/>
  <c r="DC56" i="41"/>
  <c r="HH56" i="41"/>
  <c r="DB34" i="41"/>
  <c r="HG34" i="41"/>
  <c r="DB34" i="44"/>
  <c r="HG34" i="44" s="1"/>
  <c r="DB34" i="43"/>
  <c r="HG34" i="43" s="1"/>
  <c r="AE41" i="12"/>
  <c r="T41" i="12"/>
  <c r="W41" i="12"/>
  <c r="X41" i="12"/>
  <c r="R39" i="41"/>
  <c r="R39" i="44"/>
  <c r="R39" i="43"/>
  <c r="R39" i="45"/>
  <c r="E26" i="35"/>
  <c r="G172" i="41"/>
  <c r="G26" i="35"/>
  <c r="EA92" i="41"/>
  <c r="EA92" i="44"/>
  <c r="EA92" i="45"/>
  <c r="EA92" i="43"/>
  <c r="EA84" i="45"/>
  <c r="EA84" i="41"/>
  <c r="EA84" i="44"/>
  <c r="EA84" i="43"/>
  <c r="AG123" i="41"/>
  <c r="GC123" i="41"/>
  <c r="AI123" i="41"/>
  <c r="BS123" i="41"/>
  <c r="AD123" i="41"/>
  <c r="GH123" i="41"/>
  <c r="DT123" i="41"/>
  <c r="GJ17" i="44"/>
  <c r="GJ17" i="43"/>
  <c r="CK8" i="18"/>
  <c r="GN47" i="41"/>
  <c r="S47" i="41"/>
  <c r="P47" i="41"/>
  <c r="O47" i="41"/>
  <c r="X47" i="41"/>
  <c r="V47" i="41"/>
  <c r="U47" i="41"/>
  <c r="Z47" i="41"/>
  <c r="T47" i="41"/>
  <c r="J47" i="41"/>
  <c r="L47" i="41"/>
  <c r="Q47" i="41"/>
  <c r="DK47" i="41"/>
  <c r="CU47" i="41"/>
  <c r="CK47" i="41"/>
  <c r="CR47" i="41"/>
  <c r="CU48" i="41"/>
  <c r="BQ50" i="41"/>
  <c r="BY50" i="41"/>
  <c r="BZ50" i="41"/>
  <c r="BR50" i="41"/>
  <c r="BW50" i="41"/>
  <c r="BS50" i="41"/>
  <c r="BT50" i="41"/>
  <c r="BO50" i="41"/>
  <c r="CA50" i="41" s="1"/>
  <c r="Z42" i="43"/>
  <c r="P42" i="43"/>
  <c r="V42" i="43"/>
  <c r="T42" i="43"/>
  <c r="Q42" i="43"/>
  <c r="W42" i="43"/>
  <c r="R42" i="43"/>
  <c r="X42" i="43"/>
  <c r="Y42" i="43"/>
  <c r="S42" i="43"/>
  <c r="U42" i="43"/>
  <c r="CU42" i="43"/>
  <c r="DK42" i="43"/>
  <c r="CU43" i="43"/>
  <c r="DK48" i="45"/>
  <c r="CU48" i="45"/>
  <c r="BW50" i="45"/>
  <c r="BZ50" i="45"/>
  <c r="BS50" i="45"/>
  <c r="BO50" i="45"/>
  <c r="CA50" i="45"/>
  <c r="BP50" i="45"/>
  <c r="BY50" i="45"/>
  <c r="BQ50" i="45"/>
  <c r="BV50" i="45"/>
  <c r="GC148" i="45"/>
  <c r="AJ148" i="45"/>
  <c r="BB148" i="45"/>
  <c r="GU148" i="45"/>
  <c r="DD148" i="45"/>
  <c r="DU148" i="45"/>
  <c r="EM148" i="45"/>
  <c r="CM148" i="45"/>
  <c r="FI148" i="45"/>
  <c r="BU148" i="45"/>
  <c r="GA31" i="44"/>
  <c r="GA31" i="45"/>
  <c r="GA31" i="43"/>
  <c r="CA19" i="18"/>
  <c r="GA23" i="41"/>
  <c r="GA23" i="45"/>
  <c r="GA23" i="44"/>
  <c r="GA23" i="43"/>
  <c r="CA11" i="18"/>
  <c r="GD15" i="45"/>
  <c r="GA15" i="41"/>
  <c r="GA15" i="43"/>
  <c r="GA15" i="45"/>
  <c r="GA15" i="44"/>
  <c r="Z88" i="35"/>
  <c r="F61" i="26"/>
  <c r="N74" i="35"/>
  <c r="Q74" i="35"/>
  <c r="CR55" i="41"/>
  <c r="BZ55" i="44"/>
  <c r="M55" i="44"/>
  <c r="BG55" i="41"/>
  <c r="AO55" i="44"/>
  <c r="BZ55" i="45"/>
  <c r="M55" i="41"/>
  <c r="AO55" i="45"/>
  <c r="BZ55" i="41"/>
  <c r="BG55" i="43"/>
  <c r="CR55" i="44"/>
  <c r="DC31" i="45"/>
  <c r="HH31" i="45"/>
  <c r="DH48" i="45"/>
  <c r="HM48" i="45"/>
  <c r="DD34" i="44"/>
  <c r="HI34" i="44"/>
  <c r="O36" i="44"/>
  <c r="O36" i="43"/>
  <c r="O36" i="45"/>
  <c r="Q36" i="45"/>
  <c r="H204" i="12"/>
  <c r="G204" i="12"/>
  <c r="F204" i="12"/>
  <c r="DO96" i="45"/>
  <c r="GN96" i="45"/>
  <c r="DO96" i="43"/>
  <c r="GN96" i="43"/>
  <c r="DO96" i="41"/>
  <c r="GN96" i="41"/>
  <c r="BW33" i="45"/>
  <c r="BD33" i="44"/>
  <c r="J33" i="43"/>
  <c r="J33" i="41"/>
  <c r="BD33" i="43"/>
  <c r="AD59" i="41"/>
  <c r="AP59" i="41" s="1"/>
  <c r="GO59" i="41"/>
  <c r="CG59" i="44"/>
  <c r="CG59" i="43"/>
  <c r="BO59" i="44"/>
  <c r="CA59" i="44"/>
  <c r="BO59" i="41"/>
  <c r="CA59" i="41"/>
  <c r="BO59" i="43"/>
  <c r="AV59" i="44"/>
  <c r="AD59" i="44"/>
  <c r="AP59" i="44"/>
  <c r="AV59" i="45"/>
  <c r="AV59" i="41"/>
  <c r="B59" i="43"/>
  <c r="AP59" i="43" s="1"/>
  <c r="GO59" i="43"/>
  <c r="B59" i="44"/>
  <c r="CS59" i="44"/>
  <c r="AD59" i="45"/>
  <c r="AD59" i="43"/>
  <c r="B59" i="41"/>
  <c r="CS59" i="41" s="1"/>
  <c r="B59" i="45"/>
  <c r="CA59" i="45" s="1"/>
  <c r="L117" i="44"/>
  <c r="L117" i="45"/>
  <c r="T50" i="43"/>
  <c r="T50" i="45"/>
  <c r="T50" i="44"/>
  <c r="T50" i="41"/>
  <c r="B71" i="25"/>
  <c r="B61" i="25"/>
  <c r="G172" i="12"/>
  <c r="H172" i="12"/>
  <c r="F172" i="12"/>
  <c r="E172" i="12"/>
  <c r="AZ55" i="43"/>
  <c r="CP23" i="41"/>
  <c r="CO47" i="41"/>
  <c r="BG47" i="43"/>
  <c r="M47" i="41"/>
  <c r="AH55" i="44"/>
  <c r="R47" i="41"/>
  <c r="B95" i="41"/>
  <c r="B95" i="43"/>
  <c r="B95" i="45"/>
  <c r="BY19" i="18"/>
  <c r="GH23" i="43"/>
  <c r="GH23" i="44"/>
  <c r="GH23" i="45"/>
  <c r="GH23" i="41"/>
  <c r="DT116" i="45"/>
  <c r="GS116" i="45"/>
  <c r="DS116" i="45"/>
  <c r="GR116" i="45" s="1"/>
  <c r="DP116" i="45"/>
  <c r="GO116" i="45" s="1"/>
  <c r="DW116" i="45"/>
  <c r="GV116" i="45"/>
  <c r="DV116" i="45"/>
  <c r="GU116" i="45" s="1"/>
  <c r="EA116" i="45"/>
  <c r="DO116" i="45"/>
  <c r="GN116" i="45"/>
  <c r="DX116" i="45"/>
  <c r="GW116" i="45"/>
  <c r="GA25" i="41"/>
  <c r="GA25" i="43"/>
  <c r="GA25" i="44"/>
  <c r="F61" i="15"/>
  <c r="X88" i="35"/>
  <c r="DT43" i="12"/>
  <c r="DW43" i="12"/>
  <c r="DM43" i="12"/>
  <c r="DP43" i="12"/>
  <c r="DL43" i="12"/>
  <c r="GF12" i="41"/>
  <c r="GI12" i="41"/>
  <c r="GA12" i="41"/>
  <c r="GH12" i="41"/>
  <c r="GJ12" i="41"/>
  <c r="EH31" i="12"/>
  <c r="EL31" i="12"/>
  <c r="EJ31" i="12"/>
  <c r="EM31" i="12"/>
  <c r="DE47" i="45" s="1"/>
  <c r="HJ47" i="45" s="1"/>
  <c r="EE31" i="12"/>
  <c r="CW47" i="45"/>
  <c r="EK31" i="12"/>
  <c r="DC47" i="45"/>
  <c r="HH47" i="45"/>
  <c r="EO31" i="12"/>
  <c r="DG47" i="45" s="1"/>
  <c r="HL47" i="45" s="1"/>
  <c r="EG31" i="12"/>
  <c r="EN31" i="12"/>
  <c r="GW31" i="12"/>
  <c r="EF31" i="12"/>
  <c r="GD31" i="43"/>
  <c r="GD31" i="44"/>
  <c r="GD31" i="45"/>
  <c r="CY34" i="45"/>
  <c r="HD34" i="45" s="1"/>
  <c r="CY34" i="44"/>
  <c r="HD34" i="44" s="1"/>
  <c r="Z29" i="44"/>
  <c r="Z29" i="41"/>
  <c r="Z29" i="43"/>
  <c r="DY91" i="41"/>
  <c r="GX91" i="41"/>
  <c r="DY91" i="45"/>
  <c r="GX91" i="45" s="1"/>
  <c r="DY91" i="43"/>
  <c r="GX91" i="43"/>
  <c r="DY91" i="44"/>
  <c r="GX91" i="44"/>
  <c r="AJ145" i="41"/>
  <c r="AD151" i="41" s="1"/>
  <c r="E23" i="43"/>
  <c r="DV76" i="41"/>
  <c r="GU76" i="41"/>
  <c r="K23" i="43"/>
  <c r="BE23" i="41"/>
  <c r="AH47" i="45"/>
  <c r="CW25" i="44"/>
  <c r="DB34" i="45"/>
  <c r="HG34" i="45"/>
  <c r="BR50" i="45"/>
  <c r="DV76" i="44"/>
  <c r="GU76" i="44"/>
  <c r="GN42" i="43"/>
  <c r="GM43" i="43"/>
  <c r="BY14" i="18"/>
  <c r="GB18" i="45" s="1"/>
  <c r="GH18" i="44"/>
  <c r="GH18" i="43"/>
  <c r="GH18" i="41"/>
  <c r="GH18" i="45"/>
  <c r="C199" i="12"/>
  <c r="AM36" i="12"/>
  <c r="AN36" i="12"/>
  <c r="DC30" i="12"/>
  <c r="M30" i="16" s="1"/>
  <c r="DF30" i="12" s="1"/>
  <c r="DI30" i="12" s="1"/>
  <c r="F30" i="16"/>
  <c r="EC112" i="45"/>
  <c r="EA112" i="45"/>
  <c r="GA17" i="45"/>
  <c r="U23" i="12"/>
  <c r="N32" i="27"/>
  <c r="N34" i="27"/>
  <c r="G32" i="27"/>
  <c r="M32" i="27"/>
  <c r="M34" i="27"/>
  <c r="M28" i="26"/>
  <c r="M29" i="26"/>
  <c r="B29" i="26"/>
  <c r="GJ17" i="41"/>
  <c r="GH17" i="41"/>
  <c r="GF17" i="41"/>
  <c r="GA17" i="41"/>
  <c r="GG17" i="41"/>
  <c r="GI17" i="41"/>
  <c r="AO47" i="43"/>
  <c r="AO47" i="44"/>
  <c r="AO47" i="41"/>
  <c r="M47" i="44"/>
  <c r="DK25" i="41"/>
  <c r="DK25" i="43"/>
  <c r="DK25" i="44"/>
  <c r="DK25" i="45"/>
  <c r="W44" i="43"/>
  <c r="GC28" i="41"/>
  <c r="GC28" i="44"/>
  <c r="GC28" i="45"/>
  <c r="GC28" i="43"/>
  <c r="C49" i="12"/>
  <c r="B55" i="12" s="1"/>
  <c r="CP23" i="43"/>
  <c r="AY23" i="45"/>
  <c r="DF25" i="44"/>
  <c r="HK25" i="44"/>
  <c r="BX23" i="41"/>
  <c r="CW25" i="43"/>
  <c r="CZ27" i="45"/>
  <c r="HE27" i="45"/>
  <c r="GS41" i="12"/>
  <c r="BP50" i="41"/>
  <c r="EX148" i="45"/>
  <c r="EC116" i="45"/>
  <c r="DV76" i="45"/>
  <c r="GU76" i="45"/>
  <c r="V42" i="41"/>
  <c r="V42" i="45"/>
  <c r="V42" i="44"/>
  <c r="DC36" i="12"/>
  <c r="M36" i="16" s="1"/>
  <c r="DF36" i="12" s="1"/>
  <c r="DI36" i="12" s="1"/>
  <c r="F36" i="16"/>
  <c r="CA5" i="18"/>
  <c r="GD9" i="44"/>
  <c r="GA9" i="44"/>
  <c r="GA9" i="43"/>
  <c r="AH55" i="43"/>
  <c r="BS55" i="44"/>
  <c r="EE44" i="12"/>
  <c r="CW60" i="45" s="1"/>
  <c r="HB60" i="45" s="1"/>
  <c r="EJ44" i="12"/>
  <c r="DB60" i="43" s="1"/>
  <c r="HG60" i="43" s="1"/>
  <c r="EF44" i="12"/>
  <c r="EM44" i="12"/>
  <c r="U9" i="12"/>
  <c r="W9" i="12"/>
  <c r="AC9" i="12"/>
  <c r="CY27" i="44"/>
  <c r="HD27" i="44"/>
  <c r="CY27" i="43"/>
  <c r="HD27" i="43"/>
  <c r="CZ25" i="45"/>
  <c r="HE25" i="45"/>
  <c r="CZ25" i="43"/>
  <c r="HE25" i="43"/>
  <c r="DE25" i="45"/>
  <c r="HJ25" i="45"/>
  <c r="CX34" i="41"/>
  <c r="HC34" i="41"/>
  <c r="CX34" i="43"/>
  <c r="HC34" i="43" s="1"/>
  <c r="CX34" i="45"/>
  <c r="HC34" i="45" s="1"/>
  <c r="DF48" i="45"/>
  <c r="HK48" i="45"/>
  <c r="CX51" i="45"/>
  <c r="HC51" i="45" s="1"/>
  <c r="DH54" i="43"/>
  <c r="HM54" i="43"/>
  <c r="DH54" i="41"/>
  <c r="HM54" i="41"/>
  <c r="DH54" i="44"/>
  <c r="HM54" i="44"/>
  <c r="DH54" i="45"/>
  <c r="HM54" i="45" s="1"/>
  <c r="AH55" i="41"/>
  <c r="CW25" i="45"/>
  <c r="AY23" i="44"/>
  <c r="F47" i="41"/>
  <c r="BG47" i="41"/>
  <c r="F55" i="41"/>
  <c r="CZ27" i="44"/>
  <c r="HE27" i="44"/>
  <c r="DC56" i="45"/>
  <c r="HH56" i="45"/>
  <c r="AC41" i="12"/>
  <c r="CS59" i="45"/>
  <c r="BX50" i="45"/>
  <c r="DC49" i="45"/>
  <c r="HH49" i="45"/>
  <c r="DC49" i="43"/>
  <c r="HH49" i="43"/>
  <c r="BG50" i="44"/>
  <c r="M50" i="41"/>
  <c r="CR50" i="41"/>
  <c r="BZ50" i="44"/>
  <c r="BG50" i="45"/>
  <c r="CR50" i="43"/>
  <c r="AO50" i="45"/>
  <c r="M50" i="44"/>
  <c r="H117" i="43"/>
  <c r="BH55" i="43"/>
  <c r="DF40" i="44"/>
  <c r="HK40" i="44" s="1"/>
  <c r="DF40" i="43"/>
  <c r="HK40" i="43" s="1"/>
  <c r="DF40" i="41"/>
  <c r="HK40" i="41"/>
  <c r="DB41" i="45"/>
  <c r="HG41" i="45"/>
  <c r="DB41" i="44"/>
  <c r="HG41" i="44" s="1"/>
  <c r="EE15" i="12"/>
  <c r="EL15" i="12"/>
  <c r="DD31" i="41"/>
  <c r="HI31" i="41"/>
  <c r="EI15" i="12"/>
  <c r="EH15" i="12"/>
  <c r="CZ31" i="41" s="1"/>
  <c r="HE31" i="41" s="1"/>
  <c r="EM15" i="12"/>
  <c r="EG15" i="12"/>
  <c r="CY31" i="43"/>
  <c r="HD31" i="43" s="1"/>
  <c r="EJ15" i="12"/>
  <c r="DA54" i="43"/>
  <c r="HF54" i="43"/>
  <c r="DA54" i="44"/>
  <c r="HF54" i="44"/>
  <c r="DA54" i="45"/>
  <c r="HF54" i="45"/>
  <c r="EM18" i="12"/>
  <c r="GW18" i="12"/>
  <c r="EP18" i="12"/>
  <c r="EH18" i="12"/>
  <c r="EE18" i="12"/>
  <c r="EO18" i="12"/>
  <c r="D95" i="45"/>
  <c r="D95" i="44"/>
  <c r="D95" i="41"/>
  <c r="K79" i="41"/>
  <c r="K79" i="45"/>
  <c r="K79" i="43"/>
  <c r="C79" i="41"/>
  <c r="DH19" i="44"/>
  <c r="HM19" i="44" s="1"/>
  <c r="DH19" i="43"/>
  <c r="HM19" i="43" s="1"/>
  <c r="AP55" i="41"/>
  <c r="DR92" i="44"/>
  <c r="GQ92" i="44"/>
  <c r="DR92" i="45"/>
  <c r="GQ92" i="45" s="1"/>
  <c r="DR92" i="41"/>
  <c r="GQ92" i="41" s="1"/>
  <c r="DS93" i="44"/>
  <c r="GR93" i="44" s="1"/>
  <c r="DV96" i="45"/>
  <c r="GU96" i="45"/>
  <c r="T29" i="45"/>
  <c r="T29" i="43"/>
  <c r="T29" i="44"/>
  <c r="I59" i="44"/>
  <c r="BV59" i="41"/>
  <c r="AK59" i="43"/>
  <c r="CN59" i="41"/>
  <c r="CN59" i="45"/>
  <c r="I59" i="41"/>
  <c r="I59" i="43"/>
  <c r="BV59" i="44"/>
  <c r="I59" i="45"/>
  <c r="BD29" i="44"/>
  <c r="CX49" i="45"/>
  <c r="HC49" i="45"/>
  <c r="CX49" i="44"/>
  <c r="HC49" i="44"/>
  <c r="GP71" i="44"/>
  <c r="FC131" i="44"/>
  <c r="EP20" i="12"/>
  <c r="EE20" i="12"/>
  <c r="EK20" i="12"/>
  <c r="EG20" i="12"/>
  <c r="EF20" i="12"/>
  <c r="EM20" i="12"/>
  <c r="DC51" i="44"/>
  <c r="HH51" i="44"/>
  <c r="GU59" i="43"/>
  <c r="GY59" i="43"/>
  <c r="GR59" i="43"/>
  <c r="Q38" i="41"/>
  <c r="Q38" i="45"/>
  <c r="Q38" i="43"/>
  <c r="Q38" i="44"/>
  <c r="GA4" i="12"/>
  <c r="GE4" i="12"/>
  <c r="FT4" i="12"/>
  <c r="GD4" i="12"/>
  <c r="GB4" i="12"/>
  <c r="FU4" i="12"/>
  <c r="FZ4" i="12"/>
  <c r="FV4" i="12"/>
  <c r="FW4" i="12"/>
  <c r="D205" i="12"/>
  <c r="E205" i="12" s="1"/>
  <c r="N42" i="12"/>
  <c r="Q42" i="12" s="1"/>
  <c r="F95" i="44"/>
  <c r="DF51" i="44"/>
  <c r="HK51" i="44" s="1"/>
  <c r="F95" i="41"/>
  <c r="F95" i="45"/>
  <c r="F95" i="43"/>
  <c r="D86" i="44"/>
  <c r="D86" i="43"/>
  <c r="FC136" i="41"/>
  <c r="EG136" i="41"/>
  <c r="HQ136" i="41" s="1"/>
  <c r="FW136" i="41"/>
  <c r="ER136" i="41"/>
  <c r="GO136" i="41"/>
  <c r="GI30" i="45"/>
  <c r="GI30" i="41"/>
  <c r="GI30" i="44"/>
  <c r="GI30" i="43"/>
  <c r="F22" i="16"/>
  <c r="D185" i="12" s="1"/>
  <c r="DC22" i="12"/>
  <c r="M22" i="16"/>
  <c r="DF22" i="12" s="1"/>
  <c r="F50" i="44"/>
  <c r="F50" i="43"/>
  <c r="M76" i="43"/>
  <c r="M76" i="41"/>
  <c r="M76" i="45"/>
  <c r="M76" i="44"/>
  <c r="BF10" i="12"/>
  <c r="AZ10" i="12"/>
  <c r="GT10" i="12"/>
  <c r="GU10" i="12" s="1"/>
  <c r="FT19" i="12"/>
  <c r="GD19" i="12"/>
  <c r="T58" i="45"/>
  <c r="W50" i="41"/>
  <c r="GB10" i="44"/>
  <c r="L96" i="41"/>
  <c r="L96" i="45"/>
  <c r="L96" i="43"/>
  <c r="I117" i="44"/>
  <c r="I117" i="43"/>
  <c r="CK22" i="12"/>
  <c r="CO22" i="12"/>
  <c r="G95" i="41" s="1"/>
  <c r="CS22" i="12"/>
  <c r="ER22" i="12"/>
  <c r="CT22" i="12"/>
  <c r="L95" i="45" s="1"/>
  <c r="CR22" i="12"/>
  <c r="CP22" i="12"/>
  <c r="CR8" i="12"/>
  <c r="CL8" i="12"/>
  <c r="ER8" i="12"/>
  <c r="CK8" i="12"/>
  <c r="CU8" i="12"/>
  <c r="CP8" i="12"/>
  <c r="CS8" i="12"/>
  <c r="CO8" i="12"/>
  <c r="GU31" i="12"/>
  <c r="AI45" i="12"/>
  <c r="S36" i="32" s="1"/>
  <c r="T36" i="32" s="1"/>
  <c r="I92" i="43"/>
  <c r="I92" i="44"/>
  <c r="I92" i="45"/>
  <c r="X58" i="45"/>
  <c r="P50" i="44"/>
  <c r="P50" i="41"/>
  <c r="P50" i="43"/>
  <c r="DX82" i="44"/>
  <c r="GW82" i="44"/>
  <c r="GC30" i="43"/>
  <c r="GC30" i="44"/>
  <c r="GC30" i="45"/>
  <c r="GC30" i="41"/>
  <c r="AV131" i="44"/>
  <c r="BD146" i="44"/>
  <c r="J77" i="45"/>
  <c r="J77" i="41"/>
  <c r="J77" i="44"/>
  <c r="DP78" i="44"/>
  <c r="GO78" i="44"/>
  <c r="DP78" i="45"/>
  <c r="GO78" i="45"/>
  <c r="DP82" i="41"/>
  <c r="GO82" i="41"/>
  <c r="DP82" i="43"/>
  <c r="GO82" i="43"/>
  <c r="DP82" i="44"/>
  <c r="GO82" i="44"/>
  <c r="DP82" i="45"/>
  <c r="GO82" i="45"/>
  <c r="DT85" i="41"/>
  <c r="GS85" i="41"/>
  <c r="DT85" i="44"/>
  <c r="GS85" i="44"/>
  <c r="DT85" i="43"/>
  <c r="GS85" i="43"/>
  <c r="FY4" i="12"/>
  <c r="FY22" i="12"/>
  <c r="F96" i="41"/>
  <c r="F96" i="44"/>
  <c r="B88" i="41"/>
  <c r="M77" i="41"/>
  <c r="K76" i="41"/>
  <c r="K76" i="44"/>
  <c r="D71" i="44"/>
  <c r="FY71" i="44"/>
  <c r="T47" i="45"/>
  <c r="R42" i="45"/>
  <c r="DK39" i="41"/>
  <c r="DK39" i="43"/>
  <c r="K96" i="41"/>
  <c r="K96" i="45"/>
  <c r="K24" i="25"/>
  <c r="K27" i="25" s="1"/>
  <c r="J24" i="25"/>
  <c r="J27" i="25" s="1"/>
  <c r="GC9" i="41"/>
  <c r="GC9" i="45"/>
  <c r="DO83" i="45"/>
  <c r="GN83" i="45" s="1"/>
  <c r="DO83" i="43"/>
  <c r="GN83" i="43" s="1"/>
  <c r="DS85" i="43"/>
  <c r="GR85" i="43" s="1"/>
  <c r="DW90" i="41"/>
  <c r="GV90" i="41" s="1"/>
  <c r="GP12" i="12"/>
  <c r="EB85" i="44"/>
  <c r="EC85" i="44" s="1"/>
  <c r="EA85" i="43"/>
  <c r="EA85" i="41"/>
  <c r="DK21" i="45"/>
  <c r="C191" i="12"/>
  <c r="AM28" i="12"/>
  <c r="AN28" i="12"/>
  <c r="AU8" i="12"/>
  <c r="AG45" i="12"/>
  <c r="S34" i="32" s="1"/>
  <c r="T34" i="32" s="1"/>
  <c r="FY10" i="12"/>
  <c r="FX4" i="12"/>
  <c r="FX6" i="12"/>
  <c r="FX22" i="12"/>
  <c r="GX37" i="12"/>
  <c r="DT34" i="12"/>
  <c r="DQ34" i="12"/>
  <c r="DR34" i="12"/>
  <c r="DO34" i="12"/>
  <c r="DS34" i="12"/>
  <c r="DM34" i="12"/>
  <c r="GV34" i="12"/>
  <c r="DN34" i="12"/>
  <c r="DS104" i="41"/>
  <c r="GR104" i="41" s="1"/>
  <c r="EI21" i="12"/>
  <c r="EG21" i="12"/>
  <c r="EF21" i="12"/>
  <c r="G83" i="41"/>
  <c r="G83" i="44"/>
  <c r="G83" i="45"/>
  <c r="FY18" i="12"/>
  <c r="X21" i="41"/>
  <c r="EN38" i="12"/>
  <c r="EJ38" i="12"/>
  <c r="EH38" i="12"/>
  <c r="EK38" i="12"/>
  <c r="EL38" i="12"/>
  <c r="EE38" i="12"/>
  <c r="DW105" i="41"/>
  <c r="GV105" i="41"/>
  <c r="M79" i="41"/>
  <c r="H83" i="41"/>
  <c r="FU17" i="12"/>
  <c r="DP90" i="44" s="1"/>
  <c r="GO90" i="44" s="1"/>
  <c r="EF38" i="12"/>
  <c r="EI37" i="12"/>
  <c r="EE37" i="12"/>
  <c r="EP37" i="12"/>
  <c r="S38" i="41"/>
  <c r="BZ9" i="18"/>
  <c r="F77" i="45"/>
  <c r="GD9" i="12"/>
  <c r="FZ9" i="12"/>
  <c r="AZ33" i="12"/>
  <c r="GT33" i="12"/>
  <c r="BC33" i="12"/>
  <c r="BE33" i="12"/>
  <c r="AY33" i="12"/>
  <c r="BA33" i="12"/>
  <c r="BB33" i="12"/>
  <c r="BF33" i="12"/>
  <c r="AX33" i="12"/>
  <c r="DI40" i="12"/>
  <c r="C203" i="12"/>
  <c r="C195" i="12"/>
  <c r="E195" i="12" s="1"/>
  <c r="H198" i="12"/>
  <c r="G198" i="12"/>
  <c r="DI35" i="12"/>
  <c r="AY13" i="12"/>
  <c r="AV13" i="12"/>
  <c r="AC15" i="18"/>
  <c r="O10" i="15"/>
  <c r="BZ28" i="18"/>
  <c r="B136" i="43"/>
  <c r="EA86" i="45"/>
  <c r="EA78" i="45"/>
  <c r="D196" i="12"/>
  <c r="N33" i="12"/>
  <c r="Q33" i="12" s="1"/>
  <c r="C238" i="12"/>
  <c r="AR30" i="12"/>
  <c r="C193" i="12"/>
  <c r="CM30" i="12"/>
  <c r="EB30" i="12"/>
  <c r="GK30" i="12"/>
  <c r="DJ46" i="45"/>
  <c r="ER40" i="12"/>
  <c r="CL40" i="12"/>
  <c r="CJ40" i="12"/>
  <c r="CS40" i="12"/>
  <c r="CR40" i="12"/>
  <c r="CU40" i="12"/>
  <c r="CK40" i="12"/>
  <c r="CU50" i="45"/>
  <c r="DK50" i="45"/>
  <c r="CL30" i="12"/>
  <c r="J24" i="26"/>
  <c r="J27" i="26" s="1"/>
  <c r="K24" i="26"/>
  <c r="K27" i="26" s="1"/>
  <c r="K44" i="27"/>
  <c r="K47" i="27" s="1"/>
  <c r="B47" i="27"/>
  <c r="E75" i="18"/>
  <c r="AC22" i="18"/>
  <c r="J47" i="26"/>
  <c r="L102" i="44"/>
  <c r="N27" i="27"/>
  <c r="N29" i="27" s="1"/>
  <c r="B29" i="27"/>
  <c r="DC4" i="12"/>
  <c r="M4" i="16"/>
  <c r="F4" i="16"/>
  <c r="BZ7" i="18"/>
  <c r="GC11" i="44" s="1"/>
  <c r="GJ21" i="44"/>
  <c r="K23" i="45"/>
  <c r="AW42" i="12"/>
  <c r="BA42" i="12"/>
  <c r="GT42" i="12"/>
  <c r="BC22" i="12"/>
  <c r="BF22" i="12"/>
  <c r="AZ22" i="12"/>
  <c r="AM9" i="12"/>
  <c r="AN9" i="12" s="1"/>
  <c r="BZ23" i="18"/>
  <c r="BZ13" i="18"/>
  <c r="GC17" i="44"/>
  <c r="CK7" i="12"/>
  <c r="ER7" i="12"/>
  <c r="CR7" i="12"/>
  <c r="CJ7" i="12"/>
  <c r="CT7" i="12"/>
  <c r="CP7" i="12"/>
  <c r="C243" i="12"/>
  <c r="H243" i="12"/>
  <c r="CJ35" i="12"/>
  <c r="CR35" i="12"/>
  <c r="CQ35" i="12"/>
  <c r="CN35" i="12"/>
  <c r="CP35" i="12"/>
  <c r="AR35" i="12"/>
  <c r="ER30" i="12"/>
  <c r="CN30" i="12"/>
  <c r="CO30" i="12"/>
  <c r="CP30" i="12"/>
  <c r="CR30" i="12"/>
  <c r="CJ30" i="12"/>
  <c r="CA12" i="18"/>
  <c r="GD16" i="43" s="1"/>
  <c r="Y88" i="35"/>
  <c r="F61" i="25"/>
  <c r="F65" i="27"/>
  <c r="J85" i="45"/>
  <c r="N20" i="32"/>
  <c r="CT18" i="12"/>
  <c r="O10" i="27"/>
  <c r="Z10" i="25"/>
  <c r="BR29" i="18"/>
  <c r="E172" i="44" s="1"/>
  <c r="CQ30" i="12"/>
  <c r="AJ27" i="41"/>
  <c r="GM37" i="41"/>
  <c r="L45" i="26"/>
  <c r="L47" i="26" s="1"/>
  <c r="I45" i="26"/>
  <c r="I47" i="26" s="1"/>
  <c r="B47" i="26"/>
  <c r="O45" i="26"/>
  <c r="O47" i="26" s="1"/>
  <c r="E45" i="26"/>
  <c r="E47" i="26" s="1"/>
  <c r="F6" i="16"/>
  <c r="DC6" i="12"/>
  <c r="M6" i="16"/>
  <c r="DF6" i="12" s="1"/>
  <c r="DI6" i="12" s="1"/>
  <c r="DK38" i="44"/>
  <c r="AC8" i="18"/>
  <c r="E61" i="18"/>
  <c r="CL3" i="12"/>
  <c r="C211" i="12"/>
  <c r="H211" i="12"/>
  <c r="AR3" i="12"/>
  <c r="CO3" i="12"/>
  <c r="CP3" i="12"/>
  <c r="CR3" i="12"/>
  <c r="C166" i="12"/>
  <c r="CN18" i="12"/>
  <c r="C226" i="12"/>
  <c r="H226" i="12"/>
  <c r="ER6" i="12"/>
  <c r="GC6" i="12" s="1"/>
  <c r="CP6" i="12"/>
  <c r="H79" i="43" s="1"/>
  <c r="CM6" i="12"/>
  <c r="AM29" i="12"/>
  <c r="AN29" i="12" s="1"/>
  <c r="C192" i="12"/>
  <c r="C247" i="12"/>
  <c r="C202" i="12"/>
  <c r="E202" i="12"/>
  <c r="AR39" i="12"/>
  <c r="CL39" i="12"/>
  <c r="L105" i="41"/>
  <c r="CL25" i="12"/>
  <c r="CM25" i="12"/>
  <c r="CO25" i="12"/>
  <c r="DC44" i="12"/>
  <c r="M44" i="16"/>
  <c r="DF44" i="12" s="1"/>
  <c r="DI44" i="12" s="1"/>
  <c r="F44" i="16"/>
  <c r="DI28" i="12"/>
  <c r="D44" i="32"/>
  <c r="CT4" i="12"/>
  <c r="CU30" i="12"/>
  <c r="GD28" i="12"/>
  <c r="DY101" i="43" s="1"/>
  <c r="GX101" i="43" s="1"/>
  <c r="FV27" i="12"/>
  <c r="DQ100" i="44"/>
  <c r="GP100" i="44" s="1"/>
  <c r="GA35" i="12"/>
  <c r="GE30" i="12"/>
  <c r="FW28" i="12"/>
  <c r="BC50" i="41"/>
  <c r="GJ27" i="44"/>
  <c r="M104" i="45"/>
  <c r="ER15" i="12"/>
  <c r="CO15" i="12"/>
  <c r="AR40" i="12"/>
  <c r="C248" i="12"/>
  <c r="H248" i="12" s="1"/>
  <c r="GE35" i="12"/>
  <c r="GC35" i="12"/>
  <c r="ER27" i="12"/>
  <c r="CK27" i="12"/>
  <c r="CN27" i="12"/>
  <c r="GD25" i="12"/>
  <c r="FW25" i="12"/>
  <c r="DR98" i="44" s="1"/>
  <c r="GQ98" i="44" s="1"/>
  <c r="EA104" i="43"/>
  <c r="AM60" i="32"/>
  <c r="P29" i="25"/>
  <c r="P30" i="25"/>
  <c r="P35" i="25"/>
  <c r="L29" i="21" s="1"/>
  <c r="M62" i="35" s="1"/>
  <c r="Q62" i="35" s="1"/>
  <c r="FT27" i="12"/>
  <c r="GM51" i="41"/>
  <c r="GM41" i="43"/>
  <c r="M109" i="45"/>
  <c r="CJ9" i="12"/>
  <c r="B82" i="45" s="1"/>
  <c r="AR9" i="12"/>
  <c r="C217" i="12"/>
  <c r="H217" i="12" s="1"/>
  <c r="CR9" i="12"/>
  <c r="CN9" i="12"/>
  <c r="CK9" i="12"/>
  <c r="BY24" i="18"/>
  <c r="GJ31" i="43"/>
  <c r="BB42" i="12"/>
  <c r="CJ3" i="12"/>
  <c r="CS4" i="12"/>
  <c r="CJ4" i="12"/>
  <c r="G104" i="41"/>
  <c r="GM29" i="43"/>
  <c r="GM32" i="44"/>
  <c r="M78" i="45"/>
  <c r="DK22" i="45"/>
  <c r="EA87" i="44"/>
  <c r="CP33" i="12"/>
  <c r="FW33" i="12"/>
  <c r="DR106" i="45" s="1"/>
  <c r="GQ106" i="45" s="1"/>
  <c r="CK33" i="12"/>
  <c r="C241" i="12"/>
  <c r="H241" i="12"/>
  <c r="N32" i="25"/>
  <c r="G32" i="25"/>
  <c r="M32" i="25"/>
  <c r="B84" i="35"/>
  <c r="F84" i="35" s="1"/>
  <c r="E70" i="15"/>
  <c r="CM7" i="12"/>
  <c r="FY36" i="12"/>
  <c r="DT109" i="41" s="1"/>
  <c r="GS109" i="41" s="1"/>
  <c r="FU35" i="12"/>
  <c r="FU33" i="12"/>
  <c r="GC27" i="12"/>
  <c r="GM20" i="43"/>
  <c r="GM39" i="44"/>
  <c r="GM57" i="44"/>
  <c r="L106" i="44"/>
  <c r="GJ29" i="44"/>
  <c r="C249" i="12"/>
  <c r="H249" i="12" s="1"/>
  <c r="AR41" i="12"/>
  <c r="CQ41" i="12"/>
  <c r="I114" i="43" s="1"/>
  <c r="CS41" i="12"/>
  <c r="C242" i="12"/>
  <c r="H242" i="12"/>
  <c r="CN34" i="12"/>
  <c r="CU34" i="12"/>
  <c r="CP34" i="12"/>
  <c r="CT34" i="12"/>
  <c r="ER39" i="12"/>
  <c r="FU39" i="12"/>
  <c r="CJ39" i="12"/>
  <c r="BZ22" i="18"/>
  <c r="CU15" i="12"/>
  <c r="AB10" i="27"/>
  <c r="CR41" i="12"/>
  <c r="CM40" i="12"/>
  <c r="CN36" i="12"/>
  <c r="FW35" i="12"/>
  <c r="CS35" i="12"/>
  <c r="CK35" i="12"/>
  <c r="GM36" i="41"/>
  <c r="GM25" i="43"/>
  <c r="GM29" i="44"/>
  <c r="GY29" i="44" s="1"/>
  <c r="GM58" i="44"/>
  <c r="GM40" i="45"/>
  <c r="DJ41" i="45"/>
  <c r="AI47" i="45"/>
  <c r="GM48" i="45"/>
  <c r="GO142" i="45"/>
  <c r="FK145" i="45"/>
  <c r="O45" i="27"/>
  <c r="O47" i="27"/>
  <c r="F45" i="27"/>
  <c r="F47" i="27" s="1"/>
  <c r="I27" i="27"/>
  <c r="J23" i="27"/>
  <c r="J27" i="27"/>
  <c r="BY26" i="18"/>
  <c r="BY9" i="18"/>
  <c r="GB13" i="43" s="1"/>
  <c r="CT38" i="12"/>
  <c r="CS38" i="12"/>
  <c r="CU38" i="12"/>
  <c r="CO38" i="12"/>
  <c r="ER28" i="12"/>
  <c r="CO28" i="12"/>
  <c r="CR28" i="12"/>
  <c r="CA17" i="18"/>
  <c r="GD21" i="44"/>
  <c r="CN3" i="12"/>
  <c r="CO4" i="12"/>
  <c r="AM10" i="27"/>
  <c r="AK7" i="25"/>
  <c r="AY10" i="25"/>
  <c r="AK7" i="27"/>
  <c r="CT41" i="12"/>
  <c r="CO40" i="12"/>
  <c r="CK39" i="12"/>
  <c r="CU35" i="12"/>
  <c r="CU27" i="12"/>
  <c r="M100" i="43" s="1"/>
  <c r="CM27" i="12"/>
  <c r="CP26" i="12"/>
  <c r="GM27" i="43"/>
  <c r="GO27" i="43" s="1"/>
  <c r="GM47" i="43"/>
  <c r="GM25" i="44"/>
  <c r="GM59" i="44"/>
  <c r="GW145" i="44"/>
  <c r="GJ22" i="45"/>
  <c r="T26" i="45"/>
  <c r="GM59" i="45"/>
  <c r="GV59" i="45" s="1"/>
  <c r="AC20" i="18"/>
  <c r="E73" i="18"/>
  <c r="DC16" i="12"/>
  <c r="M16" i="16" s="1"/>
  <c r="DF16" i="12" s="1"/>
  <c r="F16" i="16"/>
  <c r="D179" i="12" s="1"/>
  <c r="EA91" i="41"/>
  <c r="BY10" i="18"/>
  <c r="FZ12" i="12"/>
  <c r="GD12" i="12"/>
  <c r="GJ14" i="45"/>
  <c r="C205" i="12"/>
  <c r="C190" i="12"/>
  <c r="AM27" i="12"/>
  <c r="AN27" i="12" s="1"/>
  <c r="C237" i="12"/>
  <c r="H237" i="12"/>
  <c r="CL29" i="12"/>
  <c r="AR29" i="12"/>
  <c r="CQ29" i="12"/>
  <c r="CP29" i="12"/>
  <c r="ER36" i="12"/>
  <c r="CK36" i="12"/>
  <c r="CO36" i="12"/>
  <c r="CL36" i="12"/>
  <c r="CN26" i="12"/>
  <c r="CU26" i="12"/>
  <c r="ER26" i="12"/>
  <c r="FY26" i="12" s="1"/>
  <c r="GE26" i="12"/>
  <c r="CO26" i="12"/>
  <c r="DK27" i="44"/>
  <c r="K14" i="32"/>
  <c r="L14" i="32"/>
  <c r="CO9" i="12"/>
  <c r="AR19" i="12"/>
  <c r="AT14" i="32"/>
  <c r="AU14" i="32"/>
  <c r="P10" i="26"/>
  <c r="N10" i="27"/>
  <c r="CM41" i="12"/>
  <c r="CP40" i="12"/>
  <c r="CT39" i="12"/>
  <c r="CS30" i="12"/>
  <c r="CK30" i="12"/>
  <c r="CM29" i="12"/>
  <c r="FU28" i="12"/>
  <c r="DI24" i="12"/>
  <c r="GM19" i="41"/>
  <c r="GM33" i="41"/>
  <c r="GM38" i="41"/>
  <c r="GM42" i="41"/>
  <c r="GM19" i="43"/>
  <c r="GM49" i="44"/>
  <c r="GM56" i="44"/>
  <c r="EA79" i="44"/>
  <c r="GM27" i="45"/>
  <c r="AM10" i="15"/>
  <c r="AP10" i="15"/>
  <c r="G15" i="13" s="1"/>
  <c r="K13" i="32"/>
  <c r="L13" i="32" s="1"/>
  <c r="CL6" i="12"/>
  <c r="AW5" i="26"/>
  <c r="AW6" i="26"/>
  <c r="CL35" i="12"/>
  <c r="DK40" i="44"/>
  <c r="GM49" i="41"/>
  <c r="GM55" i="41"/>
  <c r="GM31" i="43"/>
  <c r="GM55" i="43"/>
  <c r="GJ12" i="44"/>
  <c r="GM40" i="44"/>
  <c r="GM45" i="44"/>
  <c r="GM22" i="45"/>
  <c r="GM23" i="45"/>
  <c r="GM31" i="45"/>
  <c r="GM51" i="45"/>
  <c r="GM54" i="45"/>
  <c r="EN145" i="45"/>
  <c r="EG152" i="45" s="1"/>
  <c r="W5" i="18"/>
  <c r="N18" i="12"/>
  <c r="CL7" i="12"/>
  <c r="CO13" i="12"/>
  <c r="AN5" i="12"/>
  <c r="AT15" i="32"/>
  <c r="AU15" i="32" s="1"/>
  <c r="CK19" i="18"/>
  <c r="AW6" i="25"/>
  <c r="CO41" i="12"/>
  <c r="GD27" i="12"/>
  <c r="FW27" i="12"/>
  <c r="CJ27" i="12"/>
  <c r="FZ26" i="12"/>
  <c r="GM21" i="41"/>
  <c r="GM34" i="41"/>
  <c r="GM47" i="41"/>
  <c r="GM60" i="41"/>
  <c r="GM33" i="43"/>
  <c r="GM35" i="43"/>
  <c r="GM44" i="43"/>
  <c r="GM52" i="43"/>
  <c r="GM41" i="44"/>
  <c r="GM55" i="44"/>
  <c r="GM60" i="44"/>
  <c r="EG152" i="44"/>
  <c r="CO145" i="45"/>
  <c r="CK7" i="18"/>
  <c r="FT13" i="12"/>
  <c r="CS9" i="12"/>
  <c r="K82" i="41" s="1"/>
  <c r="CS7" i="12"/>
  <c r="FU6" i="12"/>
  <c r="EA95" i="41"/>
  <c r="AK7" i="15"/>
  <c r="AK7" i="26"/>
  <c r="CS37" i="12"/>
  <c r="FX27" i="12"/>
  <c r="CS27" i="12"/>
  <c r="GM40" i="41"/>
  <c r="GM50" i="41"/>
  <c r="GM24" i="43"/>
  <c r="GM38" i="43"/>
  <c r="GM35" i="44"/>
  <c r="GM42" i="44"/>
  <c r="GM48" i="44"/>
  <c r="GM20" i="45"/>
  <c r="GM24" i="45"/>
  <c r="GM29" i="45"/>
  <c r="GY29" i="45" s="1"/>
  <c r="GM49" i="45"/>
  <c r="EO145" i="45"/>
  <c r="BS29" i="18"/>
  <c r="E172" i="45"/>
  <c r="AI26" i="35" s="1"/>
  <c r="R20" i="32"/>
  <c r="B12" i="44" s="1"/>
  <c r="DC18" i="12"/>
  <c r="M18" i="16"/>
  <c r="DF18" i="12" s="1"/>
  <c r="DI18" i="12" s="1"/>
  <c r="CN6" i="12"/>
  <c r="CP9" i="12"/>
  <c r="CJ10" i="12"/>
  <c r="CR10" i="12"/>
  <c r="FW12" i="12"/>
  <c r="FX7" i="12"/>
  <c r="FV6" i="12"/>
  <c r="DQ79" i="41" s="1"/>
  <c r="GC4" i="12"/>
  <c r="DX77" i="45"/>
  <c r="GW77" i="45" s="1"/>
  <c r="EA83" i="44"/>
  <c r="DI8" i="12"/>
  <c r="DL8" i="12" s="1"/>
  <c r="AT10" i="32"/>
  <c r="AU10" i="32" s="1"/>
  <c r="N10" i="26"/>
  <c r="C230" i="12"/>
  <c r="H230" i="12" s="1"/>
  <c r="CK20" i="18"/>
  <c r="AL10" i="26"/>
  <c r="GC37" i="12"/>
  <c r="CM36" i="12"/>
  <c r="CR31" i="12"/>
  <c r="CJ31" i="12"/>
  <c r="GA28" i="12"/>
  <c r="CT27" i="12"/>
  <c r="GE25" i="12"/>
  <c r="GM22" i="41"/>
  <c r="GM26" i="41"/>
  <c r="GM35" i="41"/>
  <c r="GM53" i="41"/>
  <c r="GM60" i="43"/>
  <c r="GM21" i="44"/>
  <c r="GM36" i="44"/>
  <c r="GM47" i="44"/>
  <c r="GM21" i="45"/>
  <c r="GM50" i="45"/>
  <c r="GM55" i="45"/>
  <c r="V16" i="18"/>
  <c r="W16" i="18"/>
  <c r="X16" i="18"/>
  <c r="U16" i="18"/>
  <c r="DR85" i="45"/>
  <c r="GQ85" i="45" s="1"/>
  <c r="DX77" i="44"/>
  <c r="GW77" i="44"/>
  <c r="HB48" i="45"/>
  <c r="T22" i="45"/>
  <c r="T22" i="43"/>
  <c r="T22" i="44"/>
  <c r="FL33" i="12"/>
  <c r="FY33" i="12"/>
  <c r="DT106" i="45" s="1"/>
  <c r="CO33" i="12"/>
  <c r="GN32" i="41"/>
  <c r="CU44" i="41"/>
  <c r="GM53" i="44"/>
  <c r="CU53" i="44"/>
  <c r="DU106" i="45"/>
  <c r="GT106" i="45"/>
  <c r="DO106" i="45"/>
  <c r="GN106" i="45"/>
  <c r="EA106" i="45"/>
  <c r="DX106" i="45"/>
  <c r="GW106" i="45" s="1"/>
  <c r="DP106" i="45"/>
  <c r="GO106" i="45"/>
  <c r="DS106" i="45"/>
  <c r="GR106" i="45" s="1"/>
  <c r="EC106" i="45"/>
  <c r="GS106" i="45"/>
  <c r="DY106" i="45"/>
  <c r="GX106" i="45"/>
  <c r="GV39" i="12"/>
  <c r="DP39" i="12"/>
  <c r="DW39" i="12"/>
  <c r="DV39" i="12"/>
  <c r="DT39" i="12"/>
  <c r="DQ39" i="12"/>
  <c r="DR39" i="12"/>
  <c r="DO39" i="12"/>
  <c r="DM39" i="12"/>
  <c r="DU39" i="12"/>
  <c r="DS39" i="12"/>
  <c r="DL39" i="12"/>
  <c r="DN39" i="12"/>
  <c r="DS90" i="44"/>
  <c r="GR90" i="44" s="1"/>
  <c r="DS90" i="43"/>
  <c r="GR90" i="43" s="1"/>
  <c r="DS90" i="45"/>
  <c r="GR90" i="45" s="1"/>
  <c r="DS90" i="41"/>
  <c r="GR90" i="41" s="1"/>
  <c r="DE27" i="41"/>
  <c r="HJ27" i="41"/>
  <c r="DA31" i="45"/>
  <c r="HF31" i="45"/>
  <c r="DA31" i="44"/>
  <c r="HF31" i="44"/>
  <c r="EA96" i="43"/>
  <c r="EA96" i="41"/>
  <c r="EA96" i="44"/>
  <c r="EA96" i="45"/>
  <c r="CU22" i="44"/>
  <c r="CU22" i="41"/>
  <c r="CU22" i="43"/>
  <c r="CU22" i="45"/>
  <c r="GM30" i="45"/>
  <c r="CU30" i="45"/>
  <c r="GM57" i="45"/>
  <c r="BX57" i="45"/>
  <c r="BS57" i="45"/>
  <c r="DG36" i="44"/>
  <c r="HL36" i="44"/>
  <c r="DG36" i="43"/>
  <c r="HL36" i="43"/>
  <c r="DG36" i="45"/>
  <c r="HL36" i="45"/>
  <c r="DC25" i="12"/>
  <c r="M25" i="16"/>
  <c r="DF25" i="12" s="1"/>
  <c r="DI25" i="12" s="1"/>
  <c r="F25" i="16"/>
  <c r="F236" i="12"/>
  <c r="G236" i="12"/>
  <c r="GM20" i="41"/>
  <c r="DK28" i="41"/>
  <c r="DK61" i="41" s="1"/>
  <c r="DG31" i="41"/>
  <c r="HL31" i="41"/>
  <c r="DC31" i="41"/>
  <c r="HH31" i="41"/>
  <c r="DA31" i="41"/>
  <c r="HF31" i="41" s="1"/>
  <c r="CY31" i="41"/>
  <c r="HD31" i="41"/>
  <c r="DF31" i="41"/>
  <c r="HK31" i="41"/>
  <c r="GN43" i="41"/>
  <c r="GN23" i="45"/>
  <c r="R23" i="45"/>
  <c r="Z23" i="45"/>
  <c r="P23" i="45"/>
  <c r="L23" i="45"/>
  <c r="H23" i="45"/>
  <c r="J23" i="45"/>
  <c r="F23" i="45"/>
  <c r="C23" i="45"/>
  <c r="M23" i="45"/>
  <c r="I23" i="45"/>
  <c r="E23" i="45"/>
  <c r="GW59" i="45"/>
  <c r="GQ59" i="45"/>
  <c r="GR59" i="45"/>
  <c r="DB23" i="43"/>
  <c r="HG23" i="43"/>
  <c r="DB23" i="41"/>
  <c r="HG23" i="41"/>
  <c r="DB23" i="44"/>
  <c r="HG23" i="44"/>
  <c r="DG36" i="41"/>
  <c r="HL36" i="41"/>
  <c r="DA37" i="43"/>
  <c r="HF37" i="43" s="1"/>
  <c r="AR7" i="18"/>
  <c r="AV7" i="18"/>
  <c r="AO7" i="18"/>
  <c r="AS7" i="18"/>
  <c r="BH7" i="18"/>
  <c r="AQ7" i="18"/>
  <c r="AU7" i="18" s="1"/>
  <c r="BJ7" i="18"/>
  <c r="AY7" i="18"/>
  <c r="BC7" i="18"/>
  <c r="BL7" i="18" s="1"/>
  <c r="AZ7" i="18"/>
  <c r="BD7" i="18" s="1"/>
  <c r="BM7" i="18"/>
  <c r="AP7" i="18"/>
  <c r="AT7" i="18"/>
  <c r="BG7" i="18"/>
  <c r="BI7" i="18"/>
  <c r="BA7" i="18"/>
  <c r="BE7" i="18"/>
  <c r="BN7" i="18" s="1"/>
  <c r="AX7" i="18"/>
  <c r="BB7" i="18" s="1"/>
  <c r="BK7" i="18"/>
  <c r="FL11" i="12"/>
  <c r="CO11" i="12"/>
  <c r="DQ79" i="43"/>
  <c r="DQ79" i="44"/>
  <c r="DQ79" i="45"/>
  <c r="GP79" i="45" s="1"/>
  <c r="CU56" i="45"/>
  <c r="G248" i="12"/>
  <c r="F248" i="12"/>
  <c r="DG27" i="41"/>
  <c r="HL27" i="41"/>
  <c r="CZ27" i="41"/>
  <c r="HE27" i="41" s="1"/>
  <c r="DC27" i="41"/>
  <c r="HH27" i="41"/>
  <c r="CX27" i="41"/>
  <c r="HC27" i="41"/>
  <c r="AM27" i="41"/>
  <c r="AE27" i="41"/>
  <c r="CY27" i="41"/>
  <c r="HD27" i="41" s="1"/>
  <c r="DD27" i="41"/>
  <c r="HI27" i="41"/>
  <c r="AI27" i="41"/>
  <c r="AN27" i="41"/>
  <c r="AG27" i="41"/>
  <c r="AO27" i="41"/>
  <c r="DK32" i="41"/>
  <c r="DK43" i="41"/>
  <c r="CU43" i="41"/>
  <c r="CU36" i="45"/>
  <c r="DK36" i="45"/>
  <c r="GN60" i="45"/>
  <c r="AD23" i="41"/>
  <c r="AP23" i="41"/>
  <c r="AD23" i="43"/>
  <c r="B23" i="43"/>
  <c r="AP23" i="43" s="1"/>
  <c r="CG23" i="43"/>
  <c r="CS23" i="43" s="1"/>
  <c r="BO23" i="45"/>
  <c r="BO23" i="43"/>
  <c r="B23" i="41"/>
  <c r="CG23" i="44"/>
  <c r="AD23" i="45"/>
  <c r="AV23" i="43"/>
  <c r="AV23" i="44"/>
  <c r="BO23" i="44"/>
  <c r="CG23" i="41"/>
  <c r="CS23" i="41" s="1"/>
  <c r="B23" i="44"/>
  <c r="GO23" i="43"/>
  <c r="J47" i="45"/>
  <c r="BW47" i="43"/>
  <c r="BD47" i="43"/>
  <c r="AL47" i="43"/>
  <c r="CO47" i="44"/>
  <c r="AL47" i="41"/>
  <c r="AL47" i="44"/>
  <c r="J47" i="44"/>
  <c r="BX57" i="41"/>
  <c r="AM57" i="45"/>
  <c r="CP57" i="43"/>
  <c r="AM57" i="41"/>
  <c r="K57" i="45"/>
  <c r="BX57" i="43"/>
  <c r="K57" i="41"/>
  <c r="CP57" i="41"/>
  <c r="BE57" i="43"/>
  <c r="CP57" i="44"/>
  <c r="AM57" i="44"/>
  <c r="BE57" i="45"/>
  <c r="BO57" i="45"/>
  <c r="AF27" i="41"/>
  <c r="AD5" i="18"/>
  <c r="O4" i="17" s="1"/>
  <c r="AE5" i="18" s="1"/>
  <c r="H4" i="17"/>
  <c r="I5" i="18" s="1"/>
  <c r="DU8" i="12"/>
  <c r="DN8" i="12"/>
  <c r="DP8" i="12"/>
  <c r="DR8" i="12"/>
  <c r="DM8" i="12"/>
  <c r="DS8" i="12"/>
  <c r="DQ8" i="12"/>
  <c r="DT8" i="12"/>
  <c r="DW8" i="12"/>
  <c r="DV8" i="12"/>
  <c r="DO8" i="12"/>
  <c r="GV8" i="12"/>
  <c r="AR27" i="12"/>
  <c r="D235" i="12"/>
  <c r="DY27" i="12"/>
  <c r="DB42" i="44"/>
  <c r="HG42" i="44"/>
  <c r="DB42" i="43"/>
  <c r="HG42" i="43"/>
  <c r="DB42" i="41"/>
  <c r="HG42" i="41"/>
  <c r="DB42" i="45"/>
  <c r="HG42" i="45"/>
  <c r="E242" i="12"/>
  <c r="F242" i="12"/>
  <c r="G242" i="12"/>
  <c r="CS34" i="12"/>
  <c r="FP34" i="12"/>
  <c r="K206" i="12"/>
  <c r="N206" i="12"/>
  <c r="P206" i="12"/>
  <c r="R206" i="12"/>
  <c r="M206" i="12"/>
  <c r="T206" i="12"/>
  <c r="O206" i="12"/>
  <c r="Q206" i="12"/>
  <c r="S206" i="12"/>
  <c r="U206" i="12"/>
  <c r="L206" i="12"/>
  <c r="GM24" i="41"/>
  <c r="AO24" i="41"/>
  <c r="GN28" i="41"/>
  <c r="GY27" i="43"/>
  <c r="GV27" i="43"/>
  <c r="GM46" i="44"/>
  <c r="CU46" i="44"/>
  <c r="GM26" i="45"/>
  <c r="AM26" i="45"/>
  <c r="GM37" i="45"/>
  <c r="CU37" i="45"/>
  <c r="CZ47" i="45"/>
  <c r="HE47" i="45"/>
  <c r="DD47" i="45"/>
  <c r="HI47" i="45" s="1"/>
  <c r="CY47" i="45"/>
  <c r="HD47" i="45" s="1"/>
  <c r="DA47" i="45"/>
  <c r="HF47" i="45" s="1"/>
  <c r="AL47" i="45"/>
  <c r="AN47" i="45"/>
  <c r="AO47" i="45"/>
  <c r="EC103" i="45"/>
  <c r="EA103" i="45"/>
  <c r="AM23" i="44"/>
  <c r="AM23" i="43"/>
  <c r="CP23" i="45"/>
  <c r="K23" i="41"/>
  <c r="CP23" i="44"/>
  <c r="K23" i="44"/>
  <c r="AM23" i="41"/>
  <c r="BE23" i="44"/>
  <c r="BX23" i="43"/>
  <c r="AM23" i="45"/>
  <c r="BE23" i="43"/>
  <c r="BX23" i="44"/>
  <c r="DA31" i="43"/>
  <c r="HF31" i="43" s="1"/>
  <c r="BH23" i="41"/>
  <c r="B23" i="45"/>
  <c r="AK27" i="41"/>
  <c r="AP55" i="44"/>
  <c r="CY31" i="44"/>
  <c r="HD31" i="44"/>
  <c r="CY31" i="45"/>
  <c r="HD31" i="45"/>
  <c r="W22" i="44"/>
  <c r="Q22" i="44"/>
  <c r="Q22" i="43"/>
  <c r="Q22" i="45"/>
  <c r="DG51" i="45"/>
  <c r="HL51" i="45"/>
  <c r="DG51" i="43"/>
  <c r="HL51" i="43"/>
  <c r="DG51" i="44"/>
  <c r="HL51" i="44"/>
  <c r="EK29" i="12"/>
  <c r="EG29" i="12"/>
  <c r="EH29" i="12"/>
  <c r="EM29" i="12"/>
  <c r="EO29" i="12"/>
  <c r="EE29" i="12"/>
  <c r="EL29" i="12"/>
  <c r="EP29" i="12"/>
  <c r="EF29" i="12"/>
  <c r="EN29" i="12"/>
  <c r="GW29" i="12"/>
  <c r="EJ29" i="12"/>
  <c r="EI29" i="12"/>
  <c r="GX25" i="44"/>
  <c r="HB41" i="45"/>
  <c r="DT86" i="45"/>
  <c r="GS86" i="45"/>
  <c r="DT86" i="41"/>
  <c r="GS86" i="41"/>
  <c r="DT86" i="44"/>
  <c r="GS86" i="44"/>
  <c r="DT86" i="43"/>
  <c r="GS86" i="43"/>
  <c r="P44" i="44"/>
  <c r="P44" i="45"/>
  <c r="P44" i="43"/>
  <c r="P44" i="41"/>
  <c r="FJ43" i="12"/>
  <c r="FW43" i="12"/>
  <c r="CM43" i="12"/>
  <c r="ER42" i="12"/>
  <c r="CU42" i="12"/>
  <c r="CR42" i="12"/>
  <c r="CQ42" i="12"/>
  <c r="CT42" i="12"/>
  <c r="CM42" i="12"/>
  <c r="CO42" i="12"/>
  <c r="CS42" i="12"/>
  <c r="CP42" i="12"/>
  <c r="CL42" i="12"/>
  <c r="CK42" i="12"/>
  <c r="K203" i="12"/>
  <c r="J203" i="12"/>
  <c r="L203" i="12"/>
  <c r="L208" i="12" s="1"/>
  <c r="G28" i="28" s="1"/>
  <c r="S203" i="12"/>
  <c r="M203" i="12"/>
  <c r="U203" i="12"/>
  <c r="O203" i="12"/>
  <c r="Q203" i="12"/>
  <c r="T203" i="12"/>
  <c r="P203" i="12"/>
  <c r="R203" i="12"/>
  <c r="N203" i="12"/>
  <c r="GM29" i="41"/>
  <c r="GH31" i="41"/>
  <c r="GA31" i="41"/>
  <c r="GF31" i="41"/>
  <c r="GD31" i="41"/>
  <c r="GJ31" i="41"/>
  <c r="GI31" i="41"/>
  <c r="GC31" i="41"/>
  <c r="GG31" i="41"/>
  <c r="GN26" i="45"/>
  <c r="K26" i="45"/>
  <c r="Z26" i="45"/>
  <c r="V26" i="45"/>
  <c r="E26" i="45"/>
  <c r="EC109" i="45"/>
  <c r="EA109" i="45"/>
  <c r="CW39" i="44"/>
  <c r="CW39" i="43"/>
  <c r="CW39" i="45"/>
  <c r="CW39" i="41"/>
  <c r="AE23" i="12"/>
  <c r="W23" i="12"/>
  <c r="AY39" i="45" s="1"/>
  <c r="AA23" i="12"/>
  <c r="Z23" i="12"/>
  <c r="BB39" i="45" s="1"/>
  <c r="DV92" i="43"/>
  <c r="GU92" i="43" s="1"/>
  <c r="DV92" i="44"/>
  <c r="GU92" i="44" s="1"/>
  <c r="DV92" i="41"/>
  <c r="GU92" i="41" s="1"/>
  <c r="DV92" i="45"/>
  <c r="GU92" i="45"/>
  <c r="GX25" i="43"/>
  <c r="AK23" i="43"/>
  <c r="AK23" i="44"/>
  <c r="CN23" i="45"/>
  <c r="BA27" i="45"/>
  <c r="M47" i="45"/>
  <c r="BZ47" i="43"/>
  <c r="BZ47" i="41"/>
  <c r="BE25" i="43"/>
  <c r="BS55" i="45"/>
  <c r="CK55" i="45"/>
  <c r="F55" i="45"/>
  <c r="AZ55" i="45"/>
  <c r="F55" i="44"/>
  <c r="CK55" i="41"/>
  <c r="BS55" i="41"/>
  <c r="AH55" i="45"/>
  <c r="BS55" i="43"/>
  <c r="AZ55" i="41"/>
  <c r="GS55" i="41"/>
  <c r="CK55" i="43"/>
  <c r="F55" i="43"/>
  <c r="G186" i="12"/>
  <c r="H186" i="12"/>
  <c r="F186" i="12"/>
  <c r="DX92" i="41"/>
  <c r="GW92" i="41"/>
  <c r="DX92" i="45"/>
  <c r="GW92" i="45"/>
  <c r="DX92" i="44"/>
  <c r="GW92" i="44"/>
  <c r="DX92" i="43"/>
  <c r="GW92" i="43"/>
  <c r="J117" i="43"/>
  <c r="J117" i="45"/>
  <c r="J117" i="44"/>
  <c r="J117" i="41"/>
  <c r="DZ76" i="43"/>
  <c r="DZ76" i="41"/>
  <c r="DZ76" i="44"/>
  <c r="DZ76" i="45"/>
  <c r="DU78" i="45"/>
  <c r="GT78" i="45"/>
  <c r="DU78" i="41"/>
  <c r="GT78" i="41"/>
  <c r="DU78" i="43"/>
  <c r="GT78" i="43"/>
  <c r="DU78" i="44"/>
  <c r="GT78" i="44"/>
  <c r="BV23" i="45"/>
  <c r="BV23" i="41"/>
  <c r="BV23" i="43"/>
  <c r="CN23" i="44"/>
  <c r="BC27" i="45"/>
  <c r="CK57" i="44"/>
  <c r="BZ47" i="45"/>
  <c r="GN71" i="43"/>
  <c r="GB12" i="41"/>
  <c r="GB12" i="45"/>
  <c r="GB12" i="44"/>
  <c r="CB8" i="18"/>
  <c r="GB12" i="43"/>
  <c r="J116" i="44"/>
  <c r="J116" i="41"/>
  <c r="J116" i="43"/>
  <c r="J116" i="45"/>
  <c r="DQ100" i="45"/>
  <c r="GP100" i="45"/>
  <c r="DQ100" i="43"/>
  <c r="GP100" i="43"/>
  <c r="K200" i="12"/>
  <c r="R200" i="12"/>
  <c r="T200" i="12"/>
  <c r="M200" i="12"/>
  <c r="P200" i="12"/>
  <c r="N200" i="12"/>
  <c r="O200" i="12"/>
  <c r="J200" i="12"/>
  <c r="L200" i="12"/>
  <c r="U200" i="12"/>
  <c r="BX25" i="41"/>
  <c r="GI27" i="41"/>
  <c r="GJ27" i="41"/>
  <c r="GF27" i="41"/>
  <c r="GC27" i="41"/>
  <c r="GG27" i="41"/>
  <c r="GM30" i="41"/>
  <c r="GM32" i="41"/>
  <c r="CU32" i="41"/>
  <c r="BF50" i="41"/>
  <c r="BA50" i="41"/>
  <c r="AZ50" i="41"/>
  <c r="AV50" i="41"/>
  <c r="BH50" i="41" s="1"/>
  <c r="BE50" i="41"/>
  <c r="AX50" i="41"/>
  <c r="BB50" i="41"/>
  <c r="BG50" i="41"/>
  <c r="AY50" i="41"/>
  <c r="AW50" i="41"/>
  <c r="BD50" i="41"/>
  <c r="GN48" i="45"/>
  <c r="U48" i="45"/>
  <c r="V48" i="45"/>
  <c r="Q48" i="45"/>
  <c r="Y48" i="45"/>
  <c r="R48" i="45"/>
  <c r="Z48" i="45"/>
  <c r="X48" i="45"/>
  <c r="S48" i="45"/>
  <c r="P48" i="45"/>
  <c r="DK53" i="45"/>
  <c r="L78" i="45"/>
  <c r="G78" i="45"/>
  <c r="D78" i="45"/>
  <c r="B78" i="45"/>
  <c r="J78" i="45"/>
  <c r="H78" i="45"/>
  <c r="K78" i="45"/>
  <c r="C113" i="45"/>
  <c r="J113" i="45"/>
  <c r="I113" i="45"/>
  <c r="B113" i="45"/>
  <c r="M113" i="45"/>
  <c r="K113" i="45"/>
  <c r="G113" i="45"/>
  <c r="CG55" i="41"/>
  <c r="CS55" i="41" s="1"/>
  <c r="CG55" i="45"/>
  <c r="B55" i="44"/>
  <c r="B55" i="45"/>
  <c r="BO55" i="44"/>
  <c r="CA55" i="44"/>
  <c r="AV55" i="45"/>
  <c r="BH55" i="45"/>
  <c r="AV55" i="41"/>
  <c r="BH55" i="41"/>
  <c r="BO55" i="45"/>
  <c r="CA55" i="45"/>
  <c r="AD55" i="45"/>
  <c r="CG55" i="43"/>
  <c r="CS55" i="43"/>
  <c r="BO55" i="43"/>
  <c r="CA55" i="43" s="1"/>
  <c r="DD27" i="45"/>
  <c r="HI27" i="45"/>
  <c r="DD27" i="43"/>
  <c r="HI27" i="43" s="1"/>
  <c r="S50" i="43"/>
  <c r="S50" i="45"/>
  <c r="S50" i="41"/>
  <c r="S50" i="44"/>
  <c r="O42" i="45"/>
  <c r="DI42" i="45" s="1"/>
  <c r="O42" i="44"/>
  <c r="O42" i="43"/>
  <c r="DI42" i="43"/>
  <c r="O42" i="41"/>
  <c r="DI42" i="41" s="1"/>
  <c r="AY27" i="45"/>
  <c r="BZ47" i="44"/>
  <c r="BG47" i="44"/>
  <c r="BY29" i="41"/>
  <c r="W22" i="41"/>
  <c r="CU53" i="45"/>
  <c r="CP25" i="45"/>
  <c r="AM25" i="45"/>
  <c r="BE25" i="45"/>
  <c r="K25" i="45"/>
  <c r="BX25" i="43"/>
  <c r="CP25" i="43"/>
  <c r="K25" i="44"/>
  <c r="BE25" i="44"/>
  <c r="BX25" i="45"/>
  <c r="AM25" i="43"/>
  <c r="AM25" i="41"/>
  <c r="K25" i="43"/>
  <c r="BE25" i="41"/>
  <c r="CP25" i="44"/>
  <c r="CP25" i="41"/>
  <c r="K25" i="41"/>
  <c r="EP13" i="12"/>
  <c r="GW13" i="12"/>
  <c r="EN13" i="12"/>
  <c r="EH13" i="12"/>
  <c r="EK13" i="12"/>
  <c r="EG13" i="12"/>
  <c r="EE13" i="12"/>
  <c r="EM13" i="12"/>
  <c r="EO13" i="12"/>
  <c r="EI13" i="12"/>
  <c r="EJ13" i="12"/>
  <c r="EL13" i="12"/>
  <c r="I77" i="43"/>
  <c r="I77" i="44"/>
  <c r="I77" i="45"/>
  <c r="I77" i="41"/>
  <c r="FQ43" i="12"/>
  <c r="GD43" i="12"/>
  <c r="CT43" i="12"/>
  <c r="DW24" i="12"/>
  <c r="DU24" i="12"/>
  <c r="DT24" i="12"/>
  <c r="DV24" i="12"/>
  <c r="DP24" i="12"/>
  <c r="DM24" i="12"/>
  <c r="GM28" i="41"/>
  <c r="CU28" i="41"/>
  <c r="GM31" i="41"/>
  <c r="BA33" i="41"/>
  <c r="BD33" i="41"/>
  <c r="BE33" i="41"/>
  <c r="CZ51" i="41"/>
  <c r="HE51" i="41"/>
  <c r="DF51" i="41"/>
  <c r="HK51" i="41"/>
  <c r="DG51" i="41"/>
  <c r="HL51" i="41" s="1"/>
  <c r="CY51" i="41"/>
  <c r="HD51" i="41" s="1"/>
  <c r="CX51" i="41"/>
  <c r="HC51" i="41" s="1"/>
  <c r="DC51" i="41"/>
  <c r="HH51" i="41" s="1"/>
  <c r="CU26" i="45"/>
  <c r="DK26" i="45"/>
  <c r="AM55" i="45"/>
  <c r="BE55" i="45"/>
  <c r="CP55" i="43"/>
  <c r="BX55" i="41"/>
  <c r="K55" i="45"/>
  <c r="BX55" i="43"/>
  <c r="AM55" i="41"/>
  <c r="CP55" i="41"/>
  <c r="AM55" i="43"/>
  <c r="BE55" i="43"/>
  <c r="BE55" i="41"/>
  <c r="K55" i="43"/>
  <c r="DF39" i="43"/>
  <c r="HK39" i="43"/>
  <c r="DF39" i="41"/>
  <c r="HK39" i="41"/>
  <c r="BC23" i="45"/>
  <c r="CN23" i="41"/>
  <c r="AX27" i="45"/>
  <c r="BG27" i="45"/>
  <c r="CH39" i="45"/>
  <c r="CR47" i="44"/>
  <c r="W22" i="45"/>
  <c r="EF13" i="12"/>
  <c r="Z8" i="12"/>
  <c r="Y8" i="12"/>
  <c r="AI24" i="41" s="1"/>
  <c r="AD8" i="12"/>
  <c r="AN24" i="41" s="1"/>
  <c r="DB39" i="44"/>
  <c r="HG39" i="44"/>
  <c r="DB39" i="45"/>
  <c r="HG39" i="45"/>
  <c r="DB39" i="43"/>
  <c r="HG39" i="43"/>
  <c r="DB39" i="41"/>
  <c r="HG39" i="41"/>
  <c r="R29" i="44"/>
  <c r="R29" i="45"/>
  <c r="R29" i="41"/>
  <c r="GV6" i="12"/>
  <c r="GX6" i="12" s="1"/>
  <c r="DO6" i="12"/>
  <c r="T31" i="12"/>
  <c r="AC31" i="12"/>
  <c r="AA31" i="12"/>
  <c r="AK47" i="45"/>
  <c r="Z31" i="12"/>
  <c r="AJ47" i="45" s="1"/>
  <c r="V31" i="12"/>
  <c r="W31" i="12"/>
  <c r="DV90" i="44"/>
  <c r="GU90" i="44"/>
  <c r="DV90" i="45"/>
  <c r="GU90" i="45"/>
  <c r="DV90" i="43"/>
  <c r="GU90" i="43"/>
  <c r="DV90" i="41"/>
  <c r="GU90" i="41"/>
  <c r="DT91" i="44"/>
  <c r="GS91" i="44"/>
  <c r="DT91" i="45"/>
  <c r="GS91" i="45"/>
  <c r="DT91" i="41"/>
  <c r="GS91" i="41"/>
  <c r="DT91" i="43"/>
  <c r="GS91" i="43"/>
  <c r="X59" i="43"/>
  <c r="X59" i="44"/>
  <c r="X59" i="41"/>
  <c r="X59" i="45"/>
  <c r="DP26" i="12"/>
  <c r="DL26" i="12"/>
  <c r="DR26" i="12"/>
  <c r="DS26" i="12"/>
  <c r="DN26" i="12"/>
  <c r="DT26" i="12"/>
  <c r="DU26" i="12"/>
  <c r="GV26" i="12"/>
  <c r="DV26" i="12"/>
  <c r="DQ26" i="12"/>
  <c r="N28" i="12"/>
  <c r="Q28" i="12" s="1"/>
  <c r="D191" i="12"/>
  <c r="DT92" i="44"/>
  <c r="GS92" i="44"/>
  <c r="DT92" i="43"/>
  <c r="GS92" i="43"/>
  <c r="DT92" i="45"/>
  <c r="GS92" i="45"/>
  <c r="AM26" i="44"/>
  <c r="BX26" i="45"/>
  <c r="DA48" i="45"/>
  <c r="HF48" i="45" s="1"/>
  <c r="DA48" i="41"/>
  <c r="HF48" i="41" s="1"/>
  <c r="DA48" i="44"/>
  <c r="HF48" i="44"/>
  <c r="DO106" i="41"/>
  <c r="GN106" i="41" s="1"/>
  <c r="DO106" i="44"/>
  <c r="GN106" i="44" s="1"/>
  <c r="V41" i="12"/>
  <c r="AA41" i="12"/>
  <c r="BV57" i="45" s="1"/>
  <c r="AD41" i="12"/>
  <c r="AB41" i="12"/>
  <c r="BW57" i="45" s="1"/>
  <c r="Z41" i="12"/>
  <c r="Y41" i="12"/>
  <c r="U41" i="12"/>
  <c r="CY53" i="43"/>
  <c r="HD53" i="43" s="1"/>
  <c r="CY53" i="41"/>
  <c r="HD53" i="41" s="1"/>
  <c r="CY53" i="45"/>
  <c r="HD53" i="45" s="1"/>
  <c r="CY53" i="44"/>
  <c r="HD53" i="44" s="1"/>
  <c r="X10" i="12"/>
  <c r="AZ26" i="43" s="1"/>
  <c r="AD10" i="12"/>
  <c r="L26" i="45" s="1"/>
  <c r="W10" i="12"/>
  <c r="AY26" i="43" s="1"/>
  <c r="Y10" i="12"/>
  <c r="T10" i="12"/>
  <c r="AD26" i="45" s="1"/>
  <c r="AB10" i="12"/>
  <c r="BD26" i="43" s="1"/>
  <c r="U10" i="12"/>
  <c r="AE26" i="45" s="1"/>
  <c r="V10" i="12"/>
  <c r="Z10" i="12"/>
  <c r="AJ26" i="45" s="1"/>
  <c r="AA10" i="12"/>
  <c r="AK26" i="45"/>
  <c r="AE10" i="12"/>
  <c r="AO26" i="45" s="1"/>
  <c r="DG49" i="44"/>
  <c r="HL49" i="44" s="1"/>
  <c r="DG49" i="45"/>
  <c r="HL49" i="45" s="1"/>
  <c r="DG49" i="43"/>
  <c r="HL49" i="43"/>
  <c r="DG49" i="41"/>
  <c r="HL49" i="41" s="1"/>
  <c r="DO131" i="43"/>
  <c r="DW146" i="43" s="1"/>
  <c r="BO131" i="43"/>
  <c r="BW146" i="43" s="1"/>
  <c r="CG131" i="43"/>
  <c r="CO146" i="43"/>
  <c r="AD131" i="43"/>
  <c r="AL146" i="43" s="1"/>
  <c r="ER131" i="43"/>
  <c r="EZ146" i="43" s="1"/>
  <c r="AV131" i="43"/>
  <c r="BD146" i="43" s="1"/>
  <c r="EG131" i="43"/>
  <c r="EO146" i="43" s="1"/>
  <c r="FW131" i="43"/>
  <c r="GE146" i="43" s="1"/>
  <c r="J146" i="43"/>
  <c r="DU32" i="12"/>
  <c r="DT32" i="12"/>
  <c r="DO32" i="12"/>
  <c r="DV32" i="12"/>
  <c r="GV32" i="12"/>
  <c r="GX32" i="12" s="1"/>
  <c r="DW32" i="12"/>
  <c r="DR32" i="12"/>
  <c r="DN32" i="12"/>
  <c r="DL32" i="12"/>
  <c r="DQ32" i="12"/>
  <c r="DS32" i="12"/>
  <c r="DP32" i="12"/>
  <c r="GF33" i="44"/>
  <c r="CX47" i="44"/>
  <c r="HC47" i="44"/>
  <c r="CY51" i="45"/>
  <c r="HD51" i="45" s="1"/>
  <c r="CY51" i="44"/>
  <c r="HD51" i="44" s="1"/>
  <c r="DB53" i="44"/>
  <c r="HG53" i="44" s="1"/>
  <c r="DB53" i="41"/>
  <c r="HG53" i="41" s="1"/>
  <c r="DB53" i="45"/>
  <c r="HG53" i="45" s="1"/>
  <c r="DB53" i="43"/>
  <c r="HG53" i="43" s="1"/>
  <c r="DQ37" i="12"/>
  <c r="DN37" i="12"/>
  <c r="DW37" i="12"/>
  <c r="DL37" i="12"/>
  <c r="DM37" i="12"/>
  <c r="DU37" i="12"/>
  <c r="DT90" i="44"/>
  <c r="GS90" i="44" s="1"/>
  <c r="DT90" i="45"/>
  <c r="GS90" i="45" s="1"/>
  <c r="Z44" i="44"/>
  <c r="Z44" i="45"/>
  <c r="Z44" i="41"/>
  <c r="Z44" i="43"/>
  <c r="Q40" i="43"/>
  <c r="Q40" i="41"/>
  <c r="BA59" i="43"/>
  <c r="AI59" i="41"/>
  <c r="BA59" i="44"/>
  <c r="AI59" i="45"/>
  <c r="CL59" i="43"/>
  <c r="GT59" i="43"/>
  <c r="BA59" i="41"/>
  <c r="BT59" i="45"/>
  <c r="GT59" i="41"/>
  <c r="AI59" i="43"/>
  <c r="BT59" i="41"/>
  <c r="G59" i="45"/>
  <c r="BT59" i="44"/>
  <c r="G59" i="43"/>
  <c r="CL59" i="45"/>
  <c r="BD29" i="41"/>
  <c r="GW29" i="44"/>
  <c r="J29" i="41"/>
  <c r="CO29" i="45"/>
  <c r="BI21" i="44"/>
  <c r="CS59" i="43"/>
  <c r="CS50" i="41"/>
  <c r="EN28" i="12"/>
  <c r="EF28" i="12"/>
  <c r="EK28" i="12"/>
  <c r="EG28" i="12"/>
  <c r="EM28" i="12"/>
  <c r="EP28" i="12"/>
  <c r="EO28" i="12"/>
  <c r="EI28" i="12"/>
  <c r="EJ28" i="12"/>
  <c r="EE28" i="12"/>
  <c r="EL28" i="12"/>
  <c r="DD42" i="43"/>
  <c r="HI42" i="43" s="1"/>
  <c r="DD42" i="41"/>
  <c r="HI42" i="41"/>
  <c r="DD42" i="44"/>
  <c r="HI42" i="44" s="1"/>
  <c r="S24" i="41"/>
  <c r="S24" i="45"/>
  <c r="H95" i="43"/>
  <c r="H95" i="45"/>
  <c r="H95" i="44"/>
  <c r="H95" i="41"/>
  <c r="DF48" i="43"/>
  <c r="HK48" i="43"/>
  <c r="DF48" i="44"/>
  <c r="HK48" i="44"/>
  <c r="DP27" i="12"/>
  <c r="DT27" i="12"/>
  <c r="DO27" i="12"/>
  <c r="GV27" i="12"/>
  <c r="DU27" i="12"/>
  <c r="DV27" i="12"/>
  <c r="DL27" i="12"/>
  <c r="DW27" i="12"/>
  <c r="DR27" i="12"/>
  <c r="DM27" i="12"/>
  <c r="DN27" i="12"/>
  <c r="J95" i="43"/>
  <c r="B93" i="43"/>
  <c r="B93" i="44"/>
  <c r="B93" i="41"/>
  <c r="AC13" i="12"/>
  <c r="BX29" i="41" s="1"/>
  <c r="AA13" i="12"/>
  <c r="BV29" i="41"/>
  <c r="AE13" i="12"/>
  <c r="W13" i="12"/>
  <c r="GS13" i="12"/>
  <c r="X13" i="12"/>
  <c r="BS29" i="41"/>
  <c r="Z13" i="12"/>
  <c r="Y13" i="12"/>
  <c r="T13" i="12"/>
  <c r="U13" i="12"/>
  <c r="V13" i="12"/>
  <c r="Y21" i="43"/>
  <c r="Y21" i="44"/>
  <c r="Y21" i="41"/>
  <c r="DS86" i="45"/>
  <c r="GR86" i="45"/>
  <c r="DS86" i="43"/>
  <c r="GR86" i="43" s="1"/>
  <c r="DC58" i="43"/>
  <c r="HH58" i="43" s="1"/>
  <c r="DC58" i="44"/>
  <c r="HH58" i="44" s="1"/>
  <c r="DC58" i="45"/>
  <c r="HH58" i="45"/>
  <c r="W58" i="45"/>
  <c r="W58" i="43"/>
  <c r="W58" i="41"/>
  <c r="W58" i="44"/>
  <c r="AY38" i="12"/>
  <c r="BC38" i="12"/>
  <c r="AZ38" i="12"/>
  <c r="AV38" i="12"/>
  <c r="AU38" i="12"/>
  <c r="BD38" i="12"/>
  <c r="BF38" i="12"/>
  <c r="Z54" i="43" s="1"/>
  <c r="BB38" i="12"/>
  <c r="AX38" i="12"/>
  <c r="BA38" i="12"/>
  <c r="AW38" i="12"/>
  <c r="GT38" i="12"/>
  <c r="BE38" i="12"/>
  <c r="I106" i="45"/>
  <c r="I106" i="41"/>
  <c r="I106" i="43"/>
  <c r="I106" i="44"/>
  <c r="G108" i="41"/>
  <c r="G108" i="45"/>
  <c r="G108" i="44"/>
  <c r="G108" i="43"/>
  <c r="BH59" i="44"/>
  <c r="EP11" i="12"/>
  <c r="EI11" i="12"/>
  <c r="DA27" i="41" s="1"/>
  <c r="HF27" i="41" s="1"/>
  <c r="GW11" i="12"/>
  <c r="EE11" i="12"/>
  <c r="CW27" i="41"/>
  <c r="EN11" i="12"/>
  <c r="L117" i="41"/>
  <c r="F86" i="43"/>
  <c r="F86" i="41"/>
  <c r="F86" i="45"/>
  <c r="O38" i="43"/>
  <c r="O38" i="45"/>
  <c r="S58" i="41"/>
  <c r="S58" i="44"/>
  <c r="S58" i="43"/>
  <c r="O10" i="16"/>
  <c r="EB10" i="12"/>
  <c r="DL11" i="12"/>
  <c r="DV11" i="12"/>
  <c r="DT11" i="12"/>
  <c r="DR11" i="12"/>
  <c r="DU11" i="12"/>
  <c r="O59" i="43"/>
  <c r="DI59" i="43"/>
  <c r="DP91" i="44"/>
  <c r="GO91" i="44"/>
  <c r="DP91" i="41"/>
  <c r="GO91" i="41"/>
  <c r="U40" i="43"/>
  <c r="U40" i="41"/>
  <c r="C117" i="44"/>
  <c r="DX78" i="45"/>
  <c r="GW78" i="45" s="1"/>
  <c r="DX78" i="43"/>
  <c r="GW78" i="43" s="1"/>
  <c r="DX78" i="44"/>
  <c r="GW78" i="44" s="1"/>
  <c r="EG131" i="44"/>
  <c r="EO146" i="44" s="1"/>
  <c r="AD131" i="44"/>
  <c r="AL146" i="44" s="1"/>
  <c r="DB60" i="44"/>
  <c r="HG60" i="44" s="1"/>
  <c r="DB60" i="45"/>
  <c r="HG60" i="45" s="1"/>
  <c r="DB60" i="41"/>
  <c r="HG60" i="41" s="1"/>
  <c r="DU96" i="43"/>
  <c r="GT96" i="43"/>
  <c r="DU96" i="45"/>
  <c r="GT96" i="45"/>
  <c r="DU96" i="44"/>
  <c r="GT96" i="44" s="1"/>
  <c r="AY10" i="12"/>
  <c r="S26" i="45" s="1"/>
  <c r="AV10" i="12"/>
  <c r="P26" i="45" s="1"/>
  <c r="BD10" i="12"/>
  <c r="BC10" i="12"/>
  <c r="AW10" i="12"/>
  <c r="Q26" i="41" s="1"/>
  <c r="BE10" i="12"/>
  <c r="AX10" i="12"/>
  <c r="R26" i="45" s="1"/>
  <c r="BA10" i="12"/>
  <c r="DJ24" i="44"/>
  <c r="DJ24" i="45"/>
  <c r="S59" i="44"/>
  <c r="GF33" i="43"/>
  <c r="L50" i="43"/>
  <c r="BY50" i="44"/>
  <c r="CZ42" i="44"/>
  <c r="HE42" i="44"/>
  <c r="CZ42" i="43"/>
  <c r="HE42" i="43" s="1"/>
  <c r="W59" i="44"/>
  <c r="W59" i="45"/>
  <c r="R47" i="44"/>
  <c r="D192" i="12"/>
  <c r="N29" i="12"/>
  <c r="Q29" i="12" s="1"/>
  <c r="DG42" i="44"/>
  <c r="HL42" i="44"/>
  <c r="L95" i="41"/>
  <c r="D93" i="44"/>
  <c r="DW78" i="45"/>
  <c r="GV78" i="45" s="1"/>
  <c r="DW78" i="43"/>
  <c r="DY86" i="45"/>
  <c r="GX86" i="45"/>
  <c r="DY86" i="43"/>
  <c r="GX86" i="43" s="1"/>
  <c r="DD59" i="44"/>
  <c r="HI59" i="44"/>
  <c r="G205" i="12"/>
  <c r="H205" i="12"/>
  <c r="F205" i="12"/>
  <c r="K91" i="45"/>
  <c r="K91" i="44"/>
  <c r="K91" i="43"/>
  <c r="G35" i="25"/>
  <c r="B62" i="25"/>
  <c r="J35" i="25"/>
  <c r="B65" i="25" s="1"/>
  <c r="N35" i="25"/>
  <c r="B69" i="25"/>
  <c r="M35" i="25"/>
  <c r="B68" i="25"/>
  <c r="GS9" i="12"/>
  <c r="AD9" i="12"/>
  <c r="GY25" i="43"/>
  <c r="Y9" i="12"/>
  <c r="V9" i="12"/>
  <c r="BQ25" i="41"/>
  <c r="T9" i="12"/>
  <c r="Z9" i="12"/>
  <c r="AB9" i="12"/>
  <c r="GW25" i="43"/>
  <c r="X9" i="12"/>
  <c r="BS25" i="41" s="1"/>
  <c r="AE9" i="12"/>
  <c r="BZ25" i="41"/>
  <c r="AA9" i="12"/>
  <c r="GV25" i="43"/>
  <c r="O34" i="16"/>
  <c r="EB34" i="12"/>
  <c r="H59" i="44"/>
  <c r="GU59" i="41"/>
  <c r="EB111" i="45"/>
  <c r="EB111" i="43"/>
  <c r="EC111" i="43" s="1"/>
  <c r="DG59" i="44"/>
  <c r="HL59" i="44" s="1"/>
  <c r="B29" i="21"/>
  <c r="C62" i="35" s="1"/>
  <c r="G62" i="35" s="1"/>
  <c r="B60" i="25"/>
  <c r="B67" i="25"/>
  <c r="GS43" i="12"/>
  <c r="U43" i="12"/>
  <c r="AE43" i="12"/>
  <c r="GZ59" i="45"/>
  <c r="AC43" i="12"/>
  <c r="X43" i="12"/>
  <c r="GX29" i="12"/>
  <c r="EB12" i="12"/>
  <c r="O12" i="16"/>
  <c r="DO92" i="41"/>
  <c r="GN92" i="41"/>
  <c r="DO92" i="45"/>
  <c r="GN92" i="45"/>
  <c r="S44" i="44"/>
  <c r="D91" i="44"/>
  <c r="D91" i="43"/>
  <c r="CW47" i="41"/>
  <c r="M86" i="43"/>
  <c r="M86" i="44"/>
  <c r="BC8" i="12"/>
  <c r="BD8" i="12"/>
  <c r="DG58" i="43"/>
  <c r="HL58" i="43"/>
  <c r="DG58" i="45"/>
  <c r="HL58" i="45"/>
  <c r="W44" i="44"/>
  <c r="O50" i="43"/>
  <c r="DF19" i="44"/>
  <c r="DF19" i="45"/>
  <c r="DF19" i="43"/>
  <c r="GB19" i="12"/>
  <c r="DW76" i="45"/>
  <c r="DR90" i="41"/>
  <c r="GQ90" i="41"/>
  <c r="G197" i="12"/>
  <c r="H197" i="12"/>
  <c r="E197" i="12"/>
  <c r="F197" i="12"/>
  <c r="DZ104" i="45"/>
  <c r="GY104" i="45"/>
  <c r="DZ104" i="41"/>
  <c r="GY104" i="41"/>
  <c r="DR106" i="41"/>
  <c r="GQ106" i="41" s="1"/>
  <c r="D96" i="41"/>
  <c r="DY108" i="41"/>
  <c r="GX108" i="41" s="1"/>
  <c r="D189" i="12"/>
  <c r="N26" i="12"/>
  <c r="Q26" i="12"/>
  <c r="GV17" i="12"/>
  <c r="DP17" i="12"/>
  <c r="DO17" i="12"/>
  <c r="DN17" i="12"/>
  <c r="DS17" i="12"/>
  <c r="DY104" i="41"/>
  <c r="GX104" i="41"/>
  <c r="DU91" i="41"/>
  <c r="GT91" i="41"/>
  <c r="GJ15" i="44"/>
  <c r="GJ15" i="41"/>
  <c r="EK21" i="12"/>
  <c r="EO21" i="12"/>
  <c r="EP21" i="12"/>
  <c r="EH21" i="12"/>
  <c r="EJ21" i="12"/>
  <c r="EM21" i="12"/>
  <c r="EE21" i="12"/>
  <c r="EN21" i="12"/>
  <c r="EL21" i="12"/>
  <c r="GW21" i="12"/>
  <c r="GD3" i="12"/>
  <c r="GC3" i="12"/>
  <c r="FX3" i="12"/>
  <c r="FZ3" i="12"/>
  <c r="H180" i="12"/>
  <c r="F180" i="12"/>
  <c r="CW23" i="41"/>
  <c r="EL35" i="12"/>
  <c r="EE35" i="12"/>
  <c r="EJ35" i="12"/>
  <c r="EM35" i="12"/>
  <c r="EI35" i="12"/>
  <c r="DA51" i="41" s="1"/>
  <c r="HF51" i="41" s="1"/>
  <c r="EP35" i="12"/>
  <c r="GM52" i="45"/>
  <c r="DT42" i="12"/>
  <c r="DO42" i="12"/>
  <c r="GV42" i="12"/>
  <c r="DN42" i="12"/>
  <c r="DW42" i="12"/>
  <c r="D203" i="12"/>
  <c r="N40" i="12"/>
  <c r="Q40" i="12" s="1"/>
  <c r="H100" i="41"/>
  <c r="U59" i="41"/>
  <c r="DH19" i="41"/>
  <c r="D187" i="12"/>
  <c r="N24" i="12"/>
  <c r="Q24" i="12"/>
  <c r="R10" i="25"/>
  <c r="N14" i="12"/>
  <c r="D177" i="12"/>
  <c r="M103" i="45"/>
  <c r="M103" i="41"/>
  <c r="L110" i="44"/>
  <c r="GD19" i="41"/>
  <c r="DP28" i="12"/>
  <c r="DN28" i="12"/>
  <c r="DR28" i="12"/>
  <c r="DT28" i="12"/>
  <c r="DS36" i="12"/>
  <c r="DP36" i="12"/>
  <c r="DV36" i="12"/>
  <c r="DU36" i="12"/>
  <c r="DM36" i="12"/>
  <c r="DT36" i="12"/>
  <c r="DR36" i="12"/>
  <c r="DL36" i="12"/>
  <c r="DH19" i="45"/>
  <c r="DQ76" i="45"/>
  <c r="H195" i="12"/>
  <c r="G195" i="12"/>
  <c r="F195" i="12"/>
  <c r="DQ104" i="41"/>
  <c r="GP104" i="41"/>
  <c r="EP33" i="12"/>
  <c r="EH33" i="12"/>
  <c r="EI33" i="12"/>
  <c r="DA49" i="45" s="1"/>
  <c r="HF49" i="45" s="1"/>
  <c r="EE33" i="12"/>
  <c r="EL33" i="12"/>
  <c r="EH44" i="12"/>
  <c r="EO44" i="12"/>
  <c r="EN44" i="12"/>
  <c r="EI44" i="12"/>
  <c r="EL44" i="12"/>
  <c r="EG44" i="12"/>
  <c r="CY60" i="44" s="1"/>
  <c r="HD60" i="44" s="1"/>
  <c r="EP44" i="12"/>
  <c r="EK44" i="12"/>
  <c r="GW44" i="12"/>
  <c r="EB41" i="12"/>
  <c r="O41" i="16"/>
  <c r="GW3" i="12"/>
  <c r="GX3" i="12"/>
  <c r="EE3" i="12"/>
  <c r="CW19" i="45" s="1"/>
  <c r="D201" i="12"/>
  <c r="FT8" i="12"/>
  <c r="GE32" i="43"/>
  <c r="N30" i="12"/>
  <c r="Q30" i="12" s="1"/>
  <c r="D193" i="12"/>
  <c r="GT7" i="12"/>
  <c r="GU7" i="12" s="1"/>
  <c r="AW7" i="12"/>
  <c r="AU7" i="12"/>
  <c r="BA7" i="12"/>
  <c r="BC7" i="12"/>
  <c r="W23" i="45" s="1"/>
  <c r="BD7" i="12"/>
  <c r="BJ21" i="18"/>
  <c r="AQ21" i="18"/>
  <c r="AU21" i="18"/>
  <c r="BA21" i="18"/>
  <c r="BE21" i="18"/>
  <c r="BN21" i="18" s="1"/>
  <c r="AR21" i="18"/>
  <c r="AV21" i="18" s="1"/>
  <c r="BH21" i="18"/>
  <c r="AZ21" i="18"/>
  <c r="BD21" i="18" s="1"/>
  <c r="BM21" i="18" s="1"/>
  <c r="AY21" i="18"/>
  <c r="BC21" i="18" s="1"/>
  <c r="BL21" i="18" s="1"/>
  <c r="BG21" i="18"/>
  <c r="E230" i="12"/>
  <c r="U9" i="18"/>
  <c r="X9" i="18"/>
  <c r="W9" i="18"/>
  <c r="J78" i="44"/>
  <c r="C216" i="12"/>
  <c r="H216" i="12"/>
  <c r="EB8" i="12"/>
  <c r="CO7" i="12"/>
  <c r="FL7" i="12"/>
  <c r="FY7" i="12" s="1"/>
  <c r="FC20" i="45"/>
  <c r="BM12" i="32"/>
  <c r="BW12" i="32"/>
  <c r="AW12" i="32"/>
  <c r="BL12" i="32"/>
  <c r="FC20" i="43"/>
  <c r="BV12" i="32"/>
  <c r="BK12" i="32"/>
  <c r="FC20" i="41"/>
  <c r="BJ12" i="32"/>
  <c r="FC20" i="44"/>
  <c r="BG12" i="32"/>
  <c r="BO12" i="32"/>
  <c r="BY12" i="32"/>
  <c r="BF12" i="32"/>
  <c r="BN12" i="32"/>
  <c r="BX12" i="32"/>
  <c r="BI12" i="32"/>
  <c r="BA12" i="32"/>
  <c r="BH12" i="32"/>
  <c r="BC12" i="32"/>
  <c r="BQ12" i="32"/>
  <c r="AX12" i="32"/>
  <c r="AX20" i="32" s="1"/>
  <c r="AL25" i="32" s="1"/>
  <c r="AZ12" i="32"/>
  <c r="BB12" i="32"/>
  <c r="BD12" i="32"/>
  <c r="CK13" i="12"/>
  <c r="J102" i="41"/>
  <c r="BE9" i="12"/>
  <c r="AV9" i="12"/>
  <c r="P25" i="43" s="1"/>
  <c r="BA12" i="18"/>
  <c r="BE12" i="18" s="1"/>
  <c r="BN12" i="18" s="1"/>
  <c r="AP12" i="18"/>
  <c r="AT12" i="18" s="1"/>
  <c r="BI12" i="18"/>
  <c r="AX12" i="18"/>
  <c r="BB12" i="18"/>
  <c r="BK12" i="18" s="1"/>
  <c r="BG12" i="18"/>
  <c r="B90" i="41"/>
  <c r="CQ8" i="12"/>
  <c r="CJ8" i="12"/>
  <c r="CN8" i="12"/>
  <c r="FQ17" i="12"/>
  <c r="GD17" i="12" s="1"/>
  <c r="CT17" i="12"/>
  <c r="FG16" i="12"/>
  <c r="AJ45" i="12"/>
  <c r="S37" i="32"/>
  <c r="T37" i="32" s="1"/>
  <c r="EF37" i="12"/>
  <c r="CX53" i="41" s="1"/>
  <c r="HC53" i="41" s="1"/>
  <c r="EN37" i="12"/>
  <c r="EM37" i="12"/>
  <c r="EL37" i="12"/>
  <c r="BB37" i="12"/>
  <c r="AW37" i="12"/>
  <c r="BE37" i="12"/>
  <c r="GT37" i="12"/>
  <c r="BA37" i="12"/>
  <c r="AZ37" i="12"/>
  <c r="T53" i="44" s="1"/>
  <c r="BF37" i="12"/>
  <c r="AV37" i="12"/>
  <c r="BC37" i="12"/>
  <c r="AX37" i="12"/>
  <c r="BD37" i="12"/>
  <c r="GW26" i="12"/>
  <c r="EI31" i="12"/>
  <c r="EP31" i="12"/>
  <c r="DH47" i="45"/>
  <c r="HM47" i="45"/>
  <c r="U27" i="18"/>
  <c r="AO27" i="18"/>
  <c r="AS27" i="18"/>
  <c r="U19" i="18"/>
  <c r="BG19" i="18"/>
  <c r="U15" i="18"/>
  <c r="BG13" i="18"/>
  <c r="U13" i="18"/>
  <c r="ES3" i="43"/>
  <c r="GO3" i="43" s="1"/>
  <c r="BY21" i="18"/>
  <c r="GB25" i="43"/>
  <c r="S166" i="12"/>
  <c r="T166" i="12"/>
  <c r="Q166" i="12"/>
  <c r="P166" i="12"/>
  <c r="O166" i="12"/>
  <c r="O208" i="12" s="1"/>
  <c r="F26" i="28" s="1"/>
  <c r="N166" i="12"/>
  <c r="R166" i="12"/>
  <c r="R208" i="12" s="1"/>
  <c r="U186" i="12"/>
  <c r="J186" i="12"/>
  <c r="L186" i="12"/>
  <c r="K186" i="12"/>
  <c r="T186" i="12"/>
  <c r="Q186" i="12"/>
  <c r="Q208" i="12" s="1"/>
  <c r="H26" i="28" s="1"/>
  <c r="M186" i="12"/>
  <c r="P186" i="12"/>
  <c r="R186" i="12"/>
  <c r="S186" i="12"/>
  <c r="N186" i="12"/>
  <c r="T179" i="12"/>
  <c r="K179" i="12"/>
  <c r="M179" i="12"/>
  <c r="M208" i="12" s="1"/>
  <c r="H28" i="28" s="1"/>
  <c r="U179" i="12"/>
  <c r="P179" i="12"/>
  <c r="S179" i="12"/>
  <c r="J179" i="12"/>
  <c r="O179" i="12"/>
  <c r="Q179" i="12"/>
  <c r="N179" i="12"/>
  <c r="U20" i="32"/>
  <c r="C28" i="32" s="1"/>
  <c r="O20" i="32"/>
  <c r="C25" i="32"/>
  <c r="T29" i="18"/>
  <c r="J5" i="33"/>
  <c r="L88" i="35"/>
  <c r="CU19" i="45"/>
  <c r="BZ18" i="18"/>
  <c r="GC22" i="43" s="1"/>
  <c r="H7" i="17"/>
  <c r="I8" i="18"/>
  <c r="AD8" i="18"/>
  <c r="GJ24" i="44"/>
  <c r="AR44" i="12"/>
  <c r="CS44" i="12"/>
  <c r="CJ44" i="12"/>
  <c r="FK41" i="12"/>
  <c r="FX41" i="12"/>
  <c r="CN41" i="12"/>
  <c r="CN37" i="12"/>
  <c r="FK37" i="12"/>
  <c r="FX37" i="12" s="1"/>
  <c r="HB40" i="12"/>
  <c r="HF40" i="12"/>
  <c r="HC40" i="12"/>
  <c r="HE40" i="12"/>
  <c r="HH40" i="12"/>
  <c r="N32" i="26"/>
  <c r="M32" i="26"/>
  <c r="G32" i="26"/>
  <c r="O33" i="16"/>
  <c r="AU13" i="12"/>
  <c r="GT13" i="12"/>
  <c r="GU13" i="12" s="1"/>
  <c r="BC13" i="12"/>
  <c r="BA13" i="12"/>
  <c r="BB13" i="12"/>
  <c r="AW13" i="12"/>
  <c r="L108" i="44"/>
  <c r="AW34" i="12"/>
  <c r="BE34" i="12"/>
  <c r="Y50" i="41" s="1"/>
  <c r="AX34" i="12"/>
  <c r="BA34" i="12"/>
  <c r="GT34" i="12"/>
  <c r="GU34" i="12"/>
  <c r="BF34" i="12"/>
  <c r="D105" i="41"/>
  <c r="J25" i="26"/>
  <c r="I27" i="26"/>
  <c r="H22" i="17"/>
  <c r="I23" i="18"/>
  <c r="AD23" i="18"/>
  <c r="O22" i="17" s="1"/>
  <c r="AE23" i="18" s="1"/>
  <c r="EA76" i="45"/>
  <c r="EA77" i="44"/>
  <c r="GB18" i="12"/>
  <c r="DW91" i="45" s="1"/>
  <c r="GV91" i="45" s="1"/>
  <c r="EN30" i="12"/>
  <c r="AU32" i="12"/>
  <c r="O48" i="45"/>
  <c r="DI48" i="45" s="1"/>
  <c r="AZ32" i="12"/>
  <c r="BC32" i="12"/>
  <c r="F176" i="12"/>
  <c r="E176" i="12"/>
  <c r="EB88" i="43"/>
  <c r="EC88" i="43"/>
  <c r="K23" i="15"/>
  <c r="J23" i="15"/>
  <c r="E46" i="25"/>
  <c r="J46" i="25"/>
  <c r="I46" i="25"/>
  <c r="K46" i="25"/>
  <c r="F46" i="25"/>
  <c r="O46" i="25"/>
  <c r="GC20" i="44"/>
  <c r="GH15" i="12"/>
  <c r="AQ31" i="41"/>
  <c r="CP15" i="12"/>
  <c r="CR15" i="12"/>
  <c r="CT15" i="12"/>
  <c r="AR15" i="12"/>
  <c r="AR21" i="12"/>
  <c r="FJ3" i="12"/>
  <c r="FW3" i="12" s="1"/>
  <c r="CM3" i="12"/>
  <c r="FN18" i="12"/>
  <c r="GA18" i="12"/>
  <c r="CQ18" i="12"/>
  <c r="ES3" i="45"/>
  <c r="GO3" i="45" s="1"/>
  <c r="EA85" i="44"/>
  <c r="HC3" i="12"/>
  <c r="HA3" i="12"/>
  <c r="HG3" i="12"/>
  <c r="HH3" i="12"/>
  <c r="HF3" i="12"/>
  <c r="HB3" i="12"/>
  <c r="CU25" i="12"/>
  <c r="C188" i="12"/>
  <c r="FZ25" i="12"/>
  <c r="CN25" i="12"/>
  <c r="F98" i="43" s="1"/>
  <c r="CS25" i="12"/>
  <c r="CT25" i="12"/>
  <c r="CJ25" i="12"/>
  <c r="GA25" i="12"/>
  <c r="CR25" i="12"/>
  <c r="FY25" i="12"/>
  <c r="FV25" i="12"/>
  <c r="GC25" i="12"/>
  <c r="DX98" i="41" s="1"/>
  <c r="AR25" i="12"/>
  <c r="CQ25" i="12"/>
  <c r="FT25" i="12"/>
  <c r="CP25" i="12"/>
  <c r="FU25" i="12"/>
  <c r="FU13" i="12"/>
  <c r="DF9" i="12"/>
  <c r="DI9" i="12" s="1"/>
  <c r="Z10" i="26"/>
  <c r="AN43" i="12"/>
  <c r="AY30" i="12"/>
  <c r="BC30" i="12"/>
  <c r="N16" i="12"/>
  <c r="BA5" i="12"/>
  <c r="BF5" i="12"/>
  <c r="H21" i="17"/>
  <c r="I22" i="18" s="1"/>
  <c r="AD22" i="18"/>
  <c r="O21" i="17" s="1"/>
  <c r="AE22" i="18" s="1"/>
  <c r="AC12" i="18"/>
  <c r="E65" i="18"/>
  <c r="GJ13" i="45"/>
  <c r="CU21" i="12"/>
  <c r="CR21" i="12"/>
  <c r="J94" i="41" s="1"/>
  <c r="CL21" i="12"/>
  <c r="FL44" i="12"/>
  <c r="CO44" i="12"/>
  <c r="FP21" i="12"/>
  <c r="CS21" i="12"/>
  <c r="K94" i="44" s="1"/>
  <c r="D85" i="18"/>
  <c r="D46" i="28"/>
  <c r="FJ31" i="12"/>
  <c r="FW31" i="12"/>
  <c r="CM31" i="12"/>
  <c r="FH26" i="12"/>
  <c r="FU26" i="12"/>
  <c r="CK26" i="12"/>
  <c r="DK55" i="43"/>
  <c r="L104" i="44"/>
  <c r="CL27" i="12"/>
  <c r="GM25" i="41"/>
  <c r="DK34" i="44"/>
  <c r="AD9" i="18"/>
  <c r="O8" i="17"/>
  <c r="AE9" i="18" s="1"/>
  <c r="H8" i="17"/>
  <c r="I9" i="18" s="1"/>
  <c r="ER44" i="12"/>
  <c r="CM44" i="12"/>
  <c r="Q18" i="12"/>
  <c r="AR18" i="12"/>
  <c r="AU18" i="12" s="1"/>
  <c r="CK18" i="12"/>
  <c r="C91" i="41" s="1"/>
  <c r="EB6" i="12"/>
  <c r="CQ6" i="12"/>
  <c r="GB6" i="12"/>
  <c r="C189" i="12"/>
  <c r="E189" i="12" s="1"/>
  <c r="CU22" i="12"/>
  <c r="D175" i="12"/>
  <c r="F175" i="12" s="1"/>
  <c r="N12" i="12"/>
  <c r="Q12" i="12" s="1"/>
  <c r="H27" i="17"/>
  <c r="I28" i="18" s="1"/>
  <c r="AD28" i="18"/>
  <c r="O27" i="17" s="1"/>
  <c r="AE28" i="18" s="1"/>
  <c r="H24" i="17"/>
  <c r="I25" i="18"/>
  <c r="AD25" i="18"/>
  <c r="O24" i="17"/>
  <c r="AE25" i="18" s="1"/>
  <c r="E77" i="18"/>
  <c r="AC24" i="18"/>
  <c r="V26" i="18"/>
  <c r="W26" i="18"/>
  <c r="U18" i="18"/>
  <c r="V18" i="18"/>
  <c r="X18" i="18"/>
  <c r="V11" i="18"/>
  <c r="W11" i="18"/>
  <c r="D213" i="12"/>
  <c r="DY5" i="12"/>
  <c r="BM16" i="32"/>
  <c r="AZ16" i="32"/>
  <c r="FC24" i="44"/>
  <c r="BL16" i="32"/>
  <c r="FC24" i="43"/>
  <c r="BK16" i="32"/>
  <c r="BJ16" i="32"/>
  <c r="BV16" i="32"/>
  <c r="BG16" i="32"/>
  <c r="BO16" i="32"/>
  <c r="BF16" i="32"/>
  <c r="BN16" i="32"/>
  <c r="BI16" i="32"/>
  <c r="BY16" i="32"/>
  <c r="BH16" i="32"/>
  <c r="BX16" i="32"/>
  <c r="BW16" i="32"/>
  <c r="AY16" i="32"/>
  <c r="AY20" i="32" s="1"/>
  <c r="BQ16" i="32"/>
  <c r="BB16" i="32"/>
  <c r="FC24" i="45"/>
  <c r="BP16" i="32"/>
  <c r="AX16" i="32"/>
  <c r="BC16" i="32"/>
  <c r="BD16" i="32"/>
  <c r="Q207" i="12"/>
  <c r="L207" i="12"/>
  <c r="S207" i="12"/>
  <c r="N207" i="12"/>
  <c r="U207" i="12"/>
  <c r="U208" i="12" s="1"/>
  <c r="H27" i="28" s="1"/>
  <c r="P207" i="12"/>
  <c r="M207" i="12"/>
  <c r="O207" i="12"/>
  <c r="J207" i="12"/>
  <c r="T207" i="12"/>
  <c r="B123" i="45"/>
  <c r="HH18" i="12"/>
  <c r="HA18" i="12"/>
  <c r="HC18" i="12"/>
  <c r="HB18" i="12"/>
  <c r="HH14" i="12"/>
  <c r="HA14" i="12"/>
  <c r="HC14" i="12"/>
  <c r="GZ14" i="12"/>
  <c r="HF14" i="12"/>
  <c r="HG8" i="12"/>
  <c r="HA8" i="12"/>
  <c r="HH8" i="12"/>
  <c r="C228" i="12"/>
  <c r="H228" i="12"/>
  <c r="CR20" i="12"/>
  <c r="ER16" i="12"/>
  <c r="GJ25" i="44"/>
  <c r="GJ20" i="45"/>
  <c r="FM39" i="12"/>
  <c r="FZ39" i="12" s="1"/>
  <c r="CP39" i="12"/>
  <c r="E46" i="15"/>
  <c r="P20" i="32"/>
  <c r="K8" i="32"/>
  <c r="L8" i="32"/>
  <c r="K12" i="32"/>
  <c r="L12" i="32" s="1"/>
  <c r="CO19" i="12"/>
  <c r="CN33" i="12"/>
  <c r="H238" i="12"/>
  <c r="GM26" i="43"/>
  <c r="AV33" i="12"/>
  <c r="BD33" i="12"/>
  <c r="C3" i="43"/>
  <c r="EH3" i="43"/>
  <c r="BZ11" i="18"/>
  <c r="C213" i="12"/>
  <c r="CN5" i="12"/>
  <c r="CR11" i="12"/>
  <c r="J84" i="41" s="1"/>
  <c r="ER11" i="12"/>
  <c r="GE11" i="12" s="1"/>
  <c r="CS12" i="12"/>
  <c r="FP12" i="12"/>
  <c r="GC12" i="12"/>
  <c r="EA88" i="45"/>
  <c r="HF22" i="12"/>
  <c r="HA22" i="12"/>
  <c r="HC22" i="12"/>
  <c r="HE22" i="12"/>
  <c r="AM35" i="12"/>
  <c r="AN35" i="12" s="1"/>
  <c r="C198" i="12"/>
  <c r="E198" i="12" s="1"/>
  <c r="FR43" i="12"/>
  <c r="GE43" i="12"/>
  <c r="CU43" i="12"/>
  <c r="BC31" i="12"/>
  <c r="R42" i="41"/>
  <c r="O46" i="15"/>
  <c r="O47" i="15" s="1"/>
  <c r="AA20" i="32"/>
  <c r="FX10" i="12"/>
  <c r="GM37" i="44"/>
  <c r="F46" i="15"/>
  <c r="F47" i="15"/>
  <c r="I46" i="15"/>
  <c r="K46" i="15"/>
  <c r="H9" i="17"/>
  <c r="I10" i="18"/>
  <c r="AD10" i="18"/>
  <c r="O9" i="17"/>
  <c r="AE10" i="18" s="1"/>
  <c r="U20" i="18"/>
  <c r="V20" i="18"/>
  <c r="W20" i="18"/>
  <c r="F79" i="45"/>
  <c r="EA82" i="45"/>
  <c r="CU39" i="43"/>
  <c r="BI11" i="32"/>
  <c r="BQ11" i="32"/>
  <c r="BH11" i="32"/>
  <c r="BP11" i="32"/>
  <c r="BY11" i="32"/>
  <c r="FC19" i="44"/>
  <c r="BG11" i="32"/>
  <c r="BO11" i="32"/>
  <c r="FC19" i="45"/>
  <c r="FE19" i="45" s="1"/>
  <c r="BV11" i="32"/>
  <c r="BF11" i="32"/>
  <c r="BN11" i="32"/>
  <c r="FC19" i="43"/>
  <c r="FC19" i="41"/>
  <c r="BK11" i="32"/>
  <c r="BJ11" i="32"/>
  <c r="BX11" i="32"/>
  <c r="BW11" i="32"/>
  <c r="BM11" i="32"/>
  <c r="BD11" i="32"/>
  <c r="AX11" i="32"/>
  <c r="BC11" i="32"/>
  <c r="FK40" i="12"/>
  <c r="CN40" i="12"/>
  <c r="CJ32" i="12"/>
  <c r="FG32" i="12"/>
  <c r="FT32" i="12" s="1"/>
  <c r="S20" i="32"/>
  <c r="C27" i="32"/>
  <c r="BZ17" i="18"/>
  <c r="CK5" i="12"/>
  <c r="CM8" i="12"/>
  <c r="CT8" i="12"/>
  <c r="FP10" i="12"/>
  <c r="GC10" i="12"/>
  <c r="AN13" i="12"/>
  <c r="FZ7" i="12"/>
  <c r="DF12" i="12"/>
  <c r="DI12" i="12"/>
  <c r="DF4" i="12"/>
  <c r="DI4" i="12"/>
  <c r="FX25" i="12"/>
  <c r="C167" i="12"/>
  <c r="AM4" i="12"/>
  <c r="AN4" i="12" s="1"/>
  <c r="AC6" i="18"/>
  <c r="E59" i="18"/>
  <c r="GK17" i="12"/>
  <c r="DJ33" i="44" s="1"/>
  <c r="C225" i="12"/>
  <c r="FR18" i="12"/>
  <c r="GE18" i="12" s="1"/>
  <c r="CU18" i="12"/>
  <c r="M91" i="41" s="1"/>
  <c r="J6" i="33"/>
  <c r="Z6" i="33"/>
  <c r="AB6" i="33" s="1"/>
  <c r="EG3" i="45" s="1"/>
  <c r="B123" i="43"/>
  <c r="AZ23" i="12"/>
  <c r="BA12" i="12"/>
  <c r="U28" i="41"/>
  <c r="GT43" i="12"/>
  <c r="GU43" i="12" s="1"/>
  <c r="BE42" i="12"/>
  <c r="Y58" i="44" s="1"/>
  <c r="X5" i="18"/>
  <c r="AM3" i="12"/>
  <c r="AN3" i="12"/>
  <c r="M30" i="25"/>
  <c r="K19" i="32"/>
  <c r="L19" i="32" s="1"/>
  <c r="CM5" i="12"/>
  <c r="E78" i="45" s="1"/>
  <c r="CJ12" i="12"/>
  <c r="CS13" i="12"/>
  <c r="CM22" i="12"/>
  <c r="CP18" i="12"/>
  <c r="AZ15" i="32"/>
  <c r="AX10" i="15"/>
  <c r="GM45" i="43"/>
  <c r="CU20" i="12"/>
  <c r="M93" i="43" s="1"/>
  <c r="FR20" i="12"/>
  <c r="GE20" i="12" s="1"/>
  <c r="HF4" i="12"/>
  <c r="HC4" i="12"/>
  <c r="U21" i="18"/>
  <c r="CQ5" i="12"/>
  <c r="CK11" i="12"/>
  <c r="CQ22" i="12"/>
  <c r="AH45" i="12"/>
  <c r="S35" i="32"/>
  <c r="T35" i="32" s="1"/>
  <c r="AA10" i="25"/>
  <c r="AD10" i="25" s="1"/>
  <c r="Q39" i="25" s="1"/>
  <c r="BY15" i="32"/>
  <c r="GM50" i="44"/>
  <c r="H19" i="17"/>
  <c r="I20" i="18"/>
  <c r="AD20" i="18"/>
  <c r="O19" i="17"/>
  <c r="AE20" i="18" s="1"/>
  <c r="EA80" i="45"/>
  <c r="BY22" i="18"/>
  <c r="GB26" i="41" s="1"/>
  <c r="P182" i="12"/>
  <c r="M182" i="12"/>
  <c r="R182" i="12"/>
  <c r="K182" i="12"/>
  <c r="U182" i="12"/>
  <c r="CK15" i="12"/>
  <c r="CK23" i="12"/>
  <c r="BL15" i="32"/>
  <c r="GM39" i="41"/>
  <c r="AD11" i="18"/>
  <c r="O10" i="17"/>
  <c r="AE11" i="18" s="1"/>
  <c r="H10" i="17"/>
  <c r="I11" i="18"/>
  <c r="D212" i="12"/>
  <c r="DY4" i="12"/>
  <c r="CQ20" i="12"/>
  <c r="FN20" i="12"/>
  <c r="GA20" i="12"/>
  <c r="EA93" i="41"/>
  <c r="EA81" i="44"/>
  <c r="FC23" i="41"/>
  <c r="BI15" i="32"/>
  <c r="BQ15" i="32"/>
  <c r="BH15" i="32"/>
  <c r="BP15" i="32"/>
  <c r="BG15" i="32"/>
  <c r="BO15" i="32"/>
  <c r="BF15" i="32"/>
  <c r="BN15" i="32"/>
  <c r="FC23" i="43"/>
  <c r="BK15" i="32"/>
  <c r="BX15" i="32"/>
  <c r="FC23" i="45"/>
  <c r="BV15" i="32"/>
  <c r="BJ15" i="32"/>
  <c r="BW15" i="32"/>
  <c r="AX15" i="32"/>
  <c r="BB15" i="32"/>
  <c r="BB20" i="32" s="1"/>
  <c r="BM15" i="32"/>
  <c r="BD15" i="32"/>
  <c r="AY15" i="32"/>
  <c r="BY13" i="18"/>
  <c r="T168" i="12"/>
  <c r="Q168" i="12"/>
  <c r="M168" i="12"/>
  <c r="U168" i="12"/>
  <c r="S168" i="12"/>
  <c r="S208" i="12" s="1"/>
  <c r="F27" i="28" s="1"/>
  <c r="N168" i="12"/>
  <c r="BA22" i="12"/>
  <c r="CL44" i="12"/>
  <c r="DY19" i="12"/>
  <c r="GE7" i="12"/>
  <c r="GH30" i="12"/>
  <c r="CB46" i="44" s="1"/>
  <c r="GM41" i="41"/>
  <c r="GM30" i="43"/>
  <c r="GM50" i="43"/>
  <c r="GM60" i="45"/>
  <c r="AT13" i="32"/>
  <c r="AU13" i="32"/>
  <c r="AA10" i="26"/>
  <c r="CO20" i="12"/>
  <c r="GM58" i="41"/>
  <c r="GM32" i="43"/>
  <c r="GM53" i="43"/>
  <c r="FJ145" i="43"/>
  <c r="FC152" i="43"/>
  <c r="GM22" i="44"/>
  <c r="GM34" i="44"/>
  <c r="GM25" i="45"/>
  <c r="BI19" i="32"/>
  <c r="BQ19" i="32"/>
  <c r="BH19" i="32"/>
  <c r="BP19" i="32"/>
  <c r="BY19" i="32"/>
  <c r="FC27" i="45"/>
  <c r="BG19" i="32"/>
  <c r="BO19" i="32"/>
  <c r="FC27" i="41"/>
  <c r="BV19" i="32"/>
  <c r="BF19" i="32"/>
  <c r="BN19" i="32"/>
  <c r="BK19" i="32"/>
  <c r="FC27" i="44"/>
  <c r="FE27" i="44" s="1"/>
  <c r="FC27" i="43"/>
  <c r="BJ19" i="32"/>
  <c r="BL19" i="32"/>
  <c r="GM44" i="41"/>
  <c r="GM48" i="41"/>
  <c r="GM21" i="43"/>
  <c r="GM28" i="43"/>
  <c r="GW28" i="43" s="1"/>
  <c r="GM43" i="44"/>
  <c r="GM56" i="45"/>
  <c r="BV14" i="32"/>
  <c r="BM14" i="32"/>
  <c r="BY14" i="32"/>
  <c r="BL14" i="32"/>
  <c r="BX14" i="32"/>
  <c r="FC22" i="45"/>
  <c r="BK14" i="32"/>
  <c r="FC22" i="43"/>
  <c r="FE22" i="43" s="1"/>
  <c r="BJ14" i="32"/>
  <c r="BG14" i="32"/>
  <c r="BO14" i="32"/>
  <c r="BD14" i="32"/>
  <c r="FC22" i="44"/>
  <c r="BF14" i="32"/>
  <c r="BN14" i="32"/>
  <c r="C246" i="12"/>
  <c r="H246" i="12"/>
  <c r="GH38" i="12"/>
  <c r="BM19" i="32"/>
  <c r="GM46" i="43"/>
  <c r="GM24" i="44"/>
  <c r="GM38" i="44"/>
  <c r="GM54" i="44"/>
  <c r="BY17" i="32"/>
  <c r="BN18" i="32"/>
  <c r="BF18" i="32"/>
  <c r="BJ17" i="32"/>
  <c r="BJ13" i="32"/>
  <c r="FC21" i="43"/>
  <c r="FE21" i="43" s="1"/>
  <c r="T81" i="18"/>
  <c r="L81" i="18"/>
  <c r="T74" i="18"/>
  <c r="T73" i="18"/>
  <c r="L73" i="18"/>
  <c r="T72" i="18"/>
  <c r="L72" i="18"/>
  <c r="T67" i="18"/>
  <c r="L67" i="18"/>
  <c r="T66" i="18"/>
  <c r="L66" i="18"/>
  <c r="T65" i="18"/>
  <c r="L65" i="18"/>
  <c r="T59" i="18"/>
  <c r="BW18" i="32"/>
  <c r="BO18" i="32"/>
  <c r="BG18" i="32"/>
  <c r="BK17" i="32"/>
  <c r="BK13" i="32"/>
  <c r="FC26" i="41"/>
  <c r="FC25" i="43"/>
  <c r="FC25" i="44"/>
  <c r="FE25" i="44" s="1"/>
  <c r="U81" i="18"/>
  <c r="U80" i="18"/>
  <c r="M80" i="18"/>
  <c r="U75" i="18"/>
  <c r="M75" i="18"/>
  <c r="U74" i="18"/>
  <c r="M74" i="18"/>
  <c r="U73" i="18"/>
  <c r="M73" i="18"/>
  <c r="U72" i="18"/>
  <c r="M72" i="18"/>
  <c r="U67" i="18"/>
  <c r="M67" i="18"/>
  <c r="U66" i="18"/>
  <c r="M66" i="18"/>
  <c r="U65" i="18"/>
  <c r="M65" i="18"/>
  <c r="U62" i="18"/>
  <c r="U61" i="18"/>
  <c r="M61" i="18"/>
  <c r="U60" i="18"/>
  <c r="M60" i="18"/>
  <c r="U59" i="18"/>
  <c r="M59" i="18"/>
  <c r="N81" i="18"/>
  <c r="F81" i="18"/>
  <c r="N80" i="18"/>
  <c r="F80" i="18"/>
  <c r="N75" i="18"/>
  <c r="F75" i="18"/>
  <c r="N74" i="18"/>
  <c r="F74" i="18"/>
  <c r="N73" i="18"/>
  <c r="F73" i="18"/>
  <c r="N72" i="18"/>
  <c r="F72" i="18"/>
  <c r="N70" i="18"/>
  <c r="F70" i="18"/>
  <c r="N69" i="18"/>
  <c r="F69" i="18"/>
  <c r="N67" i="18"/>
  <c r="F67" i="18"/>
  <c r="N66" i="18"/>
  <c r="F66" i="18"/>
  <c r="N65" i="18"/>
  <c r="F65" i="18"/>
  <c r="N61" i="18"/>
  <c r="F61" i="18"/>
  <c r="N60" i="18"/>
  <c r="F60" i="18"/>
  <c r="N59" i="18"/>
  <c r="F59" i="18"/>
  <c r="O81" i="18"/>
  <c r="G81" i="18"/>
  <c r="O80" i="18"/>
  <c r="G80" i="18"/>
  <c r="O78" i="18"/>
  <c r="G78" i="18"/>
  <c r="O77" i="18"/>
  <c r="G77" i="18"/>
  <c r="O76" i="18"/>
  <c r="O75" i="18"/>
  <c r="G75" i="18"/>
  <c r="O74" i="18"/>
  <c r="G74" i="18"/>
  <c r="O73" i="18"/>
  <c r="G73" i="18"/>
  <c r="O72" i="18"/>
  <c r="G72" i="18"/>
  <c r="O70" i="18"/>
  <c r="G70" i="18"/>
  <c r="O69" i="18"/>
  <c r="G69" i="18"/>
  <c r="O68" i="18"/>
  <c r="O67" i="18"/>
  <c r="G67" i="18"/>
  <c r="O66" i="18"/>
  <c r="G66" i="18"/>
  <c r="O65" i="18"/>
  <c r="G65" i="18"/>
  <c r="O61" i="18"/>
  <c r="G61" i="18"/>
  <c r="O60" i="18"/>
  <c r="G60" i="18"/>
  <c r="O59" i="18"/>
  <c r="G59" i="18"/>
  <c r="FC26" i="43"/>
  <c r="FC21" i="44"/>
  <c r="FE21" i="44" s="1"/>
  <c r="BO142" i="45"/>
  <c r="P81" i="18"/>
  <c r="H81" i="18"/>
  <c r="P80" i="18"/>
  <c r="H80" i="18"/>
  <c r="P79" i="18"/>
  <c r="H79" i="18"/>
  <c r="P78" i="18"/>
  <c r="H78" i="18"/>
  <c r="P77" i="18"/>
  <c r="H77" i="18"/>
  <c r="P76" i="18"/>
  <c r="H76" i="18"/>
  <c r="P75" i="18"/>
  <c r="H75" i="18"/>
  <c r="P74" i="18"/>
  <c r="H74" i="18"/>
  <c r="P73" i="18"/>
  <c r="H73" i="18"/>
  <c r="P72" i="18"/>
  <c r="H72" i="18"/>
  <c r="P71" i="18"/>
  <c r="P70" i="18"/>
  <c r="H70" i="18"/>
  <c r="P69" i="18"/>
  <c r="H69" i="18"/>
  <c r="P68" i="18"/>
  <c r="H68" i="18"/>
  <c r="P67" i="18"/>
  <c r="H67" i="18"/>
  <c r="P66" i="18"/>
  <c r="H66" i="18"/>
  <c r="P65" i="18"/>
  <c r="H65" i="18"/>
  <c r="P63" i="18"/>
  <c r="P61" i="18"/>
  <c r="H61" i="18"/>
  <c r="P60" i="18"/>
  <c r="H60" i="18"/>
  <c r="P59" i="18"/>
  <c r="H59" i="18"/>
  <c r="FC26" i="44"/>
  <c r="Q81" i="18"/>
  <c r="I81" i="18"/>
  <c r="Q80" i="18"/>
  <c r="I80" i="18"/>
  <c r="Q78" i="18"/>
  <c r="Q77" i="18"/>
  <c r="I77" i="18"/>
  <c r="Q75" i="18"/>
  <c r="Q74" i="18"/>
  <c r="I74" i="18"/>
  <c r="Q73" i="18"/>
  <c r="I73" i="18"/>
  <c r="Q72" i="18"/>
  <c r="I72" i="18"/>
  <c r="Q70" i="18"/>
  <c r="Q69" i="18"/>
  <c r="I69" i="18"/>
  <c r="Q67" i="18"/>
  <c r="Q66" i="18"/>
  <c r="I66" i="18"/>
  <c r="Q65" i="18"/>
  <c r="I65" i="18"/>
  <c r="Q61" i="18"/>
  <c r="I61" i="18"/>
  <c r="Q60" i="18"/>
  <c r="Q59" i="18"/>
  <c r="I59" i="18"/>
  <c r="BW17" i="32"/>
  <c r="BL18" i="32"/>
  <c r="BP17" i="32"/>
  <c r="BH17" i="32"/>
  <c r="BP13" i="32"/>
  <c r="BH13" i="32"/>
  <c r="BV13" i="32"/>
  <c r="FC25" i="41"/>
  <c r="FC25" i="45"/>
  <c r="AD142" i="45"/>
  <c r="R81" i="18"/>
  <c r="J81" i="18"/>
  <c r="R80" i="18"/>
  <c r="J80" i="18"/>
  <c r="R79" i="18"/>
  <c r="R78" i="18"/>
  <c r="J78" i="18"/>
  <c r="R77" i="18"/>
  <c r="J77" i="18"/>
  <c r="R76" i="18"/>
  <c r="J76" i="18"/>
  <c r="R75" i="18"/>
  <c r="J75" i="18"/>
  <c r="R74" i="18"/>
  <c r="J74" i="18"/>
  <c r="R73" i="18"/>
  <c r="J73" i="18"/>
  <c r="R72" i="18"/>
  <c r="J72" i="18"/>
  <c r="R71" i="18"/>
  <c r="J71" i="18"/>
  <c r="R70" i="18"/>
  <c r="J70" i="18"/>
  <c r="R69" i="18"/>
  <c r="J69" i="18"/>
  <c r="R68" i="18"/>
  <c r="J68" i="18"/>
  <c r="R67" i="18"/>
  <c r="J67" i="18"/>
  <c r="R66" i="18"/>
  <c r="J66" i="18"/>
  <c r="R65" i="18"/>
  <c r="J65" i="18"/>
  <c r="R63" i="18"/>
  <c r="J63" i="18"/>
  <c r="R61" i="18"/>
  <c r="J61" i="18"/>
  <c r="R60" i="18"/>
  <c r="J60" i="18"/>
  <c r="R59" i="18"/>
  <c r="J59" i="18"/>
  <c r="BX17" i="32"/>
  <c r="BQ17" i="32"/>
  <c r="BQ13" i="32"/>
  <c r="BI13" i="32"/>
  <c r="S81" i="18"/>
  <c r="S80" i="18"/>
  <c r="S79" i="18"/>
  <c r="S78" i="18"/>
  <c r="S77" i="18"/>
  <c r="S76" i="18"/>
  <c r="S75" i="18"/>
  <c r="S74" i="18"/>
  <c r="S73" i="18"/>
  <c r="S72" i="18"/>
  <c r="S71" i="18"/>
  <c r="S70" i="18"/>
  <c r="S69" i="18"/>
  <c r="S68" i="18"/>
  <c r="S67" i="18"/>
  <c r="S66" i="18"/>
  <c r="S65" i="18"/>
  <c r="S63" i="18"/>
  <c r="S61" i="18"/>
  <c r="S60" i="18"/>
  <c r="S59" i="18"/>
  <c r="DZ99" i="41"/>
  <c r="GY99" i="41" s="1"/>
  <c r="DZ99" i="43"/>
  <c r="GY99" i="43" s="1"/>
  <c r="GP47" i="44"/>
  <c r="GS47" i="44"/>
  <c r="GZ47" i="44"/>
  <c r="GT47" i="44"/>
  <c r="GY47" i="44"/>
  <c r="B104" i="43"/>
  <c r="B104" i="45"/>
  <c r="B104" i="41"/>
  <c r="B104" i="44"/>
  <c r="GZ24" i="43"/>
  <c r="K110" i="45"/>
  <c r="K110" i="44"/>
  <c r="K110" i="41"/>
  <c r="K110" i="43"/>
  <c r="GT55" i="44"/>
  <c r="GW55" i="44"/>
  <c r="GX55" i="44"/>
  <c r="GU55" i="44"/>
  <c r="GP55" i="44"/>
  <c r="GY55" i="44"/>
  <c r="D80" i="41"/>
  <c r="D80" i="45"/>
  <c r="D80" i="43"/>
  <c r="D80" i="44"/>
  <c r="GT49" i="41"/>
  <c r="GR49" i="41"/>
  <c r="GQ27" i="45"/>
  <c r="GO27" i="45"/>
  <c r="GR27" i="45"/>
  <c r="GU27" i="45"/>
  <c r="GT27" i="45"/>
  <c r="GW27" i="45"/>
  <c r="GY27" i="45"/>
  <c r="GX27" i="45"/>
  <c r="GP27" i="45"/>
  <c r="GZ27" i="45"/>
  <c r="GV27" i="45"/>
  <c r="AZ19" i="12"/>
  <c r="T35" i="41" s="1"/>
  <c r="BE19" i="12"/>
  <c r="AV19" i="12"/>
  <c r="BF19" i="12"/>
  <c r="BB19" i="12"/>
  <c r="AW19" i="12"/>
  <c r="BC19" i="12"/>
  <c r="BD19" i="12"/>
  <c r="X35" i="43" s="1"/>
  <c r="BA19" i="12"/>
  <c r="AY19" i="12"/>
  <c r="GT19" i="12"/>
  <c r="AU19" i="12"/>
  <c r="AX19" i="12"/>
  <c r="GA36" i="12"/>
  <c r="GC36" i="12"/>
  <c r="FT36" i="12"/>
  <c r="GD36" i="12"/>
  <c r="FU36" i="12"/>
  <c r="G111" i="45"/>
  <c r="G111" i="41"/>
  <c r="G111" i="44"/>
  <c r="G111" i="43"/>
  <c r="B112" i="44"/>
  <c r="B112" i="43"/>
  <c r="B112" i="41"/>
  <c r="B112" i="45"/>
  <c r="I114" i="44"/>
  <c r="I114" i="41"/>
  <c r="I114" i="45"/>
  <c r="DT99" i="45"/>
  <c r="GS99" i="45"/>
  <c r="B82" i="41"/>
  <c r="B82" i="43"/>
  <c r="B82" i="44"/>
  <c r="F100" i="45"/>
  <c r="AZ40" i="12"/>
  <c r="BC40" i="12"/>
  <c r="AW40" i="12"/>
  <c r="BA40" i="12"/>
  <c r="BB40" i="12"/>
  <c r="BD40" i="12"/>
  <c r="AV40" i="12"/>
  <c r="DR101" i="45"/>
  <c r="GQ101" i="45" s="1"/>
  <c r="DR101" i="43"/>
  <c r="GQ101" i="43" s="1"/>
  <c r="DR101" i="41"/>
  <c r="GQ101" i="41" s="1"/>
  <c r="DR101" i="44"/>
  <c r="GQ101" i="44" s="1"/>
  <c r="E79" i="43"/>
  <c r="E79" i="45"/>
  <c r="AW3" i="12"/>
  <c r="AV3" i="12"/>
  <c r="BF3" i="12"/>
  <c r="BB3" i="12"/>
  <c r="AZ3" i="12"/>
  <c r="AY3" i="12"/>
  <c r="BA3" i="12"/>
  <c r="BE3" i="12"/>
  <c r="Y19" i="41" s="1"/>
  <c r="AX3" i="12"/>
  <c r="BC3" i="12"/>
  <c r="AU3" i="12"/>
  <c r="BD3" i="12"/>
  <c r="GT3" i="12"/>
  <c r="N6" i="12"/>
  <c r="Q6" i="12" s="1"/>
  <c r="D169" i="12"/>
  <c r="L91" i="41"/>
  <c r="L91" i="45"/>
  <c r="L91" i="44"/>
  <c r="L91" i="43"/>
  <c r="J103" i="45"/>
  <c r="J103" i="41"/>
  <c r="J103" i="43"/>
  <c r="J103" i="44"/>
  <c r="B108" i="41"/>
  <c r="L80" i="43"/>
  <c r="L80" i="44"/>
  <c r="L80" i="45"/>
  <c r="W38" i="41"/>
  <c r="W38" i="43"/>
  <c r="W38" i="45"/>
  <c r="W38" i="44"/>
  <c r="E103" i="45"/>
  <c r="E103" i="41"/>
  <c r="E103" i="43"/>
  <c r="E103" i="44"/>
  <c r="FW136" i="43"/>
  <c r="BO136" i="43"/>
  <c r="AV136" i="43"/>
  <c r="AD136" i="43"/>
  <c r="ER136" i="43"/>
  <c r="DO136" i="43"/>
  <c r="EG136" i="43"/>
  <c r="CX136" i="43"/>
  <c r="GO136" i="43"/>
  <c r="CG136" i="43"/>
  <c r="FC136" i="43"/>
  <c r="U49" i="41"/>
  <c r="U49" i="43"/>
  <c r="U49" i="44"/>
  <c r="U49" i="45"/>
  <c r="DY82" i="44"/>
  <c r="GX82" i="44"/>
  <c r="DY82" i="43"/>
  <c r="GX82" i="43"/>
  <c r="DY82" i="41"/>
  <c r="GX82" i="41"/>
  <c r="DY82" i="45"/>
  <c r="GX82" i="45"/>
  <c r="DH53" i="41"/>
  <c r="HM53" i="41"/>
  <c r="DH53" i="43"/>
  <c r="HM53" i="43"/>
  <c r="DH53" i="44"/>
  <c r="HM53" i="44"/>
  <c r="DH53" i="45"/>
  <c r="HM53" i="45"/>
  <c r="CX37" i="43"/>
  <c r="HC37" i="43"/>
  <c r="CX37" i="44"/>
  <c r="HC37" i="44"/>
  <c r="CX37" i="45"/>
  <c r="HC37" i="45"/>
  <c r="DS79" i="41"/>
  <c r="GR79" i="41" s="1"/>
  <c r="DS79" i="44"/>
  <c r="GR79" i="44" s="1"/>
  <c r="DS79" i="43"/>
  <c r="GR79" i="43" s="1"/>
  <c r="DS79" i="45"/>
  <c r="GR79" i="45" s="1"/>
  <c r="DX79" i="41"/>
  <c r="GW79" i="41"/>
  <c r="DX79" i="43"/>
  <c r="GW79" i="43"/>
  <c r="DX79" i="44"/>
  <c r="GW79" i="44" s="1"/>
  <c r="DX79" i="45"/>
  <c r="GW79" i="45"/>
  <c r="K81" i="41"/>
  <c r="K81" i="44"/>
  <c r="K81" i="43"/>
  <c r="K81" i="45"/>
  <c r="DR77" i="41"/>
  <c r="GQ77" i="41" s="1"/>
  <c r="DR77" i="45"/>
  <c r="GQ77" i="45"/>
  <c r="DR77" i="43"/>
  <c r="GQ77" i="43"/>
  <c r="DR77" i="44"/>
  <c r="GQ77" i="44"/>
  <c r="DV77" i="41"/>
  <c r="GU77" i="41" s="1"/>
  <c r="DV77" i="45"/>
  <c r="GU77" i="45"/>
  <c r="DV77" i="44"/>
  <c r="GU77" i="44"/>
  <c r="DV77" i="43"/>
  <c r="GU77" i="43"/>
  <c r="DH36" i="45"/>
  <c r="HM36" i="45" s="1"/>
  <c r="DH34" i="45"/>
  <c r="HM34" i="45" s="1"/>
  <c r="DH34" i="43"/>
  <c r="HM34" i="43"/>
  <c r="DH34" i="41"/>
  <c r="HM34" i="41"/>
  <c r="DH34" i="44"/>
  <c r="HM34" i="44"/>
  <c r="DE31" i="44"/>
  <c r="HJ31" i="44" s="1"/>
  <c r="BR25" i="45"/>
  <c r="AG25" i="45"/>
  <c r="CJ25" i="45"/>
  <c r="E25" i="45"/>
  <c r="AY25" i="45"/>
  <c r="BR25" i="44"/>
  <c r="AG25" i="44"/>
  <c r="AY25" i="41"/>
  <c r="AY25" i="43"/>
  <c r="CJ25" i="44"/>
  <c r="AY25" i="44"/>
  <c r="E25" i="44"/>
  <c r="CJ25" i="41"/>
  <c r="E25" i="43"/>
  <c r="CJ25" i="43"/>
  <c r="BR25" i="43"/>
  <c r="AG25" i="43"/>
  <c r="E25" i="41"/>
  <c r="AG25" i="41"/>
  <c r="CW60" i="41"/>
  <c r="HB60" i="41" s="1"/>
  <c r="CW60" i="44"/>
  <c r="HB60" i="44" s="1"/>
  <c r="CW60" i="43"/>
  <c r="CX47" i="41"/>
  <c r="HC47" i="41" s="1"/>
  <c r="CX47" i="43"/>
  <c r="HC47" i="43" s="1"/>
  <c r="DB47" i="44"/>
  <c r="HG47" i="44" s="1"/>
  <c r="DB47" i="41"/>
  <c r="HG47" i="41"/>
  <c r="DB47" i="43"/>
  <c r="HG47" i="43" s="1"/>
  <c r="BZ57" i="44"/>
  <c r="AO57" i="41"/>
  <c r="AO57" i="44"/>
  <c r="M57" i="41"/>
  <c r="BG57" i="45"/>
  <c r="M57" i="44"/>
  <c r="AO57" i="43"/>
  <c r="BG57" i="41"/>
  <c r="BG57" i="43"/>
  <c r="CR57" i="45"/>
  <c r="AO57" i="45"/>
  <c r="CR57" i="44"/>
  <c r="BZ57" i="41"/>
  <c r="M57" i="45"/>
  <c r="BG57" i="44"/>
  <c r="CR57" i="41"/>
  <c r="BZ57" i="43"/>
  <c r="M57" i="43"/>
  <c r="CR57" i="43"/>
  <c r="DV101" i="44"/>
  <c r="GU101" i="44"/>
  <c r="DV101" i="43"/>
  <c r="GU101" i="43"/>
  <c r="DV101" i="41"/>
  <c r="GU101" i="41"/>
  <c r="DV101" i="45"/>
  <c r="GU101" i="45"/>
  <c r="F79" i="41"/>
  <c r="F79" i="43"/>
  <c r="F79" i="44"/>
  <c r="G114" i="45"/>
  <c r="G114" i="43"/>
  <c r="G114" i="44"/>
  <c r="G114" i="41"/>
  <c r="GU55" i="41"/>
  <c r="GR55" i="41"/>
  <c r="GO55" i="41"/>
  <c r="GY55" i="41"/>
  <c r="GV55" i="41"/>
  <c r="GW55" i="41"/>
  <c r="GZ55" i="41"/>
  <c r="GP55" i="41"/>
  <c r="GX55" i="41"/>
  <c r="GQ55" i="41"/>
  <c r="GT55" i="41"/>
  <c r="D79" i="44"/>
  <c r="D79" i="41"/>
  <c r="D79" i="43"/>
  <c r="D79" i="45"/>
  <c r="C109" i="41"/>
  <c r="C109" i="43"/>
  <c r="C109" i="45"/>
  <c r="C109" i="44"/>
  <c r="M100" i="41"/>
  <c r="M100" i="44"/>
  <c r="M100" i="45"/>
  <c r="GB28" i="12"/>
  <c r="FT28" i="12"/>
  <c r="FV28" i="12"/>
  <c r="FZ28" i="12"/>
  <c r="GC28" i="12"/>
  <c r="GE28" i="12"/>
  <c r="DZ101" i="41" s="1"/>
  <c r="M88" i="41"/>
  <c r="M88" i="44"/>
  <c r="M88" i="45"/>
  <c r="M88" i="43"/>
  <c r="AW9" i="12"/>
  <c r="AY9" i="12"/>
  <c r="BB9" i="12"/>
  <c r="BC9" i="12"/>
  <c r="AX9" i="12"/>
  <c r="BA9" i="12"/>
  <c r="GT9" i="12"/>
  <c r="AZ9" i="12"/>
  <c r="BF9" i="12"/>
  <c r="BD9" i="12"/>
  <c r="AU9" i="12"/>
  <c r="DY98" i="41"/>
  <c r="GX98" i="41" s="1"/>
  <c r="DY98" i="44"/>
  <c r="GX98" i="44" s="1"/>
  <c r="DY98" i="43"/>
  <c r="GX98" i="43"/>
  <c r="DY98" i="45"/>
  <c r="GX98" i="45" s="1"/>
  <c r="G76" i="41"/>
  <c r="G76" i="44"/>
  <c r="G76" i="43"/>
  <c r="G76" i="45"/>
  <c r="DM6" i="12"/>
  <c r="DQ6" i="12"/>
  <c r="DT6" i="12"/>
  <c r="B103" i="41"/>
  <c r="B103" i="45"/>
  <c r="B103" i="43"/>
  <c r="B103" i="44"/>
  <c r="J108" i="41"/>
  <c r="J108" i="44"/>
  <c r="J108" i="43"/>
  <c r="J108" i="45"/>
  <c r="H80" i="41"/>
  <c r="H80" i="45"/>
  <c r="H80" i="43"/>
  <c r="H80" i="44"/>
  <c r="GC17" i="45"/>
  <c r="Z38" i="41"/>
  <c r="Z38" i="44"/>
  <c r="Z38" i="45"/>
  <c r="Z38" i="43"/>
  <c r="Y33" i="12"/>
  <c r="V33" i="12"/>
  <c r="AE33" i="12"/>
  <c r="U33" i="12"/>
  <c r="GP49" i="44" s="1"/>
  <c r="AB33" i="12"/>
  <c r="GW49" i="44" s="1"/>
  <c r="W33" i="12"/>
  <c r="GR49" i="45" s="1"/>
  <c r="GA40" i="12"/>
  <c r="FW40" i="12"/>
  <c r="FT40" i="12"/>
  <c r="GB40" i="12"/>
  <c r="EF30" i="12"/>
  <c r="EL30" i="12"/>
  <c r="EH30" i="12"/>
  <c r="GW30" i="12"/>
  <c r="EG30" i="12"/>
  <c r="EO30" i="12"/>
  <c r="EK30" i="12"/>
  <c r="EP30" i="12"/>
  <c r="EI30" i="12"/>
  <c r="EE30" i="12"/>
  <c r="EJ30" i="12"/>
  <c r="EM30" i="12"/>
  <c r="V49" i="43"/>
  <c r="V49" i="41"/>
  <c r="V49" i="44"/>
  <c r="V49" i="45"/>
  <c r="DU82" i="41"/>
  <c r="GT82" i="41"/>
  <c r="DU82" i="44"/>
  <c r="GT82" i="44"/>
  <c r="DU82" i="45"/>
  <c r="GT82" i="45"/>
  <c r="DU82" i="43"/>
  <c r="GT82" i="43" s="1"/>
  <c r="DT77" i="41"/>
  <c r="GS77" i="41"/>
  <c r="DT77" i="43"/>
  <c r="GS77" i="43"/>
  <c r="DT77" i="45"/>
  <c r="GS77" i="45"/>
  <c r="DT77" i="44"/>
  <c r="GS77" i="44" s="1"/>
  <c r="G81" i="44"/>
  <c r="G81" i="43"/>
  <c r="G81" i="45"/>
  <c r="G81" i="41"/>
  <c r="DO92" i="43"/>
  <c r="GN92" i="43"/>
  <c r="DO92" i="44"/>
  <c r="GN92" i="44" s="1"/>
  <c r="DZ77" i="41"/>
  <c r="GY77" i="41"/>
  <c r="DZ77" i="44"/>
  <c r="GY77" i="44"/>
  <c r="DZ77" i="45"/>
  <c r="GY77" i="45"/>
  <c r="DZ77" i="43"/>
  <c r="GY77" i="43" s="1"/>
  <c r="CW36" i="44"/>
  <c r="CW36" i="45"/>
  <c r="CW36" i="43"/>
  <c r="CW36" i="41"/>
  <c r="K57" i="43"/>
  <c r="BX57" i="44"/>
  <c r="BE57" i="44"/>
  <c r="CP57" i="45"/>
  <c r="K57" i="44"/>
  <c r="AM57" i="43"/>
  <c r="BE57" i="41"/>
  <c r="BX25" i="44"/>
  <c r="AM25" i="44"/>
  <c r="GD9" i="45"/>
  <c r="GD9" i="43"/>
  <c r="DN36" i="12"/>
  <c r="DQ36" i="12"/>
  <c r="DE47" i="41"/>
  <c r="HJ47" i="41"/>
  <c r="DE47" i="44"/>
  <c r="HJ47" i="44" s="1"/>
  <c r="DE47" i="43"/>
  <c r="HJ47" i="43" s="1"/>
  <c r="CB19" i="18"/>
  <c r="GE23" i="43" s="1"/>
  <c r="GB23" i="44"/>
  <c r="GB23" i="43"/>
  <c r="GB23" i="41"/>
  <c r="GB23" i="45"/>
  <c r="B57" i="41"/>
  <c r="CG57" i="45"/>
  <c r="B57" i="44"/>
  <c r="AV57" i="45"/>
  <c r="AV57" i="43"/>
  <c r="B57" i="45"/>
  <c r="CG57" i="41"/>
  <c r="AD57" i="43"/>
  <c r="CG57" i="43"/>
  <c r="AD57" i="44"/>
  <c r="AV57" i="41"/>
  <c r="BO57" i="43"/>
  <c r="BO57" i="41"/>
  <c r="AD57" i="41"/>
  <c r="BO57" i="44"/>
  <c r="AD57" i="45"/>
  <c r="B57" i="43"/>
  <c r="AV57" i="44"/>
  <c r="BH57" i="44"/>
  <c r="CG57" i="44"/>
  <c r="CS57" i="44"/>
  <c r="DT109" i="45"/>
  <c r="GS109" i="45"/>
  <c r="BV25" i="41"/>
  <c r="GQ50" i="45"/>
  <c r="GZ50" i="45"/>
  <c r="DX77" i="41"/>
  <c r="GW77" i="41" s="1"/>
  <c r="GU9" i="12"/>
  <c r="J95" i="41"/>
  <c r="GW29" i="45"/>
  <c r="D113" i="45"/>
  <c r="AH57" i="41"/>
  <c r="C26" i="45"/>
  <c r="GT27" i="43"/>
  <c r="DT30" i="12"/>
  <c r="GV30" i="12"/>
  <c r="BF26" i="43"/>
  <c r="GS50" i="45"/>
  <c r="DX77" i="43"/>
  <c r="GW77" i="43"/>
  <c r="DR85" i="43"/>
  <c r="GQ85" i="43"/>
  <c r="G86" i="45"/>
  <c r="G86" i="43"/>
  <c r="G86" i="41"/>
  <c r="G86" i="44"/>
  <c r="K103" i="45"/>
  <c r="K103" i="41"/>
  <c r="G109" i="45"/>
  <c r="G109" i="44"/>
  <c r="G109" i="43"/>
  <c r="G109" i="41"/>
  <c r="V58" i="41"/>
  <c r="V58" i="45"/>
  <c r="V58" i="44"/>
  <c r="V58" i="43"/>
  <c r="DZ108" i="41"/>
  <c r="GY108" i="41" s="1"/>
  <c r="DZ108" i="44"/>
  <c r="GY108" i="44" s="1"/>
  <c r="DZ108" i="43"/>
  <c r="GY108" i="43" s="1"/>
  <c r="DZ108" i="45"/>
  <c r="GY108" i="45"/>
  <c r="T38" i="43"/>
  <c r="T38" i="41"/>
  <c r="T38" i="45"/>
  <c r="T38" i="44"/>
  <c r="D167" i="12"/>
  <c r="N4" i="12"/>
  <c r="Q4" i="12"/>
  <c r="DM40" i="12"/>
  <c r="DN40" i="12"/>
  <c r="DP40" i="12"/>
  <c r="DT40" i="12"/>
  <c r="DO40" i="12"/>
  <c r="DQ40" i="12"/>
  <c r="DF54" i="41"/>
  <c r="HK54" i="41"/>
  <c r="DF54" i="44"/>
  <c r="HK54" i="44"/>
  <c r="DF54" i="45"/>
  <c r="HK54" i="45"/>
  <c r="DF54" i="43"/>
  <c r="HK54" i="43"/>
  <c r="DS95" i="41"/>
  <c r="GR95" i="41" s="1"/>
  <c r="DS95" i="44"/>
  <c r="GR95" i="44"/>
  <c r="DS95" i="43"/>
  <c r="GR95" i="43"/>
  <c r="DS95" i="45"/>
  <c r="GR95" i="45"/>
  <c r="W42" i="12"/>
  <c r="AE42" i="12"/>
  <c r="CR58" i="44" s="1"/>
  <c r="U42" i="12"/>
  <c r="CW34" i="45"/>
  <c r="HB34" i="45"/>
  <c r="CW34" i="43"/>
  <c r="HB34" i="43" s="1"/>
  <c r="CW34" i="44"/>
  <c r="HB34" i="44" s="1"/>
  <c r="CW34" i="41"/>
  <c r="HB34" i="41" s="1"/>
  <c r="DB31" i="45"/>
  <c r="HG31" i="45"/>
  <c r="DB31" i="43"/>
  <c r="HG31" i="43" s="1"/>
  <c r="DB31" i="44"/>
  <c r="HG31" i="44" s="1"/>
  <c r="CX60" i="41"/>
  <c r="HC60" i="41"/>
  <c r="CX60" i="44"/>
  <c r="HC60" i="44"/>
  <c r="CX60" i="45"/>
  <c r="HC60" i="45" s="1"/>
  <c r="CX60" i="43"/>
  <c r="HC60" i="43"/>
  <c r="N36" i="12"/>
  <c r="Q36" i="12"/>
  <c r="D199" i="12"/>
  <c r="GP47" i="41"/>
  <c r="GY47" i="41"/>
  <c r="GZ47" i="41"/>
  <c r="E57" i="45"/>
  <c r="BR57" i="43"/>
  <c r="CJ57" i="41"/>
  <c r="AY57" i="43"/>
  <c r="CJ57" i="45"/>
  <c r="AY57" i="41"/>
  <c r="E57" i="43"/>
  <c r="BR57" i="41"/>
  <c r="AY57" i="45"/>
  <c r="CJ57" i="44"/>
  <c r="AG57" i="45"/>
  <c r="AY57" i="44"/>
  <c r="AG57" i="41"/>
  <c r="E57" i="41"/>
  <c r="CJ57" i="43"/>
  <c r="AG57" i="44"/>
  <c r="E57" i="44"/>
  <c r="AG57" i="43"/>
  <c r="BR57" i="44"/>
  <c r="GP55" i="45"/>
  <c r="GY55" i="45"/>
  <c r="GQ55" i="45"/>
  <c r="GV55" i="45"/>
  <c r="GZ55" i="45"/>
  <c r="GU55" i="45"/>
  <c r="GT55" i="45"/>
  <c r="GW55" i="45"/>
  <c r="GR55" i="45"/>
  <c r="B83" i="45"/>
  <c r="B83" i="41"/>
  <c r="B83" i="44"/>
  <c r="B83" i="43"/>
  <c r="DR100" i="41"/>
  <c r="GQ100" i="41"/>
  <c r="GR49" i="44"/>
  <c r="GZ49" i="44"/>
  <c r="C103" i="45"/>
  <c r="C103" i="41"/>
  <c r="C103" i="43"/>
  <c r="C103" i="44"/>
  <c r="D109" i="41"/>
  <c r="D109" i="45"/>
  <c r="D109" i="44"/>
  <c r="D109" i="43"/>
  <c r="GR27" i="43"/>
  <c r="H99" i="41"/>
  <c r="H99" i="44"/>
  <c r="H99" i="45"/>
  <c r="H99" i="43"/>
  <c r="J101" i="43"/>
  <c r="E113" i="41"/>
  <c r="E113" i="43"/>
  <c r="E113" i="44"/>
  <c r="F107" i="41"/>
  <c r="F107" i="43"/>
  <c r="F107" i="45"/>
  <c r="F107" i="44"/>
  <c r="DP108" i="44"/>
  <c r="GO108" i="44"/>
  <c r="DP108" i="43"/>
  <c r="GO108" i="43"/>
  <c r="DP108" i="45"/>
  <c r="GO108" i="45"/>
  <c r="DP108" i="41"/>
  <c r="GO108" i="41"/>
  <c r="J82" i="44"/>
  <c r="J82" i="45"/>
  <c r="J82" i="43"/>
  <c r="J82" i="41"/>
  <c r="DX108" i="41"/>
  <c r="GW108" i="41"/>
  <c r="DX108" i="44"/>
  <c r="GW108" i="44"/>
  <c r="DX108" i="43"/>
  <c r="GW108" i="43"/>
  <c r="DX108" i="45"/>
  <c r="GW108" i="45"/>
  <c r="L77" i="44"/>
  <c r="L77" i="41"/>
  <c r="L77" i="45"/>
  <c r="L77" i="43"/>
  <c r="DL44" i="12"/>
  <c r="DO44" i="12"/>
  <c r="DP44" i="12"/>
  <c r="DR44" i="12"/>
  <c r="F108" i="41"/>
  <c r="F108" i="44"/>
  <c r="F108" i="45"/>
  <c r="F108" i="43"/>
  <c r="B113" i="41"/>
  <c r="B113" i="43"/>
  <c r="B113" i="44"/>
  <c r="E196" i="12"/>
  <c r="F196" i="12"/>
  <c r="G196" i="12"/>
  <c r="H196" i="12"/>
  <c r="S29" i="43"/>
  <c r="S29" i="45"/>
  <c r="R49" i="41"/>
  <c r="R49" i="45"/>
  <c r="R49" i="44"/>
  <c r="R49" i="43"/>
  <c r="T49" i="41"/>
  <c r="T49" i="43"/>
  <c r="T49" i="44"/>
  <c r="T49" i="45"/>
  <c r="DP90" i="45"/>
  <c r="GO90" i="45"/>
  <c r="DP90" i="41"/>
  <c r="GO90" i="41" s="1"/>
  <c r="DP90" i="43"/>
  <c r="GO90" i="43" s="1"/>
  <c r="DB54" i="44"/>
  <c r="HG54" i="44" s="1"/>
  <c r="DB54" i="41"/>
  <c r="HG54" i="41" s="1"/>
  <c r="DB54" i="43"/>
  <c r="HG54" i="43" s="1"/>
  <c r="DB54" i="45"/>
  <c r="HG54" i="45" s="1"/>
  <c r="DT95" i="41"/>
  <c r="GS95" i="41" s="1"/>
  <c r="DT95" i="43"/>
  <c r="GS95" i="43" s="1"/>
  <c r="DT95" i="44"/>
  <c r="GS95" i="44" s="1"/>
  <c r="DT95" i="45"/>
  <c r="GS95" i="45"/>
  <c r="D81" i="41"/>
  <c r="D81" i="43"/>
  <c r="D81" i="44"/>
  <c r="D81" i="45"/>
  <c r="C95" i="41"/>
  <c r="C95" i="44"/>
  <c r="C95" i="43"/>
  <c r="C95" i="45"/>
  <c r="DY77" i="41"/>
  <c r="GX77" i="41" s="1"/>
  <c r="DY77" i="45"/>
  <c r="GX77" i="45" s="1"/>
  <c r="DY77" i="43"/>
  <c r="GX77" i="43" s="1"/>
  <c r="DY77" i="44"/>
  <c r="GX77" i="44" s="1"/>
  <c r="CY36" i="45"/>
  <c r="HD36" i="45" s="1"/>
  <c r="CY36" i="43"/>
  <c r="HD36" i="43" s="1"/>
  <c r="CY36" i="44"/>
  <c r="HD36" i="44" s="1"/>
  <c r="CY36" i="41"/>
  <c r="HD36" i="41"/>
  <c r="DG34" i="43"/>
  <c r="HL34" i="43" s="1"/>
  <c r="DG34" i="45"/>
  <c r="HL34" i="45" s="1"/>
  <c r="DG34" i="44"/>
  <c r="HL34" i="44" s="1"/>
  <c r="DG34" i="41"/>
  <c r="HL34" i="41"/>
  <c r="DE60" i="41"/>
  <c r="HJ60" i="41" s="1"/>
  <c r="DE60" i="44"/>
  <c r="HJ60" i="44" s="1"/>
  <c r="DE60" i="43"/>
  <c r="HJ60" i="43" s="1"/>
  <c r="DE60" i="45"/>
  <c r="HJ60" i="45"/>
  <c r="DC47" i="43"/>
  <c r="HH47" i="43" s="1"/>
  <c r="DC47" i="41"/>
  <c r="HH47" i="41" s="1"/>
  <c r="DC47" i="44"/>
  <c r="HH47" i="44" s="1"/>
  <c r="CK57" i="45"/>
  <c r="F57" i="44"/>
  <c r="AZ57" i="45"/>
  <c r="F57" i="45"/>
  <c r="AZ57" i="43"/>
  <c r="F57" i="41"/>
  <c r="CK57" i="43"/>
  <c r="AH57" i="44"/>
  <c r="BS57" i="41"/>
  <c r="HB25" i="41"/>
  <c r="J83" i="45"/>
  <c r="J83" i="41"/>
  <c r="J83" i="44"/>
  <c r="J83" i="43"/>
  <c r="G172" i="45"/>
  <c r="AK26" i="35"/>
  <c r="GZ24" i="45"/>
  <c r="K82" i="43"/>
  <c r="K82" i="45"/>
  <c r="K82" i="44"/>
  <c r="B100" i="41"/>
  <c r="B100" i="44"/>
  <c r="B100" i="43"/>
  <c r="B100" i="45"/>
  <c r="E102" i="43"/>
  <c r="E102" i="45"/>
  <c r="E102" i="44"/>
  <c r="E102" i="41"/>
  <c r="E114" i="45"/>
  <c r="F99" i="41"/>
  <c r="F99" i="44"/>
  <c r="F99" i="43"/>
  <c r="F99" i="45"/>
  <c r="D102" i="41"/>
  <c r="D102" i="43"/>
  <c r="D102" i="45"/>
  <c r="D102" i="44"/>
  <c r="L114" i="44"/>
  <c r="L114" i="43"/>
  <c r="L114" i="41"/>
  <c r="L114" i="45"/>
  <c r="GD21" i="43"/>
  <c r="M107" i="41"/>
  <c r="M107" i="45"/>
  <c r="M107" i="43"/>
  <c r="M107" i="44"/>
  <c r="DP106" i="44"/>
  <c r="GO106" i="44"/>
  <c r="DP106" i="43"/>
  <c r="GO106" i="43"/>
  <c r="DP106" i="41"/>
  <c r="GO106" i="41" s="1"/>
  <c r="B76" i="41"/>
  <c r="B76" i="45"/>
  <c r="B76" i="43"/>
  <c r="B76" i="44"/>
  <c r="F82" i="44"/>
  <c r="F82" i="45"/>
  <c r="F82" i="41"/>
  <c r="F82" i="43"/>
  <c r="FW15" i="12"/>
  <c r="FZ15" i="12"/>
  <c r="GE15" i="12"/>
  <c r="GB15" i="12"/>
  <c r="GA15" i="12"/>
  <c r="FX15" i="12"/>
  <c r="FY15" i="12"/>
  <c r="GD15" i="12"/>
  <c r="GC15" i="12"/>
  <c r="FT15" i="12"/>
  <c r="FV15" i="12"/>
  <c r="FU15" i="12"/>
  <c r="M103" i="43"/>
  <c r="M103" i="44"/>
  <c r="D207" i="12"/>
  <c r="N44" i="12"/>
  <c r="Q44" i="12" s="1"/>
  <c r="G172" i="44"/>
  <c r="AA26" i="35" s="1"/>
  <c r="Y26" i="35"/>
  <c r="GD16" i="45"/>
  <c r="FX30" i="12"/>
  <c r="GD30" i="12"/>
  <c r="GA30" i="12"/>
  <c r="H108" i="41"/>
  <c r="H108" i="44"/>
  <c r="H108" i="43"/>
  <c r="H108" i="45"/>
  <c r="C80" i="45"/>
  <c r="C80" i="43"/>
  <c r="D103" i="43"/>
  <c r="K113" i="41"/>
  <c r="K113" i="43"/>
  <c r="K113" i="44"/>
  <c r="P29" i="43"/>
  <c r="P29" i="45"/>
  <c r="P29" i="41"/>
  <c r="P29" i="44"/>
  <c r="CZ54" i="41"/>
  <c r="HE54" i="41" s="1"/>
  <c r="CZ54" i="45"/>
  <c r="HE54" i="45" s="1"/>
  <c r="CZ54" i="44"/>
  <c r="HE54" i="44"/>
  <c r="CZ54" i="43"/>
  <c r="HE54" i="43" s="1"/>
  <c r="GD8" i="12"/>
  <c r="FZ8" i="12"/>
  <c r="G95" i="43"/>
  <c r="G95" i="45"/>
  <c r="G95" i="44"/>
  <c r="DW77" i="44"/>
  <c r="GV77" i="44"/>
  <c r="CX36" i="43"/>
  <c r="HC36" i="43"/>
  <c r="CX36" i="41"/>
  <c r="HC36" i="41"/>
  <c r="CX36" i="44"/>
  <c r="HC36" i="44"/>
  <c r="CX36" i="45"/>
  <c r="HC36" i="45"/>
  <c r="CW31" i="43"/>
  <c r="HB31" i="43"/>
  <c r="CW31" i="41"/>
  <c r="HB31" i="41"/>
  <c r="CW31" i="44"/>
  <c r="HB31" i="44"/>
  <c r="CW31" i="45"/>
  <c r="HB31" i="45"/>
  <c r="C39" i="45"/>
  <c r="CH39" i="41"/>
  <c r="C39" i="43"/>
  <c r="BP39" i="41"/>
  <c r="AE39" i="44"/>
  <c r="AW39" i="44"/>
  <c r="C39" i="44"/>
  <c r="AW39" i="41"/>
  <c r="CH39" i="44"/>
  <c r="BP39" i="44"/>
  <c r="DG47" i="44"/>
  <c r="HL47" i="44"/>
  <c r="DG47" i="41"/>
  <c r="HL47" i="41" s="1"/>
  <c r="DG47" i="43"/>
  <c r="HL47" i="43" s="1"/>
  <c r="BY25" i="41"/>
  <c r="AV26" i="43"/>
  <c r="GX50" i="45"/>
  <c r="GE36" i="12"/>
  <c r="AP59" i="45"/>
  <c r="CW47" i="44"/>
  <c r="DI47" i="44"/>
  <c r="J95" i="45"/>
  <c r="BS57" i="43"/>
  <c r="GX55" i="45"/>
  <c r="AZ57" i="41"/>
  <c r="BW25" i="41"/>
  <c r="DB47" i="45"/>
  <c r="HG47" i="45" s="1"/>
  <c r="AL26" i="45"/>
  <c r="GZ27" i="43"/>
  <c r="BC26" i="43"/>
  <c r="BZ57" i="45"/>
  <c r="GW50" i="45"/>
  <c r="DR85" i="41"/>
  <c r="GQ85" i="41"/>
  <c r="FW36" i="12"/>
  <c r="K100" i="45"/>
  <c r="K100" i="44"/>
  <c r="DY100" i="41"/>
  <c r="GX100" i="41" s="1"/>
  <c r="DY100" i="44"/>
  <c r="GX100" i="44" s="1"/>
  <c r="DY100" i="45"/>
  <c r="GX100" i="45" s="1"/>
  <c r="DY100" i="43"/>
  <c r="GX100" i="43"/>
  <c r="D12" i="44"/>
  <c r="H76" i="43"/>
  <c r="H76" i="41"/>
  <c r="H76" i="45"/>
  <c r="H76" i="44"/>
  <c r="I108" i="41"/>
  <c r="I108" i="45"/>
  <c r="I108" i="44"/>
  <c r="I108" i="43"/>
  <c r="O24" i="41"/>
  <c r="J81" i="41"/>
  <c r="J81" i="44"/>
  <c r="J81" i="45"/>
  <c r="J81" i="43"/>
  <c r="DY92" i="43"/>
  <c r="GX92" i="43"/>
  <c r="DY92" i="45"/>
  <c r="GX92" i="45"/>
  <c r="DY92" i="41"/>
  <c r="GX92" i="41" s="1"/>
  <c r="DY92" i="44"/>
  <c r="GX92" i="44"/>
  <c r="DC36" i="43"/>
  <c r="HH36" i="43"/>
  <c r="DC36" i="41"/>
  <c r="HH36" i="41"/>
  <c r="DC36" i="44"/>
  <c r="HH36" i="44" s="1"/>
  <c r="DC36" i="45"/>
  <c r="HH36" i="45"/>
  <c r="GB18" i="41"/>
  <c r="GB18" i="43"/>
  <c r="B49" i="12"/>
  <c r="DX110" i="41"/>
  <c r="GW110" i="41"/>
  <c r="DX110" i="45"/>
  <c r="GW110" i="45"/>
  <c r="DX110" i="43"/>
  <c r="GW110" i="43"/>
  <c r="DX110" i="44"/>
  <c r="GW110" i="44" s="1"/>
  <c r="K80" i="43"/>
  <c r="K80" i="41"/>
  <c r="K80" i="44"/>
  <c r="K80" i="45"/>
  <c r="GX33" i="41"/>
  <c r="GW33" i="41"/>
  <c r="GT33" i="41"/>
  <c r="H113" i="41"/>
  <c r="H113" i="43"/>
  <c r="H113" i="44"/>
  <c r="GT29" i="12"/>
  <c r="BE29" i="12"/>
  <c r="AW29" i="12"/>
  <c r="BF29" i="12"/>
  <c r="AV29" i="12"/>
  <c r="P45" i="41" s="1"/>
  <c r="BC29" i="12"/>
  <c r="AZ29" i="12"/>
  <c r="AY29" i="12"/>
  <c r="BA29" i="12"/>
  <c r="BD29" i="12"/>
  <c r="AX29" i="12"/>
  <c r="AU29" i="12"/>
  <c r="F76" i="41"/>
  <c r="F76" i="43"/>
  <c r="F76" i="44"/>
  <c r="F76" i="45"/>
  <c r="K77" i="43"/>
  <c r="K77" i="45"/>
  <c r="K77" i="44"/>
  <c r="K77" i="41"/>
  <c r="C82" i="44"/>
  <c r="C82" i="41"/>
  <c r="C82" i="45"/>
  <c r="C82" i="43"/>
  <c r="DO100" i="45"/>
  <c r="GN100" i="45"/>
  <c r="DO100" i="41"/>
  <c r="GN100" i="41"/>
  <c r="DO100" i="43"/>
  <c r="GN100" i="43"/>
  <c r="DO100" i="44"/>
  <c r="GN100" i="44"/>
  <c r="G88" i="44"/>
  <c r="G88" i="45"/>
  <c r="G88" i="41"/>
  <c r="G88" i="43"/>
  <c r="DV108" i="43"/>
  <c r="GU108" i="43"/>
  <c r="DV108" i="45"/>
  <c r="GU108" i="45"/>
  <c r="DV108" i="44"/>
  <c r="GU108" i="44"/>
  <c r="DV108" i="41"/>
  <c r="GU108" i="41"/>
  <c r="E98" i="41"/>
  <c r="E98" i="44"/>
  <c r="E98" i="43"/>
  <c r="E98" i="45"/>
  <c r="F103" i="41"/>
  <c r="F103" i="45"/>
  <c r="F103" i="44"/>
  <c r="F103" i="43"/>
  <c r="GC27" i="45"/>
  <c r="GC27" i="44"/>
  <c r="GC27" i="43"/>
  <c r="J113" i="41"/>
  <c r="J113" i="43"/>
  <c r="J113" i="44"/>
  <c r="C81" i="45"/>
  <c r="C81" i="41"/>
  <c r="C81" i="44"/>
  <c r="C81" i="43"/>
  <c r="N22" i="12"/>
  <c r="DP77" i="41"/>
  <c r="GO77" i="41" s="1"/>
  <c r="DP77" i="43"/>
  <c r="GO77" i="43" s="1"/>
  <c r="DP77" i="45"/>
  <c r="GO77" i="45" s="1"/>
  <c r="DP77" i="44"/>
  <c r="GO77" i="44"/>
  <c r="DE36" i="41"/>
  <c r="HJ36" i="41" s="1"/>
  <c r="DE36" i="43"/>
  <c r="HJ36" i="43" s="1"/>
  <c r="DE36" i="44"/>
  <c r="HJ36" i="44" s="1"/>
  <c r="DE36" i="45"/>
  <c r="HJ36" i="45" s="1"/>
  <c r="DD31" i="45"/>
  <c r="HI31" i="45" s="1"/>
  <c r="DD31" i="43"/>
  <c r="HI31" i="43" s="1"/>
  <c r="DD31" i="44"/>
  <c r="HI31" i="44" s="1"/>
  <c r="HB25" i="44"/>
  <c r="CY47" i="44"/>
  <c r="HD47" i="44"/>
  <c r="CY47" i="43"/>
  <c r="HD47" i="43"/>
  <c r="CY47" i="41"/>
  <c r="HD47" i="41"/>
  <c r="E109" i="43"/>
  <c r="E109" i="45"/>
  <c r="E109" i="44"/>
  <c r="E109" i="41"/>
  <c r="DP79" i="41"/>
  <c r="GO79" i="41"/>
  <c r="DP79" i="44"/>
  <c r="GO79" i="44" s="1"/>
  <c r="DP79" i="43"/>
  <c r="GO79" i="43"/>
  <c r="DP79" i="45"/>
  <c r="GO79" i="45"/>
  <c r="Q40" i="15"/>
  <c r="FV26" i="12"/>
  <c r="GA26" i="12"/>
  <c r="FT26" i="12"/>
  <c r="DO99" i="45" s="1"/>
  <c r="GN99" i="45" s="1"/>
  <c r="GB26" i="12"/>
  <c r="I102" i="41"/>
  <c r="I102" i="44"/>
  <c r="I102" i="45"/>
  <c r="I102" i="43"/>
  <c r="DU85" i="41"/>
  <c r="GT85" i="41"/>
  <c r="DU85" i="45"/>
  <c r="GT85" i="45"/>
  <c r="DU85" i="43"/>
  <c r="GT85" i="43"/>
  <c r="DU85" i="44"/>
  <c r="GT85" i="44" s="1"/>
  <c r="GT59" i="44"/>
  <c r="GQ59" i="44"/>
  <c r="GY59" i="44"/>
  <c r="GV59" i="44"/>
  <c r="GW59" i="44"/>
  <c r="GR59" i="44"/>
  <c r="GU59" i="44"/>
  <c r="GO59" i="44"/>
  <c r="G113" i="41"/>
  <c r="G113" i="43"/>
  <c r="G113" i="44"/>
  <c r="G77" i="45"/>
  <c r="G77" i="43"/>
  <c r="G77" i="44"/>
  <c r="G77" i="41"/>
  <c r="K111" i="45"/>
  <c r="K111" i="41"/>
  <c r="K111" i="44"/>
  <c r="K111" i="43"/>
  <c r="K108" i="44"/>
  <c r="K108" i="43"/>
  <c r="K108" i="45"/>
  <c r="K108" i="41"/>
  <c r="L107" i="45"/>
  <c r="GP39" i="44"/>
  <c r="E80" i="43"/>
  <c r="E80" i="41"/>
  <c r="E80" i="45"/>
  <c r="E80" i="44"/>
  <c r="H106" i="43"/>
  <c r="H106" i="44"/>
  <c r="H106" i="41"/>
  <c r="H106" i="45"/>
  <c r="B77" i="44"/>
  <c r="B77" i="45"/>
  <c r="B77" i="41"/>
  <c r="B77" i="43"/>
  <c r="FZ27" i="12"/>
  <c r="FY27" i="12"/>
  <c r="FU27" i="12"/>
  <c r="GE27" i="12"/>
  <c r="GV28" i="12"/>
  <c r="GX28" i="12"/>
  <c r="DS28" i="12"/>
  <c r="DV28" i="12"/>
  <c r="G98" i="41"/>
  <c r="G98" i="44"/>
  <c r="G98" i="45"/>
  <c r="G98" i="43"/>
  <c r="D112" i="43"/>
  <c r="GE6" i="12"/>
  <c r="GA6" i="12"/>
  <c r="FW6" i="12"/>
  <c r="FT6" i="12"/>
  <c r="FZ6" i="12"/>
  <c r="GD6" i="12"/>
  <c r="G103" i="44"/>
  <c r="G103" i="45"/>
  <c r="J80" i="41"/>
  <c r="J80" i="45"/>
  <c r="J80" i="43"/>
  <c r="J80" i="44"/>
  <c r="U58" i="41"/>
  <c r="U58" i="44"/>
  <c r="U58" i="45"/>
  <c r="U58" i="43"/>
  <c r="M113" i="41"/>
  <c r="M113" i="44"/>
  <c r="M113" i="43"/>
  <c r="AV30" i="12"/>
  <c r="BD30" i="12"/>
  <c r="AZ30" i="12"/>
  <c r="BF30" i="12"/>
  <c r="BB30" i="12"/>
  <c r="AX30" i="12"/>
  <c r="BE30" i="12"/>
  <c r="BA30" i="12"/>
  <c r="AW30" i="12"/>
  <c r="AU30" i="12"/>
  <c r="GT30" i="12"/>
  <c r="GC32" i="44"/>
  <c r="GC32" i="41"/>
  <c r="GC32" i="43"/>
  <c r="GC32" i="45"/>
  <c r="DL35" i="12"/>
  <c r="DR35" i="12"/>
  <c r="DO35" i="12"/>
  <c r="DW35" i="12"/>
  <c r="DP35" i="12"/>
  <c r="DS35" i="12"/>
  <c r="DM35" i="12"/>
  <c r="DN35" i="12"/>
  <c r="DV35" i="12"/>
  <c r="DT35" i="12"/>
  <c r="DQ35" i="12"/>
  <c r="GV35" i="12"/>
  <c r="GX35" i="12" s="1"/>
  <c r="DU35" i="12"/>
  <c r="Y49" i="44"/>
  <c r="Y49" i="43"/>
  <c r="Y49" i="41"/>
  <c r="Y49" i="45"/>
  <c r="GC13" i="45"/>
  <c r="GC13" i="43"/>
  <c r="GC13" i="41"/>
  <c r="GC13" i="44"/>
  <c r="DA53" i="41"/>
  <c r="HF53" i="41"/>
  <c r="DA53" i="45"/>
  <c r="HF53" i="45"/>
  <c r="DA53" i="43"/>
  <c r="HF53" i="43"/>
  <c r="DA53" i="44"/>
  <c r="HF53" i="44"/>
  <c r="DD54" i="41"/>
  <c r="HI54" i="41"/>
  <c r="DD54" i="44"/>
  <c r="HI54" i="44"/>
  <c r="DD54" i="43"/>
  <c r="HI54" i="43"/>
  <c r="DD54" i="45"/>
  <c r="HI54" i="45"/>
  <c r="DT83" i="43"/>
  <c r="GS83" i="43" s="1"/>
  <c r="DT83" i="44"/>
  <c r="GS83" i="44" s="1"/>
  <c r="DT83" i="45"/>
  <c r="GS83" i="45" s="1"/>
  <c r="DT83" i="41"/>
  <c r="GS83" i="41"/>
  <c r="M81" i="41"/>
  <c r="M81" i="43"/>
  <c r="M81" i="44"/>
  <c r="M81" i="45"/>
  <c r="FZ22" i="12"/>
  <c r="FW22" i="12"/>
  <c r="GB22" i="12"/>
  <c r="GE22" i="12"/>
  <c r="GD22" i="12"/>
  <c r="FU22" i="12"/>
  <c r="GC22" i="12"/>
  <c r="FT22" i="12"/>
  <c r="GA22" i="12"/>
  <c r="FV22" i="12"/>
  <c r="Z26" i="44"/>
  <c r="Z26" i="41"/>
  <c r="DU77" i="45"/>
  <c r="GT77" i="45"/>
  <c r="DU77" i="43"/>
  <c r="GT77" i="43"/>
  <c r="DU77" i="44"/>
  <c r="GT77" i="44"/>
  <c r="DU77" i="41"/>
  <c r="GT77" i="41"/>
  <c r="GO131" i="44"/>
  <c r="GW146" i="44"/>
  <c r="FK146" i="44"/>
  <c r="DE34" i="41"/>
  <c r="HJ34" i="41" s="1"/>
  <c r="DE34" i="43"/>
  <c r="HJ34" i="43" s="1"/>
  <c r="DE34" i="45"/>
  <c r="HJ34" i="45" s="1"/>
  <c r="DE34" i="44"/>
  <c r="HJ34" i="44" s="1"/>
  <c r="HB25" i="45"/>
  <c r="HB25" i="43"/>
  <c r="DF47" i="43"/>
  <c r="HK47" i="43" s="1"/>
  <c r="CZ47" i="44"/>
  <c r="HE47" i="44"/>
  <c r="CZ47" i="43"/>
  <c r="HE47" i="43"/>
  <c r="CZ47" i="41"/>
  <c r="HE47" i="41"/>
  <c r="GX27" i="43"/>
  <c r="BG26" i="43"/>
  <c r="GT50" i="45"/>
  <c r="BH59" i="45"/>
  <c r="E167" i="12"/>
  <c r="L80" i="41"/>
  <c r="CX37" i="41"/>
  <c r="HC37" i="41" s="1"/>
  <c r="DV44" i="12"/>
  <c r="CK57" i="41"/>
  <c r="GO55" i="45"/>
  <c r="H113" i="45"/>
  <c r="E113" i="45"/>
  <c r="DQ100" i="41"/>
  <c r="GP100" i="41" s="1"/>
  <c r="DY101" i="41"/>
  <c r="GX101" i="41"/>
  <c r="GS55" i="45"/>
  <c r="AZ57" i="44"/>
  <c r="GR25" i="43"/>
  <c r="DB31" i="41"/>
  <c r="HG31" i="41" s="1"/>
  <c r="GU27" i="43"/>
  <c r="CX47" i="45"/>
  <c r="HC47" i="45" s="1"/>
  <c r="GQ27" i="43"/>
  <c r="GW47" i="44"/>
  <c r="DW30" i="12"/>
  <c r="BR57" i="45"/>
  <c r="GU50" i="45"/>
  <c r="GV50" i="45"/>
  <c r="DR85" i="44"/>
  <c r="GQ85" i="44" s="1"/>
  <c r="FY28" i="12"/>
  <c r="FX28" i="12"/>
  <c r="BH59" i="41"/>
  <c r="L100" i="45"/>
  <c r="H82" i="45"/>
  <c r="H82" i="41"/>
  <c r="H82" i="43"/>
  <c r="H82" i="44"/>
  <c r="E100" i="41"/>
  <c r="E100" i="45"/>
  <c r="E100" i="44"/>
  <c r="E100" i="43"/>
  <c r="G101" i="41"/>
  <c r="G101" i="44"/>
  <c r="G101" i="45"/>
  <c r="G101" i="43"/>
  <c r="GB30" i="41"/>
  <c r="GB30" i="45"/>
  <c r="CB26" i="18"/>
  <c r="GB30" i="44"/>
  <c r="GB30" i="43"/>
  <c r="J114" i="43"/>
  <c r="J114" i="44"/>
  <c r="J114" i="45"/>
  <c r="J114" i="41"/>
  <c r="DT109" i="44"/>
  <c r="GS109" i="44" s="1"/>
  <c r="DT109" i="43"/>
  <c r="GS109" i="43" s="1"/>
  <c r="DR98" i="41"/>
  <c r="GQ98" i="41" s="1"/>
  <c r="DR98" i="45"/>
  <c r="GQ98" i="45" s="1"/>
  <c r="DR98" i="43"/>
  <c r="GQ98" i="43" s="1"/>
  <c r="D113" i="41"/>
  <c r="D113" i="44"/>
  <c r="D113" i="43"/>
  <c r="Z49" i="41"/>
  <c r="Z49" i="44"/>
  <c r="Z49" i="43"/>
  <c r="Z49" i="45"/>
  <c r="DO77" i="43"/>
  <c r="GN77" i="43" s="1"/>
  <c r="DU99" i="41"/>
  <c r="GT99" i="41" s="1"/>
  <c r="DU99" i="43"/>
  <c r="GT99" i="43"/>
  <c r="DU99" i="45"/>
  <c r="GT99" i="45"/>
  <c r="DU99" i="44"/>
  <c r="GT99" i="44"/>
  <c r="DP101" i="41"/>
  <c r="GO101" i="41"/>
  <c r="DP101" i="44"/>
  <c r="GO101" i="44"/>
  <c r="DP101" i="43"/>
  <c r="GO101" i="43"/>
  <c r="DP101" i="45"/>
  <c r="GO101" i="45" s="1"/>
  <c r="M99" i="41"/>
  <c r="M99" i="44"/>
  <c r="M99" i="43"/>
  <c r="M99" i="45"/>
  <c r="GR25" i="44"/>
  <c r="GP25" i="44"/>
  <c r="DR108" i="43"/>
  <c r="GQ108" i="43"/>
  <c r="DR108" i="45"/>
  <c r="GQ108" i="45"/>
  <c r="DR108" i="41"/>
  <c r="GQ108" i="41"/>
  <c r="DR108" i="44"/>
  <c r="GQ108" i="44"/>
  <c r="H107" i="44"/>
  <c r="H107" i="45"/>
  <c r="H107" i="41"/>
  <c r="H107" i="43"/>
  <c r="AY39" i="12"/>
  <c r="AU39" i="12"/>
  <c r="AZ39" i="12"/>
  <c r="BC39" i="12"/>
  <c r="AV39" i="12"/>
  <c r="BD39" i="12"/>
  <c r="BB39" i="12"/>
  <c r="AX39" i="12"/>
  <c r="GT39" i="12"/>
  <c r="GU39" i="12" s="1"/>
  <c r="AW39" i="12"/>
  <c r="BF39" i="12"/>
  <c r="BE39" i="12"/>
  <c r="BA39" i="12"/>
  <c r="F91" i="44"/>
  <c r="F91" i="41"/>
  <c r="I103" i="41"/>
  <c r="I103" i="44"/>
  <c r="I103" i="43"/>
  <c r="I103" i="45"/>
  <c r="BB35" i="12"/>
  <c r="BE35" i="12"/>
  <c r="BA35" i="12"/>
  <c r="BF35" i="12"/>
  <c r="AX35" i="12"/>
  <c r="GT35" i="12"/>
  <c r="AW35" i="12"/>
  <c r="AV35" i="12"/>
  <c r="BC35" i="12"/>
  <c r="AY35" i="12"/>
  <c r="AU35" i="12"/>
  <c r="AZ35" i="12"/>
  <c r="BD35" i="12"/>
  <c r="GD7" i="12"/>
  <c r="FV7" i="12"/>
  <c r="GA7" i="12"/>
  <c r="FU7" i="12"/>
  <c r="FW7" i="12"/>
  <c r="Q58" i="41"/>
  <c r="Q58" i="45"/>
  <c r="Q58" i="43"/>
  <c r="Q58" i="44"/>
  <c r="W49" i="41"/>
  <c r="DC54" i="41"/>
  <c r="HH54" i="41"/>
  <c r="K95" i="45"/>
  <c r="K95" i="43"/>
  <c r="K95" i="44"/>
  <c r="K95" i="41"/>
  <c r="J104" i="45"/>
  <c r="J104" i="41"/>
  <c r="J104" i="44"/>
  <c r="J104" i="43"/>
  <c r="GY50" i="41"/>
  <c r="GW50" i="41"/>
  <c r="GZ50" i="41"/>
  <c r="GQ50" i="41"/>
  <c r="GR50" i="41"/>
  <c r="GU50" i="41"/>
  <c r="GX50" i="41"/>
  <c r="GT50" i="41"/>
  <c r="GO50" i="41"/>
  <c r="GV50" i="41"/>
  <c r="GS50" i="41"/>
  <c r="GP50" i="41"/>
  <c r="L112" i="44"/>
  <c r="L112" i="41"/>
  <c r="L112" i="43"/>
  <c r="L112" i="45"/>
  <c r="G82" i="41"/>
  <c r="G82" i="43"/>
  <c r="G82" i="45"/>
  <c r="G82" i="44"/>
  <c r="G99" i="45"/>
  <c r="G99" i="41"/>
  <c r="H102" i="45"/>
  <c r="H102" i="43"/>
  <c r="DY85" i="41"/>
  <c r="GX85" i="41" s="1"/>
  <c r="DY85" i="45"/>
  <c r="GX85" i="45" s="1"/>
  <c r="DY85" i="44"/>
  <c r="GX85" i="44" s="1"/>
  <c r="DY85" i="43"/>
  <c r="GX85" i="43" s="1"/>
  <c r="CB10" i="18"/>
  <c r="GE14" i="41" s="1"/>
  <c r="GB14" i="41"/>
  <c r="GB14" i="44"/>
  <c r="GB14" i="45"/>
  <c r="GB14" i="43"/>
  <c r="C112" i="45"/>
  <c r="C112" i="43"/>
  <c r="C112" i="41"/>
  <c r="C112" i="44"/>
  <c r="M111" i="41"/>
  <c r="M111" i="44"/>
  <c r="M111" i="43"/>
  <c r="M111" i="45"/>
  <c r="C108" i="41"/>
  <c r="C108" i="45"/>
  <c r="C108" i="43"/>
  <c r="C108" i="44"/>
  <c r="GC26" i="45"/>
  <c r="FT39" i="12"/>
  <c r="FV39" i="12"/>
  <c r="GA39" i="12"/>
  <c r="GB39" i="12"/>
  <c r="DW112" i="44" s="1"/>
  <c r="BB41" i="12"/>
  <c r="V57" i="44" s="1"/>
  <c r="AX41" i="12"/>
  <c r="AV41" i="12"/>
  <c r="AZ41" i="12"/>
  <c r="T57" i="44" s="1"/>
  <c r="BF41" i="12"/>
  <c r="AY41" i="12"/>
  <c r="AU41" i="12"/>
  <c r="DX100" i="43"/>
  <c r="GW100" i="43"/>
  <c r="DX100" i="45"/>
  <c r="GW100" i="45"/>
  <c r="DX100" i="44"/>
  <c r="GW100" i="44"/>
  <c r="DX100" i="41"/>
  <c r="GW100" i="41"/>
  <c r="DR106" i="43"/>
  <c r="GQ106" i="43"/>
  <c r="DR106" i="44"/>
  <c r="GQ106" i="44"/>
  <c r="GP71" i="43"/>
  <c r="FC131" i="43"/>
  <c r="C100" i="41"/>
  <c r="C100" i="43"/>
  <c r="C100" i="44"/>
  <c r="C100" i="45"/>
  <c r="H79" i="45"/>
  <c r="H79" i="44"/>
  <c r="H79" i="41"/>
  <c r="B12" i="41"/>
  <c r="H103" i="43"/>
  <c r="H103" i="44"/>
  <c r="H103" i="41"/>
  <c r="H103" i="45"/>
  <c r="B80" i="41"/>
  <c r="B80" i="44"/>
  <c r="B80" i="43"/>
  <c r="B80" i="45"/>
  <c r="C113" i="41"/>
  <c r="C113" i="44"/>
  <c r="C113" i="43"/>
  <c r="S49" i="45"/>
  <c r="S49" i="43"/>
  <c r="S49" i="44"/>
  <c r="S49" i="41"/>
  <c r="CW53" i="43"/>
  <c r="CW53" i="41"/>
  <c r="HB53" i="41" s="1"/>
  <c r="CW53" i="45"/>
  <c r="CW53" i="44"/>
  <c r="CX54" i="43"/>
  <c r="HC54" i="43"/>
  <c r="CW54" i="41"/>
  <c r="HB54" i="41" s="1"/>
  <c r="CW54" i="43"/>
  <c r="HB54" i="43" s="1"/>
  <c r="CW54" i="45"/>
  <c r="HB54" i="45" s="1"/>
  <c r="CW54" i="44"/>
  <c r="HB54" i="44"/>
  <c r="CY37" i="41"/>
  <c r="HD37" i="41"/>
  <c r="CY37" i="45"/>
  <c r="HD37" i="45"/>
  <c r="CY37" i="44"/>
  <c r="HD37" i="44"/>
  <c r="CY37" i="43"/>
  <c r="HD37" i="43" s="1"/>
  <c r="DS77" i="45"/>
  <c r="GR77" i="45"/>
  <c r="DS77" i="41"/>
  <c r="GR77" i="41"/>
  <c r="DS77" i="44"/>
  <c r="GR77" i="44"/>
  <c r="DS77" i="43"/>
  <c r="GR77" i="43" s="1"/>
  <c r="H81" i="44"/>
  <c r="H81" i="41"/>
  <c r="H81" i="45"/>
  <c r="H81" i="43"/>
  <c r="L95" i="43"/>
  <c r="L95" i="44"/>
  <c r="T26" i="44"/>
  <c r="T26" i="41"/>
  <c r="DQ77" i="43"/>
  <c r="GP77" i="43" s="1"/>
  <c r="DQ77" i="44"/>
  <c r="GP77" i="44" s="1"/>
  <c r="DQ77" i="45"/>
  <c r="GP77" i="45" s="1"/>
  <c r="DQ77" i="41"/>
  <c r="GP77" i="41" s="1"/>
  <c r="CZ31" i="43"/>
  <c r="HE31" i="43" s="1"/>
  <c r="CZ31" i="44"/>
  <c r="HE31" i="44" s="1"/>
  <c r="CZ31" i="45"/>
  <c r="HE31" i="45" s="1"/>
  <c r="AW25" i="44"/>
  <c r="CH25" i="45"/>
  <c r="C25" i="43"/>
  <c r="CH25" i="44"/>
  <c r="AE25" i="43"/>
  <c r="AW25" i="45"/>
  <c r="C25" i="45"/>
  <c r="CH25" i="43"/>
  <c r="AW25" i="43"/>
  <c r="C25" i="41"/>
  <c r="CH25" i="41"/>
  <c r="DD47" i="44"/>
  <c r="HI47" i="44" s="1"/>
  <c r="GD23" i="43"/>
  <c r="GD23" i="44"/>
  <c r="GD23" i="41"/>
  <c r="GD23" i="45"/>
  <c r="CW47" i="43"/>
  <c r="AG26" i="45"/>
  <c r="CA57" i="45"/>
  <c r="AP10" i="27"/>
  <c r="G15" i="23"/>
  <c r="BB29" i="12"/>
  <c r="GB7" i="12"/>
  <c r="DK61" i="44"/>
  <c r="K208" i="12"/>
  <c r="F28" i="28" s="1"/>
  <c r="J95" i="44"/>
  <c r="GF33" i="41"/>
  <c r="BR25" i="41"/>
  <c r="DY101" i="45"/>
  <c r="GX101" i="45" s="1"/>
  <c r="GZ25" i="43"/>
  <c r="GW27" i="43"/>
  <c r="GP27" i="43"/>
  <c r="DM30" i="12"/>
  <c r="GY50" i="45"/>
  <c r="GR50" i="45"/>
  <c r="GC7" i="12"/>
  <c r="FT7" i="12"/>
  <c r="GB27" i="12"/>
  <c r="CA59" i="43"/>
  <c r="FE12" i="43"/>
  <c r="GP12" i="43" s="1"/>
  <c r="HB27" i="41"/>
  <c r="P11" i="21"/>
  <c r="DZ91" i="41"/>
  <c r="GY91" i="41" s="1"/>
  <c r="C99" i="45"/>
  <c r="C99" i="43"/>
  <c r="C99" i="44"/>
  <c r="C99" i="41"/>
  <c r="U21" i="45"/>
  <c r="DV98" i="41"/>
  <c r="GU98" i="41"/>
  <c r="DV98" i="45"/>
  <c r="GU98" i="45"/>
  <c r="DV98" i="44"/>
  <c r="GU98" i="44"/>
  <c r="DV98" i="43"/>
  <c r="GU98" i="43"/>
  <c r="Q50" i="43"/>
  <c r="Q50" i="44"/>
  <c r="Q50" i="45"/>
  <c r="Q50" i="41"/>
  <c r="B52" i="32"/>
  <c r="Q53" i="41"/>
  <c r="Q53" i="44"/>
  <c r="Q53" i="45"/>
  <c r="EO8" i="12"/>
  <c r="EG8" i="12"/>
  <c r="CY24" i="44" s="1"/>
  <c r="HD24" i="44" s="1"/>
  <c r="EN8" i="12"/>
  <c r="EM8" i="12"/>
  <c r="EE8" i="12"/>
  <c r="EJ8" i="12"/>
  <c r="GW8" i="12"/>
  <c r="EI8" i="12"/>
  <c r="EF8" i="12"/>
  <c r="EK8" i="12"/>
  <c r="EP8" i="12"/>
  <c r="EL8" i="12"/>
  <c r="EH8" i="12"/>
  <c r="X23" i="41"/>
  <c r="X23" i="43"/>
  <c r="X23" i="44"/>
  <c r="CK59" i="41"/>
  <c r="AZ59" i="45"/>
  <c r="BS59" i="41"/>
  <c r="AH59" i="44"/>
  <c r="F59" i="44"/>
  <c r="AH59" i="43"/>
  <c r="GS59" i="44"/>
  <c r="F59" i="43"/>
  <c r="AH59" i="45"/>
  <c r="GS59" i="43"/>
  <c r="AH59" i="41"/>
  <c r="CK59" i="45"/>
  <c r="CK59" i="43"/>
  <c r="BS59" i="43"/>
  <c r="AZ59" i="43"/>
  <c r="CK59" i="44"/>
  <c r="F59" i="45"/>
  <c r="AZ59" i="41"/>
  <c r="GS59" i="41"/>
  <c r="BS59" i="44"/>
  <c r="AZ59" i="44"/>
  <c r="F59" i="41"/>
  <c r="BS59" i="45"/>
  <c r="G25" i="41"/>
  <c r="AI25" i="41"/>
  <c r="CL25" i="41"/>
  <c r="AI25" i="44"/>
  <c r="BA25" i="41"/>
  <c r="BT25" i="45"/>
  <c r="GT25" i="44"/>
  <c r="BA25" i="45"/>
  <c r="BA25" i="44"/>
  <c r="CL25" i="43"/>
  <c r="AI25" i="45"/>
  <c r="G25" i="44"/>
  <c r="CL25" i="44"/>
  <c r="BT25" i="43"/>
  <c r="BT25" i="44"/>
  <c r="G25" i="43"/>
  <c r="AI25" i="43"/>
  <c r="BA25" i="43"/>
  <c r="G25" i="45"/>
  <c r="CL25" i="45"/>
  <c r="DH27" i="44"/>
  <c r="HM27" i="44"/>
  <c r="DH27" i="43"/>
  <c r="HM27" i="43"/>
  <c r="DH27" i="45"/>
  <c r="HM27" i="45"/>
  <c r="DE44" i="45"/>
  <c r="HJ44" i="45" s="1"/>
  <c r="DE44" i="41"/>
  <c r="HJ44" i="41"/>
  <c r="DE44" i="44"/>
  <c r="HJ44" i="44"/>
  <c r="DE44" i="43"/>
  <c r="HJ44" i="43" s="1"/>
  <c r="DE45" i="44"/>
  <c r="HJ45" i="44"/>
  <c r="DE45" i="43"/>
  <c r="HJ45" i="43" s="1"/>
  <c r="GU24" i="44"/>
  <c r="GY24" i="44"/>
  <c r="GT24" i="44"/>
  <c r="GV44" i="41"/>
  <c r="GQ44" i="41"/>
  <c r="AX20" i="18"/>
  <c r="BB20" i="18"/>
  <c r="BK20" i="18" s="1"/>
  <c r="AP20" i="18"/>
  <c r="AT20" i="18"/>
  <c r="AY20" i="18"/>
  <c r="BC20" i="18"/>
  <c r="BL20" i="18" s="1"/>
  <c r="BG20" i="18"/>
  <c r="AZ20" i="18"/>
  <c r="BD20" i="18"/>
  <c r="BM20" i="18"/>
  <c r="BJ20" i="18"/>
  <c r="BI20" i="18"/>
  <c r="AQ20" i="18"/>
  <c r="AU20" i="18" s="1"/>
  <c r="BA20" i="18"/>
  <c r="BE20" i="18" s="1"/>
  <c r="BN20" i="18" s="1"/>
  <c r="BH20" i="18"/>
  <c r="T39" i="41"/>
  <c r="T39" i="44"/>
  <c r="T39" i="43"/>
  <c r="T39" i="45"/>
  <c r="C78" i="44"/>
  <c r="C78" i="41"/>
  <c r="C78" i="43"/>
  <c r="Z21" i="41"/>
  <c r="Z21" i="44"/>
  <c r="Z21" i="45"/>
  <c r="Z21" i="43"/>
  <c r="J98" i="41"/>
  <c r="J98" i="45"/>
  <c r="J98" i="44"/>
  <c r="J98" i="43"/>
  <c r="Y50" i="44"/>
  <c r="Y50" i="45"/>
  <c r="Y50" i="43"/>
  <c r="X53" i="44"/>
  <c r="X53" i="45"/>
  <c r="X53" i="41"/>
  <c r="HM19" i="45"/>
  <c r="DD51" i="45"/>
  <c r="HI51" i="45"/>
  <c r="DD51" i="43"/>
  <c r="HI51" i="43"/>
  <c r="DD51" i="44"/>
  <c r="HI51" i="44"/>
  <c r="DY76" i="45"/>
  <c r="DY76" i="43"/>
  <c r="DY76" i="41"/>
  <c r="DY76" i="44"/>
  <c r="AX25" i="41"/>
  <c r="D25" i="41"/>
  <c r="CI25" i="41"/>
  <c r="BQ25" i="44"/>
  <c r="AF25" i="45"/>
  <c r="CI25" i="45"/>
  <c r="AX25" i="45"/>
  <c r="AF25" i="44"/>
  <c r="CI25" i="44"/>
  <c r="BQ25" i="45"/>
  <c r="D25" i="44"/>
  <c r="AF25" i="41"/>
  <c r="BQ25" i="43"/>
  <c r="AF25" i="43"/>
  <c r="GQ25" i="44"/>
  <c r="AX25" i="44"/>
  <c r="CI25" i="43"/>
  <c r="D25" i="43"/>
  <c r="D25" i="45"/>
  <c r="AX25" i="43"/>
  <c r="W54" i="45"/>
  <c r="W54" i="44"/>
  <c r="W54" i="41"/>
  <c r="W54" i="43"/>
  <c r="Z28" i="12"/>
  <c r="GU44" i="41"/>
  <c r="W28" i="12"/>
  <c r="GR44" i="41"/>
  <c r="AD28" i="12"/>
  <c r="AA28" i="12"/>
  <c r="AC28" i="12"/>
  <c r="V28" i="12"/>
  <c r="T28" i="12"/>
  <c r="Y28" i="12"/>
  <c r="AE28" i="12"/>
  <c r="GZ44" i="41"/>
  <c r="X28" i="12"/>
  <c r="AB28" i="12"/>
  <c r="GW44" i="41" s="1"/>
  <c r="GS28" i="12"/>
  <c r="GU28" i="12" s="1"/>
  <c r="U28" i="12"/>
  <c r="GP44" i="41"/>
  <c r="CY29" i="44"/>
  <c r="HD29" i="44" s="1"/>
  <c r="CY29" i="41"/>
  <c r="HD29" i="41" s="1"/>
  <c r="CY29" i="45"/>
  <c r="HD29" i="45"/>
  <c r="GY76" i="44"/>
  <c r="DG45" i="43"/>
  <c r="HL45" i="43" s="1"/>
  <c r="DG45" i="44"/>
  <c r="HL45" i="44"/>
  <c r="DG45" i="41"/>
  <c r="HL45" i="41" s="1"/>
  <c r="DG45" i="45"/>
  <c r="HL45" i="45"/>
  <c r="AX27" i="12"/>
  <c r="BB27" i="12"/>
  <c r="GT27" i="12"/>
  <c r="BE27" i="12"/>
  <c r="BA27" i="12"/>
  <c r="BF27" i="12"/>
  <c r="AW27" i="12"/>
  <c r="AU27" i="12"/>
  <c r="BD27" i="12"/>
  <c r="AZ27" i="12"/>
  <c r="AV27" i="12"/>
  <c r="BC27" i="12"/>
  <c r="AY27" i="12"/>
  <c r="D188" i="12"/>
  <c r="N25" i="12"/>
  <c r="Q25" i="12"/>
  <c r="V25" i="12" s="1"/>
  <c r="DW4" i="12"/>
  <c r="F213" i="12"/>
  <c r="DP86" i="41"/>
  <c r="GO86" i="41"/>
  <c r="DP86" i="45"/>
  <c r="GO86" i="45"/>
  <c r="DP86" i="44"/>
  <c r="GO86" i="44" s="1"/>
  <c r="DP86" i="43"/>
  <c r="GO86" i="43"/>
  <c r="HK19" i="44"/>
  <c r="B25" i="41"/>
  <c r="BH25" i="41" s="1"/>
  <c r="AD25" i="41"/>
  <c r="CG25" i="41"/>
  <c r="B25" i="45"/>
  <c r="BO25" i="45"/>
  <c r="AD25" i="45"/>
  <c r="CG25" i="45"/>
  <c r="CS25" i="45" s="1"/>
  <c r="BO25" i="44"/>
  <c r="BO25" i="43"/>
  <c r="GO25" i="44"/>
  <c r="AD25" i="43"/>
  <c r="B25" i="44"/>
  <c r="CS25" i="44" s="1"/>
  <c r="AD25" i="44"/>
  <c r="CG25" i="43"/>
  <c r="AV25" i="45"/>
  <c r="BH25" i="45" s="1"/>
  <c r="AV25" i="41"/>
  <c r="B25" i="43"/>
  <c r="CG25" i="44"/>
  <c r="AV25" i="43"/>
  <c r="AV25" i="44"/>
  <c r="H191" i="12"/>
  <c r="G191" i="12"/>
  <c r="F191" i="12"/>
  <c r="E191" i="12"/>
  <c r="CW29" i="45"/>
  <c r="CW29" i="41"/>
  <c r="CW29" i="44"/>
  <c r="M39" i="44"/>
  <c r="CR39" i="45"/>
  <c r="CR39" i="43"/>
  <c r="AO39" i="41"/>
  <c r="BZ39" i="45"/>
  <c r="BZ39" i="43"/>
  <c r="M39" i="41"/>
  <c r="BG39" i="43"/>
  <c r="BG39" i="41"/>
  <c r="M39" i="43"/>
  <c r="BG39" i="44"/>
  <c r="BZ39" i="41"/>
  <c r="CR39" i="41"/>
  <c r="CR39" i="44"/>
  <c r="M39" i="45"/>
  <c r="BZ39" i="44"/>
  <c r="GZ39" i="44"/>
  <c r="AO39" i="44"/>
  <c r="E115" i="41"/>
  <c r="E115" i="43"/>
  <c r="E115" i="44"/>
  <c r="E115" i="45"/>
  <c r="H235" i="12"/>
  <c r="G235" i="12"/>
  <c r="L81" i="41"/>
  <c r="L81" i="43"/>
  <c r="L81" i="44"/>
  <c r="L81" i="45"/>
  <c r="H175" i="12"/>
  <c r="G175" i="12"/>
  <c r="BC18" i="12"/>
  <c r="W34" i="43" s="1"/>
  <c r="BE18" i="12"/>
  <c r="BD18" i="12"/>
  <c r="GT18" i="12"/>
  <c r="AV18" i="12"/>
  <c r="BF18" i="12"/>
  <c r="BA18" i="12"/>
  <c r="AX18" i="12"/>
  <c r="AZ18" i="12"/>
  <c r="AW18" i="12"/>
  <c r="BB18" i="12"/>
  <c r="AY18" i="12"/>
  <c r="HK19" i="45"/>
  <c r="BB25" i="41"/>
  <c r="AJ25" i="41"/>
  <c r="CM25" i="41"/>
  <c r="H25" i="41"/>
  <c r="AJ25" i="45"/>
  <c r="CM25" i="45"/>
  <c r="GU25" i="44"/>
  <c r="BU25" i="44"/>
  <c r="AJ25" i="43"/>
  <c r="BB25" i="44"/>
  <c r="BU25" i="45"/>
  <c r="BB25" i="43"/>
  <c r="CM25" i="43"/>
  <c r="BB25" i="45"/>
  <c r="H25" i="44"/>
  <c r="AJ25" i="44"/>
  <c r="BU25" i="43"/>
  <c r="H25" i="45"/>
  <c r="H25" i="43"/>
  <c r="CM25" i="44"/>
  <c r="DA44" i="44"/>
  <c r="HF44" i="44"/>
  <c r="DA44" i="45"/>
  <c r="HF44" i="45"/>
  <c r="DA44" i="43"/>
  <c r="HF44" i="43" s="1"/>
  <c r="DA44" i="41"/>
  <c r="HF44" i="41" s="1"/>
  <c r="CM39" i="44"/>
  <c r="H39" i="45"/>
  <c r="BB39" i="44"/>
  <c r="BU39" i="41"/>
  <c r="AJ39" i="44"/>
  <c r="CM39" i="43"/>
  <c r="CM39" i="41"/>
  <c r="H39" i="44"/>
  <c r="BU39" i="43"/>
  <c r="H39" i="41"/>
  <c r="CM39" i="45"/>
  <c r="H39" i="43"/>
  <c r="GU39" i="44"/>
  <c r="BU39" i="44"/>
  <c r="BU39" i="45"/>
  <c r="AJ39" i="41"/>
  <c r="BB39" i="41"/>
  <c r="BB39" i="43"/>
  <c r="FE22" i="44"/>
  <c r="FE23" i="41"/>
  <c r="EB4" i="12"/>
  <c r="O4" i="16"/>
  <c r="CB22" i="18"/>
  <c r="GB26" i="45"/>
  <c r="GB26" i="43"/>
  <c r="GB26" i="44"/>
  <c r="GX50" i="44"/>
  <c r="GV50" i="44"/>
  <c r="I78" i="44"/>
  <c r="I78" i="45"/>
  <c r="B85" i="41"/>
  <c r="Y58" i="41"/>
  <c r="Y58" i="43"/>
  <c r="Y58" i="45"/>
  <c r="B3" i="45"/>
  <c r="O97" i="35"/>
  <c r="O95" i="35"/>
  <c r="O93" i="35"/>
  <c r="O91" i="35"/>
  <c r="P98" i="35"/>
  <c r="P96" i="35"/>
  <c r="P94" i="35"/>
  <c r="P92" i="35"/>
  <c r="P90" i="35"/>
  <c r="Q97" i="35"/>
  <c r="Q95" i="35"/>
  <c r="Q91" i="35"/>
  <c r="Q89" i="35"/>
  <c r="Q88" i="35"/>
  <c r="O88" i="35"/>
  <c r="P88" i="35"/>
  <c r="O98" i="35"/>
  <c r="O94" i="35"/>
  <c r="P97" i="35"/>
  <c r="P93" i="35"/>
  <c r="P89" i="35"/>
  <c r="Q98" i="35"/>
  <c r="Q94" i="35"/>
  <c r="Q90" i="35"/>
  <c r="N88" i="35"/>
  <c r="N94" i="35"/>
  <c r="N90" i="35"/>
  <c r="N96" i="35"/>
  <c r="N92" i="35"/>
  <c r="O96" i="35"/>
  <c r="P91" i="35"/>
  <c r="Q96" i="35"/>
  <c r="N97" i="35"/>
  <c r="Q92" i="35"/>
  <c r="N91" i="35"/>
  <c r="N95" i="35"/>
  <c r="P95" i="35"/>
  <c r="O92" i="35"/>
  <c r="N89" i="35"/>
  <c r="J84" i="45"/>
  <c r="J84" i="44"/>
  <c r="J84" i="43"/>
  <c r="F106" i="41"/>
  <c r="F106" i="43"/>
  <c r="F106" i="45"/>
  <c r="F106" i="44"/>
  <c r="Z12" i="12"/>
  <c r="U12" i="12"/>
  <c r="AD12" i="12"/>
  <c r="AC12" i="12"/>
  <c r="GS12" i="12"/>
  <c r="Y12" i="12"/>
  <c r="X12" i="12"/>
  <c r="GS28" i="41"/>
  <c r="T12" i="12"/>
  <c r="AB12" i="12"/>
  <c r="GW28" i="41"/>
  <c r="AA12" i="12"/>
  <c r="GV28" i="41"/>
  <c r="AE12" i="12"/>
  <c r="GZ28" i="41"/>
  <c r="W12" i="12"/>
  <c r="V12" i="12"/>
  <c r="GQ28" i="43"/>
  <c r="C91" i="45"/>
  <c r="C91" i="44"/>
  <c r="C91" i="43"/>
  <c r="D100" i="41"/>
  <c r="D100" i="45"/>
  <c r="D100" i="44"/>
  <c r="D100" i="43"/>
  <c r="D94" i="41"/>
  <c r="D94" i="45"/>
  <c r="D94" i="44"/>
  <c r="D94" i="43"/>
  <c r="DU9" i="12"/>
  <c r="DX98" i="45"/>
  <c r="GW98" i="45"/>
  <c r="GW98" i="41"/>
  <c r="DX98" i="44"/>
  <c r="GW98" i="44"/>
  <c r="DX98" i="43"/>
  <c r="GW98" i="43"/>
  <c r="F98" i="41"/>
  <c r="F98" i="45"/>
  <c r="F98" i="44"/>
  <c r="I91" i="41"/>
  <c r="I91" i="45"/>
  <c r="I91" i="44"/>
  <c r="I91" i="43"/>
  <c r="J88" i="45"/>
  <c r="J88" i="41"/>
  <c r="J88" i="43"/>
  <c r="J88" i="44"/>
  <c r="O29" i="41"/>
  <c r="O29" i="44"/>
  <c r="O29" i="43"/>
  <c r="O29" i="45"/>
  <c r="F110" i="41"/>
  <c r="F110" i="44"/>
  <c r="F110" i="43"/>
  <c r="F110" i="45"/>
  <c r="AC44" i="12"/>
  <c r="AB44" i="12"/>
  <c r="GW60" i="45" s="1"/>
  <c r="X44" i="12"/>
  <c r="AH60" i="43" s="1"/>
  <c r="AE44" i="12"/>
  <c r="W44" i="12"/>
  <c r="U44" i="12"/>
  <c r="T53" i="41"/>
  <c r="T53" i="45"/>
  <c r="CX53" i="44"/>
  <c r="HC53" i="44"/>
  <c r="CX53" i="45"/>
  <c r="HC53" i="45" s="1"/>
  <c r="CX53" i="43"/>
  <c r="HC53" i="43" s="1"/>
  <c r="L90" i="41"/>
  <c r="L90" i="44"/>
  <c r="L90" i="45"/>
  <c r="L90" i="43"/>
  <c r="P25" i="41"/>
  <c r="P25" i="45"/>
  <c r="P25" i="44"/>
  <c r="Q23" i="41"/>
  <c r="Q23" i="44"/>
  <c r="Q23" i="43"/>
  <c r="DF60" i="41"/>
  <c r="HK60" i="41"/>
  <c r="DF60" i="44"/>
  <c r="HK60" i="44"/>
  <c r="DF60" i="43"/>
  <c r="HK60" i="43" s="1"/>
  <c r="DF60" i="45"/>
  <c r="HK60" i="45" s="1"/>
  <c r="Z24" i="12"/>
  <c r="Y24" i="12"/>
  <c r="AD24" i="12"/>
  <c r="V24" i="12"/>
  <c r="AE24" i="12"/>
  <c r="GS24" i="12"/>
  <c r="GU24" i="12"/>
  <c r="X24" i="12"/>
  <c r="T24" i="12"/>
  <c r="U24" i="12"/>
  <c r="AB24" i="12"/>
  <c r="AA24" i="12"/>
  <c r="W24" i="12"/>
  <c r="AC24" i="12"/>
  <c r="DE51" i="45"/>
  <c r="HJ51" i="45"/>
  <c r="DE51" i="44"/>
  <c r="HJ51" i="44" s="1"/>
  <c r="DE51" i="43"/>
  <c r="HJ51" i="43"/>
  <c r="HB23" i="41"/>
  <c r="DU76" i="45"/>
  <c r="DU76" i="44"/>
  <c r="DU76" i="41"/>
  <c r="DU76" i="43"/>
  <c r="DE37" i="44"/>
  <c r="HJ37" i="44"/>
  <c r="DE37" i="41"/>
  <c r="HJ37" i="41"/>
  <c r="DE37" i="45"/>
  <c r="HJ37" i="45"/>
  <c r="DE37" i="43"/>
  <c r="HJ37" i="43"/>
  <c r="HK19" i="43"/>
  <c r="HB47" i="41"/>
  <c r="DI47" i="41"/>
  <c r="J25" i="45"/>
  <c r="J25" i="41"/>
  <c r="BD25" i="41"/>
  <c r="BD25" i="45"/>
  <c r="AL25" i="44"/>
  <c r="CO25" i="44"/>
  <c r="BD25" i="44"/>
  <c r="AL25" i="41"/>
  <c r="BW25" i="44"/>
  <c r="AL25" i="45"/>
  <c r="CO25" i="45"/>
  <c r="BW25" i="45"/>
  <c r="BD25" i="43"/>
  <c r="CO25" i="43"/>
  <c r="CO25" i="41"/>
  <c r="J25" i="43"/>
  <c r="BW25" i="43"/>
  <c r="GW25" i="44"/>
  <c r="AL25" i="43"/>
  <c r="J25" i="44"/>
  <c r="E192" i="12"/>
  <c r="F192" i="12"/>
  <c r="H192" i="12"/>
  <c r="G192" i="12"/>
  <c r="Y26" i="41"/>
  <c r="Y26" i="44"/>
  <c r="Y54" i="43"/>
  <c r="Y54" i="41"/>
  <c r="Y54" i="45"/>
  <c r="Y54" i="44"/>
  <c r="O54" i="44"/>
  <c r="DI54" i="44" s="1"/>
  <c r="O54" i="45"/>
  <c r="DI54" i="45" s="1"/>
  <c r="O54" i="43"/>
  <c r="O54" i="41"/>
  <c r="DI54" i="41"/>
  <c r="GR29" i="43"/>
  <c r="E29" i="43"/>
  <c r="AY29" i="41"/>
  <c r="CJ29" i="43"/>
  <c r="BR29" i="44"/>
  <c r="GR29" i="44"/>
  <c r="GR29" i="45"/>
  <c r="BR29" i="43"/>
  <c r="CJ29" i="44"/>
  <c r="E29" i="45"/>
  <c r="BR29" i="45"/>
  <c r="AY29" i="44"/>
  <c r="AG29" i="41"/>
  <c r="E29" i="44"/>
  <c r="E29" i="41"/>
  <c r="CJ29" i="45"/>
  <c r="AY29" i="45"/>
  <c r="CJ29" i="41"/>
  <c r="AG29" i="44"/>
  <c r="AG29" i="45"/>
  <c r="AY29" i="43"/>
  <c r="DB44" i="45"/>
  <c r="HG44" i="45"/>
  <c r="DB44" i="41"/>
  <c r="HG44" i="41"/>
  <c r="DB44" i="43"/>
  <c r="HG44" i="43"/>
  <c r="DB44" i="44"/>
  <c r="HG44" i="44"/>
  <c r="DF44" i="43"/>
  <c r="HK44" i="43"/>
  <c r="DF44" i="45"/>
  <c r="HK44" i="45"/>
  <c r="DF44" i="41"/>
  <c r="HK44" i="41"/>
  <c r="DF44" i="44"/>
  <c r="HK44" i="44"/>
  <c r="GT26" i="41"/>
  <c r="BT26" i="44"/>
  <c r="AI26" i="43"/>
  <c r="BA26" i="41"/>
  <c r="BA26" i="44"/>
  <c r="AI26" i="45"/>
  <c r="AF57" i="45"/>
  <c r="AF57" i="41"/>
  <c r="CI57" i="44"/>
  <c r="BQ57" i="41"/>
  <c r="AX57" i="44"/>
  <c r="D57" i="41"/>
  <c r="AF57" i="44"/>
  <c r="D57" i="45"/>
  <c r="D57" i="44"/>
  <c r="BQ57" i="44"/>
  <c r="CI57" i="41"/>
  <c r="AF57" i="43"/>
  <c r="CI57" i="45"/>
  <c r="AX57" i="45"/>
  <c r="BQ57" i="43"/>
  <c r="AX57" i="41"/>
  <c r="CI57" i="43"/>
  <c r="AX57" i="43"/>
  <c r="D57" i="43"/>
  <c r="CG47" i="41"/>
  <c r="B47" i="45"/>
  <c r="BO47" i="41"/>
  <c r="AV47" i="45"/>
  <c r="AV47" i="43"/>
  <c r="CG47" i="44"/>
  <c r="AD47" i="44"/>
  <c r="B47" i="41"/>
  <c r="AD47" i="43"/>
  <c r="DG29" i="41"/>
  <c r="HL29" i="41" s="1"/>
  <c r="DG29" i="44"/>
  <c r="HL29" i="44" s="1"/>
  <c r="DG29" i="45"/>
  <c r="HL29" i="45"/>
  <c r="DH29" i="44"/>
  <c r="HM29" i="44" s="1"/>
  <c r="DH29" i="41"/>
  <c r="HM29" i="41" s="1"/>
  <c r="DH29" i="45"/>
  <c r="HM29" i="45"/>
  <c r="BH55" i="44"/>
  <c r="CS55" i="44"/>
  <c r="K115" i="41"/>
  <c r="K115" i="44"/>
  <c r="K115" i="45"/>
  <c r="K115" i="43"/>
  <c r="FX42" i="12"/>
  <c r="DH45" i="43"/>
  <c r="HM45" i="43" s="1"/>
  <c r="DH45" i="45"/>
  <c r="HM45" i="45" s="1"/>
  <c r="DH45" i="41"/>
  <c r="HM45" i="41" s="1"/>
  <c r="DH45" i="44"/>
  <c r="HM45" i="44"/>
  <c r="GU28" i="41"/>
  <c r="GQ28" i="41"/>
  <c r="DT106" i="41"/>
  <c r="GS106" i="41"/>
  <c r="DT106" i="43"/>
  <c r="GS106" i="43"/>
  <c r="DT106" i="44"/>
  <c r="GS106" i="44"/>
  <c r="GS59" i="45"/>
  <c r="CK26" i="45"/>
  <c r="J208" i="12"/>
  <c r="E28" i="28"/>
  <c r="CM26" i="45"/>
  <c r="C78" i="45"/>
  <c r="BO25" i="41"/>
  <c r="GT25" i="43"/>
  <c r="GQ25" i="43"/>
  <c r="CA23" i="44"/>
  <c r="FY11" i="12"/>
  <c r="GP59" i="45"/>
  <c r="BB26" i="43"/>
  <c r="O19" i="16"/>
  <c r="EB19" i="12"/>
  <c r="DZ93" i="41"/>
  <c r="GY93" i="41"/>
  <c r="DZ93" i="44"/>
  <c r="GY93" i="44"/>
  <c r="DZ93" i="43"/>
  <c r="GY93" i="43"/>
  <c r="DZ93" i="45"/>
  <c r="GY93" i="45" s="1"/>
  <c r="X49" i="41"/>
  <c r="X49" i="44"/>
  <c r="X49" i="43"/>
  <c r="X49" i="45"/>
  <c r="H112" i="41"/>
  <c r="H112" i="44"/>
  <c r="H112" i="45"/>
  <c r="H112" i="43"/>
  <c r="R53" i="41"/>
  <c r="R53" i="45"/>
  <c r="R53" i="44"/>
  <c r="DH60" i="44"/>
  <c r="HM60" i="44"/>
  <c r="DH60" i="41"/>
  <c r="HM60" i="41" s="1"/>
  <c r="DH60" i="45"/>
  <c r="HM60" i="45"/>
  <c r="DH60" i="43"/>
  <c r="HM60" i="43"/>
  <c r="DG37" i="45"/>
  <c r="HL37" i="45" s="1"/>
  <c r="DG37" i="41"/>
  <c r="HL37" i="41"/>
  <c r="DG37" i="43"/>
  <c r="HL37" i="43" s="1"/>
  <c r="DG37" i="44"/>
  <c r="HL37" i="44" s="1"/>
  <c r="S54" i="41"/>
  <c r="S54" i="44"/>
  <c r="S54" i="43"/>
  <c r="S54" i="45"/>
  <c r="BU57" i="41"/>
  <c r="BB57" i="41"/>
  <c r="H57" i="43"/>
  <c r="H57" i="41"/>
  <c r="AJ57" i="41"/>
  <c r="CM57" i="44"/>
  <c r="BB57" i="44"/>
  <c r="H57" i="44"/>
  <c r="CM57" i="43"/>
  <c r="AJ57" i="44"/>
  <c r="H57" i="45"/>
  <c r="BB57" i="45"/>
  <c r="BB57" i="43"/>
  <c r="CM57" i="41"/>
  <c r="BU57" i="43"/>
  <c r="AJ57" i="43"/>
  <c r="CM57" i="45"/>
  <c r="BU57" i="44"/>
  <c r="AJ57" i="45"/>
  <c r="DC29" i="44"/>
  <c r="HH29" i="44"/>
  <c r="DC29" i="41"/>
  <c r="HH29" i="41" s="1"/>
  <c r="DC29" i="45"/>
  <c r="HH29" i="45"/>
  <c r="GY76" i="41"/>
  <c r="HB39" i="45"/>
  <c r="DI39" i="45"/>
  <c r="DR18" i="12"/>
  <c r="GV18" i="12"/>
  <c r="GX18" i="12" s="1"/>
  <c r="DN18" i="12"/>
  <c r="DW18" i="12"/>
  <c r="DT18" i="12"/>
  <c r="DL18" i="12"/>
  <c r="DP18" i="12"/>
  <c r="DS18" i="12"/>
  <c r="DV18" i="12"/>
  <c r="DM18" i="12"/>
  <c r="DU18" i="12"/>
  <c r="DQ18" i="12"/>
  <c r="DO18" i="12"/>
  <c r="DO25" i="12"/>
  <c r="DW25" i="12"/>
  <c r="DL25" i="12"/>
  <c r="DT25" i="12"/>
  <c r="DS25" i="12"/>
  <c r="DM25" i="12"/>
  <c r="DV25" i="12"/>
  <c r="GV25" i="12"/>
  <c r="GX25" i="12" s="1"/>
  <c r="DN25" i="12"/>
  <c r="DU25" i="12"/>
  <c r="DR25" i="12"/>
  <c r="DQ25" i="12"/>
  <c r="DP25" i="12"/>
  <c r="J93" i="41"/>
  <c r="J93" i="44"/>
  <c r="J93" i="45"/>
  <c r="J93" i="43"/>
  <c r="DR76" i="41"/>
  <c r="DR76" i="44"/>
  <c r="GQ76" i="44" s="1"/>
  <c r="DR76" i="45"/>
  <c r="DR76" i="43"/>
  <c r="Q29" i="41"/>
  <c r="Q29" i="44"/>
  <c r="Q29" i="45"/>
  <c r="Q29" i="43"/>
  <c r="W24" i="45"/>
  <c r="W24" i="41"/>
  <c r="W24" i="43"/>
  <c r="W24" i="44"/>
  <c r="AV29" i="43"/>
  <c r="CG29" i="44"/>
  <c r="AV29" i="45"/>
  <c r="AV29" i="44"/>
  <c r="GO29" i="45"/>
  <c r="AV29" i="41"/>
  <c r="BR47" i="44"/>
  <c r="CJ47" i="44"/>
  <c r="BR47" i="45"/>
  <c r="AY47" i="44"/>
  <c r="E47" i="45"/>
  <c r="CJ47" i="43"/>
  <c r="AG47" i="41"/>
  <c r="AY47" i="43"/>
  <c r="BR47" i="41"/>
  <c r="BR47" i="43"/>
  <c r="AG47" i="43"/>
  <c r="AY47" i="45"/>
  <c r="AG47" i="44"/>
  <c r="GR47" i="45"/>
  <c r="AY47" i="41"/>
  <c r="E47" i="44"/>
  <c r="GR47" i="44"/>
  <c r="CJ47" i="41"/>
  <c r="CJ47" i="45"/>
  <c r="E47" i="41"/>
  <c r="L24" i="45"/>
  <c r="AN24" i="43"/>
  <c r="GY24" i="45"/>
  <c r="L24" i="43"/>
  <c r="CQ24" i="41"/>
  <c r="CQ24" i="44"/>
  <c r="BY24" i="44"/>
  <c r="BF24" i="45"/>
  <c r="BY24" i="41"/>
  <c r="AN24" i="45"/>
  <c r="GY24" i="43"/>
  <c r="BF24" i="44"/>
  <c r="CQ24" i="45"/>
  <c r="BY24" i="43"/>
  <c r="BY24" i="45"/>
  <c r="CQ24" i="43"/>
  <c r="BF24" i="41"/>
  <c r="L24" i="44"/>
  <c r="L24" i="41"/>
  <c r="BF24" i="43"/>
  <c r="AN24" i="44"/>
  <c r="L115" i="41"/>
  <c r="L115" i="45"/>
  <c r="L115" i="44"/>
  <c r="L115" i="43"/>
  <c r="I79" i="41"/>
  <c r="I79" i="45"/>
  <c r="I79" i="44"/>
  <c r="I79" i="43"/>
  <c r="E76" i="45"/>
  <c r="E76" i="44"/>
  <c r="E76" i="43"/>
  <c r="E76" i="41"/>
  <c r="T48" i="41"/>
  <c r="T48" i="44"/>
  <c r="T48" i="43"/>
  <c r="DF46" i="41"/>
  <c r="HK46" i="41" s="1"/>
  <c r="DF46" i="45"/>
  <c r="HK46" i="45"/>
  <c r="DF46" i="43"/>
  <c r="HK46" i="43"/>
  <c r="DF46" i="44"/>
  <c r="HK46" i="44" s="1"/>
  <c r="DS114" i="43"/>
  <c r="GR114" i="43"/>
  <c r="DS114" i="44"/>
  <c r="GR114" i="44" s="1"/>
  <c r="DS114" i="41"/>
  <c r="GR114" i="41" s="1"/>
  <c r="DS114" i="45"/>
  <c r="GR114" i="45"/>
  <c r="DT80" i="45"/>
  <c r="GS80" i="45" s="1"/>
  <c r="GP76" i="45"/>
  <c r="G189" i="12"/>
  <c r="H189" i="12"/>
  <c r="F189" i="12"/>
  <c r="T54" i="41"/>
  <c r="T54" i="45"/>
  <c r="T54" i="44"/>
  <c r="T54" i="43"/>
  <c r="AN26" i="41"/>
  <c r="AN26" i="44"/>
  <c r="L26" i="41"/>
  <c r="BY26" i="45"/>
  <c r="GY26" i="41"/>
  <c r="BY26" i="43"/>
  <c r="BF26" i="41"/>
  <c r="BF26" i="45"/>
  <c r="C57" i="41"/>
  <c r="AW57" i="41"/>
  <c r="C57" i="43"/>
  <c r="BP57" i="44"/>
  <c r="AE57" i="43"/>
  <c r="AE57" i="44"/>
  <c r="CH57" i="45"/>
  <c r="CH57" i="44"/>
  <c r="C57" i="44"/>
  <c r="AW57" i="45"/>
  <c r="BP57" i="41"/>
  <c r="C57" i="45"/>
  <c r="BP57" i="43"/>
  <c r="CH57" i="43"/>
  <c r="CH57" i="41"/>
  <c r="AE57" i="41"/>
  <c r="AW57" i="43"/>
  <c r="AW57" i="44"/>
  <c r="AE57" i="45"/>
  <c r="DR116" i="41"/>
  <c r="GQ116" i="41"/>
  <c r="DR116" i="45"/>
  <c r="GQ116" i="45" s="1"/>
  <c r="DR116" i="44"/>
  <c r="GQ116" i="44" s="1"/>
  <c r="DR116" i="43"/>
  <c r="GQ116" i="43" s="1"/>
  <c r="M91" i="44"/>
  <c r="M91" i="45"/>
  <c r="M91" i="43"/>
  <c r="J94" i="45"/>
  <c r="J94" i="43"/>
  <c r="J94" i="44"/>
  <c r="W48" i="44"/>
  <c r="W48" i="41"/>
  <c r="W48" i="43"/>
  <c r="EK41" i="12"/>
  <c r="EH41" i="12"/>
  <c r="EF41" i="12"/>
  <c r="EE41" i="12"/>
  <c r="EL41" i="12"/>
  <c r="DD57" i="43" s="1"/>
  <c r="EI41" i="12"/>
  <c r="EM41" i="12"/>
  <c r="DE57" i="44" s="1"/>
  <c r="HJ57" i="44" s="1"/>
  <c r="EJ41" i="12"/>
  <c r="GW41" i="12"/>
  <c r="GX41" i="12"/>
  <c r="EO41" i="12"/>
  <c r="EG41" i="12"/>
  <c r="EP41" i="12"/>
  <c r="DH57" i="41" s="1"/>
  <c r="EN41" i="12"/>
  <c r="X40" i="12"/>
  <c r="GS56" i="45" s="1"/>
  <c r="AC40" i="12"/>
  <c r="V40" i="12"/>
  <c r="GQ56" i="45"/>
  <c r="GS40" i="12"/>
  <c r="AA40" i="12"/>
  <c r="AD40" i="12"/>
  <c r="T40" i="12"/>
  <c r="GO56" i="45"/>
  <c r="AE40" i="12"/>
  <c r="U40" i="12"/>
  <c r="GP56" i="45" s="1"/>
  <c r="AB40" i="12"/>
  <c r="GW56" i="45" s="1"/>
  <c r="Z40" i="12"/>
  <c r="Y40" i="12"/>
  <c r="W40" i="12"/>
  <c r="Q26" i="44"/>
  <c r="Q26" i="45"/>
  <c r="AX29" i="44"/>
  <c r="GQ29" i="43"/>
  <c r="AF29" i="41"/>
  <c r="AF29" i="44"/>
  <c r="CI29" i="43"/>
  <c r="CI29" i="41"/>
  <c r="GQ29" i="45"/>
  <c r="AX29" i="43"/>
  <c r="AF29" i="45"/>
  <c r="D29" i="45"/>
  <c r="AX29" i="41"/>
  <c r="D29" i="43"/>
  <c r="D29" i="41"/>
  <c r="BQ29" i="44"/>
  <c r="GQ29" i="44"/>
  <c r="BQ29" i="43"/>
  <c r="CI29" i="44"/>
  <c r="D29" i="44"/>
  <c r="CI29" i="45"/>
  <c r="BQ29" i="45"/>
  <c r="AX29" i="45"/>
  <c r="DE29" i="44"/>
  <c r="HJ29" i="44"/>
  <c r="DE29" i="45"/>
  <c r="HJ29" i="45"/>
  <c r="DE29" i="41"/>
  <c r="HJ29" i="41"/>
  <c r="GY76" i="45"/>
  <c r="DD45" i="43"/>
  <c r="HI45" i="43"/>
  <c r="DD45" i="45"/>
  <c r="HI45" i="45"/>
  <c r="DD45" i="41"/>
  <c r="HI45" i="41"/>
  <c r="DD45" i="44"/>
  <c r="HI45" i="44"/>
  <c r="FE26" i="43"/>
  <c r="FE22" i="45"/>
  <c r="GQ50" i="43"/>
  <c r="GT50" i="43"/>
  <c r="GU50" i="43"/>
  <c r="GX50" i="43"/>
  <c r="GY50" i="43"/>
  <c r="GO50" i="43"/>
  <c r="GV50" i="43"/>
  <c r="GR50" i="43"/>
  <c r="GZ50" i="43"/>
  <c r="GS50" i="43"/>
  <c r="GP50" i="43"/>
  <c r="GW50" i="43"/>
  <c r="U38" i="41"/>
  <c r="U38" i="45"/>
  <c r="U38" i="44"/>
  <c r="U38" i="43"/>
  <c r="FE23" i="43"/>
  <c r="C88" i="41"/>
  <c r="C88" i="45"/>
  <c r="C88" i="44"/>
  <c r="C88" i="43"/>
  <c r="C84" i="41"/>
  <c r="C84" i="45"/>
  <c r="C84" i="44"/>
  <c r="C84" i="43"/>
  <c r="K86" i="45"/>
  <c r="K86" i="43"/>
  <c r="K86" i="41"/>
  <c r="K86" i="44"/>
  <c r="V45" i="44"/>
  <c r="V45" i="45"/>
  <c r="V45" i="41"/>
  <c r="DZ116" i="41"/>
  <c r="GY116" i="41"/>
  <c r="DZ116" i="45"/>
  <c r="GY116" i="45"/>
  <c r="DZ116" i="44"/>
  <c r="GY116" i="44"/>
  <c r="DZ116" i="43"/>
  <c r="GY116" i="43"/>
  <c r="GD11" i="12"/>
  <c r="GB11" i="12"/>
  <c r="DW84" i="41" s="1"/>
  <c r="GV84" i="41" s="1"/>
  <c r="GA11" i="12"/>
  <c r="FV11" i="12"/>
  <c r="FU11" i="12"/>
  <c r="FZ11" i="12"/>
  <c r="FX11" i="12"/>
  <c r="FW11" i="12"/>
  <c r="M95" i="41"/>
  <c r="M95" i="43"/>
  <c r="M95" i="45"/>
  <c r="M95" i="44"/>
  <c r="GT25" i="41"/>
  <c r="GW25" i="41"/>
  <c r="GO25" i="41"/>
  <c r="GQ25" i="41"/>
  <c r="GY25" i="41"/>
  <c r="GV25" i="41"/>
  <c r="GU25" i="41"/>
  <c r="GZ25" i="41"/>
  <c r="GX25" i="41"/>
  <c r="GS25" i="41"/>
  <c r="GP25" i="41"/>
  <c r="GR25" i="41"/>
  <c r="AZ25" i="12"/>
  <c r="BC25" i="12"/>
  <c r="AY25" i="12"/>
  <c r="AV25" i="12"/>
  <c r="AW25" i="12"/>
  <c r="BF25" i="12"/>
  <c r="BD25" i="12"/>
  <c r="GT25" i="12"/>
  <c r="BA25" i="12"/>
  <c r="BB25" i="12"/>
  <c r="BE25" i="12"/>
  <c r="AX25" i="12"/>
  <c r="AU25" i="12"/>
  <c r="K98" i="41"/>
  <c r="K98" i="44"/>
  <c r="K98" i="43"/>
  <c r="K98" i="45"/>
  <c r="L88" i="43"/>
  <c r="L88" i="44"/>
  <c r="L88" i="41"/>
  <c r="L88" i="45"/>
  <c r="Z50" i="41"/>
  <c r="Z50" i="44"/>
  <c r="Z50" i="45"/>
  <c r="Z50" i="43"/>
  <c r="DS110" i="43"/>
  <c r="GR110" i="43"/>
  <c r="AX44" i="12"/>
  <c r="BD44" i="12"/>
  <c r="BB44" i="12"/>
  <c r="AV44" i="12"/>
  <c r="AZ44" i="12"/>
  <c r="AU44" i="12"/>
  <c r="BC44" i="12"/>
  <c r="AW44" i="12"/>
  <c r="GT44" i="12"/>
  <c r="BE44" i="12"/>
  <c r="BA44" i="12"/>
  <c r="BF44" i="12"/>
  <c r="AY44" i="12"/>
  <c r="GC22" i="41"/>
  <c r="GC22" i="45"/>
  <c r="Z53" i="41"/>
  <c r="Z53" i="45"/>
  <c r="Z53" i="44"/>
  <c r="DF53" i="43"/>
  <c r="HK53" i="43" s="1"/>
  <c r="DF53" i="44"/>
  <c r="HK53" i="44" s="1"/>
  <c r="DF53" i="45"/>
  <c r="HK53" i="45" s="1"/>
  <c r="DF53" i="41"/>
  <c r="HK53" i="41"/>
  <c r="O23" i="41"/>
  <c r="DI23" i="41" s="1"/>
  <c r="O23" i="44"/>
  <c r="O23" i="43"/>
  <c r="CW19" i="41"/>
  <c r="CW19" i="44"/>
  <c r="HB19" i="44" s="1"/>
  <c r="CW19" i="43"/>
  <c r="DA60" i="44"/>
  <c r="HF60" i="44"/>
  <c r="DA60" i="41"/>
  <c r="HF60" i="41"/>
  <c r="DA60" i="43"/>
  <c r="HF60" i="43"/>
  <c r="DA60" i="45"/>
  <c r="HF60" i="45"/>
  <c r="DH49" i="41"/>
  <c r="HM49" i="41"/>
  <c r="DH49" i="43"/>
  <c r="HM49" i="43"/>
  <c r="DH49" i="44"/>
  <c r="HM49" i="44"/>
  <c r="DH49" i="45"/>
  <c r="HM49" i="45"/>
  <c r="DA51" i="43"/>
  <c r="HF51" i="43" s="1"/>
  <c r="DA51" i="45"/>
  <c r="HF51" i="45" s="1"/>
  <c r="DA51" i="44"/>
  <c r="HF51" i="44" s="1"/>
  <c r="CW37" i="41"/>
  <c r="CW37" i="45"/>
  <c r="CW37" i="44"/>
  <c r="CW37" i="43"/>
  <c r="DW92" i="45"/>
  <c r="GV92" i="45"/>
  <c r="DW92" i="43"/>
  <c r="GV92" i="43"/>
  <c r="DW92" i="41"/>
  <c r="GV92" i="41"/>
  <c r="DW92" i="44"/>
  <c r="GV92" i="44"/>
  <c r="GP59" i="41"/>
  <c r="AW59" i="43"/>
  <c r="GP59" i="43"/>
  <c r="C59" i="44"/>
  <c r="C59" i="41"/>
  <c r="AE59" i="43"/>
  <c r="GP59" i="44"/>
  <c r="AE59" i="41"/>
  <c r="CH59" i="44"/>
  <c r="CH59" i="45"/>
  <c r="AW59" i="45"/>
  <c r="BP59" i="44"/>
  <c r="AW59" i="41"/>
  <c r="AW59" i="44"/>
  <c r="BP59" i="45"/>
  <c r="BP59" i="41"/>
  <c r="AE59" i="45"/>
  <c r="C59" i="45"/>
  <c r="CH59" i="41"/>
  <c r="C59" i="43"/>
  <c r="BP59" i="43"/>
  <c r="CH59" i="43"/>
  <c r="AE59" i="44"/>
  <c r="F25" i="43"/>
  <c r="F25" i="45"/>
  <c r="AH25" i="45"/>
  <c r="BS25" i="45"/>
  <c r="AZ25" i="45"/>
  <c r="AH25" i="41"/>
  <c r="AH25" i="43"/>
  <c r="F25" i="44"/>
  <c r="AH25" i="44"/>
  <c r="CK25" i="45"/>
  <c r="CK25" i="41"/>
  <c r="CK25" i="44"/>
  <c r="BS25" i="44"/>
  <c r="F25" i="41"/>
  <c r="BS25" i="43"/>
  <c r="AZ25" i="44"/>
  <c r="GS25" i="44"/>
  <c r="AZ25" i="41"/>
  <c r="GS25" i="43"/>
  <c r="CK25" i="43"/>
  <c r="AZ25" i="43"/>
  <c r="X29" i="12"/>
  <c r="GS45" i="43" s="1"/>
  <c r="AB29" i="12"/>
  <c r="GW45" i="43"/>
  <c r="T29" i="12"/>
  <c r="AE29" i="12"/>
  <c r="GZ45" i="43" s="1"/>
  <c r="AC29" i="12"/>
  <c r="GX45" i="43"/>
  <c r="W29" i="12"/>
  <c r="Z29" i="12"/>
  <c r="GU45" i="43"/>
  <c r="Y29" i="12"/>
  <c r="GT45" i="43" s="1"/>
  <c r="GS29" i="12"/>
  <c r="AA29" i="12"/>
  <c r="AD29" i="12"/>
  <c r="V29" i="12"/>
  <c r="U29" i="12"/>
  <c r="R26" i="41"/>
  <c r="R26" i="44"/>
  <c r="X54" i="43"/>
  <c r="X54" i="41"/>
  <c r="X54" i="45"/>
  <c r="X54" i="44"/>
  <c r="CW44" i="45"/>
  <c r="CW44" i="44"/>
  <c r="CW44" i="41"/>
  <c r="CW44" i="43"/>
  <c r="CX44" i="43"/>
  <c r="HC44" i="43" s="1"/>
  <c r="CX44" i="44"/>
  <c r="HC44" i="44" s="1"/>
  <c r="CX44" i="45"/>
  <c r="HC44" i="45"/>
  <c r="CX44" i="41"/>
  <c r="HC44" i="41"/>
  <c r="AD26" i="41"/>
  <c r="BO26" i="45"/>
  <c r="AD26" i="44"/>
  <c r="B26" i="41"/>
  <c r="AV26" i="45"/>
  <c r="AV26" i="41"/>
  <c r="BH26" i="41" s="1"/>
  <c r="BO26" i="43"/>
  <c r="CG26" i="44"/>
  <c r="B26" i="44"/>
  <c r="AV26" i="44"/>
  <c r="BO26" i="41"/>
  <c r="GO26" i="41"/>
  <c r="AD26" i="43"/>
  <c r="BO26" i="44"/>
  <c r="CG26" i="41"/>
  <c r="CN57" i="41"/>
  <c r="I57" i="43"/>
  <c r="BC57" i="45"/>
  <c r="BC57" i="41"/>
  <c r="BV57" i="44"/>
  <c r="BV57" i="41"/>
  <c r="AK57" i="44"/>
  <c r="AK57" i="41"/>
  <c r="I57" i="44"/>
  <c r="I57" i="41"/>
  <c r="AK57" i="45"/>
  <c r="BV57" i="43"/>
  <c r="BC57" i="44"/>
  <c r="CN57" i="43"/>
  <c r="CN57" i="45"/>
  <c r="I57" i="45"/>
  <c r="AK57" i="43"/>
  <c r="BC57" i="43"/>
  <c r="CN57" i="44"/>
  <c r="GX47" i="41"/>
  <c r="BE47" i="45"/>
  <c r="K47" i="44"/>
  <c r="K47" i="45"/>
  <c r="BX47" i="43"/>
  <c r="BE47" i="43"/>
  <c r="CP47" i="41"/>
  <c r="AM47" i="43"/>
  <c r="AM47" i="41"/>
  <c r="CP47" i="45"/>
  <c r="BE47" i="44"/>
  <c r="CP47" i="44"/>
  <c r="BX47" i="45"/>
  <c r="BE47" i="41"/>
  <c r="K47" i="41"/>
  <c r="AM47" i="44"/>
  <c r="BX47" i="41"/>
  <c r="BX47" i="44"/>
  <c r="GX47" i="44"/>
  <c r="DC45" i="45"/>
  <c r="HH45" i="45"/>
  <c r="HB47" i="45"/>
  <c r="DI47" i="45"/>
  <c r="GP79" i="41"/>
  <c r="G84" i="44"/>
  <c r="G84" i="45"/>
  <c r="G84" i="43"/>
  <c r="G84" i="41"/>
  <c r="GR23" i="45"/>
  <c r="GT23" i="45"/>
  <c r="GS23" i="45"/>
  <c r="GZ23" i="45"/>
  <c r="GW23" i="45"/>
  <c r="GP23" i="45"/>
  <c r="GV23" i="45"/>
  <c r="GY23" i="45"/>
  <c r="GX23" i="45"/>
  <c r="GO23" i="45"/>
  <c r="GU23" i="45"/>
  <c r="GQ23" i="45"/>
  <c r="G106" i="41"/>
  <c r="G106" i="45"/>
  <c r="G106" i="44"/>
  <c r="G106" i="43"/>
  <c r="E27" i="28"/>
  <c r="BU57" i="45"/>
  <c r="FY44" i="12"/>
  <c r="T208" i="12"/>
  <c r="G27" i="28" s="1"/>
  <c r="GU28" i="43"/>
  <c r="I26" i="45"/>
  <c r="GU25" i="43"/>
  <c r="Y26" i="45"/>
  <c r="BQ29" i="41"/>
  <c r="BQ57" i="45"/>
  <c r="CS23" i="44"/>
  <c r="Q23" i="45"/>
  <c r="AW26" i="43"/>
  <c r="FE23" i="45"/>
  <c r="GC21" i="41"/>
  <c r="GC21" i="45"/>
  <c r="GC21" i="44"/>
  <c r="GC21" i="43"/>
  <c r="K94" i="41"/>
  <c r="K94" i="43"/>
  <c r="K94" i="45"/>
  <c r="H98" i="41"/>
  <c r="H98" i="43"/>
  <c r="H98" i="44"/>
  <c r="H98" i="45"/>
  <c r="DW91" i="41"/>
  <c r="GV91" i="41"/>
  <c r="DW91" i="44"/>
  <c r="GV91" i="44" s="1"/>
  <c r="DW91" i="43"/>
  <c r="GV91" i="43" s="1"/>
  <c r="V29" i="41"/>
  <c r="V29" i="45"/>
  <c r="V29" i="44"/>
  <c r="V29" i="43"/>
  <c r="I81" i="41"/>
  <c r="I81" i="44"/>
  <c r="I81" i="43"/>
  <c r="I81" i="45"/>
  <c r="CW49" i="41"/>
  <c r="CW49" i="44"/>
  <c r="CW49" i="43"/>
  <c r="CW49" i="45"/>
  <c r="GV76" i="45"/>
  <c r="R54" i="41"/>
  <c r="R54" i="45"/>
  <c r="R54" i="43"/>
  <c r="R54" i="44"/>
  <c r="AF26" i="43"/>
  <c r="BQ26" i="44"/>
  <c r="G24" i="45"/>
  <c r="BA24" i="44"/>
  <c r="CL24" i="41"/>
  <c r="GT24" i="45"/>
  <c r="GT24" i="43"/>
  <c r="BT24" i="41"/>
  <c r="AI24" i="43"/>
  <c r="G24" i="43"/>
  <c r="BA24" i="41"/>
  <c r="BT24" i="44"/>
  <c r="BT24" i="45"/>
  <c r="BA24" i="43"/>
  <c r="CL24" i="44"/>
  <c r="AI24" i="45"/>
  <c r="CL24" i="45"/>
  <c r="G24" i="41"/>
  <c r="BA24" i="45"/>
  <c r="CL24" i="43"/>
  <c r="AI24" i="44"/>
  <c r="G24" i="44"/>
  <c r="BT24" i="43"/>
  <c r="I115" i="41"/>
  <c r="I115" i="44"/>
  <c r="I115" i="43"/>
  <c r="I115" i="45"/>
  <c r="DB45" i="45"/>
  <c r="HG45" i="45"/>
  <c r="DB45" i="41"/>
  <c r="HG45" i="41"/>
  <c r="DB45" i="44"/>
  <c r="HG45" i="44"/>
  <c r="DB45" i="43"/>
  <c r="HG45" i="43"/>
  <c r="DT12" i="12"/>
  <c r="DO12" i="12"/>
  <c r="DM12" i="12"/>
  <c r="DR12" i="12"/>
  <c r="DP12" i="12"/>
  <c r="GV12" i="12"/>
  <c r="DV12" i="12"/>
  <c r="DW12" i="12"/>
  <c r="DS12" i="12"/>
  <c r="DL12" i="12"/>
  <c r="DU12" i="12"/>
  <c r="DN12" i="12"/>
  <c r="DQ12" i="12"/>
  <c r="F78" i="43"/>
  <c r="F78" i="41"/>
  <c r="F78" i="44"/>
  <c r="EP6" i="12"/>
  <c r="EJ6" i="12"/>
  <c r="EH6" i="12"/>
  <c r="EM6" i="12"/>
  <c r="EO6" i="12"/>
  <c r="EE6" i="12"/>
  <c r="GW6" i="12"/>
  <c r="EL6" i="12"/>
  <c r="EK6" i="12"/>
  <c r="EN6" i="12"/>
  <c r="EF6" i="12"/>
  <c r="EI6" i="12"/>
  <c r="EG6" i="12"/>
  <c r="M98" i="45"/>
  <c r="M98" i="41"/>
  <c r="M98" i="44"/>
  <c r="M98" i="43"/>
  <c r="O48" i="41"/>
  <c r="DI48" i="41"/>
  <c r="O48" i="43"/>
  <c r="DI48" i="43"/>
  <c r="O48" i="44"/>
  <c r="DI48" i="44"/>
  <c r="DH37" i="41"/>
  <c r="HM37" i="41"/>
  <c r="DH37" i="44"/>
  <c r="HM37" i="44"/>
  <c r="DH37" i="45"/>
  <c r="HM37" i="45"/>
  <c r="DH37" i="43"/>
  <c r="HM37" i="43"/>
  <c r="EP34" i="12"/>
  <c r="EH34" i="12"/>
  <c r="EK34" i="12"/>
  <c r="EL34" i="12"/>
  <c r="GW34" i="12"/>
  <c r="GX34" i="12"/>
  <c r="EO34" i="12"/>
  <c r="EG34" i="12"/>
  <c r="EF34" i="12"/>
  <c r="EN34" i="12"/>
  <c r="EM34" i="12"/>
  <c r="EE34" i="12"/>
  <c r="EI34" i="12"/>
  <c r="EJ34" i="12"/>
  <c r="U54" i="43"/>
  <c r="U54" i="44"/>
  <c r="U54" i="45"/>
  <c r="U54" i="41"/>
  <c r="AJ26" i="44"/>
  <c r="H26" i="41"/>
  <c r="BU26" i="43"/>
  <c r="BU26" i="44"/>
  <c r="CM26" i="44"/>
  <c r="BB26" i="41"/>
  <c r="BU26" i="41"/>
  <c r="BB26" i="45"/>
  <c r="GU26" i="41"/>
  <c r="BU26" i="45"/>
  <c r="CM26" i="41"/>
  <c r="AJ26" i="41"/>
  <c r="BB26" i="44"/>
  <c r="H26" i="44"/>
  <c r="AJ26" i="43"/>
  <c r="DI39" i="41"/>
  <c r="HB39" i="41"/>
  <c r="DA45" i="45"/>
  <c r="HF45" i="45"/>
  <c r="DA45" i="43"/>
  <c r="HF45" i="43"/>
  <c r="DA45" i="41"/>
  <c r="HF45" i="41"/>
  <c r="DA45" i="44"/>
  <c r="HF45" i="44"/>
  <c r="B105" i="41"/>
  <c r="B105" i="44"/>
  <c r="B105" i="43"/>
  <c r="B105" i="45"/>
  <c r="M94" i="44"/>
  <c r="M94" i="41"/>
  <c r="M94" i="43"/>
  <c r="M94" i="45"/>
  <c r="CB21" i="18"/>
  <c r="GE25" i="44"/>
  <c r="GB25" i="41"/>
  <c r="GB25" i="44"/>
  <c r="F81" i="41"/>
  <c r="F81" i="44"/>
  <c r="F81" i="45"/>
  <c r="F81" i="43"/>
  <c r="K39" i="15"/>
  <c r="J39" i="15"/>
  <c r="I39" i="15"/>
  <c r="CW51" i="45"/>
  <c r="HB51" i="45" s="1"/>
  <c r="CZ37" i="41"/>
  <c r="HE37" i="41" s="1"/>
  <c r="CZ37" i="44"/>
  <c r="HE37" i="44"/>
  <c r="CZ37" i="45"/>
  <c r="HE37" i="45"/>
  <c r="CZ37" i="43"/>
  <c r="HE37" i="43" s="1"/>
  <c r="X24" i="43"/>
  <c r="X24" i="44"/>
  <c r="X24" i="45"/>
  <c r="X24" i="41"/>
  <c r="W26" i="44"/>
  <c r="W26" i="41"/>
  <c r="EO10" i="12"/>
  <c r="EF10" i="12"/>
  <c r="EM10" i="12"/>
  <c r="GW10" i="12"/>
  <c r="EG10" i="12"/>
  <c r="EJ10" i="12"/>
  <c r="EK10" i="12"/>
  <c r="EI10" i="12"/>
  <c r="EH10" i="12"/>
  <c r="EL10" i="12"/>
  <c r="EE10" i="12"/>
  <c r="EP10" i="12"/>
  <c r="EN10" i="12"/>
  <c r="Q54" i="41"/>
  <c r="Q54" i="44"/>
  <c r="Q54" i="45"/>
  <c r="Q54" i="43"/>
  <c r="CH29" i="44"/>
  <c r="CH29" i="43"/>
  <c r="CH29" i="41"/>
  <c r="C29" i="43"/>
  <c r="BP29" i="43"/>
  <c r="AW29" i="44"/>
  <c r="AE29" i="44"/>
  <c r="AW29" i="43"/>
  <c r="AW29" i="45"/>
  <c r="AE29" i="41"/>
  <c r="CH29" i="45"/>
  <c r="BP29" i="45"/>
  <c r="GP29" i="45"/>
  <c r="C29" i="41"/>
  <c r="BP29" i="44"/>
  <c r="AE29" i="45"/>
  <c r="C29" i="45"/>
  <c r="GP29" i="44"/>
  <c r="AW29" i="41"/>
  <c r="C29" i="44"/>
  <c r="DG44" i="44"/>
  <c r="HL44" i="44"/>
  <c r="GZ26" i="45"/>
  <c r="GS26" i="45"/>
  <c r="GY26" i="45"/>
  <c r="GP26" i="45"/>
  <c r="CW45" i="45"/>
  <c r="CW45" i="43"/>
  <c r="DI45" i="43" s="1"/>
  <c r="CW45" i="41"/>
  <c r="CW45" i="44"/>
  <c r="GU24" i="41"/>
  <c r="GT24" i="41"/>
  <c r="GZ24" i="41"/>
  <c r="GY24" i="41"/>
  <c r="GP79" i="44"/>
  <c r="DS98" i="44"/>
  <c r="GR98" i="44"/>
  <c r="DS98" i="43"/>
  <c r="GR98" i="43"/>
  <c r="DS98" i="41"/>
  <c r="GR98" i="41"/>
  <c r="DS98" i="45"/>
  <c r="GR98" i="45"/>
  <c r="EB5" i="12"/>
  <c r="O5" i="16"/>
  <c r="E104" i="41"/>
  <c r="E104" i="45"/>
  <c r="E104" i="43"/>
  <c r="E104" i="44"/>
  <c r="G179" i="12"/>
  <c r="F179" i="12"/>
  <c r="H179" i="12"/>
  <c r="DV91" i="43"/>
  <c r="GU91" i="43"/>
  <c r="U50" i="41"/>
  <c r="U50" i="45"/>
  <c r="U50" i="44"/>
  <c r="U50" i="43"/>
  <c r="F114" i="41"/>
  <c r="F114" i="44"/>
  <c r="F114" i="43"/>
  <c r="F114" i="45"/>
  <c r="Y25" i="41"/>
  <c r="Y25" i="43"/>
  <c r="DG60" i="41"/>
  <c r="HL60" i="41"/>
  <c r="DG60" i="44"/>
  <c r="HL60" i="44"/>
  <c r="DG60" i="43"/>
  <c r="HL60" i="43" s="1"/>
  <c r="DG60" i="45"/>
  <c r="HL60" i="45"/>
  <c r="H187" i="12"/>
  <c r="G187" i="12"/>
  <c r="F187" i="12"/>
  <c r="E187" i="12"/>
  <c r="DB51" i="43"/>
  <c r="HG51" i="43" s="1"/>
  <c r="DB51" i="45"/>
  <c r="HG51" i="45"/>
  <c r="DB51" i="44"/>
  <c r="HG51" i="44"/>
  <c r="DS76" i="45"/>
  <c r="DS76" i="44"/>
  <c r="DS76" i="41"/>
  <c r="DS76" i="43"/>
  <c r="AA26" i="12"/>
  <c r="V26" i="12"/>
  <c r="AB26" i="12"/>
  <c r="AE26" i="12"/>
  <c r="Z26" i="12"/>
  <c r="U26" i="12"/>
  <c r="AD26" i="12"/>
  <c r="AC26" i="12"/>
  <c r="W26" i="12"/>
  <c r="X26" i="12"/>
  <c r="T26" i="12"/>
  <c r="GS26" i="12"/>
  <c r="GU26" i="12"/>
  <c r="Y26" i="12"/>
  <c r="M26" i="44"/>
  <c r="M26" i="41"/>
  <c r="AO26" i="43"/>
  <c r="BZ26" i="45"/>
  <c r="BG26" i="45"/>
  <c r="CR26" i="44"/>
  <c r="GZ26" i="41"/>
  <c r="BZ26" i="44"/>
  <c r="BZ26" i="43"/>
  <c r="AO26" i="44"/>
  <c r="BZ26" i="41"/>
  <c r="BG26" i="41"/>
  <c r="BG26" i="44"/>
  <c r="AO26" i="41"/>
  <c r="CR26" i="41"/>
  <c r="M26" i="45"/>
  <c r="AY26" i="45"/>
  <c r="BR26" i="45"/>
  <c r="CJ26" i="44"/>
  <c r="CJ26" i="41"/>
  <c r="BR26" i="43"/>
  <c r="AY26" i="44"/>
  <c r="AG26" i="44"/>
  <c r="AG26" i="41"/>
  <c r="BR26" i="41"/>
  <c r="AY26" i="41"/>
  <c r="GR26" i="41"/>
  <c r="E26" i="41"/>
  <c r="AG26" i="43"/>
  <c r="E26" i="44"/>
  <c r="BR26" i="44"/>
  <c r="E116" i="41"/>
  <c r="E116" i="45"/>
  <c r="E116" i="44"/>
  <c r="E116" i="43"/>
  <c r="GT25" i="45"/>
  <c r="GQ25" i="45"/>
  <c r="GY25" i="45"/>
  <c r="GO25" i="45"/>
  <c r="GU25" i="45"/>
  <c r="GW25" i="45"/>
  <c r="GR25" i="45"/>
  <c r="GS25" i="45"/>
  <c r="GP25" i="45"/>
  <c r="GX25" i="45"/>
  <c r="GZ25" i="45"/>
  <c r="GV25" i="45"/>
  <c r="DV93" i="41"/>
  <c r="GU93" i="41" s="1"/>
  <c r="DV93" i="43"/>
  <c r="GU93" i="43" s="1"/>
  <c r="DV93" i="45"/>
  <c r="GU93" i="45"/>
  <c r="DV93" i="44"/>
  <c r="GU93" i="44"/>
  <c r="GZ39" i="41"/>
  <c r="GV39" i="41"/>
  <c r="I95" i="41"/>
  <c r="I95" i="43"/>
  <c r="GY45" i="43"/>
  <c r="GP45" i="43"/>
  <c r="GV45" i="43"/>
  <c r="GR45" i="43"/>
  <c r="DU80" i="44"/>
  <c r="GT80" i="44"/>
  <c r="DU80" i="45"/>
  <c r="GT80" i="45"/>
  <c r="DU80" i="41"/>
  <c r="GT80" i="41"/>
  <c r="DU80" i="43"/>
  <c r="GT80" i="43"/>
  <c r="BA10" i="18"/>
  <c r="BE10" i="18"/>
  <c r="BN10" i="18" s="1"/>
  <c r="AR10" i="18"/>
  <c r="AV10" i="18"/>
  <c r="AZ10" i="18"/>
  <c r="BD10" i="18"/>
  <c r="BM10" i="18" s="1"/>
  <c r="BJ10" i="18"/>
  <c r="AP10" i="18"/>
  <c r="AT10" i="18" s="1"/>
  <c r="BH10" i="18"/>
  <c r="AX10" i="18"/>
  <c r="BB10" i="18"/>
  <c r="BK10" i="18" s="1"/>
  <c r="BG10" i="18"/>
  <c r="AQ10" i="18"/>
  <c r="AU10" i="18"/>
  <c r="AO10" i="18"/>
  <c r="AS10" i="18"/>
  <c r="AY10" i="18"/>
  <c r="BC10" i="18"/>
  <c r="BL10" i="18" s="1"/>
  <c r="BI10" i="18"/>
  <c r="DZ84" i="44"/>
  <c r="GY84" i="44"/>
  <c r="W47" i="41"/>
  <c r="W47" i="44"/>
  <c r="W47" i="45"/>
  <c r="M116" i="43"/>
  <c r="M116" i="41"/>
  <c r="M116" i="45"/>
  <c r="M116" i="44"/>
  <c r="K85" i="45"/>
  <c r="K85" i="44"/>
  <c r="K85" i="41"/>
  <c r="K85" i="43"/>
  <c r="GC15" i="41"/>
  <c r="GC15" i="43"/>
  <c r="GC15" i="45"/>
  <c r="GC15" i="44"/>
  <c r="B12" i="43"/>
  <c r="DW80" i="41"/>
  <c r="GV80" i="41" s="1"/>
  <c r="DW80" i="43"/>
  <c r="GV80" i="43"/>
  <c r="DW80" i="44"/>
  <c r="GV80" i="44"/>
  <c r="DW80" i="45"/>
  <c r="GV80" i="45"/>
  <c r="AZ9" i="18"/>
  <c r="BD9" i="18"/>
  <c r="BM9" i="18" s="1"/>
  <c r="AQ9" i="18"/>
  <c r="AU9" i="18" s="1"/>
  <c r="AY9" i="18"/>
  <c r="BC9" i="18" s="1"/>
  <c r="BL9" i="18"/>
  <c r="G117" i="41"/>
  <c r="G117" i="45"/>
  <c r="G117" i="43"/>
  <c r="G117" i="44"/>
  <c r="I98" i="45"/>
  <c r="I98" i="41"/>
  <c r="I98" i="44"/>
  <c r="I98" i="43"/>
  <c r="L98" i="44"/>
  <c r="L98" i="41"/>
  <c r="L98" i="45"/>
  <c r="L98" i="43"/>
  <c r="AY15" i="12"/>
  <c r="BC15" i="12"/>
  <c r="BF15" i="12"/>
  <c r="AZ15" i="12"/>
  <c r="BE15" i="12"/>
  <c r="BD15" i="12"/>
  <c r="GT15" i="12"/>
  <c r="BA15" i="12"/>
  <c r="AU15" i="12"/>
  <c r="O31" i="41" s="1"/>
  <c r="DI31" i="41" s="1"/>
  <c r="BB15" i="12"/>
  <c r="AW15" i="12"/>
  <c r="AV15" i="12"/>
  <c r="AX15" i="12"/>
  <c r="W29" i="41"/>
  <c r="W29" i="43"/>
  <c r="W29" i="45"/>
  <c r="W29" i="44"/>
  <c r="DA47" i="44"/>
  <c r="HF47" i="44"/>
  <c r="DA47" i="43"/>
  <c r="HF47" i="43"/>
  <c r="DA47" i="41"/>
  <c r="HF47" i="41"/>
  <c r="P53" i="45"/>
  <c r="P53" i="44"/>
  <c r="P53" i="41"/>
  <c r="DE53" i="41"/>
  <c r="HJ53" i="41"/>
  <c r="DE53" i="45"/>
  <c r="HJ53" i="45"/>
  <c r="DE53" i="44"/>
  <c r="HJ53" i="44" s="1"/>
  <c r="DE53" i="43"/>
  <c r="HJ53" i="43"/>
  <c r="C86" i="41"/>
  <c r="C86" i="44"/>
  <c r="C86" i="45"/>
  <c r="C86" i="43"/>
  <c r="U23" i="41"/>
  <c r="U23" i="44"/>
  <c r="AC30" i="12"/>
  <c r="W30" i="12"/>
  <c r="GR46" i="43"/>
  <c r="Y30" i="12"/>
  <c r="GT46" i="44" s="1"/>
  <c r="AB30" i="12"/>
  <c r="GS30" i="12"/>
  <c r="GU30" i="12" s="1"/>
  <c r="Z30" i="12"/>
  <c r="AE30" i="12"/>
  <c r="GZ46" i="44"/>
  <c r="V30" i="12"/>
  <c r="AA30" i="12"/>
  <c r="GV46" i="43" s="1"/>
  <c r="U30" i="12"/>
  <c r="X30" i="12"/>
  <c r="AD30" i="12"/>
  <c r="T30" i="12"/>
  <c r="GO46" i="43"/>
  <c r="DD60" i="43"/>
  <c r="HI60" i="43"/>
  <c r="CZ49" i="41"/>
  <c r="HE49" i="41"/>
  <c r="G11" i="21"/>
  <c r="C39" i="25"/>
  <c r="DF37" i="41"/>
  <c r="HK37" i="41" s="1"/>
  <c r="DF37" i="44"/>
  <c r="HK37" i="44" s="1"/>
  <c r="DF37" i="45"/>
  <c r="HK37" i="45"/>
  <c r="DF37" i="43"/>
  <c r="HK37" i="43"/>
  <c r="BG59" i="43"/>
  <c r="CR59" i="41"/>
  <c r="CR59" i="45"/>
  <c r="BG59" i="44"/>
  <c r="AO59" i="41"/>
  <c r="AO59" i="45"/>
  <c r="CR59" i="43"/>
  <c r="BZ59" i="45"/>
  <c r="BG59" i="41"/>
  <c r="M59" i="45"/>
  <c r="AO59" i="43"/>
  <c r="BG59" i="45"/>
  <c r="GZ59" i="41"/>
  <c r="M59" i="44"/>
  <c r="BZ59" i="43"/>
  <c r="M59" i="41"/>
  <c r="CR59" i="44"/>
  <c r="M59" i="43"/>
  <c r="BZ59" i="44"/>
  <c r="AO59" i="44"/>
  <c r="GZ59" i="44"/>
  <c r="GZ59" i="43"/>
  <c r="BZ59" i="41"/>
  <c r="BG25" i="44"/>
  <c r="GZ25" i="44"/>
  <c r="BZ25" i="45"/>
  <c r="CR25" i="45"/>
  <c r="AO25" i="45"/>
  <c r="BG25" i="45"/>
  <c r="M25" i="41"/>
  <c r="CR25" i="44"/>
  <c r="AO25" i="44"/>
  <c r="M25" i="44"/>
  <c r="CR25" i="41"/>
  <c r="CR25" i="43"/>
  <c r="AO25" i="43"/>
  <c r="BZ25" i="43"/>
  <c r="M25" i="43"/>
  <c r="BG25" i="43"/>
  <c r="BZ25" i="44"/>
  <c r="AO25" i="41"/>
  <c r="BG25" i="41"/>
  <c r="M25" i="45"/>
  <c r="U26" i="44"/>
  <c r="U26" i="41"/>
  <c r="U26" i="45"/>
  <c r="Z54" i="45"/>
  <c r="Z54" i="44"/>
  <c r="Z54" i="41"/>
  <c r="F29" i="44"/>
  <c r="F29" i="45"/>
  <c r="AH29" i="45"/>
  <c r="F29" i="41"/>
  <c r="BS29" i="43"/>
  <c r="CK29" i="43"/>
  <c r="AZ29" i="43"/>
  <c r="CK29" i="44"/>
  <c r="BS29" i="45"/>
  <c r="CK29" i="41"/>
  <c r="F29" i="43"/>
  <c r="GS29" i="44"/>
  <c r="BS29" i="44"/>
  <c r="CK29" i="45"/>
  <c r="GS29" i="45"/>
  <c r="AZ29" i="44"/>
  <c r="AH29" i="41"/>
  <c r="AZ29" i="41"/>
  <c r="AH29" i="44"/>
  <c r="AZ29" i="45"/>
  <c r="DD44" i="43"/>
  <c r="HI44" i="43"/>
  <c r="DD44" i="44"/>
  <c r="HI44" i="44"/>
  <c r="DD44" i="45"/>
  <c r="HI44" i="45"/>
  <c r="DD44" i="41"/>
  <c r="HI44" i="41"/>
  <c r="DC44" i="45"/>
  <c r="HH44" i="45"/>
  <c r="DC44" i="44"/>
  <c r="HH44" i="44"/>
  <c r="DC44" i="41"/>
  <c r="HH44" i="41"/>
  <c r="DC44" i="43"/>
  <c r="HH44" i="43"/>
  <c r="BW26" i="45"/>
  <c r="BD26" i="45"/>
  <c r="CO26" i="41"/>
  <c r="AL26" i="43"/>
  <c r="BW26" i="43"/>
  <c r="BD26" i="44"/>
  <c r="BW26" i="44"/>
  <c r="J26" i="44"/>
  <c r="BD26" i="41"/>
  <c r="AL26" i="41"/>
  <c r="J26" i="41"/>
  <c r="CO26" i="44"/>
  <c r="AL26" i="44"/>
  <c r="BW26" i="41"/>
  <c r="GW26" i="41"/>
  <c r="BF57" i="45"/>
  <c r="CQ57" i="45"/>
  <c r="L57" i="44"/>
  <c r="BF57" i="41"/>
  <c r="AN57" i="45"/>
  <c r="BF57" i="43"/>
  <c r="L57" i="41"/>
  <c r="CQ57" i="41"/>
  <c r="BY57" i="41"/>
  <c r="CQ57" i="44"/>
  <c r="BF57" i="44"/>
  <c r="L57" i="43"/>
  <c r="CQ57" i="43"/>
  <c r="AN57" i="44"/>
  <c r="L57" i="45"/>
  <c r="AN57" i="43"/>
  <c r="AN57" i="41"/>
  <c r="BY57" i="44"/>
  <c r="BY57" i="43"/>
  <c r="BV47" i="44"/>
  <c r="BV47" i="45"/>
  <c r="CN47" i="44"/>
  <c r="I47" i="45"/>
  <c r="BC47" i="44"/>
  <c r="AK47" i="41"/>
  <c r="BC47" i="43"/>
  <c r="AK47" i="43"/>
  <c r="CN47" i="41"/>
  <c r="GV47" i="44"/>
  <c r="GV47" i="45"/>
  <c r="BC47" i="41"/>
  <c r="BV47" i="43"/>
  <c r="I47" i="44"/>
  <c r="AK47" i="44"/>
  <c r="BV47" i="41"/>
  <c r="CN47" i="45"/>
  <c r="BC47" i="45"/>
  <c r="I47" i="41"/>
  <c r="DB29" i="44"/>
  <c r="HG29" i="44"/>
  <c r="DB29" i="41"/>
  <c r="HG29" i="41"/>
  <c r="DB29" i="45"/>
  <c r="HG29" i="45"/>
  <c r="DF29" i="44"/>
  <c r="HK29" i="44"/>
  <c r="DF29" i="41"/>
  <c r="HK29" i="41"/>
  <c r="DF29" i="45"/>
  <c r="HK29" i="45"/>
  <c r="AG39" i="44"/>
  <c r="GR39" i="44"/>
  <c r="E39" i="44"/>
  <c r="CJ39" i="45"/>
  <c r="CJ39" i="43"/>
  <c r="AG39" i="41"/>
  <c r="BR39" i="45"/>
  <c r="BR39" i="43"/>
  <c r="E39" i="41"/>
  <c r="AY39" i="43"/>
  <c r="AY39" i="41"/>
  <c r="BR39" i="44"/>
  <c r="BR39" i="41"/>
  <c r="E39" i="45"/>
  <c r="AY39" i="44"/>
  <c r="E39" i="43"/>
  <c r="CJ39" i="41"/>
  <c r="CJ39" i="44"/>
  <c r="DI39" i="44"/>
  <c r="HB39" i="44"/>
  <c r="M115" i="45"/>
  <c r="M115" i="43"/>
  <c r="M115" i="44"/>
  <c r="M115" i="41"/>
  <c r="CY45" i="44"/>
  <c r="HD45" i="44" s="1"/>
  <c r="K107" i="41"/>
  <c r="K107" i="44"/>
  <c r="K107" i="43"/>
  <c r="K107" i="45"/>
  <c r="AZ5" i="18"/>
  <c r="BG5" i="18"/>
  <c r="AQ5" i="18"/>
  <c r="BA5" i="18"/>
  <c r="BI5" i="18"/>
  <c r="AO5" i="18"/>
  <c r="BJ5" i="18"/>
  <c r="AR5" i="18"/>
  <c r="AY5" i="18"/>
  <c r="AX5" i="18"/>
  <c r="BB5" i="18" s="1"/>
  <c r="BK5" i="18" s="1"/>
  <c r="AP5" i="18"/>
  <c r="BH5" i="18"/>
  <c r="GX8" i="12"/>
  <c r="N208" i="12"/>
  <c r="E26" i="28" s="1"/>
  <c r="AG47" i="45"/>
  <c r="DD51" i="41"/>
  <c r="HI51" i="41"/>
  <c r="T48" i="45"/>
  <c r="BP29" i="41"/>
  <c r="AN26" i="45"/>
  <c r="DH27" i="41"/>
  <c r="HM27" i="41" s="1"/>
  <c r="W48" i="45"/>
  <c r="BG39" i="45"/>
  <c r="GX26" i="12"/>
  <c r="CH26" i="45"/>
  <c r="CO26" i="45"/>
  <c r="DE51" i="41"/>
  <c r="HJ51" i="41"/>
  <c r="BU25" i="41"/>
  <c r="B26" i="45"/>
  <c r="BR29" i="41"/>
  <c r="AM47" i="45"/>
  <c r="FT11" i="12"/>
  <c r="O23" i="45"/>
  <c r="BA26" i="43"/>
  <c r="GQ46" i="43"/>
  <c r="GY46" i="43"/>
  <c r="GS46" i="43"/>
  <c r="FE27" i="41"/>
  <c r="H91" i="41"/>
  <c r="H91" i="43"/>
  <c r="H91" i="44"/>
  <c r="H91" i="45"/>
  <c r="BI25" i="18"/>
  <c r="GD44" i="12"/>
  <c r="GE44" i="12"/>
  <c r="FT44" i="12"/>
  <c r="FU44" i="12"/>
  <c r="FZ44" i="12"/>
  <c r="GB44" i="12"/>
  <c r="FW44" i="12"/>
  <c r="FV44" i="12"/>
  <c r="FX44" i="12"/>
  <c r="GA44" i="12"/>
  <c r="GC44" i="12"/>
  <c r="B117" i="41"/>
  <c r="B117" i="44"/>
  <c r="B117" i="45"/>
  <c r="B117" i="43"/>
  <c r="H177" i="12"/>
  <c r="F177" i="12"/>
  <c r="G177" i="12"/>
  <c r="P26" i="44"/>
  <c r="P26" i="41"/>
  <c r="G29" i="41"/>
  <c r="G29" i="43"/>
  <c r="CL29" i="43"/>
  <c r="CL29" i="41"/>
  <c r="G29" i="44"/>
  <c r="BT29" i="43"/>
  <c r="CL29" i="45"/>
  <c r="BA29" i="43"/>
  <c r="GT29" i="44"/>
  <c r="G29" i="45"/>
  <c r="BA29" i="44"/>
  <c r="BA29" i="41"/>
  <c r="BT29" i="44"/>
  <c r="AI29" i="44"/>
  <c r="AI29" i="45"/>
  <c r="AI29" i="41"/>
  <c r="CL29" i="44"/>
  <c r="BA29" i="45"/>
  <c r="BT29" i="45"/>
  <c r="GT29" i="45"/>
  <c r="BQ47" i="45"/>
  <c r="AX47" i="45"/>
  <c r="D47" i="41"/>
  <c r="AF47" i="44"/>
  <c r="AF47" i="43"/>
  <c r="D47" i="44"/>
  <c r="AF47" i="41"/>
  <c r="GQ47" i="44"/>
  <c r="AX47" i="44"/>
  <c r="BQ47" i="41"/>
  <c r="BQ47" i="43"/>
  <c r="CI47" i="41"/>
  <c r="AF47" i="45"/>
  <c r="AX47" i="41"/>
  <c r="AX47" i="43"/>
  <c r="CI47" i="44"/>
  <c r="CI47" i="45"/>
  <c r="BQ47" i="44"/>
  <c r="D47" i="45"/>
  <c r="C115" i="45"/>
  <c r="C115" i="41"/>
  <c r="C115" i="43"/>
  <c r="C115" i="44"/>
  <c r="DZ80" i="45"/>
  <c r="GY80" i="45"/>
  <c r="DZ80" i="43"/>
  <c r="GY80" i="43"/>
  <c r="DZ80" i="44"/>
  <c r="GY80" i="44"/>
  <c r="DZ80" i="41"/>
  <c r="GY80" i="41"/>
  <c r="AY11" i="18"/>
  <c r="BC11" i="18"/>
  <c r="BL11" i="18" s="1"/>
  <c r="BG11" i="18"/>
  <c r="AO11" i="18"/>
  <c r="AS11" i="18" s="1"/>
  <c r="F113" i="41"/>
  <c r="F113" i="43"/>
  <c r="F113" i="44"/>
  <c r="I123" i="45"/>
  <c r="AO123" i="45"/>
  <c r="BR123" i="45"/>
  <c r="CN123" i="45"/>
  <c r="DI123" i="45"/>
  <c r="FF123" i="45"/>
  <c r="GD123" i="45"/>
  <c r="GZ123" i="45"/>
  <c r="J123" i="45"/>
  <c r="AV123" i="45"/>
  <c r="BS123" i="45"/>
  <c r="CO123" i="45"/>
  <c r="DO123" i="45"/>
  <c r="FG123" i="45"/>
  <c r="GE123" i="45"/>
  <c r="G123" i="45"/>
  <c r="AM123" i="45"/>
  <c r="BP123" i="45"/>
  <c r="CL123" i="45"/>
  <c r="DG123" i="45"/>
  <c r="FD123" i="45"/>
  <c r="GB123" i="45"/>
  <c r="GX123" i="45"/>
  <c r="H123" i="45"/>
  <c r="AN123" i="45"/>
  <c r="BQ123" i="45"/>
  <c r="CM123" i="45"/>
  <c r="DH123" i="45"/>
  <c r="FE123" i="45"/>
  <c r="GC123" i="45"/>
  <c r="GY123" i="45"/>
  <c r="C123" i="45"/>
  <c r="AI123" i="45"/>
  <c r="BE123" i="45"/>
  <c r="CH123" i="45"/>
  <c r="DC123" i="45"/>
  <c r="DX123" i="45"/>
  <c r="FX123" i="45"/>
  <c r="GT123" i="45"/>
  <c r="D123" i="45"/>
  <c r="AJ123" i="45"/>
  <c r="BF123" i="45"/>
  <c r="CI123" i="45"/>
  <c r="DD123" i="45"/>
  <c r="DY123" i="45"/>
  <c r="FY123" i="45"/>
  <c r="GU123" i="45"/>
  <c r="M123" i="45"/>
  <c r="AY123" i="45"/>
  <c r="BV123" i="45"/>
  <c r="CR123" i="45"/>
  <c r="DR123" i="45"/>
  <c r="FJ123" i="45"/>
  <c r="GH123" i="45"/>
  <c r="AD123" i="45"/>
  <c r="AZ123" i="45"/>
  <c r="BW123" i="45"/>
  <c r="CX123" i="45"/>
  <c r="DS123" i="45"/>
  <c r="FK123" i="45"/>
  <c r="GO123" i="45"/>
  <c r="K123" i="45"/>
  <c r="BT123" i="45"/>
  <c r="DP123" i="45"/>
  <c r="GF123" i="45"/>
  <c r="F123" i="45"/>
  <c r="BO123" i="45"/>
  <c r="DF123" i="45"/>
  <c r="GA123" i="45"/>
  <c r="E123" i="45"/>
  <c r="BG123" i="45"/>
  <c r="DE123" i="45"/>
  <c r="FZ123" i="45"/>
  <c r="BD123" i="45"/>
  <c r="DB123" i="45"/>
  <c r="FW123" i="45"/>
  <c r="BC123" i="45"/>
  <c r="DA123" i="45"/>
  <c r="FN123" i="45"/>
  <c r="BB123" i="45"/>
  <c r="CZ123" i="45"/>
  <c r="FM123" i="45"/>
  <c r="BA123" i="45"/>
  <c r="CY123" i="45"/>
  <c r="FL123" i="45"/>
  <c r="AX123" i="45"/>
  <c r="CQ123" i="45"/>
  <c r="FI123" i="45"/>
  <c r="AG123" i="45"/>
  <c r="DV123" i="45"/>
  <c r="BU123" i="45"/>
  <c r="GG123" i="45"/>
  <c r="AE123" i="45"/>
  <c r="DT123" i="45"/>
  <c r="AL123" i="45"/>
  <c r="FC123" i="45"/>
  <c r="CP123" i="45"/>
  <c r="AH123" i="45"/>
  <c r="DW123" i="45"/>
  <c r="CJ123" i="45"/>
  <c r="GV123" i="45"/>
  <c r="AF123" i="45"/>
  <c r="DU123" i="45"/>
  <c r="GP123" i="45"/>
  <c r="BY123" i="45"/>
  <c r="FH123" i="45"/>
  <c r="L123" i="45"/>
  <c r="DZ123" i="45"/>
  <c r="GW123" i="45"/>
  <c r="AK123" i="45"/>
  <c r="CK123" i="45"/>
  <c r="AW123" i="45"/>
  <c r="GS123" i="45"/>
  <c r="GQ123" i="45"/>
  <c r="DQ123" i="45"/>
  <c r="BZ123" i="45"/>
  <c r="CG123" i="45"/>
  <c r="GR123" i="45"/>
  <c r="BX123" i="45"/>
  <c r="E117" i="41"/>
  <c r="E117" i="45"/>
  <c r="E117" i="43"/>
  <c r="E117" i="44"/>
  <c r="S46" i="45"/>
  <c r="S46" i="43"/>
  <c r="S46" i="41"/>
  <c r="S46" i="44"/>
  <c r="DP98" i="45"/>
  <c r="GO98" i="45"/>
  <c r="DP98" i="41"/>
  <c r="GO98" i="41"/>
  <c r="DP98" i="44"/>
  <c r="GO98" i="44" s="1"/>
  <c r="DP98" i="43"/>
  <c r="GO98" i="43"/>
  <c r="Y53" i="41"/>
  <c r="Y53" i="44"/>
  <c r="Y53" i="45"/>
  <c r="B81" i="45"/>
  <c r="G80" i="44"/>
  <c r="X26" i="41"/>
  <c r="X26" i="44"/>
  <c r="DA27" i="44"/>
  <c r="HF27" i="44" s="1"/>
  <c r="DA27" i="45"/>
  <c r="HF27" i="45" s="1"/>
  <c r="DA27" i="43"/>
  <c r="HF27" i="43"/>
  <c r="CP29" i="44"/>
  <c r="BE29" i="44"/>
  <c r="CP29" i="43"/>
  <c r="CP29" i="41"/>
  <c r="K29" i="43"/>
  <c r="BX29" i="43"/>
  <c r="AM29" i="44"/>
  <c r="BE29" i="43"/>
  <c r="BE29" i="41"/>
  <c r="K29" i="44"/>
  <c r="BX29" i="44"/>
  <c r="K29" i="45"/>
  <c r="AM29" i="41"/>
  <c r="K29" i="41"/>
  <c r="GX29" i="45"/>
  <c r="GX29" i="44"/>
  <c r="BX29" i="45"/>
  <c r="BE29" i="45"/>
  <c r="AM29" i="45"/>
  <c r="CP29" i="45"/>
  <c r="DH44" i="44"/>
  <c r="HM44" i="44" s="1"/>
  <c r="DH44" i="45"/>
  <c r="HM44" i="45" s="1"/>
  <c r="GS26" i="41"/>
  <c r="CK26" i="44"/>
  <c r="BS26" i="43"/>
  <c r="AZ26" i="44"/>
  <c r="F26" i="44"/>
  <c r="BS26" i="44"/>
  <c r="AH26" i="44"/>
  <c r="AH26" i="41"/>
  <c r="BS26" i="41"/>
  <c r="AZ26" i="45"/>
  <c r="CK26" i="41"/>
  <c r="AZ26" i="41"/>
  <c r="AH26" i="43"/>
  <c r="BS26" i="45"/>
  <c r="F26" i="41"/>
  <c r="AH26" i="45"/>
  <c r="G57" i="41"/>
  <c r="BT57" i="44"/>
  <c r="AI57" i="43"/>
  <c r="AI57" i="44"/>
  <c r="CL57" i="44"/>
  <c r="G57" i="44"/>
  <c r="CL57" i="45"/>
  <c r="BA57" i="44"/>
  <c r="AI57" i="45"/>
  <c r="BA57" i="45"/>
  <c r="BT57" i="41"/>
  <c r="BA57" i="41"/>
  <c r="BA57" i="43"/>
  <c r="AI57" i="41"/>
  <c r="CL57" i="43"/>
  <c r="BT57" i="45"/>
  <c r="BT57" i="43"/>
  <c r="G57" i="43"/>
  <c r="G57" i="45"/>
  <c r="CL57" i="41"/>
  <c r="GU46" i="44"/>
  <c r="GY46" i="44"/>
  <c r="GS46" i="44"/>
  <c r="GR46" i="44"/>
  <c r="GP79" i="43"/>
  <c r="FE26" i="44"/>
  <c r="B53" i="32"/>
  <c r="G93" i="45"/>
  <c r="G93" i="41"/>
  <c r="G93" i="43"/>
  <c r="G93" i="44"/>
  <c r="CB13" i="18"/>
  <c r="GE17" i="41"/>
  <c r="GB17" i="41"/>
  <c r="GB17" i="45"/>
  <c r="GB17" i="44"/>
  <c r="GB17" i="43"/>
  <c r="U28" i="43"/>
  <c r="U28" i="45"/>
  <c r="U28" i="44"/>
  <c r="E81" i="45"/>
  <c r="E81" i="44"/>
  <c r="E81" i="43"/>
  <c r="E81" i="41"/>
  <c r="V18" i="12"/>
  <c r="AE18" i="12"/>
  <c r="AA18" i="12"/>
  <c r="GV34" i="44"/>
  <c r="AB18" i="12"/>
  <c r="GW34" i="44"/>
  <c r="W18" i="12"/>
  <c r="T18" i="12"/>
  <c r="GS18" i="12"/>
  <c r="GU18" i="12" s="1"/>
  <c r="Z18" i="12"/>
  <c r="U18" i="12"/>
  <c r="AC18" i="12"/>
  <c r="Y18" i="12"/>
  <c r="GT34" i="44"/>
  <c r="X18" i="12"/>
  <c r="AH34" i="44" s="1"/>
  <c r="AD18" i="12"/>
  <c r="DR104" i="45"/>
  <c r="GQ104" i="45" s="1"/>
  <c r="DR104" i="41"/>
  <c r="GQ104" i="41"/>
  <c r="DR104" i="44"/>
  <c r="GQ104" i="44" s="1"/>
  <c r="DR104" i="43"/>
  <c r="GQ104" i="43" s="1"/>
  <c r="W46" i="41"/>
  <c r="W46" i="45"/>
  <c r="W46" i="43"/>
  <c r="W46" i="44"/>
  <c r="DT98" i="43"/>
  <c r="GS98" i="43"/>
  <c r="DT98" i="41"/>
  <c r="GS98" i="41" s="1"/>
  <c r="DT98" i="45"/>
  <c r="GS98" i="45" s="1"/>
  <c r="DT98" i="44"/>
  <c r="GS98" i="44"/>
  <c r="AO23" i="18"/>
  <c r="AS23" i="18"/>
  <c r="BJ23" i="18"/>
  <c r="AP23" i="18"/>
  <c r="AT23" i="18"/>
  <c r="AZ23" i="18"/>
  <c r="BD23" i="18"/>
  <c r="BM23" i="18"/>
  <c r="BI23" i="18"/>
  <c r="BA23" i="18"/>
  <c r="BE23" i="18" s="1"/>
  <c r="BN23" i="18" s="1"/>
  <c r="BH23" i="18"/>
  <c r="AQ23" i="18"/>
  <c r="AU23" i="18"/>
  <c r="AX23" i="18"/>
  <c r="BB23" i="18"/>
  <c r="BK23" i="18" s="1"/>
  <c r="BG23" i="18"/>
  <c r="AY23" i="18"/>
  <c r="BC23" i="18"/>
  <c r="BL23" i="18" s="1"/>
  <c r="AR23" i="18"/>
  <c r="AV23" i="18"/>
  <c r="DO81" i="45"/>
  <c r="GN81" i="45" s="1"/>
  <c r="CZ60" i="44"/>
  <c r="HE60" i="44"/>
  <c r="CZ60" i="41"/>
  <c r="HE60" i="41"/>
  <c r="CZ60" i="45"/>
  <c r="HE60" i="45"/>
  <c r="CZ60" i="43"/>
  <c r="HE60" i="43"/>
  <c r="H203" i="12"/>
  <c r="G203" i="12"/>
  <c r="E203" i="12"/>
  <c r="F203" i="12"/>
  <c r="DX76" i="45"/>
  <c r="DX76" i="44"/>
  <c r="GW76" i="44" s="1"/>
  <c r="DX76" i="43"/>
  <c r="DX76" i="41"/>
  <c r="AK29" i="45"/>
  <c r="CN29" i="41"/>
  <c r="BV29" i="44"/>
  <c r="I29" i="45"/>
  <c r="BC29" i="44"/>
  <c r="AK29" i="41"/>
  <c r="BC29" i="41"/>
  <c r="I29" i="44"/>
  <c r="AK29" i="44"/>
  <c r="GV29" i="45"/>
  <c r="GV29" i="44"/>
  <c r="I29" i="41"/>
  <c r="CN29" i="45"/>
  <c r="BV29" i="45"/>
  <c r="BC29" i="45"/>
  <c r="BC29" i="43"/>
  <c r="BV29" i="43"/>
  <c r="CN29" i="44"/>
  <c r="CN29" i="43"/>
  <c r="I29" i="43"/>
  <c r="BV26" i="45"/>
  <c r="I26" i="41"/>
  <c r="AK26" i="43"/>
  <c r="BC26" i="45"/>
  <c r="CN26" i="41"/>
  <c r="BV26" i="43"/>
  <c r="CN26" i="44"/>
  <c r="AK26" i="44"/>
  <c r="AK26" i="41"/>
  <c r="BV26" i="44"/>
  <c r="I26" i="44"/>
  <c r="BV26" i="41"/>
  <c r="BC26" i="41"/>
  <c r="BC26" i="44"/>
  <c r="GV26" i="41"/>
  <c r="CX29" i="44"/>
  <c r="HC29" i="44" s="1"/>
  <c r="CX29" i="41"/>
  <c r="HC29" i="41"/>
  <c r="CX29" i="45"/>
  <c r="HC29" i="45"/>
  <c r="E212" i="12"/>
  <c r="H212" i="12"/>
  <c r="G212" i="12"/>
  <c r="F212" i="12"/>
  <c r="E78" i="44"/>
  <c r="E78" i="43"/>
  <c r="E78" i="41"/>
  <c r="DW79" i="41"/>
  <c r="DW79" i="45"/>
  <c r="GV79" i="45" s="1"/>
  <c r="DW79" i="44"/>
  <c r="DW79" i="43"/>
  <c r="GV79" i="43"/>
  <c r="AZ22" i="18"/>
  <c r="BD22" i="18" s="1"/>
  <c r="BM22" i="18" s="1"/>
  <c r="AX22" i="18"/>
  <c r="BB22" i="18" s="1"/>
  <c r="BK22" i="18" s="1"/>
  <c r="BA22" i="18"/>
  <c r="BE22" i="18"/>
  <c r="BN22" i="18"/>
  <c r="AR22" i="18"/>
  <c r="AV22" i="18" s="1"/>
  <c r="AY22" i="18"/>
  <c r="BC22" i="18" s="1"/>
  <c r="BL22" i="18" s="1"/>
  <c r="AP22" i="18"/>
  <c r="AT22" i="18"/>
  <c r="AO22" i="18"/>
  <c r="AS22" i="18"/>
  <c r="BI22" i="18"/>
  <c r="BG22" i="18"/>
  <c r="BJ22" i="18"/>
  <c r="BH22" i="18"/>
  <c r="AQ22" i="18"/>
  <c r="AU22" i="18"/>
  <c r="DQ98" i="41"/>
  <c r="GP98" i="41" s="1"/>
  <c r="DQ98" i="43"/>
  <c r="GP98" i="43"/>
  <c r="DQ98" i="45"/>
  <c r="GP98" i="45"/>
  <c r="DQ98" i="44"/>
  <c r="GP98" i="44"/>
  <c r="DU98" i="41"/>
  <c r="GT98" i="41" s="1"/>
  <c r="DU98" i="44"/>
  <c r="GT98" i="44"/>
  <c r="DU98" i="45"/>
  <c r="GT98" i="45"/>
  <c r="DU98" i="43"/>
  <c r="GT98" i="43"/>
  <c r="H88" i="41"/>
  <c r="H88" i="43"/>
  <c r="U53" i="41"/>
  <c r="U53" i="45"/>
  <c r="U53" i="44"/>
  <c r="DB37" i="41"/>
  <c r="HG37" i="41"/>
  <c r="DB37" i="44"/>
  <c r="HG37" i="44" s="1"/>
  <c r="DB37" i="45"/>
  <c r="HG37" i="45"/>
  <c r="DB37" i="43"/>
  <c r="HG37" i="43"/>
  <c r="GV78" i="43"/>
  <c r="CW27" i="45"/>
  <c r="HB27" i="45" s="1"/>
  <c r="CW27" i="43"/>
  <c r="CW27" i="44"/>
  <c r="P54" i="43"/>
  <c r="P54" i="41"/>
  <c r="P54" i="44"/>
  <c r="P54" i="45"/>
  <c r="BG29" i="44"/>
  <c r="CR29" i="44"/>
  <c r="BZ29" i="44"/>
  <c r="M29" i="44"/>
  <c r="BZ29" i="45"/>
  <c r="GZ29" i="43"/>
  <c r="M29" i="45"/>
  <c r="AO29" i="41"/>
  <c r="CR29" i="41"/>
  <c r="CR29" i="43"/>
  <c r="AO29" i="45"/>
  <c r="GZ29" i="44"/>
  <c r="G115" i="45"/>
  <c r="G115" i="44"/>
  <c r="G115" i="43"/>
  <c r="G115" i="41"/>
  <c r="EB27" i="12"/>
  <c r="O27" i="16"/>
  <c r="GO57" i="45"/>
  <c r="GX57" i="45"/>
  <c r="GY57" i="45"/>
  <c r="GT57" i="45"/>
  <c r="GP57" i="45"/>
  <c r="GV57" i="45"/>
  <c r="GQ57" i="45"/>
  <c r="GS57" i="45"/>
  <c r="GZ57" i="45"/>
  <c r="GR57" i="45"/>
  <c r="GU57" i="45"/>
  <c r="GW57" i="45"/>
  <c r="GX56" i="45"/>
  <c r="GT56" i="45"/>
  <c r="GR58" i="41"/>
  <c r="D117" i="41"/>
  <c r="D117" i="44"/>
  <c r="D117" i="45"/>
  <c r="D117" i="43"/>
  <c r="C96" i="41"/>
  <c r="C96" i="44"/>
  <c r="C96" i="45"/>
  <c r="C96" i="43"/>
  <c r="M93" i="41"/>
  <c r="M93" i="45"/>
  <c r="M93" i="44"/>
  <c r="E95" i="45"/>
  <c r="E95" i="41"/>
  <c r="E95" i="44"/>
  <c r="E95" i="43"/>
  <c r="GH123" i="43"/>
  <c r="D123" i="43"/>
  <c r="BF123" i="43"/>
  <c r="DY123" i="43"/>
  <c r="GU123" i="43"/>
  <c r="GR123" i="43"/>
  <c r="BP123" i="43"/>
  <c r="AK123" i="43"/>
  <c r="DZ123" i="43"/>
  <c r="AH123" i="43"/>
  <c r="CG123" i="43"/>
  <c r="FW123" i="43"/>
  <c r="C123" i="43"/>
  <c r="BE123" i="43"/>
  <c r="FX123" i="43"/>
  <c r="DV123" i="43"/>
  <c r="BB123" i="43"/>
  <c r="BY123" i="43"/>
  <c r="DU123" i="43"/>
  <c r="GZ123" i="43"/>
  <c r="CY123" i="43"/>
  <c r="FL123" i="43"/>
  <c r="BV123" i="43"/>
  <c r="AZ123" i="43"/>
  <c r="CX123" i="43"/>
  <c r="DS123" i="43"/>
  <c r="GO123" i="43"/>
  <c r="FH123" i="43"/>
  <c r="BR123" i="43"/>
  <c r="DI123" i="43"/>
  <c r="AX123" i="43"/>
  <c r="GX123" i="43"/>
  <c r="GF123" i="43"/>
  <c r="BC123" i="43"/>
  <c r="AV123" i="43"/>
  <c r="GV123" i="43"/>
  <c r="FD123" i="43"/>
  <c r="AY123" i="43"/>
  <c r="AN123" i="43"/>
  <c r="GY123" i="43"/>
  <c r="AI123" i="43"/>
  <c r="DX123" i="43"/>
  <c r="FF123" i="43"/>
  <c r="FC123" i="43"/>
  <c r="AE123" i="43"/>
  <c r="DT123" i="43"/>
  <c r="DE123" i="43"/>
  <c r="GP123" i="43"/>
  <c r="BS123" i="43"/>
  <c r="GE123" i="43"/>
  <c r="BG123" i="43"/>
  <c r="CL123" i="43"/>
  <c r="DH123" i="43"/>
  <c r="DA123" i="43"/>
  <c r="K123" i="43"/>
  <c r="GA123" i="43"/>
  <c r="FZ123" i="43"/>
  <c r="DQ123" i="43"/>
  <c r="BX123" i="43"/>
  <c r="F123" i="43"/>
  <c r="D27" i="32"/>
  <c r="E27" i="32"/>
  <c r="I34" i="32"/>
  <c r="F52" i="32"/>
  <c r="DS83" i="41"/>
  <c r="GR83" i="41"/>
  <c r="P49" i="45"/>
  <c r="P49" i="41"/>
  <c r="P49" i="44"/>
  <c r="P49" i="43"/>
  <c r="DU112" i="43"/>
  <c r="GT112" i="43"/>
  <c r="DP99" i="45"/>
  <c r="GO99" i="45" s="1"/>
  <c r="DO98" i="41"/>
  <c r="GN98" i="41"/>
  <c r="DO98" i="43"/>
  <c r="GN98" i="43"/>
  <c r="DO98" i="45"/>
  <c r="GN98" i="45"/>
  <c r="DO98" i="44"/>
  <c r="GN98" i="44"/>
  <c r="B98" i="41"/>
  <c r="B98" i="45"/>
  <c r="B98" i="43"/>
  <c r="B98" i="44"/>
  <c r="BD21" i="12"/>
  <c r="U29" i="41"/>
  <c r="U29" i="45"/>
  <c r="U29" i="43"/>
  <c r="U29" i="44"/>
  <c r="K117" i="41"/>
  <c r="K117" i="45"/>
  <c r="K117" i="43"/>
  <c r="K117" i="44"/>
  <c r="J88" i="35"/>
  <c r="J97" i="35"/>
  <c r="J93" i="35"/>
  <c r="J91" i="35"/>
  <c r="K92" i="35"/>
  <c r="K90" i="35"/>
  <c r="L95" i="35"/>
  <c r="L93" i="35"/>
  <c r="K93" i="35"/>
  <c r="K91" i="35"/>
  <c r="L98" i="35"/>
  <c r="L96" i="35"/>
  <c r="J98" i="35"/>
  <c r="J94" i="35"/>
  <c r="M95" i="35"/>
  <c r="M91" i="35"/>
  <c r="K88" i="35"/>
  <c r="J92" i="35"/>
  <c r="M90" i="35"/>
  <c r="M94" i="35"/>
  <c r="J96" i="35"/>
  <c r="M92" i="35"/>
  <c r="L34" i="32"/>
  <c r="H52" i="32"/>
  <c r="D28" i="32"/>
  <c r="E28" i="32"/>
  <c r="C12" i="45" s="1"/>
  <c r="DH47" i="41"/>
  <c r="HM47" i="41" s="1"/>
  <c r="DH47" i="43"/>
  <c r="HM47" i="43"/>
  <c r="DH47" i="44"/>
  <c r="HM47" i="44"/>
  <c r="W53" i="45"/>
  <c r="W53" i="41"/>
  <c r="W53" i="44"/>
  <c r="V53" i="45"/>
  <c r="DD53" i="41"/>
  <c r="HI53" i="41"/>
  <c r="DD53" i="43"/>
  <c r="HI53" i="43"/>
  <c r="DD53" i="44"/>
  <c r="HI53" i="44"/>
  <c r="DD53" i="45"/>
  <c r="HI53" i="45"/>
  <c r="W23" i="41"/>
  <c r="W23" i="44"/>
  <c r="W23" i="43"/>
  <c r="G193" i="12"/>
  <c r="E193" i="12"/>
  <c r="F193" i="12"/>
  <c r="H193" i="12"/>
  <c r="H201" i="12"/>
  <c r="G201" i="12"/>
  <c r="F201" i="12"/>
  <c r="E201" i="12"/>
  <c r="CY60" i="43"/>
  <c r="HD60" i="43"/>
  <c r="CY60" i="41"/>
  <c r="HD60" i="41" s="1"/>
  <c r="CY60" i="45"/>
  <c r="HD60" i="45" s="1"/>
  <c r="DA49" i="44"/>
  <c r="HF49" i="44"/>
  <c r="DA49" i="41"/>
  <c r="HF49" i="41" s="1"/>
  <c r="DA49" i="43"/>
  <c r="HF49" i="43" s="1"/>
  <c r="HM19" i="41"/>
  <c r="DD37" i="41"/>
  <c r="HI37" i="41"/>
  <c r="DD37" i="44"/>
  <c r="HI37" i="44"/>
  <c r="DD37" i="43"/>
  <c r="HI37" i="43"/>
  <c r="DD37" i="45"/>
  <c r="HI37" i="45" s="1"/>
  <c r="DC37" i="41"/>
  <c r="HH37" i="41"/>
  <c r="DC37" i="44"/>
  <c r="HH37" i="44"/>
  <c r="DC37" i="43"/>
  <c r="HH37" i="43"/>
  <c r="DC37" i="45"/>
  <c r="HH37" i="45" s="1"/>
  <c r="HB47" i="43"/>
  <c r="EP12" i="12"/>
  <c r="GW12" i="12"/>
  <c r="EM12" i="12"/>
  <c r="EJ12" i="12"/>
  <c r="EN12" i="12"/>
  <c r="EL12" i="12"/>
  <c r="EF12" i="12"/>
  <c r="EO12" i="12"/>
  <c r="EE12" i="12"/>
  <c r="EG12" i="12"/>
  <c r="EH12" i="12"/>
  <c r="EK12" i="12"/>
  <c r="DC28" i="43" s="1"/>
  <c r="HH28" i="43" s="1"/>
  <c r="EI12" i="12"/>
  <c r="GX59" i="41"/>
  <c r="CP59" i="41"/>
  <c r="AM59" i="44"/>
  <c r="K59" i="44"/>
  <c r="GX59" i="43"/>
  <c r="BX59" i="43"/>
  <c r="GX59" i="44"/>
  <c r="BE59" i="43"/>
  <c r="BE59" i="41"/>
  <c r="BE59" i="45"/>
  <c r="K59" i="43"/>
  <c r="AM59" i="43"/>
  <c r="CP59" i="45"/>
  <c r="K59" i="41"/>
  <c r="CP59" i="44"/>
  <c r="BX59" i="45"/>
  <c r="AM59" i="41"/>
  <c r="BE59" i="44"/>
  <c r="K59" i="45"/>
  <c r="CP59" i="43"/>
  <c r="AM59" i="45"/>
  <c r="BX59" i="44"/>
  <c r="BX59" i="41"/>
  <c r="GX59" i="45"/>
  <c r="BV25" i="44"/>
  <c r="I25" i="44"/>
  <c r="BC25" i="44"/>
  <c r="GV25" i="44"/>
  <c r="BV25" i="45"/>
  <c r="CN25" i="45"/>
  <c r="CN25" i="41"/>
  <c r="AK25" i="41"/>
  <c r="BC25" i="43"/>
  <c r="I25" i="43"/>
  <c r="I25" i="41"/>
  <c r="AK25" i="44"/>
  <c r="BC25" i="45"/>
  <c r="I25" i="45"/>
  <c r="BV25" i="43"/>
  <c r="BC25" i="41"/>
  <c r="AK25" i="43"/>
  <c r="CN25" i="43"/>
  <c r="CN25" i="44"/>
  <c r="AK25" i="45"/>
  <c r="L25" i="41"/>
  <c r="GY25" i="44"/>
  <c r="AN25" i="44"/>
  <c r="CQ25" i="44"/>
  <c r="L25" i="44"/>
  <c r="CQ25" i="41"/>
  <c r="AN25" i="45"/>
  <c r="CQ25" i="45"/>
  <c r="CQ25" i="43"/>
  <c r="BF25" i="43"/>
  <c r="BF25" i="41"/>
  <c r="BF25" i="45"/>
  <c r="L25" i="45"/>
  <c r="BY25" i="44"/>
  <c r="BY25" i="43"/>
  <c r="BF25" i="44"/>
  <c r="BY25" i="45"/>
  <c r="AN25" i="43"/>
  <c r="L25" i="43"/>
  <c r="AN25" i="41"/>
  <c r="S26" i="44"/>
  <c r="S26" i="41"/>
  <c r="V54" i="43"/>
  <c r="V54" i="44"/>
  <c r="V54" i="41"/>
  <c r="V54" i="45"/>
  <c r="GU29" i="44"/>
  <c r="AJ29" i="41"/>
  <c r="BB29" i="41"/>
  <c r="AJ29" i="44"/>
  <c r="H29" i="41"/>
  <c r="GU29" i="45"/>
  <c r="CM29" i="45"/>
  <c r="H29" i="45"/>
  <c r="BU29" i="45"/>
  <c r="CM29" i="43"/>
  <c r="H29" i="44"/>
  <c r="CM29" i="44"/>
  <c r="BB29" i="44"/>
  <c r="BB29" i="43"/>
  <c r="H29" i="43"/>
  <c r="BB29" i="45"/>
  <c r="BU29" i="43"/>
  <c r="BU29" i="44"/>
  <c r="CM29" i="41"/>
  <c r="AJ29" i="45"/>
  <c r="CY44" i="43"/>
  <c r="HD44" i="43"/>
  <c r="CY44" i="44"/>
  <c r="HD44" i="44"/>
  <c r="CY44" i="41"/>
  <c r="HD44" i="41" s="1"/>
  <c r="CY44" i="45"/>
  <c r="HD44" i="45" s="1"/>
  <c r="CH26" i="44"/>
  <c r="BP26" i="45"/>
  <c r="AW26" i="44"/>
  <c r="CH26" i="41"/>
  <c r="BP26" i="43"/>
  <c r="BP26" i="41"/>
  <c r="C26" i="41"/>
  <c r="AE26" i="43"/>
  <c r="C26" i="44"/>
  <c r="BP26" i="44"/>
  <c r="AE26" i="41"/>
  <c r="AE26" i="44"/>
  <c r="AW26" i="45"/>
  <c r="GP26" i="41"/>
  <c r="AW26" i="41"/>
  <c r="BD57" i="41"/>
  <c r="J57" i="43"/>
  <c r="BW57" i="44"/>
  <c r="AL57" i="41"/>
  <c r="CO57" i="44"/>
  <c r="BD57" i="44"/>
  <c r="AL57" i="45"/>
  <c r="AL57" i="44"/>
  <c r="BW57" i="41"/>
  <c r="J57" i="44"/>
  <c r="BD57" i="45"/>
  <c r="BD57" i="43"/>
  <c r="CO57" i="43"/>
  <c r="J57" i="45"/>
  <c r="AL57" i="43"/>
  <c r="GW57" i="44"/>
  <c r="BW57" i="43"/>
  <c r="CO57" i="45"/>
  <c r="CO57" i="41"/>
  <c r="J57" i="41"/>
  <c r="BU47" i="41"/>
  <c r="BU47" i="43"/>
  <c r="BU47" i="44"/>
  <c r="BB47" i="41"/>
  <c r="BB47" i="43"/>
  <c r="BB47" i="44"/>
  <c r="GU47" i="41"/>
  <c r="CM47" i="45"/>
  <c r="H47" i="45"/>
  <c r="H47" i="41"/>
  <c r="AJ47" i="44"/>
  <c r="BU47" i="45"/>
  <c r="AJ47" i="41"/>
  <c r="CM47" i="44"/>
  <c r="BB47" i="45"/>
  <c r="GU47" i="44"/>
  <c r="AJ47" i="43"/>
  <c r="H47" i="44"/>
  <c r="CM47" i="41"/>
  <c r="H24" i="41"/>
  <c r="BU24" i="41"/>
  <c r="BU24" i="43"/>
  <c r="BU24" i="45"/>
  <c r="CM24" i="44"/>
  <c r="GU24" i="43"/>
  <c r="H24" i="45"/>
  <c r="BB24" i="44"/>
  <c r="CM24" i="43"/>
  <c r="H24" i="44"/>
  <c r="BB24" i="41"/>
  <c r="BB24" i="45"/>
  <c r="H24" i="43"/>
  <c r="BU24" i="44"/>
  <c r="CM24" i="41"/>
  <c r="BB24" i="43"/>
  <c r="AJ24" i="44"/>
  <c r="GU24" i="45"/>
  <c r="AJ24" i="41"/>
  <c r="CM24" i="45"/>
  <c r="AJ24" i="43"/>
  <c r="AJ24" i="45"/>
  <c r="L116" i="41"/>
  <c r="L116" i="43"/>
  <c r="L116" i="44"/>
  <c r="L116" i="45"/>
  <c r="DD29" i="44"/>
  <c r="HI29" i="44"/>
  <c r="DD29" i="41"/>
  <c r="HI29" i="41"/>
  <c r="DD29" i="45"/>
  <c r="HI29" i="45" s="1"/>
  <c r="CZ29" i="41"/>
  <c r="HE29" i="41"/>
  <c r="CZ29" i="44"/>
  <c r="HE29" i="44"/>
  <c r="CZ29" i="45"/>
  <c r="HE29" i="45"/>
  <c r="GE12" i="44"/>
  <c r="GE12" i="41"/>
  <c r="GE12" i="45"/>
  <c r="GE12" i="43"/>
  <c r="GY76" i="43"/>
  <c r="AK39" i="44"/>
  <c r="I39" i="44"/>
  <c r="BV39" i="45"/>
  <c r="BV39" i="43"/>
  <c r="AK39" i="41"/>
  <c r="I39" i="41"/>
  <c r="BC39" i="41"/>
  <c r="BC39" i="44"/>
  <c r="I39" i="43"/>
  <c r="GV39" i="44"/>
  <c r="I39" i="45"/>
  <c r="CN39" i="44"/>
  <c r="DI39" i="43"/>
  <c r="HB39" i="43"/>
  <c r="GX29" i="41"/>
  <c r="GP29" i="41"/>
  <c r="GS29" i="41"/>
  <c r="GW29" i="41"/>
  <c r="GT29" i="41"/>
  <c r="GR29" i="41"/>
  <c r="GZ29" i="41"/>
  <c r="GU29" i="41"/>
  <c r="GY29" i="41"/>
  <c r="GV29" i="41"/>
  <c r="GQ29" i="41"/>
  <c r="D115" i="45"/>
  <c r="D115" i="43"/>
  <c r="D115" i="44"/>
  <c r="D115" i="41"/>
  <c r="J115" i="41"/>
  <c r="J115" i="45"/>
  <c r="J115" i="44"/>
  <c r="J115" i="43"/>
  <c r="CZ45" i="41"/>
  <c r="HE45" i="41"/>
  <c r="CZ45" i="45"/>
  <c r="HE45" i="45"/>
  <c r="CZ45" i="44"/>
  <c r="HE45" i="44"/>
  <c r="CZ45" i="43"/>
  <c r="HE45" i="43"/>
  <c r="F26" i="45"/>
  <c r="X23" i="45"/>
  <c r="CN26" i="45"/>
  <c r="BP57" i="45"/>
  <c r="CR26" i="45"/>
  <c r="DB51" i="41"/>
  <c r="HG51" i="41"/>
  <c r="BH23" i="44"/>
  <c r="W26" i="45"/>
  <c r="CJ26" i="45"/>
  <c r="CG26" i="45"/>
  <c r="CS26" i="45"/>
  <c r="BU29" i="41"/>
  <c r="F113" i="45"/>
  <c r="F78" i="45"/>
  <c r="BT25" i="41"/>
  <c r="GO25" i="43"/>
  <c r="X26" i="45"/>
  <c r="H26" i="45"/>
  <c r="BT29" i="41"/>
  <c r="CS23" i="45"/>
  <c r="BH23" i="43"/>
  <c r="CA23" i="45"/>
  <c r="BY57" i="45"/>
  <c r="DE46" i="44"/>
  <c r="HJ46" i="44" s="1"/>
  <c r="DE46" i="41"/>
  <c r="HJ46" i="41" s="1"/>
  <c r="DE46" i="43"/>
  <c r="HJ46" i="43"/>
  <c r="DE46" i="45"/>
  <c r="HJ46" i="45" s="1"/>
  <c r="DO101" i="43"/>
  <c r="GN101" i="43"/>
  <c r="DO101" i="45"/>
  <c r="GN101" i="45" s="1"/>
  <c r="DO101" i="44"/>
  <c r="GN101" i="44" s="1"/>
  <c r="DO101" i="41"/>
  <c r="GN101" i="41" s="1"/>
  <c r="Q19" i="43"/>
  <c r="Q19" i="45"/>
  <c r="Q19" i="44"/>
  <c r="Q19" i="41"/>
  <c r="T56" i="41"/>
  <c r="T35" i="45"/>
  <c r="T35" i="43"/>
  <c r="T35" i="44"/>
  <c r="DW112" i="41"/>
  <c r="GV112" i="41" s="1"/>
  <c r="DW112" i="43"/>
  <c r="GV112" i="43" s="1"/>
  <c r="GV112" i="44"/>
  <c r="DW112" i="45"/>
  <c r="GV112" i="45" s="1"/>
  <c r="X51" i="44"/>
  <c r="X51" i="43"/>
  <c r="X51" i="41"/>
  <c r="X51" i="45"/>
  <c r="Y36" i="12"/>
  <c r="AE36" i="12"/>
  <c r="U36" i="12"/>
  <c r="AA36" i="12"/>
  <c r="AC36" i="12"/>
  <c r="T36" i="12"/>
  <c r="X36" i="12"/>
  <c r="Z36" i="12"/>
  <c r="AD36" i="12"/>
  <c r="V36" i="12"/>
  <c r="AB36" i="12"/>
  <c r="W36" i="12"/>
  <c r="GS36" i="12"/>
  <c r="U25" i="41"/>
  <c r="U25" i="43"/>
  <c r="U25" i="45"/>
  <c r="U25" i="44"/>
  <c r="DQ101" i="45"/>
  <c r="GP101" i="45" s="1"/>
  <c r="DQ101" i="44"/>
  <c r="GP101" i="44"/>
  <c r="DQ101" i="43"/>
  <c r="GP101" i="43"/>
  <c r="DQ101" i="41"/>
  <c r="GP101" i="41"/>
  <c r="W19" i="44"/>
  <c r="W19" i="41"/>
  <c r="W19" i="43"/>
  <c r="W19" i="45"/>
  <c r="W56" i="45"/>
  <c r="W56" i="41"/>
  <c r="W56" i="44"/>
  <c r="W56" i="43"/>
  <c r="S35" i="43"/>
  <c r="S35" i="44"/>
  <c r="S35" i="41"/>
  <c r="S35" i="45"/>
  <c r="DU95" i="41"/>
  <c r="GT95" i="41"/>
  <c r="DU95" i="45"/>
  <c r="GT95" i="45"/>
  <c r="DU95" i="43"/>
  <c r="GT95" i="43" s="1"/>
  <c r="DU95" i="44"/>
  <c r="GT95" i="44"/>
  <c r="X45" i="41"/>
  <c r="X45" i="45"/>
  <c r="X45" i="44"/>
  <c r="X45" i="43"/>
  <c r="DZ88" i="45"/>
  <c r="GY88" i="45" s="1"/>
  <c r="DZ88" i="44"/>
  <c r="GY88" i="44"/>
  <c r="DZ88" i="43"/>
  <c r="GY88" i="43"/>
  <c r="DZ88" i="41"/>
  <c r="GY88" i="41"/>
  <c r="DG46" i="41"/>
  <c r="HL46" i="41" s="1"/>
  <c r="AW49" i="41"/>
  <c r="AE49" i="43"/>
  <c r="AW49" i="44"/>
  <c r="C49" i="43"/>
  <c r="AE49" i="44"/>
  <c r="AE49" i="45"/>
  <c r="CH49" i="43"/>
  <c r="AW49" i="45"/>
  <c r="AE49" i="41"/>
  <c r="CH49" i="44"/>
  <c r="AW49" i="43"/>
  <c r="CH49" i="45"/>
  <c r="CH49" i="41"/>
  <c r="BP49" i="44"/>
  <c r="C49" i="41"/>
  <c r="C49" i="44"/>
  <c r="C49" i="45"/>
  <c r="BP49" i="45"/>
  <c r="BP49" i="41"/>
  <c r="DU101" i="41"/>
  <c r="GT101" i="41"/>
  <c r="DU101" i="45"/>
  <c r="GT101" i="45"/>
  <c r="DU101" i="44"/>
  <c r="GT101" i="44"/>
  <c r="DU101" i="43"/>
  <c r="GT101" i="43"/>
  <c r="Q51" i="41"/>
  <c r="Q51" i="43"/>
  <c r="Q51" i="45"/>
  <c r="Q51" i="44"/>
  <c r="Z55" i="41"/>
  <c r="Z55" i="45"/>
  <c r="Z55" i="43"/>
  <c r="Z55" i="44"/>
  <c r="DQ95" i="45"/>
  <c r="GP95" i="45" s="1"/>
  <c r="DQ95" i="43"/>
  <c r="GP95" i="43" s="1"/>
  <c r="DQ95" i="44"/>
  <c r="GP95" i="44"/>
  <c r="DQ95" i="41"/>
  <c r="GP95" i="41"/>
  <c r="Y46" i="45"/>
  <c r="Y46" i="41"/>
  <c r="Y46" i="44"/>
  <c r="Y46" i="43"/>
  <c r="J49" i="45"/>
  <c r="CO49" i="41"/>
  <c r="AL49" i="43"/>
  <c r="BD49" i="41"/>
  <c r="J49" i="43"/>
  <c r="AL49" i="41"/>
  <c r="CO49" i="44"/>
  <c r="AL49" i="45"/>
  <c r="CO49" i="43"/>
  <c r="J49" i="44"/>
  <c r="BD49" i="43"/>
  <c r="BW49" i="44"/>
  <c r="BD49" i="44"/>
  <c r="CO49" i="45"/>
  <c r="BD49" i="45"/>
  <c r="AL49" i="44"/>
  <c r="J49" i="41"/>
  <c r="BW49" i="45"/>
  <c r="BW49" i="41"/>
  <c r="DX101" i="41"/>
  <c r="GW101" i="41"/>
  <c r="DX101" i="44"/>
  <c r="GW101" i="44"/>
  <c r="DX101" i="45"/>
  <c r="GW101" i="45"/>
  <c r="DX101" i="43"/>
  <c r="GW101" i="43"/>
  <c r="X19" i="43"/>
  <c r="X19" i="44"/>
  <c r="X19" i="41"/>
  <c r="X19" i="45"/>
  <c r="DV80" i="41"/>
  <c r="GU80" i="41" s="1"/>
  <c r="DV80" i="45"/>
  <c r="GU80" i="45" s="1"/>
  <c r="DV80" i="43"/>
  <c r="GU80" i="43" s="1"/>
  <c r="DV80" i="44"/>
  <c r="GU80" i="44" s="1"/>
  <c r="P51" i="43"/>
  <c r="P51" i="41"/>
  <c r="P51" i="45"/>
  <c r="P51" i="44"/>
  <c r="Y55" i="45"/>
  <c r="Y55" i="41"/>
  <c r="Y55" i="44"/>
  <c r="Y55" i="43"/>
  <c r="W55" i="41"/>
  <c r="W55" i="43"/>
  <c r="W55" i="44"/>
  <c r="W55" i="45"/>
  <c r="DW95" i="41"/>
  <c r="GV95" i="41" s="1"/>
  <c r="DW95" i="45"/>
  <c r="GV95" i="45" s="1"/>
  <c r="DW95" i="43"/>
  <c r="GV95" i="43" s="1"/>
  <c r="DW95" i="44"/>
  <c r="GV95" i="44"/>
  <c r="U46" i="45"/>
  <c r="U46" i="41"/>
  <c r="U46" i="43"/>
  <c r="U46" i="44"/>
  <c r="DZ79" i="41"/>
  <c r="GY79" i="41" s="1"/>
  <c r="DZ79" i="43"/>
  <c r="GY79" i="43" s="1"/>
  <c r="DZ79" i="45"/>
  <c r="GY79" i="45"/>
  <c r="DZ79" i="44"/>
  <c r="GY79" i="44" s="1"/>
  <c r="DU100" i="44"/>
  <c r="GT100" i="44" s="1"/>
  <c r="DU100" i="43"/>
  <c r="GT100" i="43" s="1"/>
  <c r="DU100" i="41"/>
  <c r="GT100" i="41" s="1"/>
  <c r="DU100" i="45"/>
  <c r="GT100" i="45" s="1"/>
  <c r="O45" i="43"/>
  <c r="O45" i="41"/>
  <c r="DI45" i="41"/>
  <c r="O45" i="45"/>
  <c r="DI45" i="45" s="1"/>
  <c r="O45" i="44"/>
  <c r="Z45" i="45"/>
  <c r="Z45" i="43"/>
  <c r="DY81" i="41"/>
  <c r="GX81" i="41" s="1"/>
  <c r="DY81" i="43"/>
  <c r="GX81" i="43"/>
  <c r="DY81" i="45"/>
  <c r="GX81" i="45"/>
  <c r="DY81" i="44"/>
  <c r="GX81" i="44" s="1"/>
  <c r="DV88" i="43"/>
  <c r="GU88" i="43" s="1"/>
  <c r="DV88" i="45"/>
  <c r="GU88" i="45" s="1"/>
  <c r="DV88" i="41"/>
  <c r="GU88" i="41"/>
  <c r="DV88" i="44"/>
  <c r="GU88" i="44" s="1"/>
  <c r="AY58" i="43"/>
  <c r="BR58" i="44"/>
  <c r="BR58" i="43"/>
  <c r="AG58" i="45"/>
  <c r="CJ58" i="41"/>
  <c r="AG58" i="43"/>
  <c r="E58" i="44"/>
  <c r="GR58" i="45"/>
  <c r="G167" i="12"/>
  <c r="H167" i="12"/>
  <c r="F167" i="12"/>
  <c r="DH46" i="41"/>
  <c r="HM46" i="41"/>
  <c r="DH46" i="44"/>
  <c r="HM46" i="44"/>
  <c r="DH46" i="43"/>
  <c r="HM46" i="43"/>
  <c r="DH46" i="45"/>
  <c r="HM46" i="45"/>
  <c r="DW113" i="43"/>
  <c r="GV113" i="43"/>
  <c r="DW113" i="44"/>
  <c r="GV113" i="44"/>
  <c r="DW113" i="41"/>
  <c r="GV113" i="41"/>
  <c r="DW113" i="45"/>
  <c r="GV113" i="45"/>
  <c r="AY49" i="41"/>
  <c r="AG49" i="41"/>
  <c r="AY49" i="43"/>
  <c r="CJ49" i="43"/>
  <c r="CJ49" i="41"/>
  <c r="BR49" i="44"/>
  <c r="E49" i="41"/>
  <c r="AY49" i="45"/>
  <c r="E49" i="43"/>
  <c r="AG49" i="45"/>
  <c r="CJ49" i="44"/>
  <c r="E49" i="45"/>
  <c r="AY49" i="44"/>
  <c r="AG49" i="44"/>
  <c r="AG49" i="43"/>
  <c r="E49" i="44"/>
  <c r="CJ49" i="45"/>
  <c r="BR49" i="45"/>
  <c r="BR49" i="41"/>
  <c r="CI49" i="41"/>
  <c r="AX49" i="41"/>
  <c r="AX49" i="45"/>
  <c r="AF49" i="44"/>
  <c r="D49" i="44"/>
  <c r="CI49" i="44"/>
  <c r="D49" i="43"/>
  <c r="CI49" i="43"/>
  <c r="AF49" i="41"/>
  <c r="AF49" i="45"/>
  <c r="AX49" i="44"/>
  <c r="BQ49" i="44"/>
  <c r="D49" i="41"/>
  <c r="AX49" i="43"/>
  <c r="CI49" i="45"/>
  <c r="BQ49" i="45"/>
  <c r="BQ49" i="41"/>
  <c r="Z25" i="45"/>
  <c r="Q25" i="43"/>
  <c r="GY101" i="41"/>
  <c r="DZ101" i="45"/>
  <c r="GY101" i="45"/>
  <c r="DZ101" i="44"/>
  <c r="GY101" i="44"/>
  <c r="DZ101" i="43"/>
  <c r="GY101" i="43"/>
  <c r="T19" i="43"/>
  <c r="T19" i="41"/>
  <c r="T19" i="45"/>
  <c r="T19" i="44"/>
  <c r="R35" i="45"/>
  <c r="R35" i="44"/>
  <c r="R35" i="43"/>
  <c r="R35" i="41"/>
  <c r="V35" i="41"/>
  <c r="V35" i="45"/>
  <c r="V35" i="43"/>
  <c r="V35" i="44"/>
  <c r="GO46" i="44"/>
  <c r="CA26" i="41"/>
  <c r="AP26" i="41"/>
  <c r="V45" i="43"/>
  <c r="BH47" i="45"/>
  <c r="AP57" i="45"/>
  <c r="CS57" i="41"/>
  <c r="GQ49" i="41"/>
  <c r="DR88" i="45"/>
  <c r="GQ88" i="45"/>
  <c r="DR88" i="43"/>
  <c r="GQ88" i="43" s="1"/>
  <c r="DR88" i="41"/>
  <c r="GQ88" i="41" s="1"/>
  <c r="DR88" i="44"/>
  <c r="GQ88" i="44"/>
  <c r="HB36" i="43"/>
  <c r="DI36" i="43"/>
  <c r="R25" i="43"/>
  <c r="R25" i="41"/>
  <c r="R25" i="45"/>
  <c r="R25" i="44"/>
  <c r="V56" i="41"/>
  <c r="V56" i="44"/>
  <c r="V56" i="43"/>
  <c r="V56" i="45"/>
  <c r="DV99" i="45"/>
  <c r="GU99" i="45"/>
  <c r="DV99" i="43"/>
  <c r="GU99" i="43" s="1"/>
  <c r="DV99" i="44"/>
  <c r="GU99" i="44" s="1"/>
  <c r="DV99" i="41"/>
  <c r="GU99" i="41"/>
  <c r="U45" i="44"/>
  <c r="U45" i="43"/>
  <c r="U45" i="41"/>
  <c r="U45" i="45"/>
  <c r="DU88" i="41"/>
  <c r="GT88" i="41" s="1"/>
  <c r="DU88" i="44"/>
  <c r="GT88" i="44"/>
  <c r="DU88" i="45"/>
  <c r="GT88" i="45"/>
  <c r="DU88" i="43"/>
  <c r="GT88" i="43" s="1"/>
  <c r="CY46" i="41"/>
  <c r="HD46" i="41" s="1"/>
  <c r="CY46" i="44"/>
  <c r="HD46" i="44"/>
  <c r="CY46" i="43"/>
  <c r="HD46" i="43"/>
  <c r="CY46" i="45"/>
  <c r="HD46" i="45" s="1"/>
  <c r="P19" i="41"/>
  <c r="P19" i="45"/>
  <c r="P19" i="44"/>
  <c r="P19" i="43"/>
  <c r="X56" i="44"/>
  <c r="X56" i="41"/>
  <c r="X56" i="43"/>
  <c r="X56" i="45"/>
  <c r="Y35" i="41"/>
  <c r="Y35" i="44"/>
  <c r="Y35" i="43"/>
  <c r="Y35" i="45"/>
  <c r="O55" i="41"/>
  <c r="O55" i="43"/>
  <c r="O55" i="45"/>
  <c r="O55" i="44"/>
  <c r="DS101" i="43"/>
  <c r="GR101" i="43" s="1"/>
  <c r="DS101" i="45"/>
  <c r="GR101" i="45"/>
  <c r="DS101" i="44"/>
  <c r="GR101" i="44"/>
  <c r="DS101" i="41"/>
  <c r="GR101" i="41" s="1"/>
  <c r="R46" i="44"/>
  <c r="R46" i="43"/>
  <c r="R46" i="41"/>
  <c r="R46" i="45"/>
  <c r="DO99" i="41"/>
  <c r="GN99" i="41" s="1"/>
  <c r="DO99" i="43"/>
  <c r="GN99" i="43" s="1"/>
  <c r="DO99" i="44"/>
  <c r="GN99" i="44" s="1"/>
  <c r="Y45" i="44"/>
  <c r="Y45" i="41"/>
  <c r="Y45" i="43"/>
  <c r="Y45" i="45"/>
  <c r="DI36" i="41"/>
  <c r="HB36" i="41"/>
  <c r="DX80" i="45"/>
  <c r="GW80" i="45"/>
  <c r="DX80" i="44"/>
  <c r="GW80" i="44"/>
  <c r="DX80" i="43"/>
  <c r="GW80" i="43"/>
  <c r="DX80" i="41"/>
  <c r="GW80" i="41" s="1"/>
  <c r="HB53" i="43"/>
  <c r="DQ80" i="41"/>
  <c r="GP80" i="41" s="1"/>
  <c r="DQ80" i="44"/>
  <c r="GP80" i="44" s="1"/>
  <c r="DQ80" i="43"/>
  <c r="GP80" i="43"/>
  <c r="DQ80" i="45"/>
  <c r="GP80" i="45"/>
  <c r="DR95" i="44"/>
  <c r="GQ95" i="44" s="1"/>
  <c r="DR95" i="41"/>
  <c r="GQ95" i="41"/>
  <c r="DR95" i="43"/>
  <c r="GQ95" i="43" s="1"/>
  <c r="DR95" i="45"/>
  <c r="GQ95" i="45" s="1"/>
  <c r="Q45" i="41"/>
  <c r="Q45" i="44"/>
  <c r="Q45" i="43"/>
  <c r="Q45" i="45"/>
  <c r="BA49" i="41"/>
  <c r="CL49" i="41"/>
  <c r="CL49" i="44"/>
  <c r="BT49" i="43"/>
  <c r="BT49" i="41"/>
  <c r="T25" i="44"/>
  <c r="T25" i="41"/>
  <c r="T25" i="43"/>
  <c r="T25" i="45"/>
  <c r="DO80" i="45"/>
  <c r="GN80" i="45"/>
  <c r="DO80" i="43"/>
  <c r="GN80" i="43" s="1"/>
  <c r="HB53" i="45"/>
  <c r="Z57" i="45"/>
  <c r="Z57" i="44"/>
  <c r="Z57" i="41"/>
  <c r="Z57" i="43"/>
  <c r="V57" i="41"/>
  <c r="V57" i="45"/>
  <c r="V57" i="43"/>
  <c r="DO112" i="41"/>
  <c r="GN112" i="41" s="1"/>
  <c r="DO112" i="44"/>
  <c r="GN112" i="44" s="1"/>
  <c r="DO112" i="43"/>
  <c r="GN112" i="43"/>
  <c r="DO112" i="45"/>
  <c r="GN112" i="45" s="1"/>
  <c r="DP80" i="43"/>
  <c r="GO80" i="43" s="1"/>
  <c r="DP80" i="41"/>
  <c r="GO80" i="41"/>
  <c r="DP80" i="44"/>
  <c r="GO80" i="44"/>
  <c r="DP80" i="45"/>
  <c r="GO80" i="45" s="1"/>
  <c r="W51" i="41"/>
  <c r="W51" i="43"/>
  <c r="W51" i="45"/>
  <c r="W51" i="44"/>
  <c r="V51" i="41"/>
  <c r="V51" i="44"/>
  <c r="V51" i="43"/>
  <c r="V51" i="45"/>
  <c r="U55" i="45"/>
  <c r="U55" i="43"/>
  <c r="U55" i="41"/>
  <c r="U55" i="44"/>
  <c r="P55" i="41"/>
  <c r="P55" i="45"/>
  <c r="P55" i="44"/>
  <c r="P55" i="43"/>
  <c r="DZ95" i="43"/>
  <c r="GY95" i="43" s="1"/>
  <c r="DZ95" i="45"/>
  <c r="GY95" i="45" s="1"/>
  <c r="DZ95" i="41"/>
  <c r="GY95" i="41" s="1"/>
  <c r="DZ95" i="44"/>
  <c r="GY95" i="44"/>
  <c r="Q46" i="44"/>
  <c r="Q46" i="45"/>
  <c r="Q46" i="41"/>
  <c r="Q46" i="43"/>
  <c r="P46" i="41"/>
  <c r="P46" i="43"/>
  <c r="P46" i="45"/>
  <c r="P46" i="44"/>
  <c r="DT100" i="41"/>
  <c r="GS100" i="41" s="1"/>
  <c r="DT100" i="44"/>
  <c r="GS100" i="44" s="1"/>
  <c r="DT100" i="45"/>
  <c r="GS100" i="45" s="1"/>
  <c r="DT100" i="43"/>
  <c r="GS100" i="43"/>
  <c r="P45" i="43"/>
  <c r="P45" i="44"/>
  <c r="P45" i="45"/>
  <c r="DS88" i="44"/>
  <c r="GR88" i="44" s="1"/>
  <c r="DS88" i="43"/>
  <c r="GR88" i="43" s="1"/>
  <c r="AD4" i="12"/>
  <c r="GS4" i="12"/>
  <c r="GU4" i="12"/>
  <c r="W4" i="12"/>
  <c r="V4" i="12"/>
  <c r="X4" i="12"/>
  <c r="AB4" i="12"/>
  <c r="AA4" i="12"/>
  <c r="Z4" i="12"/>
  <c r="AC4" i="12"/>
  <c r="U4" i="12"/>
  <c r="AE4" i="12"/>
  <c r="DA46" i="43"/>
  <c r="HF46" i="43"/>
  <c r="DA46" i="44"/>
  <c r="HF46" i="44"/>
  <c r="DA46" i="41"/>
  <c r="HF46" i="41" s="1"/>
  <c r="DA46" i="45"/>
  <c r="HF46" i="45" s="1"/>
  <c r="CX46" i="41"/>
  <c r="HC46" i="41"/>
  <c r="CX46" i="43"/>
  <c r="HC46" i="43" s="1"/>
  <c r="CX46" i="44"/>
  <c r="HC46" i="44" s="1"/>
  <c r="CX46" i="45"/>
  <c r="HC46" i="45" s="1"/>
  <c r="M49" i="41"/>
  <c r="AO49" i="41"/>
  <c r="BZ49" i="44"/>
  <c r="M49" i="45"/>
  <c r="AO49" i="45"/>
  <c r="M49" i="44"/>
  <c r="AO49" i="44"/>
  <c r="CR49" i="45"/>
  <c r="M49" i="43"/>
  <c r="AO49" i="43"/>
  <c r="BG49" i="43"/>
  <c r="BG49" i="45"/>
  <c r="BG49" i="41"/>
  <c r="CR49" i="41"/>
  <c r="CR49" i="44"/>
  <c r="BG49" i="44"/>
  <c r="CR49" i="43"/>
  <c r="BZ49" i="45"/>
  <c r="BZ49" i="41"/>
  <c r="X25" i="41"/>
  <c r="X25" i="44"/>
  <c r="X25" i="45"/>
  <c r="X25" i="43"/>
  <c r="S25" i="45"/>
  <c r="S25" i="41"/>
  <c r="S25" i="43"/>
  <c r="S25" i="44"/>
  <c r="AA6" i="12"/>
  <c r="X6" i="12"/>
  <c r="AD6" i="12"/>
  <c r="AB6" i="12"/>
  <c r="U6" i="12"/>
  <c r="GS6" i="12"/>
  <c r="AC6" i="12"/>
  <c r="Z6" i="12"/>
  <c r="AE6" i="12"/>
  <c r="T6" i="12"/>
  <c r="W6" i="12"/>
  <c r="Y6" i="12"/>
  <c r="V6" i="12"/>
  <c r="S19" i="41"/>
  <c r="S19" i="45"/>
  <c r="S19" i="44"/>
  <c r="S19" i="43"/>
  <c r="DP109" i="43"/>
  <c r="GO109" i="43"/>
  <c r="DP109" i="41"/>
  <c r="GO109" i="41" s="1"/>
  <c r="DP109" i="44"/>
  <c r="GO109" i="44" s="1"/>
  <c r="DP109" i="45"/>
  <c r="GO109" i="45"/>
  <c r="DV109" i="44"/>
  <c r="GU109" i="44"/>
  <c r="DV109" i="41"/>
  <c r="GU109" i="41" s="1"/>
  <c r="DV109" i="43"/>
  <c r="GU109" i="43" s="1"/>
  <c r="DV109" i="45"/>
  <c r="GU109" i="45"/>
  <c r="Q35" i="43"/>
  <c r="Q35" i="45"/>
  <c r="Q35" i="44"/>
  <c r="Q35" i="41"/>
  <c r="GX34" i="44"/>
  <c r="CS57" i="45"/>
  <c r="CS26" i="41"/>
  <c r="GU29" i="12"/>
  <c r="GP49" i="45"/>
  <c r="Z51" i="41"/>
  <c r="Z51" i="43"/>
  <c r="Z51" i="44"/>
  <c r="Z51" i="45"/>
  <c r="R55" i="45"/>
  <c r="R55" i="44"/>
  <c r="R55" i="43"/>
  <c r="R55" i="41"/>
  <c r="DX95" i="45"/>
  <c r="GW95" i="45"/>
  <c r="DU79" i="45"/>
  <c r="GT79" i="45"/>
  <c r="DU79" i="41"/>
  <c r="GT79" i="41"/>
  <c r="DU79" i="44"/>
  <c r="GT79" i="44"/>
  <c r="DU79" i="43"/>
  <c r="GT79" i="43"/>
  <c r="DQ99" i="41"/>
  <c r="GP99" i="41"/>
  <c r="DQ99" i="45"/>
  <c r="GP99" i="45"/>
  <c r="DQ99" i="43"/>
  <c r="GP99" i="43"/>
  <c r="DQ99" i="44"/>
  <c r="GP99" i="44"/>
  <c r="DY103" i="44"/>
  <c r="GX103" i="44"/>
  <c r="R19" i="43"/>
  <c r="R19" i="45"/>
  <c r="R19" i="44"/>
  <c r="R19" i="41"/>
  <c r="T57" i="45"/>
  <c r="T57" i="41"/>
  <c r="T57" i="43"/>
  <c r="V46" i="45"/>
  <c r="DY109" i="44"/>
  <c r="GX109" i="44" s="1"/>
  <c r="DY109" i="41"/>
  <c r="GX109" i="41"/>
  <c r="DY109" i="43"/>
  <c r="GX109" i="43"/>
  <c r="DY109" i="45"/>
  <c r="GX109" i="45"/>
  <c r="DV95" i="41"/>
  <c r="GU95" i="41"/>
  <c r="DV95" i="45"/>
  <c r="GU95" i="45"/>
  <c r="DV95" i="44"/>
  <c r="GU95" i="44" s="1"/>
  <c r="DV95" i="43"/>
  <c r="GU95" i="43"/>
  <c r="E199" i="12"/>
  <c r="H199" i="12"/>
  <c r="F199" i="12"/>
  <c r="G199" i="12"/>
  <c r="O19" i="41"/>
  <c r="DI19" i="41"/>
  <c r="O19" i="43"/>
  <c r="O19" i="45"/>
  <c r="O19" i="44"/>
  <c r="P35" i="44"/>
  <c r="P35" i="43"/>
  <c r="P35" i="41"/>
  <c r="P35" i="45"/>
  <c r="T55" i="41"/>
  <c r="T55" i="45"/>
  <c r="T55" i="43"/>
  <c r="T55" i="44"/>
  <c r="DW99" i="44"/>
  <c r="GV99" i="44" s="1"/>
  <c r="DW99" i="45"/>
  <c r="GV99" i="45"/>
  <c r="DW99" i="41"/>
  <c r="GV99" i="41" s="1"/>
  <c r="DW99" i="43"/>
  <c r="GV99" i="43" s="1"/>
  <c r="DW88" i="43"/>
  <c r="GV88" i="43" s="1"/>
  <c r="DW88" i="45"/>
  <c r="GV88" i="45"/>
  <c r="DW88" i="44"/>
  <c r="GV88" i="44" s="1"/>
  <c r="DW88" i="41"/>
  <c r="GV88" i="41" s="1"/>
  <c r="DC46" i="41"/>
  <c r="HH46" i="41" s="1"/>
  <c r="DC46" i="44"/>
  <c r="HH46" i="44" s="1"/>
  <c r="DC46" i="43"/>
  <c r="HH46" i="43"/>
  <c r="DC46" i="45"/>
  <c r="HH46" i="45" s="1"/>
  <c r="V19" i="43"/>
  <c r="V19" i="41"/>
  <c r="V19" i="44"/>
  <c r="V19" i="45"/>
  <c r="P56" i="44"/>
  <c r="P56" i="43"/>
  <c r="Q56" i="41"/>
  <c r="Q56" i="45"/>
  <c r="Q56" i="43"/>
  <c r="Q56" i="44"/>
  <c r="O35" i="44"/>
  <c r="O35" i="41"/>
  <c r="O35" i="43"/>
  <c r="O35" i="45"/>
  <c r="Z35" i="41"/>
  <c r="Z35" i="45"/>
  <c r="Z35" i="43"/>
  <c r="Z35" i="44"/>
  <c r="HB53" i="44"/>
  <c r="FK146" i="43"/>
  <c r="GO131" i="43"/>
  <c r="GW146" i="43" s="1"/>
  <c r="S57" i="41"/>
  <c r="S57" i="44"/>
  <c r="S57" i="45"/>
  <c r="S57" i="43"/>
  <c r="R57" i="45"/>
  <c r="DQ112" i="44"/>
  <c r="GP112" i="44"/>
  <c r="DQ112" i="41"/>
  <c r="GP112" i="41"/>
  <c r="DQ112" i="43"/>
  <c r="GP112" i="43"/>
  <c r="DQ112" i="45"/>
  <c r="GP112" i="45" s="1"/>
  <c r="DR80" i="45"/>
  <c r="GQ80" i="45"/>
  <c r="DR80" i="43"/>
  <c r="GQ80" i="43"/>
  <c r="DR80" i="44"/>
  <c r="GQ80" i="44"/>
  <c r="DR80" i="41"/>
  <c r="GQ80" i="41" s="1"/>
  <c r="S51" i="43"/>
  <c r="S51" i="41"/>
  <c r="S51" i="44"/>
  <c r="S51" i="45"/>
  <c r="Y51" i="41"/>
  <c r="Y51" i="45"/>
  <c r="Y51" i="43"/>
  <c r="Y51" i="44"/>
  <c r="X55" i="45"/>
  <c r="X55" i="43"/>
  <c r="X55" i="44"/>
  <c r="X55" i="41"/>
  <c r="GE30" i="43"/>
  <c r="GE30" i="41"/>
  <c r="GE30" i="44"/>
  <c r="GE30" i="45"/>
  <c r="DY95" i="41"/>
  <c r="GX95" i="41"/>
  <c r="DY95" i="45"/>
  <c r="GX95" i="45"/>
  <c r="DY95" i="43"/>
  <c r="GX95" i="43"/>
  <c r="DY95" i="44"/>
  <c r="GX95" i="44"/>
  <c r="O46" i="41"/>
  <c r="O46" i="43"/>
  <c r="O46" i="45"/>
  <c r="O46" i="44"/>
  <c r="X46" i="41"/>
  <c r="X46" i="45"/>
  <c r="X46" i="43"/>
  <c r="X46" i="44"/>
  <c r="DR79" i="45"/>
  <c r="GQ79" i="45"/>
  <c r="DR79" i="44"/>
  <c r="GQ79" i="44"/>
  <c r="DR79" i="41"/>
  <c r="GQ79" i="41"/>
  <c r="DR79" i="43"/>
  <c r="GQ79" i="43"/>
  <c r="DP100" i="41"/>
  <c r="GO100" i="41"/>
  <c r="DP100" i="45"/>
  <c r="GO100" i="45"/>
  <c r="DP100" i="43"/>
  <c r="GO100" i="43"/>
  <c r="DP100" i="44"/>
  <c r="GO100" i="44"/>
  <c r="G185" i="12"/>
  <c r="F185" i="12"/>
  <c r="H185" i="12"/>
  <c r="W45" i="44"/>
  <c r="W45" i="41"/>
  <c r="W45" i="43"/>
  <c r="W45" i="45"/>
  <c r="DU81" i="45"/>
  <c r="GT81" i="45"/>
  <c r="DU81" i="43"/>
  <c r="GT81" i="43"/>
  <c r="DU81" i="41"/>
  <c r="GT81" i="41"/>
  <c r="DU81" i="44"/>
  <c r="GT81" i="44"/>
  <c r="F207" i="12"/>
  <c r="H207" i="12"/>
  <c r="G207" i="12"/>
  <c r="E207" i="12"/>
  <c r="DT88" i="41"/>
  <c r="GS88" i="41"/>
  <c r="DT88" i="45"/>
  <c r="GS88" i="45"/>
  <c r="DT88" i="44"/>
  <c r="GS88" i="44" s="1"/>
  <c r="DT88" i="43"/>
  <c r="GS88" i="43" s="1"/>
  <c r="AW58" i="44"/>
  <c r="AW58" i="41"/>
  <c r="C58" i="44"/>
  <c r="BP58" i="41"/>
  <c r="GP58" i="43"/>
  <c r="CH58" i="44"/>
  <c r="GP58" i="45"/>
  <c r="CH58" i="45"/>
  <c r="AW58" i="43"/>
  <c r="AE58" i="44"/>
  <c r="CH58" i="41"/>
  <c r="DI36" i="44"/>
  <c r="HB36" i="44"/>
  <c r="CW46" i="43"/>
  <c r="CW46" i="41"/>
  <c r="CW46" i="44"/>
  <c r="CW46" i="45"/>
  <c r="HB46" i="45"/>
  <c r="DD46" i="41"/>
  <c r="HI46" i="41" s="1"/>
  <c r="DD46" i="44"/>
  <c r="HI46" i="44"/>
  <c r="DD46" i="43"/>
  <c r="HI46" i="43"/>
  <c r="DD46" i="45"/>
  <c r="HI46" i="45"/>
  <c r="DV113" i="41"/>
  <c r="GU113" i="41" s="1"/>
  <c r="DV113" i="45"/>
  <c r="GU113" i="45"/>
  <c r="DV113" i="43"/>
  <c r="GU113" i="43"/>
  <c r="DV113" i="44"/>
  <c r="GU113" i="44"/>
  <c r="O25" i="45"/>
  <c r="DI25" i="45"/>
  <c r="O25" i="43"/>
  <c r="DI25" i="43"/>
  <c r="O25" i="44"/>
  <c r="DI25" i="44"/>
  <c r="O25" i="41"/>
  <c r="DI25" i="41"/>
  <c r="V25" i="44"/>
  <c r="V25" i="43"/>
  <c r="V25" i="41"/>
  <c r="V25" i="45"/>
  <c r="F169" i="12"/>
  <c r="U19" i="45"/>
  <c r="U19" i="43"/>
  <c r="U19" i="44"/>
  <c r="U19" i="41"/>
  <c r="DX109" i="43"/>
  <c r="GW109" i="43"/>
  <c r="W35" i="43"/>
  <c r="GW49" i="41"/>
  <c r="HB47" i="44"/>
  <c r="BH57" i="45"/>
  <c r="Z46" i="43"/>
  <c r="Z46" i="41"/>
  <c r="Z46" i="44"/>
  <c r="Z46" i="45"/>
  <c r="S45" i="41"/>
  <c r="S45" i="45"/>
  <c r="S45" i="44"/>
  <c r="S45" i="43"/>
  <c r="DX88" i="41"/>
  <c r="GW88" i="41"/>
  <c r="DX88" i="45"/>
  <c r="GW88" i="45" s="1"/>
  <c r="DX88" i="44"/>
  <c r="GW88" i="44" s="1"/>
  <c r="DX88" i="43"/>
  <c r="GW88" i="43" s="1"/>
  <c r="GE23" i="45"/>
  <c r="U35" i="43"/>
  <c r="U35" i="44"/>
  <c r="U35" i="45"/>
  <c r="U35" i="41"/>
  <c r="S55" i="41"/>
  <c r="S55" i="45"/>
  <c r="S55" i="43"/>
  <c r="S55" i="44"/>
  <c r="DO95" i="44"/>
  <c r="GN95" i="44"/>
  <c r="DO95" i="45"/>
  <c r="GN95" i="45"/>
  <c r="DO95" i="43"/>
  <c r="GN95" i="43"/>
  <c r="DO95" i="41"/>
  <c r="GN95" i="41"/>
  <c r="DY79" i="41"/>
  <c r="GX79" i="41"/>
  <c r="DY79" i="44"/>
  <c r="GX79" i="44"/>
  <c r="DY79" i="43"/>
  <c r="GX79" i="43"/>
  <c r="DY79" i="45"/>
  <c r="GX79" i="45"/>
  <c r="DV103" i="41"/>
  <c r="GU103" i="41"/>
  <c r="DO88" i="43"/>
  <c r="GN88" i="43"/>
  <c r="DO88" i="41"/>
  <c r="GN88" i="41"/>
  <c r="DO88" i="44"/>
  <c r="GN88" i="44"/>
  <c r="DO88" i="45"/>
  <c r="GN88" i="45"/>
  <c r="Q55" i="41"/>
  <c r="Q55" i="43"/>
  <c r="Q55" i="45"/>
  <c r="Q55" i="44"/>
  <c r="DQ88" i="45"/>
  <c r="GP88" i="45"/>
  <c r="DQ88" i="44"/>
  <c r="GP88" i="44"/>
  <c r="DQ88" i="43"/>
  <c r="GP88" i="43"/>
  <c r="DQ88" i="41"/>
  <c r="GP88" i="41"/>
  <c r="DR113" i="44"/>
  <c r="GQ113" i="44" s="1"/>
  <c r="Z19" i="43"/>
  <c r="Z19" i="45"/>
  <c r="Z19" i="44"/>
  <c r="Z19" i="41"/>
  <c r="R45" i="41"/>
  <c r="R45" i="43"/>
  <c r="R45" i="44"/>
  <c r="R45" i="45"/>
  <c r="DP88" i="43"/>
  <c r="GO88" i="43"/>
  <c r="DP88" i="45"/>
  <c r="GO88" i="45"/>
  <c r="DP88" i="41"/>
  <c r="GO88" i="41"/>
  <c r="DP88" i="44"/>
  <c r="GO88" i="44"/>
  <c r="DO113" i="44"/>
  <c r="GN113" i="44"/>
  <c r="DO113" i="43"/>
  <c r="GN113" i="43"/>
  <c r="DO113" i="45"/>
  <c r="GN113" i="45"/>
  <c r="DO113" i="41"/>
  <c r="GN113" i="41"/>
  <c r="DW100" i="41"/>
  <c r="GV100" i="41"/>
  <c r="DW100" i="43"/>
  <c r="GV100" i="43"/>
  <c r="DW100" i="44"/>
  <c r="GV100" i="44"/>
  <c r="DW100" i="45"/>
  <c r="GV100" i="45"/>
  <c r="Q40" i="27"/>
  <c r="P40" i="27"/>
  <c r="B33" i="27"/>
  <c r="B40" i="27"/>
  <c r="C40" i="27"/>
  <c r="O57" i="41"/>
  <c r="O57" i="43"/>
  <c r="O57" i="44"/>
  <c r="O57" i="45"/>
  <c r="P57" i="44"/>
  <c r="P57" i="45"/>
  <c r="P57" i="41"/>
  <c r="P57" i="43"/>
  <c r="DV112" i="44"/>
  <c r="GU112" i="44"/>
  <c r="DV112" i="43"/>
  <c r="GU112" i="43" s="1"/>
  <c r="DV112" i="41"/>
  <c r="GU112" i="41" s="1"/>
  <c r="DV112" i="45"/>
  <c r="GU112" i="45"/>
  <c r="O51" i="44"/>
  <c r="O51" i="43"/>
  <c r="O51" i="45"/>
  <c r="O51" i="41"/>
  <c r="U51" i="41"/>
  <c r="U51" i="45"/>
  <c r="U51" i="43"/>
  <c r="U51" i="44"/>
  <c r="V55" i="43"/>
  <c r="V55" i="44"/>
  <c r="V55" i="45"/>
  <c r="V55" i="41"/>
  <c r="DT101" i="41"/>
  <c r="GS101" i="41"/>
  <c r="DT101" i="44"/>
  <c r="GS101" i="44" s="1"/>
  <c r="DT101" i="45"/>
  <c r="GS101" i="45" s="1"/>
  <c r="DT101" i="43"/>
  <c r="GS101" i="43" s="1"/>
  <c r="DP95" i="41"/>
  <c r="GO95" i="41"/>
  <c r="DP95" i="45"/>
  <c r="GO95" i="45"/>
  <c r="DP95" i="44"/>
  <c r="GO95" i="44" s="1"/>
  <c r="DP95" i="43"/>
  <c r="GO95" i="43" s="1"/>
  <c r="T46" i="43"/>
  <c r="T46" i="41"/>
  <c r="T46" i="45"/>
  <c r="T46" i="44"/>
  <c r="DO79" i="41"/>
  <c r="GN79" i="41" s="1"/>
  <c r="DO79" i="43"/>
  <c r="GN79" i="43" s="1"/>
  <c r="DO79" i="44"/>
  <c r="GN79" i="44"/>
  <c r="DO79" i="45"/>
  <c r="GN79" i="45" s="1"/>
  <c r="DZ100" i="41"/>
  <c r="GY100" i="41" s="1"/>
  <c r="DZ100" i="43"/>
  <c r="GY100" i="43" s="1"/>
  <c r="DZ100" i="45"/>
  <c r="GY100" i="45"/>
  <c r="DZ100" i="44"/>
  <c r="GY100" i="44"/>
  <c r="T45" i="41"/>
  <c r="T45" i="45"/>
  <c r="T45" i="43"/>
  <c r="T45" i="44"/>
  <c r="DS103" i="41"/>
  <c r="GR103" i="41" s="1"/>
  <c r="DY88" i="43"/>
  <c r="GX88" i="43"/>
  <c r="DY88" i="45"/>
  <c r="GX88" i="45"/>
  <c r="DY88" i="44"/>
  <c r="GX88" i="44"/>
  <c r="DY88" i="41"/>
  <c r="GX88" i="41"/>
  <c r="M58" i="44"/>
  <c r="DI36" i="45"/>
  <c r="HB36" i="45"/>
  <c r="DB46" i="44"/>
  <c r="HG46" i="44"/>
  <c r="DB46" i="43"/>
  <c r="HG46" i="43"/>
  <c r="DB46" i="41"/>
  <c r="HG46" i="41"/>
  <c r="DB46" i="45"/>
  <c r="HG46" i="45"/>
  <c r="CZ46" i="41"/>
  <c r="HE46" i="41"/>
  <c r="CZ46" i="43"/>
  <c r="HE46" i="43"/>
  <c r="CZ46" i="44"/>
  <c r="HE46" i="44"/>
  <c r="CZ46" i="45"/>
  <c r="HE46" i="45"/>
  <c r="W25" i="41"/>
  <c r="W25" i="43"/>
  <c r="W25" i="45"/>
  <c r="W25" i="44"/>
  <c r="DW101" i="44"/>
  <c r="GV101" i="44"/>
  <c r="DW101" i="45"/>
  <c r="GV101" i="45"/>
  <c r="DW101" i="43"/>
  <c r="GV101" i="43"/>
  <c r="DW101" i="41"/>
  <c r="GV101" i="41"/>
  <c r="Y19" i="44"/>
  <c r="Y19" i="43"/>
  <c r="Y19" i="45"/>
  <c r="U56" i="41"/>
  <c r="U56" i="45"/>
  <c r="U56" i="43"/>
  <c r="U56" i="44"/>
  <c r="DO109" i="44"/>
  <c r="GN109" i="44" s="1"/>
  <c r="X35" i="41"/>
  <c r="X35" i="45"/>
  <c r="X35" i="44"/>
  <c r="AP57" i="44"/>
  <c r="DI54" i="43"/>
  <c r="CS25" i="43"/>
  <c r="GW49" i="45"/>
  <c r="GX30" i="12"/>
  <c r="CA57" i="44"/>
  <c r="BH57" i="43"/>
  <c r="GP49" i="41"/>
  <c r="F34" i="41"/>
  <c r="AZ34" i="41"/>
  <c r="AH34" i="41"/>
  <c r="BS34" i="44"/>
  <c r="CK34" i="41"/>
  <c r="CK34" i="44"/>
  <c r="CK34" i="45"/>
  <c r="BS34" i="43"/>
  <c r="AH34" i="45"/>
  <c r="GS34" i="41"/>
  <c r="F34" i="43"/>
  <c r="BS34" i="45"/>
  <c r="BS34" i="41"/>
  <c r="AZ34" i="44"/>
  <c r="AZ34" i="43"/>
  <c r="F34" i="44"/>
  <c r="DS117" i="44"/>
  <c r="GR117" i="44"/>
  <c r="DS117" i="41"/>
  <c r="GR117" i="41"/>
  <c r="DS117" i="45"/>
  <c r="GR117" i="45"/>
  <c r="DS117" i="43"/>
  <c r="GR117" i="43"/>
  <c r="W31" i="44"/>
  <c r="GR76" i="44"/>
  <c r="O60" i="43"/>
  <c r="O60" i="41"/>
  <c r="DI60" i="41"/>
  <c r="O60" i="44"/>
  <c r="DI60" i="44" s="1"/>
  <c r="O60" i="45"/>
  <c r="DI60" i="45" s="1"/>
  <c r="Y41" i="41"/>
  <c r="Y41" i="44"/>
  <c r="Y41" i="43"/>
  <c r="Y41" i="45"/>
  <c r="DS84" i="43"/>
  <c r="GR84" i="43" s="1"/>
  <c r="DS84" i="44"/>
  <c r="GR84" i="44" s="1"/>
  <c r="DS84" i="41"/>
  <c r="GR84" i="41"/>
  <c r="DS84" i="45"/>
  <c r="GR84" i="45" s="1"/>
  <c r="DE57" i="45"/>
  <c r="HJ57" i="45" s="1"/>
  <c r="DE57" i="41"/>
  <c r="HJ57" i="41" s="1"/>
  <c r="DE57" i="43"/>
  <c r="HJ57" i="43" s="1"/>
  <c r="GT40" i="41"/>
  <c r="AI40" i="41"/>
  <c r="BA40" i="41"/>
  <c r="BT40" i="41"/>
  <c r="AI40" i="44"/>
  <c r="BA40" i="44"/>
  <c r="AI40" i="45"/>
  <c r="G40" i="44"/>
  <c r="CL40" i="44"/>
  <c r="BT40" i="45"/>
  <c r="G40" i="43"/>
  <c r="BA40" i="45"/>
  <c r="CL40" i="41"/>
  <c r="BA40" i="43"/>
  <c r="G40" i="41"/>
  <c r="BT40" i="43"/>
  <c r="AI40" i="43"/>
  <c r="BT40" i="44"/>
  <c r="GE26" i="45"/>
  <c r="GE26" i="41"/>
  <c r="GE26" i="44"/>
  <c r="GE26" i="43"/>
  <c r="R43" i="44"/>
  <c r="R43" i="45"/>
  <c r="R43" i="43"/>
  <c r="R43" i="41"/>
  <c r="DF24" i="41"/>
  <c r="HK24" i="41"/>
  <c r="DF24" i="45"/>
  <c r="HK24" i="45"/>
  <c r="DF24" i="44"/>
  <c r="HK24" i="44"/>
  <c r="DF24" i="43"/>
  <c r="HK24" i="43" s="1"/>
  <c r="DC28" i="45"/>
  <c r="HH28" i="45"/>
  <c r="DC28" i="44"/>
  <c r="HH28" i="44" s="1"/>
  <c r="GY34" i="41"/>
  <c r="BF34" i="41"/>
  <c r="BY34" i="41"/>
  <c r="AN34" i="44"/>
  <c r="CQ34" i="44"/>
  <c r="CQ34" i="41"/>
  <c r="AN34" i="45"/>
  <c r="AN34" i="43"/>
  <c r="L34" i="41"/>
  <c r="BY34" i="43"/>
  <c r="BF34" i="43"/>
  <c r="BF34" i="44"/>
  <c r="L34" i="43"/>
  <c r="AN34" i="41"/>
  <c r="BY34" i="44"/>
  <c r="BY34" i="45"/>
  <c r="CQ34" i="45"/>
  <c r="L34" i="44"/>
  <c r="BF34" i="45"/>
  <c r="DZ117" i="43"/>
  <c r="GY117" i="43"/>
  <c r="DZ117" i="41"/>
  <c r="GY117" i="41"/>
  <c r="DZ117" i="44"/>
  <c r="GY117" i="44"/>
  <c r="DZ117" i="45"/>
  <c r="GY117" i="45" s="1"/>
  <c r="Q31" i="43"/>
  <c r="G42" i="45"/>
  <c r="AI42" i="45"/>
  <c r="GT42" i="45"/>
  <c r="AI42" i="44"/>
  <c r="BT42" i="43"/>
  <c r="GT42" i="44"/>
  <c r="GT42" i="43"/>
  <c r="G42" i="44"/>
  <c r="CL42" i="43"/>
  <c r="BT42" i="41"/>
  <c r="CL42" i="45"/>
  <c r="CL42" i="44"/>
  <c r="BA42" i="43"/>
  <c r="BA42" i="41"/>
  <c r="AI42" i="41"/>
  <c r="G42" i="41"/>
  <c r="G42" i="43"/>
  <c r="BT42" i="44"/>
  <c r="CL42" i="41"/>
  <c r="BA42" i="44"/>
  <c r="BA42" i="45"/>
  <c r="AI42" i="43"/>
  <c r="GT42" i="41"/>
  <c r="HB44" i="43"/>
  <c r="HB37" i="44"/>
  <c r="DY84" i="44"/>
  <c r="GX84" i="44"/>
  <c r="DY84" i="41"/>
  <c r="GX84" i="41"/>
  <c r="DY84" i="45"/>
  <c r="GX84" i="45"/>
  <c r="DY84" i="43"/>
  <c r="GX84" i="43"/>
  <c r="DB57" i="45"/>
  <c r="HG57" i="45"/>
  <c r="DB57" i="41"/>
  <c r="HG57" i="41"/>
  <c r="DB57" i="44"/>
  <c r="HG57" i="44"/>
  <c r="DB57" i="43"/>
  <c r="HG57" i="43"/>
  <c r="GV40" i="41"/>
  <c r="BV40" i="41"/>
  <c r="I40" i="41"/>
  <c r="AK40" i="41"/>
  <c r="GV40" i="44"/>
  <c r="CN40" i="44"/>
  <c r="I40" i="44"/>
  <c r="I40" i="43"/>
  <c r="BC40" i="43"/>
  <c r="AM28" i="41"/>
  <c r="BE28" i="41"/>
  <c r="BX28" i="45"/>
  <c r="AM28" i="45"/>
  <c r="K28" i="45"/>
  <c r="BE28" i="44"/>
  <c r="K28" i="44"/>
  <c r="BX28" i="44"/>
  <c r="CP28" i="44"/>
  <c r="K28" i="43"/>
  <c r="AM28" i="44"/>
  <c r="BX28" i="43"/>
  <c r="BX28" i="41"/>
  <c r="GX28" i="44"/>
  <c r="CP28" i="43"/>
  <c r="CP28" i="45"/>
  <c r="AM28" i="43"/>
  <c r="K28" i="41"/>
  <c r="CP28" i="41"/>
  <c r="DE24" i="41"/>
  <c r="HJ24" i="41"/>
  <c r="DE24" i="45"/>
  <c r="HJ24" i="45"/>
  <c r="DE24" i="43"/>
  <c r="HJ24" i="43"/>
  <c r="DE24" i="44"/>
  <c r="HJ24" i="44"/>
  <c r="DA28" i="43"/>
  <c r="HF28" i="43" s="1"/>
  <c r="B34" i="41"/>
  <c r="CA34" i="41" s="1"/>
  <c r="GO34" i="41"/>
  <c r="AD34" i="41"/>
  <c r="AP34" i="41" s="1"/>
  <c r="CG34" i="41"/>
  <c r="CS34" i="41" s="1"/>
  <c r="BO34" i="41"/>
  <c r="BO34" i="45"/>
  <c r="AV34" i="41"/>
  <c r="BH34" i="41" s="1"/>
  <c r="CG34" i="45"/>
  <c r="AD34" i="44"/>
  <c r="CG34" i="44"/>
  <c r="CS34" i="44"/>
  <c r="BO34" i="43"/>
  <c r="CA34" i="43" s="1"/>
  <c r="AD34" i="45"/>
  <c r="AV34" i="43"/>
  <c r="B34" i="44"/>
  <c r="AP34" i="44" s="1"/>
  <c r="AD34" i="43"/>
  <c r="B34" i="43"/>
  <c r="AV34" i="44"/>
  <c r="BH34" i="44" s="1"/>
  <c r="BO34" i="44"/>
  <c r="CA34" i="44"/>
  <c r="AV34" i="45"/>
  <c r="P31" i="44"/>
  <c r="P31" i="43"/>
  <c r="P31" i="45"/>
  <c r="P31" i="41"/>
  <c r="DB26" i="44"/>
  <c r="HG26" i="44" s="1"/>
  <c r="DB26" i="43"/>
  <c r="HG26" i="43" s="1"/>
  <c r="DB26" i="45"/>
  <c r="HG26" i="45" s="1"/>
  <c r="DB26" i="41"/>
  <c r="HG26" i="41"/>
  <c r="DC57" i="41"/>
  <c r="HH57" i="41"/>
  <c r="DC57" i="44"/>
  <c r="HH57" i="44" s="1"/>
  <c r="DC57" i="43"/>
  <c r="HH57" i="43" s="1"/>
  <c r="DC57" i="45"/>
  <c r="HH57" i="45"/>
  <c r="CI40" i="41"/>
  <c r="GQ40" i="41"/>
  <c r="AX40" i="41"/>
  <c r="D40" i="41"/>
  <c r="AF40" i="41"/>
  <c r="AF40" i="45"/>
  <c r="D40" i="44"/>
  <c r="BQ40" i="41"/>
  <c r="AX40" i="43"/>
  <c r="BQ40" i="43"/>
  <c r="E44" i="41"/>
  <c r="CJ44" i="44"/>
  <c r="BR44" i="41"/>
  <c r="AG44" i="41"/>
  <c r="AY44" i="44"/>
  <c r="BR44" i="45"/>
  <c r="AG44" i="44"/>
  <c r="E44" i="43"/>
  <c r="BR44" i="43"/>
  <c r="CJ44" i="43"/>
  <c r="CJ44" i="45"/>
  <c r="BR44" i="44"/>
  <c r="AG44" i="43"/>
  <c r="AY44" i="41"/>
  <c r="E44" i="45"/>
  <c r="AY44" i="43"/>
  <c r="GR44" i="43"/>
  <c r="AG44" i="45"/>
  <c r="E44" i="44"/>
  <c r="GR44" i="44"/>
  <c r="CJ44" i="41"/>
  <c r="CZ24" i="44"/>
  <c r="HE24" i="44"/>
  <c r="CZ24" i="45"/>
  <c r="HE24" i="45"/>
  <c r="CZ24" i="43"/>
  <c r="HE24" i="43" s="1"/>
  <c r="CZ24" i="41"/>
  <c r="HE24" i="41"/>
  <c r="C46" i="45"/>
  <c r="CH46" i="41"/>
  <c r="BP46" i="45"/>
  <c r="BP46" i="43"/>
  <c r="C46" i="41"/>
  <c r="AW46" i="43"/>
  <c r="BP46" i="41"/>
  <c r="CH46" i="43"/>
  <c r="AW46" i="45"/>
  <c r="CH46" i="44"/>
  <c r="DB50" i="45"/>
  <c r="HG50" i="45" s="1"/>
  <c r="CY22" i="41"/>
  <c r="HD22" i="41" s="1"/>
  <c r="CY22" i="43"/>
  <c r="HD22" i="43" s="1"/>
  <c r="CY22" i="45"/>
  <c r="HD22" i="45"/>
  <c r="CY22" i="44"/>
  <c r="HD22" i="44"/>
  <c r="R60" i="44"/>
  <c r="R60" i="43"/>
  <c r="R60" i="41"/>
  <c r="R60" i="45"/>
  <c r="DG57" i="41"/>
  <c r="HL57" i="41"/>
  <c r="DG57" i="44"/>
  <c r="HL57" i="44"/>
  <c r="DG57" i="43"/>
  <c r="HL57" i="43"/>
  <c r="DG57" i="45"/>
  <c r="HL57" i="45"/>
  <c r="EL19" i="12"/>
  <c r="EE19" i="12"/>
  <c r="CW35" i="45" s="1"/>
  <c r="GW19" i="12"/>
  <c r="EJ19" i="12"/>
  <c r="DB35" i="44" s="1"/>
  <c r="HG35" i="44" s="1"/>
  <c r="EI19" i="12"/>
  <c r="EG19" i="12"/>
  <c r="EM19" i="12"/>
  <c r="EK19" i="12"/>
  <c r="DC35" i="41" s="1"/>
  <c r="HH35" i="41" s="1"/>
  <c r="DB24" i="45"/>
  <c r="HG24" i="45"/>
  <c r="CX28" i="45"/>
  <c r="HC28" i="45" s="1"/>
  <c r="CX28" i="44"/>
  <c r="HC28" i="44" s="1"/>
  <c r="CX28" i="41"/>
  <c r="HC28" i="41"/>
  <c r="CX28" i="43"/>
  <c r="HC28" i="43"/>
  <c r="GV79" i="41"/>
  <c r="H34" i="41"/>
  <c r="GU34" i="41"/>
  <c r="CM34" i="41"/>
  <c r="AJ34" i="45"/>
  <c r="CM34" i="45"/>
  <c r="BB34" i="41"/>
  <c r="AJ34" i="44"/>
  <c r="CM34" i="44"/>
  <c r="BU34" i="45"/>
  <c r="AJ34" i="43"/>
  <c r="H34" i="43"/>
  <c r="AJ34" i="41"/>
  <c r="BU34" i="44"/>
  <c r="BU34" i="41"/>
  <c r="H34" i="44"/>
  <c r="BB34" i="44"/>
  <c r="BU34" i="43"/>
  <c r="BB34" i="43"/>
  <c r="BB34" i="45"/>
  <c r="GE17" i="45"/>
  <c r="GE17" i="43"/>
  <c r="DU117" i="41"/>
  <c r="GT117" i="41"/>
  <c r="DU117" i="44"/>
  <c r="GT117" i="44" s="1"/>
  <c r="DU117" i="45"/>
  <c r="GT117" i="45" s="1"/>
  <c r="DU117" i="43"/>
  <c r="GT117" i="43"/>
  <c r="BE5" i="18"/>
  <c r="F46" i="44"/>
  <c r="AZ46" i="43"/>
  <c r="AH46" i="44"/>
  <c r="BS46" i="44"/>
  <c r="BS46" i="45"/>
  <c r="GS46" i="41"/>
  <c r="BS46" i="41"/>
  <c r="CK46" i="43"/>
  <c r="F46" i="43"/>
  <c r="BS46" i="43"/>
  <c r="AZ46" i="44"/>
  <c r="AZ46" i="41"/>
  <c r="AH46" i="45"/>
  <c r="F46" i="45"/>
  <c r="F46" i="41"/>
  <c r="AH46" i="43"/>
  <c r="AZ46" i="45"/>
  <c r="CK46" i="41"/>
  <c r="AH46" i="41"/>
  <c r="CK46" i="44"/>
  <c r="BA46" i="41"/>
  <c r="AI46" i="41"/>
  <c r="AI46" i="43"/>
  <c r="CL46" i="43"/>
  <c r="GT46" i="41"/>
  <c r="G46" i="41"/>
  <c r="G46" i="43"/>
  <c r="BA46" i="43"/>
  <c r="BT46" i="44"/>
  <c r="CL46" i="41"/>
  <c r="BT46" i="45"/>
  <c r="BT46" i="41"/>
  <c r="BA46" i="45"/>
  <c r="BA46" i="44"/>
  <c r="AI46" i="45"/>
  <c r="G46" i="44"/>
  <c r="G46" i="45"/>
  <c r="BT46" i="43"/>
  <c r="AI46" i="44"/>
  <c r="CL46" i="45"/>
  <c r="CL46" i="44"/>
  <c r="X31" i="44"/>
  <c r="X31" i="45"/>
  <c r="X31" i="43"/>
  <c r="X31" i="41"/>
  <c r="K42" i="45"/>
  <c r="AM42" i="45"/>
  <c r="AM42" i="41"/>
  <c r="BE42" i="44"/>
  <c r="BE42" i="41"/>
  <c r="BX42" i="41"/>
  <c r="BE42" i="45"/>
  <c r="BX42" i="44"/>
  <c r="AM42" i="44"/>
  <c r="CP42" i="44"/>
  <c r="BX42" i="43"/>
  <c r="CP42" i="41"/>
  <c r="GR76" i="43"/>
  <c r="EG5" i="12"/>
  <c r="GW5" i="12"/>
  <c r="EJ5" i="12"/>
  <c r="EN5" i="12"/>
  <c r="EK5" i="12"/>
  <c r="EL5" i="12"/>
  <c r="EO5" i="12"/>
  <c r="EM5" i="12"/>
  <c r="EF5" i="12"/>
  <c r="EH5" i="12"/>
  <c r="EE5" i="12"/>
  <c r="EI5" i="12"/>
  <c r="EP5" i="12"/>
  <c r="DA26" i="45"/>
  <c r="HF26" i="45"/>
  <c r="DA26" i="43"/>
  <c r="HF26" i="43" s="1"/>
  <c r="DA26" i="41"/>
  <c r="HF26" i="41"/>
  <c r="DA26" i="44"/>
  <c r="HF26" i="44"/>
  <c r="DI51" i="45"/>
  <c r="GE25" i="41"/>
  <c r="GE25" i="45"/>
  <c r="DG50" i="41"/>
  <c r="HL50" i="41"/>
  <c r="DG50" i="45"/>
  <c r="HL50" i="45"/>
  <c r="DG50" i="44"/>
  <c r="HL50" i="44"/>
  <c r="DG50" i="43"/>
  <c r="HL50" i="43" s="1"/>
  <c r="CW22" i="41"/>
  <c r="CW22" i="44"/>
  <c r="HB22" i="44" s="1"/>
  <c r="CW22" i="45"/>
  <c r="CW22" i="43"/>
  <c r="HB49" i="41"/>
  <c r="AW45" i="43"/>
  <c r="C45" i="43"/>
  <c r="CH45" i="41"/>
  <c r="AE45" i="44"/>
  <c r="AW45" i="41"/>
  <c r="CH45" i="44"/>
  <c r="C45" i="44"/>
  <c r="BP45" i="44"/>
  <c r="GP45" i="44"/>
  <c r="BP45" i="43"/>
  <c r="AW45" i="44"/>
  <c r="BP45" i="45"/>
  <c r="AE45" i="41"/>
  <c r="AW45" i="45"/>
  <c r="CH45" i="43"/>
  <c r="AE45" i="43"/>
  <c r="CH45" i="45"/>
  <c r="C45" i="45"/>
  <c r="BP45" i="41"/>
  <c r="C45" i="41"/>
  <c r="K45" i="45"/>
  <c r="BX45" i="43"/>
  <c r="AM45" i="43"/>
  <c r="BE45" i="43"/>
  <c r="K45" i="43"/>
  <c r="CP45" i="41"/>
  <c r="AM45" i="44"/>
  <c r="BE45" i="41"/>
  <c r="CP45" i="44"/>
  <c r="K45" i="44"/>
  <c r="BX45" i="41"/>
  <c r="CP45" i="45"/>
  <c r="AM45" i="41"/>
  <c r="BE45" i="45"/>
  <c r="K45" i="41"/>
  <c r="CP45" i="43"/>
  <c r="BX45" i="44"/>
  <c r="BX45" i="45"/>
  <c r="BE45" i="44"/>
  <c r="GX45" i="44"/>
  <c r="DI19" i="44"/>
  <c r="Y60" i="44"/>
  <c r="Y60" i="43"/>
  <c r="Y60" i="41"/>
  <c r="Y60" i="45"/>
  <c r="X60" i="41"/>
  <c r="X60" i="44"/>
  <c r="X60" i="43"/>
  <c r="X60" i="45"/>
  <c r="X41" i="45"/>
  <c r="X41" i="43"/>
  <c r="BF56" i="43"/>
  <c r="BY56" i="41"/>
  <c r="GY56" i="44"/>
  <c r="BF56" i="45"/>
  <c r="BF56" i="41"/>
  <c r="CQ56" i="43"/>
  <c r="AN56" i="44"/>
  <c r="AN56" i="45"/>
  <c r="BY56" i="44"/>
  <c r="BY56" i="45"/>
  <c r="CQ56" i="45"/>
  <c r="CY57" i="45"/>
  <c r="HD57" i="45"/>
  <c r="CY57" i="41"/>
  <c r="HD57" i="41"/>
  <c r="CY57" i="43"/>
  <c r="HD57" i="43"/>
  <c r="CY57" i="44"/>
  <c r="HD57" i="44"/>
  <c r="CX57" i="41"/>
  <c r="HC57" i="41"/>
  <c r="CX57" i="45"/>
  <c r="HC57" i="45"/>
  <c r="CX57" i="44"/>
  <c r="HC57" i="44"/>
  <c r="CX57" i="43"/>
  <c r="HC57" i="43"/>
  <c r="GQ76" i="43"/>
  <c r="GT76" i="45"/>
  <c r="AL60" i="41"/>
  <c r="BD60" i="41"/>
  <c r="BW60" i="41"/>
  <c r="BD60" i="45"/>
  <c r="GW60" i="41"/>
  <c r="J60" i="41"/>
  <c r="AL60" i="44"/>
  <c r="CO60" i="41"/>
  <c r="BW60" i="45"/>
  <c r="CO60" i="44"/>
  <c r="AL60" i="43"/>
  <c r="CO60" i="43"/>
  <c r="BD60" i="43"/>
  <c r="BW60" i="44"/>
  <c r="BW60" i="43"/>
  <c r="AL60" i="45"/>
  <c r="BD60" i="44"/>
  <c r="GW60" i="43"/>
  <c r="J60" i="43"/>
  <c r="J60" i="44"/>
  <c r="J60" i="45"/>
  <c r="CO60" i="45"/>
  <c r="BS28" i="41"/>
  <c r="AH28" i="41"/>
  <c r="AH28" i="45"/>
  <c r="BS28" i="44"/>
  <c r="AH28" i="44"/>
  <c r="AZ28" i="44"/>
  <c r="CK28" i="43"/>
  <c r="GS28" i="44"/>
  <c r="CK28" i="44"/>
  <c r="AH28" i="43"/>
  <c r="CK28" i="45"/>
  <c r="AZ28" i="41"/>
  <c r="F28" i="45"/>
  <c r="F28" i="44"/>
  <c r="BS28" i="45"/>
  <c r="BS28" i="43"/>
  <c r="F28" i="43"/>
  <c r="F28" i="41"/>
  <c r="CK28" i="41"/>
  <c r="GS28" i="43"/>
  <c r="EH4" i="12"/>
  <c r="EK4" i="12"/>
  <c r="EJ4" i="12"/>
  <c r="EM4" i="12"/>
  <c r="EI4" i="12"/>
  <c r="EG4" i="12"/>
  <c r="EO4" i="12"/>
  <c r="EE4" i="12"/>
  <c r="GW4" i="12"/>
  <c r="EN4" i="12"/>
  <c r="EP4" i="12"/>
  <c r="EF4" i="12"/>
  <c r="EL4" i="12"/>
  <c r="T34" i="41"/>
  <c r="Y34" i="41"/>
  <c r="Y34" i="44"/>
  <c r="Y34" i="43"/>
  <c r="S43" i="45"/>
  <c r="S43" i="44"/>
  <c r="S43" i="43"/>
  <c r="S43" i="41"/>
  <c r="U43" i="44"/>
  <c r="U43" i="43"/>
  <c r="U43" i="45"/>
  <c r="U43" i="41"/>
  <c r="I44" i="41"/>
  <c r="BV44" i="41"/>
  <c r="AK44" i="45"/>
  <c r="BC44" i="41"/>
  <c r="BV44" i="45"/>
  <c r="AK44" i="44"/>
  <c r="CN44" i="44"/>
  <c r="BC44" i="44"/>
  <c r="I44" i="45"/>
  <c r="CN44" i="45"/>
  <c r="BV44" i="44"/>
  <c r="I44" i="43"/>
  <c r="BC44" i="43"/>
  <c r="CN44" i="43"/>
  <c r="I44" i="44"/>
  <c r="BV44" i="43"/>
  <c r="AK44" i="41"/>
  <c r="GV44" i="43"/>
  <c r="GV44" i="44"/>
  <c r="AK44" i="43"/>
  <c r="CN44" i="41"/>
  <c r="BH25" i="44"/>
  <c r="GU34" i="44"/>
  <c r="CZ28" i="45"/>
  <c r="HE28" i="45" s="1"/>
  <c r="CZ28" i="43"/>
  <c r="HE28" i="43" s="1"/>
  <c r="CZ28" i="41"/>
  <c r="HE28" i="41"/>
  <c r="CZ28" i="44"/>
  <c r="HE28" i="44" s="1"/>
  <c r="C12" i="44"/>
  <c r="V31" i="41"/>
  <c r="V31" i="45"/>
  <c r="V31" i="44"/>
  <c r="V31" i="43"/>
  <c r="CZ50" i="44"/>
  <c r="HE50" i="44"/>
  <c r="CZ50" i="45"/>
  <c r="HE50" i="45"/>
  <c r="CZ50" i="41"/>
  <c r="HE50" i="41"/>
  <c r="CZ50" i="43"/>
  <c r="HE50" i="43"/>
  <c r="DF22" i="44"/>
  <c r="HK22" i="44"/>
  <c r="DF22" i="41"/>
  <c r="HK22" i="41"/>
  <c r="DF22" i="45"/>
  <c r="HK22" i="45"/>
  <c r="DF22" i="43"/>
  <c r="HK22" i="43"/>
  <c r="DB22" i="41"/>
  <c r="HG22" i="41"/>
  <c r="DB22" i="45"/>
  <c r="HG22" i="45"/>
  <c r="DB22" i="44"/>
  <c r="HG22" i="44"/>
  <c r="DB22" i="43"/>
  <c r="HG22" i="43"/>
  <c r="BX56" i="41"/>
  <c r="AM56" i="43"/>
  <c r="BE56" i="44"/>
  <c r="BE56" i="41"/>
  <c r="K56" i="43"/>
  <c r="GX56" i="44"/>
  <c r="AM56" i="44"/>
  <c r="GX56" i="41"/>
  <c r="K56" i="41"/>
  <c r="CP56" i="44"/>
  <c r="CP56" i="41"/>
  <c r="BX56" i="44"/>
  <c r="BX56" i="45"/>
  <c r="BE56" i="45"/>
  <c r="AM56" i="45"/>
  <c r="CP56" i="43"/>
  <c r="K56" i="45"/>
  <c r="BX56" i="43"/>
  <c r="K56" i="44"/>
  <c r="BE56" i="43"/>
  <c r="AM56" i="41"/>
  <c r="CP56" i="45"/>
  <c r="GW40" i="41"/>
  <c r="AL40" i="41"/>
  <c r="J40" i="41"/>
  <c r="BW40" i="41"/>
  <c r="AL40" i="44"/>
  <c r="CO40" i="44"/>
  <c r="AL40" i="45"/>
  <c r="CO40" i="41"/>
  <c r="BW40" i="45"/>
  <c r="BD40" i="43"/>
  <c r="GW40" i="44"/>
  <c r="BW40" i="43"/>
  <c r="BD40" i="45"/>
  <c r="BW40" i="44"/>
  <c r="J40" i="44"/>
  <c r="BD40" i="44"/>
  <c r="J40" i="43"/>
  <c r="AL40" i="43"/>
  <c r="BD40" i="41"/>
  <c r="BF28" i="41"/>
  <c r="BY28" i="41"/>
  <c r="CQ28" i="45"/>
  <c r="CQ28" i="44"/>
  <c r="AN28" i="45"/>
  <c r="GY28" i="44"/>
  <c r="L28" i="44"/>
  <c r="AN28" i="44"/>
  <c r="BY28" i="43"/>
  <c r="AN28" i="41"/>
  <c r="BY28" i="44"/>
  <c r="CQ28" i="43"/>
  <c r="AN28" i="43"/>
  <c r="BF28" i="44"/>
  <c r="L28" i="43"/>
  <c r="BY28" i="45"/>
  <c r="L28" i="45"/>
  <c r="GY28" i="43"/>
  <c r="L28" i="41"/>
  <c r="CQ28" i="41"/>
  <c r="Z34" i="44"/>
  <c r="Z34" i="41"/>
  <c r="Z34" i="43"/>
  <c r="X43" i="43"/>
  <c r="X43" i="44"/>
  <c r="X43" i="45"/>
  <c r="X43" i="41"/>
  <c r="DH24" i="44"/>
  <c r="HM24" i="44"/>
  <c r="DH24" i="43"/>
  <c r="HM24" i="43"/>
  <c r="DH24" i="41"/>
  <c r="HM24" i="41"/>
  <c r="DH24" i="45"/>
  <c r="HM24" i="45"/>
  <c r="BC5" i="18"/>
  <c r="Z31" i="41"/>
  <c r="Z31" i="44"/>
  <c r="Z31" i="45"/>
  <c r="Z31" i="43"/>
  <c r="CM42" i="43"/>
  <c r="H42" i="43"/>
  <c r="H42" i="44"/>
  <c r="GU42" i="45"/>
  <c r="AJ42" i="41"/>
  <c r="CM42" i="41"/>
  <c r="BB42" i="44"/>
  <c r="GU42" i="44"/>
  <c r="BU42" i="41"/>
  <c r="CM42" i="45"/>
  <c r="BB42" i="43"/>
  <c r="BB42" i="41"/>
  <c r="H42" i="45"/>
  <c r="CM42" i="44"/>
  <c r="BU42" i="44"/>
  <c r="GU42" i="43"/>
  <c r="BB42" i="45"/>
  <c r="AJ42" i="44"/>
  <c r="BU42" i="43"/>
  <c r="AJ42" i="43"/>
  <c r="AJ42" i="45"/>
  <c r="H42" i="41"/>
  <c r="GU42" i="41"/>
  <c r="DF26" i="45"/>
  <c r="HK26" i="45"/>
  <c r="DF26" i="41"/>
  <c r="HK26" i="41"/>
  <c r="DC50" i="44"/>
  <c r="HH50" i="44"/>
  <c r="DC50" i="41"/>
  <c r="HH50" i="41"/>
  <c r="DC50" i="43"/>
  <c r="HH50" i="43"/>
  <c r="DC50" i="45"/>
  <c r="HH50" i="45"/>
  <c r="CX22" i="45"/>
  <c r="HC22" i="45"/>
  <c r="CX22" i="43"/>
  <c r="HC22" i="43"/>
  <c r="BW45" i="43"/>
  <c r="CO45" i="43"/>
  <c r="CO45" i="41"/>
  <c r="CO45" i="44"/>
  <c r="BD45" i="43"/>
  <c r="BD45" i="41"/>
  <c r="BD45" i="44"/>
  <c r="AL45" i="43"/>
  <c r="BW45" i="44"/>
  <c r="BW45" i="41"/>
  <c r="GW45" i="44"/>
  <c r="BW45" i="45"/>
  <c r="AL45" i="44"/>
  <c r="BD45" i="45"/>
  <c r="J45" i="41"/>
  <c r="J45" i="45"/>
  <c r="J45" i="43"/>
  <c r="CO45" i="45"/>
  <c r="AL45" i="41"/>
  <c r="J45" i="44"/>
  <c r="R41" i="41"/>
  <c r="R41" i="45"/>
  <c r="R41" i="44"/>
  <c r="R41" i="43"/>
  <c r="H56" i="43"/>
  <c r="GU56" i="41"/>
  <c r="GU56" i="44"/>
  <c r="CM56" i="43"/>
  <c r="BU56" i="45"/>
  <c r="BU56" i="43"/>
  <c r="H56" i="41"/>
  <c r="BU56" i="41"/>
  <c r="BB56" i="44"/>
  <c r="AJ56" i="44"/>
  <c r="BB56" i="45"/>
  <c r="H56" i="45"/>
  <c r="BB56" i="41"/>
  <c r="CM56" i="41"/>
  <c r="AJ56" i="43"/>
  <c r="BU56" i="44"/>
  <c r="BB56" i="43"/>
  <c r="CM56" i="44"/>
  <c r="H56" i="44"/>
  <c r="AJ56" i="41"/>
  <c r="AJ56" i="45"/>
  <c r="CM56" i="45"/>
  <c r="AG28" i="41"/>
  <c r="BR28" i="44"/>
  <c r="AG28" i="44"/>
  <c r="E28" i="43"/>
  <c r="CJ28" i="41"/>
  <c r="H44" i="41"/>
  <c r="BU44" i="41"/>
  <c r="CM44" i="45"/>
  <c r="BB44" i="44"/>
  <c r="AJ44" i="41"/>
  <c r="AJ44" i="45"/>
  <c r="BU44" i="44"/>
  <c r="H44" i="45"/>
  <c r="BU44" i="45"/>
  <c r="AJ44" i="44"/>
  <c r="CM44" i="44"/>
  <c r="AJ44" i="43"/>
  <c r="CM44" i="43"/>
  <c r="BB44" i="41"/>
  <c r="H44" i="44"/>
  <c r="H44" i="43"/>
  <c r="BU44" i="43"/>
  <c r="GU44" i="44"/>
  <c r="BB44" i="43"/>
  <c r="GU44" i="43"/>
  <c r="CM44" i="41"/>
  <c r="DE22" i="41"/>
  <c r="HJ22" i="41"/>
  <c r="DE22" i="45"/>
  <c r="HJ22" i="45"/>
  <c r="DE22" i="43"/>
  <c r="HJ22" i="43"/>
  <c r="DE22" i="44"/>
  <c r="HJ22" i="44"/>
  <c r="Q60" i="43"/>
  <c r="Q60" i="44"/>
  <c r="Q60" i="41"/>
  <c r="Q60" i="45"/>
  <c r="Q41" i="41"/>
  <c r="Q41" i="43"/>
  <c r="Q41" i="45"/>
  <c r="Q41" i="44"/>
  <c r="DW84" i="45"/>
  <c r="GV84" i="45" s="1"/>
  <c r="DW84" i="43"/>
  <c r="DW84" i="44"/>
  <c r="GV84" i="44" s="1"/>
  <c r="DT84" i="44"/>
  <c r="DT84" i="45"/>
  <c r="DT84" i="43"/>
  <c r="DT84" i="41"/>
  <c r="GS84" i="41"/>
  <c r="GR60" i="41"/>
  <c r="AY60" i="41"/>
  <c r="GR60" i="44"/>
  <c r="BR60" i="44"/>
  <c r="CJ60" i="44"/>
  <c r="E60" i="45"/>
  <c r="AU5" i="18"/>
  <c r="I77" i="35"/>
  <c r="J77" i="35" s="1"/>
  <c r="K39" i="25"/>
  <c r="I79" i="35"/>
  <c r="J79" i="35" s="1"/>
  <c r="I74" i="35"/>
  <c r="J74" i="35" s="1"/>
  <c r="O39" i="25"/>
  <c r="L39" i="25"/>
  <c r="J39" i="25"/>
  <c r="I78" i="35"/>
  <c r="J78" i="35" s="1"/>
  <c r="I81" i="35"/>
  <c r="J81" i="35" s="1"/>
  <c r="I80" i="35"/>
  <c r="J80" i="35"/>
  <c r="I39" i="25"/>
  <c r="R31" i="43"/>
  <c r="R31" i="44"/>
  <c r="R31" i="41"/>
  <c r="R31" i="45"/>
  <c r="BQ45" i="44"/>
  <c r="CI45" i="45"/>
  <c r="GQ45" i="44"/>
  <c r="AX45" i="45"/>
  <c r="D45" i="45"/>
  <c r="D45" i="43"/>
  <c r="CI45" i="41"/>
  <c r="CI45" i="44"/>
  <c r="AX45" i="44"/>
  <c r="AX45" i="43"/>
  <c r="D45" i="44"/>
  <c r="CI45" i="43"/>
  <c r="CZ57" i="41"/>
  <c r="HE57" i="41"/>
  <c r="CZ57" i="45"/>
  <c r="HE57" i="45"/>
  <c r="CZ57" i="43"/>
  <c r="HE57" i="43"/>
  <c r="CZ57" i="44"/>
  <c r="HE57" i="44"/>
  <c r="DS115" i="45"/>
  <c r="GR115" i="45" s="1"/>
  <c r="BX40" i="41"/>
  <c r="K40" i="41"/>
  <c r="CP40" i="41"/>
  <c r="GX40" i="41"/>
  <c r="AM40" i="41"/>
  <c r="BX40" i="44"/>
  <c r="AM40" i="45"/>
  <c r="K40" i="44"/>
  <c r="CP40" i="44"/>
  <c r="AM40" i="44"/>
  <c r="BE40" i="45"/>
  <c r="BE40" i="44"/>
  <c r="BE40" i="41"/>
  <c r="AM40" i="43"/>
  <c r="K40" i="43"/>
  <c r="BE40" i="43"/>
  <c r="BX40" i="43"/>
  <c r="BX40" i="45"/>
  <c r="AI28" i="41"/>
  <c r="BT28" i="41"/>
  <c r="BA28" i="41"/>
  <c r="AI28" i="44"/>
  <c r="G28" i="45"/>
  <c r="BA28" i="44"/>
  <c r="BT28" i="45"/>
  <c r="CL28" i="44"/>
  <c r="AI28" i="45"/>
  <c r="G28" i="43"/>
  <c r="G28" i="44"/>
  <c r="BT28" i="43"/>
  <c r="BT28" i="44"/>
  <c r="CL28" i="43"/>
  <c r="AI28" i="43"/>
  <c r="CL28" i="45"/>
  <c r="GT28" i="44"/>
  <c r="CL28" i="41"/>
  <c r="G28" i="41"/>
  <c r="GT28" i="43"/>
  <c r="R34" i="43"/>
  <c r="R34" i="44"/>
  <c r="R34" i="41"/>
  <c r="W43" i="45"/>
  <c r="W43" i="43"/>
  <c r="W43" i="44"/>
  <c r="W43" i="41"/>
  <c r="BY44" i="41"/>
  <c r="BF44" i="41"/>
  <c r="AN44" i="41"/>
  <c r="AN44" i="45"/>
  <c r="CQ44" i="45"/>
  <c r="CQ44" i="43"/>
  <c r="BF44" i="43"/>
  <c r="BY44" i="44"/>
  <c r="BY44" i="43"/>
  <c r="BY44" i="45"/>
  <c r="CQ44" i="44"/>
  <c r="AN44" i="44"/>
  <c r="L44" i="44"/>
  <c r="GY44" i="44"/>
  <c r="GX76" i="45"/>
  <c r="K42" i="26"/>
  <c r="K43" i="26" s="1"/>
  <c r="K48" i="26" s="1"/>
  <c r="K49" i="26" s="1"/>
  <c r="C66" i="26" s="1"/>
  <c r="J42" i="26"/>
  <c r="J43" i="26" s="1"/>
  <c r="J48" i="26" s="1"/>
  <c r="J49" i="26"/>
  <c r="C65" i="26"/>
  <c r="DG28" i="43"/>
  <c r="HL28" i="43"/>
  <c r="DG28" i="44"/>
  <c r="HL28" i="44"/>
  <c r="DG28" i="41"/>
  <c r="HL28" i="41"/>
  <c r="DG28" i="45"/>
  <c r="HL28" i="45"/>
  <c r="HB27" i="43"/>
  <c r="AE34" i="41"/>
  <c r="AW34" i="41"/>
  <c r="C34" i="41"/>
  <c r="CH34" i="41"/>
  <c r="GP34" i="41"/>
  <c r="AE34" i="44"/>
  <c r="BP34" i="41"/>
  <c r="AE34" i="45"/>
  <c r="C34" i="44"/>
  <c r="CH34" i="44"/>
  <c r="BP34" i="43"/>
  <c r="BP34" i="44"/>
  <c r="C34" i="43"/>
  <c r="AW34" i="44"/>
  <c r="AE34" i="43"/>
  <c r="BP34" i="45"/>
  <c r="CH34" i="45"/>
  <c r="AW34" i="43"/>
  <c r="AW34" i="45"/>
  <c r="AF34" i="45"/>
  <c r="BQ34" i="41"/>
  <c r="AF34" i="44"/>
  <c r="DW117" i="45"/>
  <c r="GV117" i="45"/>
  <c r="DW117" i="43"/>
  <c r="GV117" i="43" s="1"/>
  <c r="DW117" i="44"/>
  <c r="GV117" i="44" s="1"/>
  <c r="DW117" i="41"/>
  <c r="GV117" i="41"/>
  <c r="BY46" i="43"/>
  <c r="L46" i="43"/>
  <c r="BF46" i="44"/>
  <c r="BY46" i="41"/>
  <c r="AN46" i="45"/>
  <c r="AN46" i="43"/>
  <c r="AN46" i="44"/>
  <c r="L46" i="44"/>
  <c r="BF46" i="45"/>
  <c r="AN46" i="41"/>
  <c r="L46" i="41"/>
  <c r="CQ46" i="43"/>
  <c r="BY46" i="44"/>
  <c r="CQ46" i="41"/>
  <c r="BF46" i="41"/>
  <c r="BF46" i="43"/>
  <c r="BY46" i="45"/>
  <c r="L46" i="45"/>
  <c r="GY46" i="41"/>
  <c r="CQ46" i="44"/>
  <c r="BW46" i="43"/>
  <c r="AL46" i="43"/>
  <c r="BD46" i="43"/>
  <c r="AL46" i="44"/>
  <c r="J46" i="41"/>
  <c r="BD46" i="45"/>
  <c r="J46" i="45"/>
  <c r="BD46" i="41"/>
  <c r="AL46" i="45"/>
  <c r="BD46" i="44"/>
  <c r="CO46" i="43"/>
  <c r="GW46" i="41"/>
  <c r="CO46" i="44"/>
  <c r="CJ42" i="41"/>
  <c r="E42" i="43"/>
  <c r="AY42" i="43"/>
  <c r="BR42" i="43"/>
  <c r="BR42" i="44"/>
  <c r="CJ42" i="43"/>
  <c r="AG42" i="44"/>
  <c r="GR42" i="45"/>
  <c r="AY42" i="41"/>
  <c r="AY42" i="45"/>
  <c r="CJ42" i="45"/>
  <c r="E42" i="41"/>
  <c r="BR42" i="41"/>
  <c r="AG42" i="43"/>
  <c r="E42" i="44"/>
  <c r="AG42" i="45"/>
  <c r="AY42" i="44"/>
  <c r="E42" i="45"/>
  <c r="CJ42" i="44"/>
  <c r="AG42" i="41"/>
  <c r="GR42" i="43"/>
  <c r="GR42" i="44"/>
  <c r="GR42" i="41"/>
  <c r="BC42" i="44"/>
  <c r="AK42" i="44"/>
  <c r="AK42" i="45"/>
  <c r="I42" i="44"/>
  <c r="I42" i="45"/>
  <c r="GV42" i="44"/>
  <c r="BC42" i="41"/>
  <c r="CN42" i="43"/>
  <c r="BC42" i="43"/>
  <c r="CN42" i="44"/>
  <c r="I42" i="41"/>
  <c r="CN42" i="45"/>
  <c r="BV42" i="41"/>
  <c r="GV42" i="43"/>
  <c r="I42" i="43"/>
  <c r="AK42" i="41"/>
  <c r="GV42" i="45"/>
  <c r="BV42" i="43"/>
  <c r="CN42" i="41"/>
  <c r="BV42" i="44"/>
  <c r="BC42" i="45"/>
  <c r="AK42" i="43"/>
  <c r="GV42" i="41"/>
  <c r="GR76" i="45"/>
  <c r="HB45" i="45"/>
  <c r="DG26" i="43"/>
  <c r="HL26" i="43"/>
  <c r="DG26" i="44"/>
  <c r="HL26" i="44"/>
  <c r="DG26" i="45"/>
  <c r="HL26" i="45"/>
  <c r="DG26" i="41"/>
  <c r="HL26" i="41"/>
  <c r="J42" i="15"/>
  <c r="J43" i="15"/>
  <c r="CY50" i="41"/>
  <c r="HD50" i="41"/>
  <c r="CY50" i="45"/>
  <c r="HD50" i="45" s="1"/>
  <c r="CY50" i="43"/>
  <c r="HD50" i="43" s="1"/>
  <c r="CY50" i="44"/>
  <c r="HD50" i="44"/>
  <c r="HB49" i="44"/>
  <c r="HB44" i="45"/>
  <c r="E45" i="41"/>
  <c r="E45" i="43"/>
  <c r="CJ45" i="44"/>
  <c r="AG45" i="44"/>
  <c r="BR45" i="44"/>
  <c r="E45" i="44"/>
  <c r="AY45" i="44"/>
  <c r="GR45" i="44"/>
  <c r="BR45" i="45"/>
  <c r="AG45" i="43"/>
  <c r="CJ45" i="45"/>
  <c r="CJ45" i="43"/>
  <c r="CJ45" i="41"/>
  <c r="AY45" i="45"/>
  <c r="BR45" i="43"/>
  <c r="AY45" i="41"/>
  <c r="BR45" i="41"/>
  <c r="AY45" i="43"/>
  <c r="E45" i="45"/>
  <c r="AG45" i="41"/>
  <c r="HB19" i="45"/>
  <c r="DI19" i="45"/>
  <c r="U60" i="44"/>
  <c r="U60" i="41"/>
  <c r="U60" i="43"/>
  <c r="U60" i="45"/>
  <c r="V60" i="44"/>
  <c r="V60" i="43"/>
  <c r="V60" i="41"/>
  <c r="V60" i="45"/>
  <c r="DP84" i="41"/>
  <c r="GO84" i="41" s="1"/>
  <c r="DP84" i="45"/>
  <c r="GO84" i="45" s="1"/>
  <c r="DP84" i="43"/>
  <c r="GO84" i="43"/>
  <c r="DP84" i="44"/>
  <c r="GO84" i="44" s="1"/>
  <c r="B56" i="43"/>
  <c r="CA56" i="43" s="1"/>
  <c r="GO56" i="41"/>
  <c r="BO56" i="45"/>
  <c r="AV56" i="45"/>
  <c r="BO56" i="43"/>
  <c r="AD56" i="44"/>
  <c r="AP56" i="44" s="1"/>
  <c r="B56" i="44"/>
  <c r="BO56" i="41"/>
  <c r="AD56" i="41"/>
  <c r="AP56" i="41"/>
  <c r="AV56" i="44"/>
  <c r="BH56" i="44"/>
  <c r="AV56" i="43"/>
  <c r="CG56" i="44"/>
  <c r="CS56" i="44" s="1"/>
  <c r="BO56" i="44"/>
  <c r="CA56" i="44"/>
  <c r="B56" i="45"/>
  <c r="GO56" i="44"/>
  <c r="AD56" i="45"/>
  <c r="AP56" i="45" s="1"/>
  <c r="CG56" i="43"/>
  <c r="AV56" i="41"/>
  <c r="AD56" i="43"/>
  <c r="AP56" i="43" s="1"/>
  <c r="CG56" i="41"/>
  <c r="CS56" i="41"/>
  <c r="B56" i="41"/>
  <c r="CG56" i="45"/>
  <c r="CS56" i="45" s="1"/>
  <c r="HM57" i="41"/>
  <c r="DH57" i="45"/>
  <c r="HM57" i="45"/>
  <c r="DH57" i="43"/>
  <c r="HM57" i="43" s="1"/>
  <c r="DH57" i="44"/>
  <c r="HM57" i="44" s="1"/>
  <c r="CW57" i="44"/>
  <c r="CW57" i="41"/>
  <c r="DI57" i="41" s="1"/>
  <c r="CW57" i="45"/>
  <c r="CW57" i="43"/>
  <c r="F40" i="41"/>
  <c r="AH40" i="41"/>
  <c r="AH40" i="45"/>
  <c r="AZ40" i="41"/>
  <c r="BS40" i="45"/>
  <c r="CK40" i="41"/>
  <c r="CK40" i="44"/>
  <c r="AZ40" i="43"/>
  <c r="BS40" i="44"/>
  <c r="AZ40" i="44"/>
  <c r="BS40" i="43"/>
  <c r="AZ40" i="45"/>
  <c r="AD28" i="45"/>
  <c r="CG28" i="41"/>
  <c r="Q34" i="43"/>
  <c r="Q34" i="44"/>
  <c r="Q34" i="41"/>
  <c r="X34" i="43"/>
  <c r="X34" i="44"/>
  <c r="X34" i="41"/>
  <c r="DI29" i="45"/>
  <c r="HB29" i="45"/>
  <c r="G188" i="12"/>
  <c r="F188" i="12"/>
  <c r="E188" i="12"/>
  <c r="H188" i="12"/>
  <c r="Z43" i="44"/>
  <c r="Z43" i="43"/>
  <c r="Z43" i="45"/>
  <c r="Z43" i="41"/>
  <c r="BP44" i="41"/>
  <c r="AW44" i="41"/>
  <c r="CH44" i="45"/>
  <c r="C44" i="44"/>
  <c r="BP44" i="44"/>
  <c r="CH44" i="44"/>
  <c r="AE44" i="41"/>
  <c r="AE44" i="45"/>
  <c r="BP44" i="45"/>
  <c r="AE44" i="44"/>
  <c r="C44" i="41"/>
  <c r="AW44" i="43"/>
  <c r="C44" i="43"/>
  <c r="BP44" i="43"/>
  <c r="CH44" i="43"/>
  <c r="AE44" i="43"/>
  <c r="AW44" i="44"/>
  <c r="C44" i="45"/>
  <c r="GP44" i="44"/>
  <c r="GP44" i="43"/>
  <c r="CH44" i="41"/>
  <c r="BX44" i="45"/>
  <c r="BE44" i="43"/>
  <c r="BX44" i="43"/>
  <c r="GX76" i="43"/>
  <c r="DA24" i="41"/>
  <c r="HF24" i="41"/>
  <c r="DA24" i="45"/>
  <c r="HF24" i="45"/>
  <c r="DA24" i="43"/>
  <c r="HF24" i="43" s="1"/>
  <c r="DA24" i="44"/>
  <c r="HF24" i="44" s="1"/>
  <c r="AP25" i="45"/>
  <c r="GY34" i="44"/>
  <c r="CA25" i="44"/>
  <c r="AP25" i="41"/>
  <c r="GY44" i="41"/>
  <c r="J34" i="41"/>
  <c r="BW34" i="41"/>
  <c r="AL34" i="45"/>
  <c r="BD34" i="41"/>
  <c r="AL34" i="44"/>
  <c r="CO34" i="44"/>
  <c r="BW34" i="45"/>
  <c r="BD34" i="44"/>
  <c r="AL34" i="41"/>
  <c r="BW34" i="44"/>
  <c r="AL34" i="43"/>
  <c r="J34" i="43"/>
  <c r="GW34" i="41"/>
  <c r="CO34" i="41"/>
  <c r="BD34" i="43"/>
  <c r="J34" i="44"/>
  <c r="CO34" i="45"/>
  <c r="BW34" i="43"/>
  <c r="BD34" i="45"/>
  <c r="DY117" i="45"/>
  <c r="GX117" i="45" s="1"/>
  <c r="DY117" i="43"/>
  <c r="GX117" i="43"/>
  <c r="DY117" i="44"/>
  <c r="GX117" i="44"/>
  <c r="DY117" i="41"/>
  <c r="GX117" i="41"/>
  <c r="AV5" i="18"/>
  <c r="AO46" i="41"/>
  <c r="CR46" i="41"/>
  <c r="BG46" i="45"/>
  <c r="BZ46" i="43"/>
  <c r="M46" i="41"/>
  <c r="BZ46" i="41"/>
  <c r="CR46" i="43"/>
  <c r="AO46" i="43"/>
  <c r="BG46" i="41"/>
  <c r="BG46" i="43"/>
  <c r="M46" i="43"/>
  <c r="M46" i="45"/>
  <c r="BG46" i="44"/>
  <c r="AO46" i="45"/>
  <c r="M46" i="44"/>
  <c r="BZ46" i="44"/>
  <c r="AO46" i="44"/>
  <c r="BZ46" i="45"/>
  <c r="GZ46" i="41"/>
  <c r="CR46" i="44"/>
  <c r="BG42" i="44"/>
  <c r="AO42" i="45"/>
  <c r="AO42" i="41"/>
  <c r="BG42" i="45"/>
  <c r="M42" i="45"/>
  <c r="BZ42" i="41"/>
  <c r="CR42" i="41"/>
  <c r="CR42" i="45"/>
  <c r="GZ42" i="43"/>
  <c r="CR42" i="43"/>
  <c r="AO42" i="44"/>
  <c r="GZ42" i="44"/>
  <c r="M42" i="44"/>
  <c r="M42" i="43"/>
  <c r="BG42" i="41"/>
  <c r="BG42" i="43"/>
  <c r="BZ42" i="43"/>
  <c r="GZ42" i="45"/>
  <c r="CR42" i="44"/>
  <c r="M42" i="41"/>
  <c r="AO42" i="43"/>
  <c r="BZ42" i="44"/>
  <c r="GZ42" i="41"/>
  <c r="HB45" i="41"/>
  <c r="DE50" i="44"/>
  <c r="HJ50" i="44"/>
  <c r="DE50" i="43"/>
  <c r="HJ50" i="43" s="1"/>
  <c r="DE50" i="41"/>
  <c r="HJ50" i="41" s="1"/>
  <c r="DE50" i="45"/>
  <c r="HJ50" i="45" s="1"/>
  <c r="S41" i="43"/>
  <c r="S41" i="44"/>
  <c r="S41" i="41"/>
  <c r="S41" i="45"/>
  <c r="BZ60" i="41"/>
  <c r="BG60" i="41"/>
  <c r="CR60" i="44"/>
  <c r="CR60" i="41"/>
  <c r="BG60" i="45"/>
  <c r="BZ60" i="44"/>
  <c r="CR60" i="43"/>
  <c r="M60" i="44"/>
  <c r="AO60" i="44"/>
  <c r="BG60" i="44"/>
  <c r="M60" i="43"/>
  <c r="GZ60" i="41"/>
  <c r="M60" i="45"/>
  <c r="CR60" i="45"/>
  <c r="FW130" i="45"/>
  <c r="FW145" i="45"/>
  <c r="B130" i="45"/>
  <c r="AD130" i="45"/>
  <c r="AD145" i="45" s="1"/>
  <c r="BO130" i="45"/>
  <c r="BR145" i="45"/>
  <c r="BU145" i="45" s="1"/>
  <c r="BO151" i="45" s="1"/>
  <c r="ER3" i="45"/>
  <c r="ER130" i="45"/>
  <c r="DO130" i="45"/>
  <c r="CX130" i="45"/>
  <c r="CX145" i="45" s="1"/>
  <c r="FC130" i="45"/>
  <c r="FC145" i="45"/>
  <c r="AV130" i="45"/>
  <c r="AY145" i="45"/>
  <c r="CG130" i="45"/>
  <c r="CG145" i="45"/>
  <c r="BT44" i="41"/>
  <c r="BA44" i="41"/>
  <c r="G44" i="41"/>
  <c r="AI44" i="41"/>
  <c r="AI44" i="45"/>
  <c r="G44" i="45"/>
  <c r="CL44" i="45"/>
  <c r="G44" i="44"/>
  <c r="BT44" i="44"/>
  <c r="CL44" i="43"/>
  <c r="BA44" i="44"/>
  <c r="CL44" i="44"/>
  <c r="AI44" i="43"/>
  <c r="BT44" i="43"/>
  <c r="G44" i="43"/>
  <c r="BT44" i="45"/>
  <c r="BA44" i="43"/>
  <c r="AI44" i="44"/>
  <c r="GT44" i="43"/>
  <c r="GT44" i="44"/>
  <c r="CL44" i="41"/>
  <c r="DB28" i="45"/>
  <c r="HG28" i="45"/>
  <c r="DB28" i="44"/>
  <c r="HG28" i="44"/>
  <c r="DB28" i="41"/>
  <c r="HG28" i="41"/>
  <c r="DB28" i="43"/>
  <c r="HG28" i="43"/>
  <c r="DV117" i="43"/>
  <c r="GU117" i="43"/>
  <c r="DV117" i="41"/>
  <c r="GU117" i="41" s="1"/>
  <c r="DV117" i="44"/>
  <c r="GU117" i="44"/>
  <c r="DV117" i="45"/>
  <c r="GU117" i="45"/>
  <c r="CZ22" i="45"/>
  <c r="HE22" i="45"/>
  <c r="CZ22" i="43"/>
  <c r="HE22" i="43" s="1"/>
  <c r="P41" i="41"/>
  <c r="P41" i="44"/>
  <c r="P41" i="43"/>
  <c r="P41" i="45"/>
  <c r="DR84" i="44"/>
  <c r="GQ84" i="44"/>
  <c r="DR84" i="41"/>
  <c r="GQ84" i="41"/>
  <c r="DR84" i="43"/>
  <c r="GQ84" i="43"/>
  <c r="DR84" i="45"/>
  <c r="GQ84" i="45"/>
  <c r="GQ76" i="41"/>
  <c r="O34" i="43"/>
  <c r="DI34" i="43" s="1"/>
  <c r="O34" i="44"/>
  <c r="DI34" i="44" s="1"/>
  <c r="O34" i="41"/>
  <c r="DI34" i="41"/>
  <c r="T43" i="43"/>
  <c r="T43" i="45"/>
  <c r="T43" i="44"/>
  <c r="T43" i="41"/>
  <c r="BZ44" i="41"/>
  <c r="BG44" i="41"/>
  <c r="M44" i="45"/>
  <c r="M44" i="41"/>
  <c r="BZ44" i="45"/>
  <c r="AO44" i="44"/>
  <c r="CR44" i="45"/>
  <c r="M44" i="44"/>
  <c r="BZ44" i="44"/>
  <c r="AO44" i="45"/>
  <c r="BG44" i="45"/>
  <c r="BG44" i="44"/>
  <c r="CR44" i="44"/>
  <c r="AO44" i="43"/>
  <c r="BG44" i="43"/>
  <c r="CR44" i="43"/>
  <c r="AO44" i="41"/>
  <c r="M44" i="43"/>
  <c r="GZ44" i="44"/>
  <c r="BZ44" i="43"/>
  <c r="GZ44" i="43"/>
  <c r="CR44" i="41"/>
  <c r="DD24" i="41"/>
  <c r="HI24" i="41" s="1"/>
  <c r="DD24" i="44"/>
  <c r="HI24" i="44"/>
  <c r="DD24" i="43"/>
  <c r="HI24" i="43"/>
  <c r="DD24" i="45"/>
  <c r="HI24" i="45"/>
  <c r="GW76" i="45"/>
  <c r="DO117" i="41"/>
  <c r="GN117" i="41" s="1"/>
  <c r="DO117" i="43"/>
  <c r="GN117" i="43" s="1"/>
  <c r="DO84" i="44"/>
  <c r="GN84" i="44" s="1"/>
  <c r="DO84" i="41"/>
  <c r="GN84" i="41" s="1"/>
  <c r="DO84" i="45"/>
  <c r="GN84" i="45" s="1"/>
  <c r="DO84" i="43"/>
  <c r="GN84" i="43" s="1"/>
  <c r="BX46" i="41"/>
  <c r="BE46" i="45"/>
  <c r="BX46" i="43"/>
  <c r="AM46" i="41"/>
  <c r="BX46" i="44"/>
  <c r="AM46" i="44"/>
  <c r="BE46" i="44"/>
  <c r="T31" i="43"/>
  <c r="T31" i="44"/>
  <c r="DA50" i="44"/>
  <c r="HF50" i="44" s="1"/>
  <c r="DA50" i="45"/>
  <c r="HF50" i="45" s="1"/>
  <c r="DA50" i="41"/>
  <c r="HF50" i="41" s="1"/>
  <c r="DA50" i="43"/>
  <c r="HF50" i="43" s="1"/>
  <c r="DA22" i="41"/>
  <c r="HF22" i="41" s="1"/>
  <c r="DA22" i="44"/>
  <c r="HF22" i="44" s="1"/>
  <c r="DA22" i="45"/>
  <c r="HF22" i="45" s="1"/>
  <c r="DA22" i="43"/>
  <c r="HF22" i="43" s="1"/>
  <c r="BF45" i="41"/>
  <c r="AN45" i="43"/>
  <c r="BY45" i="44"/>
  <c r="L45" i="43"/>
  <c r="CQ45" i="44"/>
  <c r="BF45" i="43"/>
  <c r="GY45" i="44"/>
  <c r="AN45" i="44"/>
  <c r="BY45" i="41"/>
  <c r="L45" i="44"/>
  <c r="L45" i="45"/>
  <c r="CQ45" i="43"/>
  <c r="BF45" i="45"/>
  <c r="CQ45" i="41"/>
  <c r="L45" i="41"/>
  <c r="BY45" i="43"/>
  <c r="AN45" i="41"/>
  <c r="CQ45" i="45"/>
  <c r="BY45" i="45"/>
  <c r="BF45" i="44"/>
  <c r="HB19" i="41"/>
  <c r="AH44" i="41"/>
  <c r="BS44" i="41"/>
  <c r="CK44" i="45"/>
  <c r="AZ44" i="44"/>
  <c r="AZ44" i="41"/>
  <c r="F44" i="43"/>
  <c r="BS44" i="44"/>
  <c r="F44" i="45"/>
  <c r="BS44" i="45"/>
  <c r="AH44" i="43"/>
  <c r="CK44" i="43"/>
  <c r="F44" i="44"/>
  <c r="GS44" i="43"/>
  <c r="AZ44" i="43"/>
  <c r="CK44" i="44"/>
  <c r="GS44" i="44"/>
  <c r="CK44" i="41"/>
  <c r="CW24" i="41"/>
  <c r="CW24" i="45"/>
  <c r="CW24" i="44"/>
  <c r="CW24" i="43"/>
  <c r="DI23" i="45"/>
  <c r="BR46" i="45"/>
  <c r="AG46" i="41"/>
  <c r="CJ46" i="41"/>
  <c r="AY46" i="45"/>
  <c r="BR46" i="43"/>
  <c r="E46" i="41"/>
  <c r="BR46" i="41"/>
  <c r="CJ46" i="43"/>
  <c r="AG46" i="43"/>
  <c r="AG46" i="45"/>
  <c r="E46" i="44"/>
  <c r="E46" i="45"/>
  <c r="AY46" i="41"/>
  <c r="E46" i="43"/>
  <c r="GR46" i="41"/>
  <c r="BR46" i="44"/>
  <c r="AG46" i="44"/>
  <c r="AY46" i="43"/>
  <c r="AY46" i="44"/>
  <c r="CJ46" i="44"/>
  <c r="Y31" i="41"/>
  <c r="Y31" i="43"/>
  <c r="Y31" i="45"/>
  <c r="Y31" i="44"/>
  <c r="L42" i="43"/>
  <c r="BY42" i="44"/>
  <c r="BF42" i="45"/>
  <c r="BY42" i="43"/>
  <c r="AN42" i="41"/>
  <c r="L42" i="41"/>
  <c r="AN42" i="45"/>
  <c r="GY42" i="43"/>
  <c r="CQ42" i="41"/>
  <c r="HB45" i="44"/>
  <c r="DI45" i="44"/>
  <c r="DC26" i="44"/>
  <c r="HH26" i="44" s="1"/>
  <c r="DC26" i="43"/>
  <c r="HH26" i="43" s="1"/>
  <c r="DC26" i="41"/>
  <c r="HH26" i="41" s="1"/>
  <c r="DC26" i="45"/>
  <c r="HH26" i="45" s="1"/>
  <c r="DV84" i="41"/>
  <c r="DV84" i="45"/>
  <c r="DV84" i="44"/>
  <c r="GU84" i="44" s="1"/>
  <c r="DV84" i="43"/>
  <c r="GU84" i="43" s="1"/>
  <c r="BR56" i="45"/>
  <c r="AY56" i="41"/>
  <c r="AY56" i="45"/>
  <c r="AG56" i="44"/>
  <c r="AG56" i="41"/>
  <c r="AY56" i="43"/>
  <c r="E56" i="44"/>
  <c r="GR56" i="44"/>
  <c r="BR56" i="43"/>
  <c r="E56" i="41"/>
  <c r="AG56" i="45"/>
  <c r="GR56" i="41"/>
  <c r="E56" i="45"/>
  <c r="BR56" i="44"/>
  <c r="CJ56" i="44"/>
  <c r="CJ56" i="45"/>
  <c r="M40" i="41"/>
  <c r="CR40" i="41"/>
  <c r="BG40" i="41"/>
  <c r="BZ40" i="41"/>
  <c r="AO40" i="45"/>
  <c r="M40" i="44"/>
  <c r="CR40" i="44"/>
  <c r="BG40" i="45"/>
  <c r="GZ40" i="41"/>
  <c r="BZ40" i="45"/>
  <c r="BG40" i="44"/>
  <c r="AO40" i="43"/>
  <c r="AO40" i="44"/>
  <c r="BG40" i="43"/>
  <c r="GZ40" i="44"/>
  <c r="AO40" i="41"/>
  <c r="BZ40" i="44"/>
  <c r="M40" i="43"/>
  <c r="BZ40" i="43"/>
  <c r="W34" i="41"/>
  <c r="W34" i="44"/>
  <c r="DI29" i="44"/>
  <c r="HB29" i="44"/>
  <c r="Y43" i="45"/>
  <c r="Y43" i="44"/>
  <c r="Y43" i="43"/>
  <c r="Y43" i="41"/>
  <c r="BD44" i="41"/>
  <c r="BW44" i="41"/>
  <c r="AL44" i="45"/>
  <c r="BW44" i="44"/>
  <c r="AL44" i="41"/>
  <c r="J44" i="45"/>
  <c r="AL44" i="43"/>
  <c r="CO44" i="43"/>
  <c r="BW44" i="45"/>
  <c r="BD44" i="44"/>
  <c r="BD44" i="43"/>
  <c r="J44" i="44"/>
  <c r="AL44" i="44"/>
  <c r="J44" i="41"/>
  <c r="CO44" i="45"/>
  <c r="J44" i="43"/>
  <c r="GW44" i="43"/>
  <c r="GW44" i="44"/>
  <c r="CO44" i="44"/>
  <c r="BW44" i="43"/>
  <c r="CO44" i="41"/>
  <c r="CW28" i="43"/>
  <c r="CW28" i="44"/>
  <c r="CW28" i="45"/>
  <c r="CW28" i="41"/>
  <c r="DH28" i="45"/>
  <c r="HM28" i="45"/>
  <c r="DH28" i="44"/>
  <c r="HM28" i="44"/>
  <c r="DH28" i="41"/>
  <c r="HM28" i="41"/>
  <c r="DH28" i="43"/>
  <c r="HM28" i="43"/>
  <c r="HB27" i="44"/>
  <c r="GW76" i="43"/>
  <c r="BX34" i="41"/>
  <c r="GX34" i="41"/>
  <c r="K34" i="41"/>
  <c r="CP34" i="41"/>
  <c r="BE34" i="41"/>
  <c r="K34" i="45"/>
  <c r="CP34" i="45"/>
  <c r="BX34" i="44"/>
  <c r="BX34" i="45"/>
  <c r="BE34" i="44"/>
  <c r="AM34" i="41"/>
  <c r="K34" i="44"/>
  <c r="AM34" i="43"/>
  <c r="AM34" i="45"/>
  <c r="BE34" i="43"/>
  <c r="K34" i="43"/>
  <c r="AM34" i="44"/>
  <c r="CP34" i="44"/>
  <c r="BX34" i="43"/>
  <c r="BE34" i="45"/>
  <c r="GZ34" i="41"/>
  <c r="AO34" i="41"/>
  <c r="M34" i="44"/>
  <c r="AO34" i="44"/>
  <c r="BG34" i="44"/>
  <c r="M34" i="43"/>
  <c r="DR117" i="43"/>
  <c r="GQ117" i="43"/>
  <c r="DR117" i="41"/>
  <c r="GQ117" i="41" s="1"/>
  <c r="DR117" i="44"/>
  <c r="GQ117" i="44" s="1"/>
  <c r="DR117" i="45"/>
  <c r="GQ117" i="45" s="1"/>
  <c r="AS5" i="18"/>
  <c r="B46" i="44"/>
  <c r="B46" i="43"/>
  <c r="CA46" i="43" s="1"/>
  <c r="B46" i="41"/>
  <c r="AV46" i="45"/>
  <c r="BH46" i="45" s="1"/>
  <c r="B46" i="45"/>
  <c r="AV46" i="43"/>
  <c r="BH46" i="43"/>
  <c r="GO46" i="41"/>
  <c r="BO46" i="41"/>
  <c r="CA46" i="41" s="1"/>
  <c r="CG46" i="41"/>
  <c r="CG46" i="45"/>
  <c r="CS46" i="45" s="1"/>
  <c r="AV46" i="44"/>
  <c r="BH46" i="44"/>
  <c r="CG46" i="43"/>
  <c r="CS46" i="43" s="1"/>
  <c r="AD46" i="41"/>
  <c r="BO46" i="45"/>
  <c r="AV46" i="41"/>
  <c r="BO46" i="44"/>
  <c r="CA46" i="44" s="1"/>
  <c r="BO46" i="43"/>
  <c r="AD46" i="45"/>
  <c r="AP46" i="45"/>
  <c r="AD46" i="43"/>
  <c r="AP46" i="43"/>
  <c r="AD46" i="44"/>
  <c r="AP46" i="44"/>
  <c r="CG46" i="44"/>
  <c r="U31" i="45"/>
  <c r="U31" i="41"/>
  <c r="U31" i="43"/>
  <c r="U31" i="44"/>
  <c r="F42" i="43"/>
  <c r="F42" i="44"/>
  <c r="GS42" i="43"/>
  <c r="AZ42" i="43"/>
  <c r="CK42" i="44"/>
  <c r="BS42" i="43"/>
  <c r="GS42" i="45"/>
  <c r="BS42" i="44"/>
  <c r="AH42" i="43"/>
  <c r="AZ42" i="41"/>
  <c r="AZ42" i="45"/>
  <c r="AH42" i="45"/>
  <c r="F42" i="45"/>
  <c r="CK42" i="43"/>
  <c r="F42" i="41"/>
  <c r="AH42" i="41"/>
  <c r="BS42" i="41"/>
  <c r="AH42" i="44"/>
  <c r="AZ42" i="44"/>
  <c r="CK42" i="45"/>
  <c r="GS42" i="44"/>
  <c r="CK42" i="41"/>
  <c r="GS42" i="41"/>
  <c r="D42" i="43"/>
  <c r="AX42" i="43"/>
  <c r="D42" i="44"/>
  <c r="BQ42" i="41"/>
  <c r="AX42" i="45"/>
  <c r="GQ42" i="44"/>
  <c r="AX42" i="41"/>
  <c r="BQ42" i="43"/>
  <c r="D42" i="41"/>
  <c r="AF42" i="43"/>
  <c r="CI42" i="45"/>
  <c r="GQ42" i="43"/>
  <c r="AF42" i="45"/>
  <c r="D42" i="45"/>
  <c r="AF42" i="41"/>
  <c r="CI42" i="41"/>
  <c r="AX42" i="44"/>
  <c r="CI42" i="43"/>
  <c r="AF42" i="44"/>
  <c r="GQ42" i="45"/>
  <c r="BQ42" i="44"/>
  <c r="CI42" i="44"/>
  <c r="GQ42" i="41"/>
  <c r="HB45" i="43"/>
  <c r="DD26" i="44"/>
  <c r="HI26" i="44"/>
  <c r="DD26" i="43"/>
  <c r="HI26" i="43"/>
  <c r="DD26" i="45"/>
  <c r="HI26" i="45"/>
  <c r="DD26" i="41"/>
  <c r="HI26" i="41"/>
  <c r="CX26" i="44"/>
  <c r="HC26" i="44"/>
  <c r="CX26" i="43"/>
  <c r="HC26" i="43"/>
  <c r="CX26" i="45"/>
  <c r="HC26" i="45"/>
  <c r="CX26" i="41"/>
  <c r="HC26" i="41"/>
  <c r="CX50" i="44"/>
  <c r="HC50" i="44" s="1"/>
  <c r="CX50" i="43"/>
  <c r="HC50" i="43"/>
  <c r="CX50" i="45"/>
  <c r="HC50" i="45"/>
  <c r="CX50" i="41"/>
  <c r="HC50" i="41"/>
  <c r="DD22" i="41"/>
  <c r="HI22" i="41" s="1"/>
  <c r="DD22" i="43"/>
  <c r="HI22" i="43"/>
  <c r="DD22" i="44"/>
  <c r="HI22" i="44"/>
  <c r="DD22" i="45"/>
  <c r="HI22" i="45"/>
  <c r="HB49" i="43"/>
  <c r="HB44" i="44"/>
  <c r="BB45" i="41"/>
  <c r="BU45" i="45"/>
  <c r="BU45" i="43"/>
  <c r="AJ45" i="41"/>
  <c r="BU45" i="41"/>
  <c r="H45" i="41"/>
  <c r="CM45" i="43"/>
  <c r="CM45" i="44"/>
  <c r="BB45" i="43"/>
  <c r="BB45" i="44"/>
  <c r="BU45" i="44"/>
  <c r="CM45" i="45"/>
  <c r="AJ45" i="44"/>
  <c r="H45" i="45"/>
  <c r="H45" i="44"/>
  <c r="BB45" i="45"/>
  <c r="H45" i="43"/>
  <c r="GU45" i="44"/>
  <c r="CM45" i="41"/>
  <c r="AJ45" i="43"/>
  <c r="HB37" i="41"/>
  <c r="Z60" i="43"/>
  <c r="Z60" i="44"/>
  <c r="Z60" i="41"/>
  <c r="Z60" i="45"/>
  <c r="P60" i="43"/>
  <c r="P60" i="44"/>
  <c r="P60" i="41"/>
  <c r="P60" i="45"/>
  <c r="U41" i="41"/>
  <c r="U41" i="44"/>
  <c r="U41" i="43"/>
  <c r="U41" i="45"/>
  <c r="T41" i="41"/>
  <c r="T41" i="43"/>
  <c r="T41" i="45"/>
  <c r="T41" i="44"/>
  <c r="BG56" i="44"/>
  <c r="GZ56" i="44"/>
  <c r="CR56" i="41"/>
  <c r="BZ56" i="43"/>
  <c r="BZ56" i="41"/>
  <c r="M56" i="41"/>
  <c r="CR56" i="44"/>
  <c r="AO56" i="45"/>
  <c r="BG56" i="41"/>
  <c r="CR56" i="43"/>
  <c r="BG56" i="43"/>
  <c r="M56" i="44"/>
  <c r="M56" i="43"/>
  <c r="AO56" i="44"/>
  <c r="M56" i="45"/>
  <c r="BZ56" i="44"/>
  <c r="BG56" i="45"/>
  <c r="BZ56" i="45"/>
  <c r="CR56" i="45"/>
  <c r="DF57" i="41"/>
  <c r="HK57" i="41" s="1"/>
  <c r="DF57" i="45"/>
  <c r="HK57" i="45"/>
  <c r="DF57" i="43"/>
  <c r="HK57" i="43"/>
  <c r="DF57" i="44"/>
  <c r="HK57" i="44"/>
  <c r="DD57" i="41"/>
  <c r="HI57" i="41" s="1"/>
  <c r="DD57" i="45"/>
  <c r="HI57" i="45"/>
  <c r="DD57" i="44"/>
  <c r="HI57" i="44"/>
  <c r="HI57" i="43"/>
  <c r="GT76" i="44"/>
  <c r="B40" i="41"/>
  <c r="BH40" i="41" s="1"/>
  <c r="BO40" i="41"/>
  <c r="CA40" i="41" s="1"/>
  <c r="AD40" i="41"/>
  <c r="AV40" i="41"/>
  <c r="BO40" i="45"/>
  <c r="BO40" i="44"/>
  <c r="CA40" i="44"/>
  <c r="B40" i="43"/>
  <c r="AP40" i="43" s="1"/>
  <c r="AV40" i="44"/>
  <c r="BH40" i="44" s="1"/>
  <c r="AD40" i="45"/>
  <c r="CG40" i="41"/>
  <c r="B40" i="44"/>
  <c r="AD40" i="44"/>
  <c r="AP40" i="44" s="1"/>
  <c r="CG40" i="44"/>
  <c r="CS40" i="44"/>
  <c r="AV40" i="45"/>
  <c r="BO40" i="43"/>
  <c r="AV40" i="43"/>
  <c r="BH40" i="43" s="1"/>
  <c r="GO40" i="41"/>
  <c r="AD40" i="43"/>
  <c r="GP60" i="41"/>
  <c r="AE60" i="45"/>
  <c r="GP60" i="44"/>
  <c r="AW60" i="41"/>
  <c r="BP60" i="45"/>
  <c r="AE60" i="44"/>
  <c r="AW60" i="44"/>
  <c r="AW60" i="45"/>
  <c r="CH60" i="41"/>
  <c r="AE60" i="43"/>
  <c r="BP60" i="43"/>
  <c r="C60" i="44"/>
  <c r="C60" i="43"/>
  <c r="AW60" i="43"/>
  <c r="CH60" i="44"/>
  <c r="CH60" i="43"/>
  <c r="BP60" i="44"/>
  <c r="GP60" i="43"/>
  <c r="CH60" i="45"/>
  <c r="C60" i="45"/>
  <c r="BW28" i="41"/>
  <c r="AL28" i="45"/>
  <c r="BW28" i="45"/>
  <c r="BD28" i="41"/>
  <c r="AL28" i="44"/>
  <c r="AL28" i="41"/>
  <c r="BD28" i="45"/>
  <c r="AL28" i="43"/>
  <c r="CO28" i="44"/>
  <c r="CO28" i="45"/>
  <c r="J28" i="45"/>
  <c r="BW28" i="44"/>
  <c r="BD28" i="44"/>
  <c r="CO28" i="43"/>
  <c r="BW28" i="43"/>
  <c r="GW28" i="44"/>
  <c r="J28" i="43"/>
  <c r="J28" i="44"/>
  <c r="J28" i="41"/>
  <c r="CO28" i="41"/>
  <c r="BU28" i="41"/>
  <c r="BB28" i="41"/>
  <c r="AJ28" i="41"/>
  <c r="BU28" i="44"/>
  <c r="AJ28" i="45"/>
  <c r="BU28" i="45"/>
  <c r="CM28" i="45"/>
  <c r="CM28" i="44"/>
  <c r="AJ28" i="44"/>
  <c r="AJ28" i="43"/>
  <c r="GU28" i="44"/>
  <c r="H28" i="44"/>
  <c r="BB28" i="44"/>
  <c r="CM28" i="43"/>
  <c r="H28" i="45"/>
  <c r="BU28" i="43"/>
  <c r="H28" i="43"/>
  <c r="H28" i="41"/>
  <c r="CM28" i="41"/>
  <c r="V34" i="41"/>
  <c r="V34" i="43"/>
  <c r="V34" i="44"/>
  <c r="Y25" i="12"/>
  <c r="AI41" i="41" s="1"/>
  <c r="AE25" i="12"/>
  <c r="X25" i="12"/>
  <c r="W25" i="12"/>
  <c r="Z25" i="12"/>
  <c r="U25" i="12"/>
  <c r="AD25" i="12"/>
  <c r="GS25" i="12"/>
  <c r="GU25" i="12"/>
  <c r="T25" i="12"/>
  <c r="AA25" i="12"/>
  <c r="AC25" i="12"/>
  <c r="AB25" i="12"/>
  <c r="Q43" i="44"/>
  <c r="Q43" i="43"/>
  <c r="Q43" i="45"/>
  <c r="Q43" i="41"/>
  <c r="D44" i="41"/>
  <c r="AX44" i="41"/>
  <c r="D44" i="45"/>
  <c r="BQ44" i="45"/>
  <c r="AF44" i="44"/>
  <c r="CI44" i="44"/>
  <c r="CI44" i="45"/>
  <c r="BQ44" i="43"/>
  <c r="AF44" i="41"/>
  <c r="AF44" i="45"/>
  <c r="BQ44" i="44"/>
  <c r="AX44" i="43"/>
  <c r="D44" i="44"/>
  <c r="AF44" i="43"/>
  <c r="CI44" i="43"/>
  <c r="D44" i="43"/>
  <c r="BQ44" i="41"/>
  <c r="AX44" i="44"/>
  <c r="GQ44" i="44"/>
  <c r="GQ44" i="43"/>
  <c r="CI44" i="41"/>
  <c r="GX76" i="41"/>
  <c r="CX24" i="41"/>
  <c r="HC24" i="41"/>
  <c r="CX24" i="45"/>
  <c r="HC24" i="45"/>
  <c r="CX24" i="43"/>
  <c r="HC24" i="43"/>
  <c r="CX24" i="44"/>
  <c r="HC24" i="44"/>
  <c r="DG24" i="41"/>
  <c r="HL24" i="41"/>
  <c r="DG24" i="45"/>
  <c r="HL24" i="45"/>
  <c r="DG24" i="43"/>
  <c r="HL24" i="43"/>
  <c r="DG24" i="44"/>
  <c r="HL24" i="44"/>
  <c r="AP25" i="44"/>
  <c r="GS44" i="41"/>
  <c r="CS47" i="41"/>
  <c r="GP46" i="44"/>
  <c r="GZ46" i="43"/>
  <c r="GR28" i="43"/>
  <c r="GX12" i="12"/>
  <c r="GY28" i="41"/>
  <c r="GT28" i="41"/>
  <c r="CA47" i="41"/>
  <c r="GX28" i="43"/>
  <c r="CA25" i="43"/>
  <c r="CA25" i="45"/>
  <c r="CS25" i="41"/>
  <c r="GT44" i="41"/>
  <c r="DE28" i="44"/>
  <c r="HJ28" i="44"/>
  <c r="DE28" i="41"/>
  <c r="HJ28" i="41"/>
  <c r="DE28" i="45"/>
  <c r="HJ28" i="45"/>
  <c r="DE28" i="43"/>
  <c r="HJ28" i="43"/>
  <c r="DH26" i="44"/>
  <c r="HM26" i="44"/>
  <c r="DH26" i="43"/>
  <c r="HM26" i="43"/>
  <c r="DH26" i="41"/>
  <c r="HM26" i="41"/>
  <c r="DH26" i="45"/>
  <c r="HM26" i="45"/>
  <c r="AZ45" i="41"/>
  <c r="AZ45" i="44"/>
  <c r="AH45" i="43"/>
  <c r="AH45" i="41"/>
  <c r="AH45" i="44"/>
  <c r="F45" i="43"/>
  <c r="F45" i="44"/>
  <c r="BS45" i="44"/>
  <c r="F45" i="45"/>
  <c r="BS45" i="41"/>
  <c r="CK45" i="45"/>
  <c r="GS45" i="44"/>
  <c r="CK45" i="44"/>
  <c r="AZ45" i="45"/>
  <c r="F45" i="41"/>
  <c r="CK45" i="43"/>
  <c r="BS45" i="43"/>
  <c r="BS45" i="45"/>
  <c r="AZ45" i="43"/>
  <c r="CK45" i="41"/>
  <c r="J56" i="43"/>
  <c r="AL56" i="41"/>
  <c r="BD56" i="41"/>
  <c r="CO56" i="43"/>
  <c r="GW56" i="41"/>
  <c r="J56" i="41"/>
  <c r="BW56" i="45"/>
  <c r="BD56" i="43"/>
  <c r="BD56" i="45"/>
  <c r="BW56" i="43"/>
  <c r="CO56" i="41"/>
  <c r="AL56" i="45"/>
  <c r="J56" i="44"/>
  <c r="GW56" i="44"/>
  <c r="J56" i="45"/>
  <c r="AL56" i="43"/>
  <c r="BW56" i="44"/>
  <c r="BW56" i="41"/>
  <c r="CO56" i="44"/>
  <c r="BD56" i="44"/>
  <c r="AL56" i="44"/>
  <c r="CO56" i="45"/>
  <c r="BG28" i="41"/>
  <c r="M28" i="45"/>
  <c r="BG28" i="44"/>
  <c r="CR28" i="45"/>
  <c r="AO28" i="44"/>
  <c r="BZ28" i="43"/>
  <c r="BZ28" i="41"/>
  <c r="M28" i="44"/>
  <c r="BZ28" i="44"/>
  <c r="CR28" i="43"/>
  <c r="AO28" i="45"/>
  <c r="AO28" i="41"/>
  <c r="CR28" i="44"/>
  <c r="AO28" i="43"/>
  <c r="M28" i="43"/>
  <c r="BZ28" i="45"/>
  <c r="GZ28" i="44"/>
  <c r="M28" i="41"/>
  <c r="CR28" i="41"/>
  <c r="AY34" i="41"/>
  <c r="GR34" i="41"/>
  <c r="E34" i="41"/>
  <c r="BR34" i="41"/>
  <c r="BR34" i="45"/>
  <c r="AY34" i="44"/>
  <c r="CJ34" i="45"/>
  <c r="BR34" i="44"/>
  <c r="CJ34" i="41"/>
  <c r="AG34" i="44"/>
  <c r="BR34" i="43"/>
  <c r="AG34" i="41"/>
  <c r="E34" i="43"/>
  <c r="E34" i="44"/>
  <c r="CJ34" i="44"/>
  <c r="AG34" i="45"/>
  <c r="AY34" i="43"/>
  <c r="AG34" i="43"/>
  <c r="AY34" i="45"/>
  <c r="BD5" i="18"/>
  <c r="D46" i="43"/>
  <c r="D46" i="44"/>
  <c r="CI46" i="45"/>
  <c r="AX46" i="43"/>
  <c r="BQ46" i="45"/>
  <c r="BQ46" i="43"/>
  <c r="AX46" i="45"/>
  <c r="AF46" i="41"/>
  <c r="D46" i="41"/>
  <c r="AF46" i="43"/>
  <c r="GQ46" i="41"/>
  <c r="CI46" i="43"/>
  <c r="BQ46" i="44"/>
  <c r="AX46" i="44"/>
  <c r="CI46" i="41"/>
  <c r="AX46" i="41"/>
  <c r="AF46" i="45"/>
  <c r="AF46" i="44"/>
  <c r="D46" i="45"/>
  <c r="BQ46" i="41"/>
  <c r="CI46" i="44"/>
  <c r="CY26" i="44"/>
  <c r="HD26" i="44"/>
  <c r="CY26" i="43"/>
  <c r="HD26" i="43"/>
  <c r="CY26" i="45"/>
  <c r="HD26" i="45"/>
  <c r="CY26" i="41"/>
  <c r="HD26" i="41"/>
  <c r="GV45" i="44"/>
  <c r="BV45" i="45"/>
  <c r="CN45" i="45"/>
  <c r="CN45" i="43"/>
  <c r="BC45" i="45"/>
  <c r="I45" i="45"/>
  <c r="BV45" i="43"/>
  <c r="BV45" i="41"/>
  <c r="BC45" i="43"/>
  <c r="I45" i="44"/>
  <c r="AK45" i="41"/>
  <c r="I45" i="41"/>
  <c r="CN45" i="44"/>
  <c r="CN45" i="41"/>
  <c r="BV45" i="44"/>
  <c r="I45" i="43"/>
  <c r="AK45" i="44"/>
  <c r="AK45" i="43"/>
  <c r="BC45" i="41"/>
  <c r="BC45" i="44"/>
  <c r="W60" i="43"/>
  <c r="W60" i="41"/>
  <c r="W60" i="44"/>
  <c r="W60" i="45"/>
  <c r="D56" i="43"/>
  <c r="AX56" i="41"/>
  <c r="CI56" i="41"/>
  <c r="BQ56" i="44"/>
  <c r="AF56" i="43"/>
  <c r="D56" i="41"/>
  <c r="BQ56" i="41"/>
  <c r="AX56" i="44"/>
  <c r="AF56" i="44"/>
  <c r="AF56" i="41"/>
  <c r="D56" i="44"/>
  <c r="AF56" i="45"/>
  <c r="AX56" i="45"/>
  <c r="AX56" i="43"/>
  <c r="GQ56" i="44"/>
  <c r="BQ56" i="45"/>
  <c r="BQ56" i="43"/>
  <c r="GQ56" i="41"/>
  <c r="CI56" i="43"/>
  <c r="CI56" i="44"/>
  <c r="D56" i="45"/>
  <c r="CI56" i="45"/>
  <c r="GT76" i="43"/>
  <c r="GY40" i="41"/>
  <c r="BY40" i="41"/>
  <c r="L40" i="41"/>
  <c r="AN40" i="45"/>
  <c r="AN40" i="41"/>
  <c r="BF40" i="41"/>
  <c r="AN40" i="44"/>
  <c r="CQ40" i="44"/>
  <c r="BF40" i="45"/>
  <c r="BF40" i="44"/>
  <c r="BY40" i="45"/>
  <c r="AN40" i="43"/>
  <c r="BY40" i="43"/>
  <c r="L40" i="44"/>
  <c r="CQ40" i="41"/>
  <c r="BF40" i="43"/>
  <c r="BY40" i="44"/>
  <c r="L40" i="43"/>
  <c r="DF28" i="45"/>
  <c r="HK28" i="45"/>
  <c r="DF28" i="44"/>
  <c r="HK28" i="44" s="1"/>
  <c r="EP27" i="12"/>
  <c r="EH27" i="12"/>
  <c r="CZ43" i="41" s="1"/>
  <c r="HE43" i="41" s="1"/>
  <c r="EG27" i="12"/>
  <c r="EL27" i="12"/>
  <c r="GW27" i="12"/>
  <c r="GX27" i="12" s="1"/>
  <c r="EN27" i="12"/>
  <c r="EJ27" i="12"/>
  <c r="EF27" i="12"/>
  <c r="EE27" i="12"/>
  <c r="EI27" i="12"/>
  <c r="DA43" i="43" s="1"/>
  <c r="HF43" i="43" s="1"/>
  <c r="EO27" i="12"/>
  <c r="EK27" i="12"/>
  <c r="DC43" i="43" s="1"/>
  <c r="HH43" i="43" s="1"/>
  <c r="EM27" i="12"/>
  <c r="AK46" i="45"/>
  <c r="I46" i="44"/>
  <c r="I46" i="45"/>
  <c r="CN46" i="45"/>
  <c r="BV46" i="45"/>
  <c r="GV46" i="41"/>
  <c r="BV46" i="44"/>
  <c r="BC46" i="44"/>
  <c r="AK46" i="41"/>
  <c r="CN46" i="41"/>
  <c r="BV46" i="43"/>
  <c r="I46" i="41"/>
  <c r="BV46" i="41"/>
  <c r="AK46" i="43"/>
  <c r="CN46" i="43"/>
  <c r="BC46" i="43"/>
  <c r="BC46" i="41"/>
  <c r="AK46" i="44"/>
  <c r="I46" i="43"/>
  <c r="BC46" i="45"/>
  <c r="CN46" i="44"/>
  <c r="C42" i="45"/>
  <c r="AE42" i="45"/>
  <c r="AE42" i="43"/>
  <c r="AW42" i="43"/>
  <c r="C42" i="43"/>
  <c r="BP42" i="44"/>
  <c r="BP42" i="43"/>
  <c r="CH42" i="41"/>
  <c r="BP42" i="41"/>
  <c r="CH42" i="45"/>
  <c r="CH42" i="44"/>
  <c r="AW42" i="44"/>
  <c r="AW42" i="45"/>
  <c r="GP42" i="45"/>
  <c r="AW42" i="41"/>
  <c r="GP42" i="43"/>
  <c r="AE42" i="41"/>
  <c r="CH42" i="43"/>
  <c r="AE42" i="44"/>
  <c r="C42" i="44"/>
  <c r="C42" i="41"/>
  <c r="GP42" i="44"/>
  <c r="GP42" i="41"/>
  <c r="DD50" i="43"/>
  <c r="HI50" i="43" s="1"/>
  <c r="AD45" i="44"/>
  <c r="AP45" i="44" s="1"/>
  <c r="CG45" i="41"/>
  <c r="CS45" i="41" s="1"/>
  <c r="B45" i="44"/>
  <c r="AV45" i="41"/>
  <c r="BH45" i="41" s="1"/>
  <c r="AV45" i="43"/>
  <c r="BO45" i="44"/>
  <c r="CA45" i="44" s="1"/>
  <c r="B45" i="45"/>
  <c r="BH45" i="45" s="1"/>
  <c r="B45" i="41"/>
  <c r="AV45" i="45"/>
  <c r="B45" i="43"/>
  <c r="BH45" i="43" s="1"/>
  <c r="AD45" i="43"/>
  <c r="HB37" i="43"/>
  <c r="O41" i="41"/>
  <c r="DI41" i="41"/>
  <c r="O41" i="44"/>
  <c r="DI41" i="44" s="1"/>
  <c r="O41" i="43"/>
  <c r="DI41" i="43" s="1"/>
  <c r="O41" i="45"/>
  <c r="DI41" i="45"/>
  <c r="AI56" i="44"/>
  <c r="G56" i="44"/>
  <c r="BT56" i="45"/>
  <c r="AI56" i="45"/>
  <c r="BA56" i="45"/>
  <c r="CL56" i="43"/>
  <c r="BT56" i="41"/>
  <c r="AI56" i="43"/>
  <c r="BA56" i="44"/>
  <c r="AI56" i="41"/>
  <c r="G56" i="41"/>
  <c r="BT56" i="43"/>
  <c r="CL56" i="41"/>
  <c r="BT56" i="44"/>
  <c r="G56" i="45"/>
  <c r="BA56" i="41"/>
  <c r="G56" i="43"/>
  <c r="GT56" i="41"/>
  <c r="CL56" i="44"/>
  <c r="BA56" i="43"/>
  <c r="GT56" i="44"/>
  <c r="CL56" i="45"/>
  <c r="AG40" i="41"/>
  <c r="AY40" i="41"/>
  <c r="BR40" i="41"/>
  <c r="AG40" i="44"/>
  <c r="BR40" i="44"/>
  <c r="E40" i="41"/>
  <c r="CJ40" i="41"/>
  <c r="BR40" i="43"/>
  <c r="AY40" i="44"/>
  <c r="CJ40" i="44"/>
  <c r="E40" i="43"/>
  <c r="AY40" i="45"/>
  <c r="E40" i="44"/>
  <c r="AG40" i="43"/>
  <c r="AG40" i="45"/>
  <c r="E40" i="45"/>
  <c r="GR40" i="41"/>
  <c r="BR40" i="45"/>
  <c r="AY40" i="43"/>
  <c r="BX60" i="41"/>
  <c r="CP60" i="41"/>
  <c r="AM60" i="41"/>
  <c r="BE60" i="45"/>
  <c r="K60" i="43"/>
  <c r="BE60" i="43"/>
  <c r="BX60" i="44"/>
  <c r="BX60" i="43"/>
  <c r="CP60" i="43"/>
  <c r="CP60" i="44"/>
  <c r="BE60" i="44"/>
  <c r="GX60" i="41"/>
  <c r="BX60" i="45"/>
  <c r="K60" i="41"/>
  <c r="AM60" i="44"/>
  <c r="AM60" i="43"/>
  <c r="BE60" i="41"/>
  <c r="GX60" i="43"/>
  <c r="K60" i="44"/>
  <c r="AM60" i="45"/>
  <c r="GX60" i="44"/>
  <c r="CP60" i="45"/>
  <c r="K60" i="45"/>
  <c r="AX28" i="41"/>
  <c r="BQ28" i="41"/>
  <c r="AF28" i="41"/>
  <c r="AX28" i="45"/>
  <c r="BQ28" i="45"/>
  <c r="AX28" i="44"/>
  <c r="D28" i="43"/>
  <c r="CI28" i="43"/>
  <c r="AF28" i="45"/>
  <c r="AF28" i="44"/>
  <c r="CI28" i="44"/>
  <c r="AF28" i="43"/>
  <c r="GQ28" i="44"/>
  <c r="D28" i="44"/>
  <c r="D28" i="45"/>
  <c r="BQ28" i="44"/>
  <c r="CI28" i="45"/>
  <c r="BQ28" i="43"/>
  <c r="D28" i="41"/>
  <c r="CI28" i="41"/>
  <c r="U34" i="44"/>
  <c r="U34" i="43"/>
  <c r="U34" i="41"/>
  <c r="HB29" i="41"/>
  <c r="DI29" i="41"/>
  <c r="P43" i="43"/>
  <c r="P43" i="44"/>
  <c r="P43" i="45"/>
  <c r="P43" i="41"/>
  <c r="DP117" i="41"/>
  <c r="GO117" i="41"/>
  <c r="DP117" i="43"/>
  <c r="GO117" i="43"/>
  <c r="DP117" i="45"/>
  <c r="GO117" i="45"/>
  <c r="DP117" i="44"/>
  <c r="GO117" i="44"/>
  <c r="AT5" i="18"/>
  <c r="DG22" i="44"/>
  <c r="HL22" i="44" s="1"/>
  <c r="DG22" i="41"/>
  <c r="HL22" i="41" s="1"/>
  <c r="DG22" i="43"/>
  <c r="HL22" i="43"/>
  <c r="DG22" i="45"/>
  <c r="HL22" i="45"/>
  <c r="BG45" i="41"/>
  <c r="BZ45" i="41"/>
  <c r="BG45" i="43"/>
  <c r="AO45" i="41"/>
  <c r="AO45" i="43"/>
  <c r="M45" i="41"/>
  <c r="M45" i="43"/>
  <c r="CR45" i="44"/>
  <c r="AO45" i="44"/>
  <c r="BZ45" i="44"/>
  <c r="BZ45" i="45"/>
  <c r="M45" i="45"/>
  <c r="M45" i="44"/>
  <c r="CR45" i="41"/>
  <c r="BG45" i="45"/>
  <c r="BZ45" i="43"/>
  <c r="CR45" i="43"/>
  <c r="BG45" i="44"/>
  <c r="GZ45" i="44"/>
  <c r="CR45" i="45"/>
  <c r="I56" i="41"/>
  <c r="CN56" i="44"/>
  <c r="GV56" i="41"/>
  <c r="BC56" i="45"/>
  <c r="CN56" i="43"/>
  <c r="AK56" i="44"/>
  <c r="GV56" i="44"/>
  <c r="I56" i="43"/>
  <c r="BC56" i="41"/>
  <c r="I56" i="44"/>
  <c r="BV56" i="41"/>
  <c r="GQ76" i="45"/>
  <c r="CY28" i="41"/>
  <c r="HD28" i="41"/>
  <c r="CY28" i="43"/>
  <c r="HD28" i="43"/>
  <c r="CY28" i="45"/>
  <c r="HD28" i="45"/>
  <c r="CY28" i="44"/>
  <c r="HD28" i="44"/>
  <c r="GV79" i="44"/>
  <c r="GW76" i="41"/>
  <c r="BA34" i="41"/>
  <c r="BT34" i="41"/>
  <c r="AI34" i="41"/>
  <c r="GT34" i="41"/>
  <c r="BT34" i="45"/>
  <c r="BA34" i="44"/>
  <c r="G34" i="41"/>
  <c r="AI34" i="44"/>
  <c r="BT34" i="44"/>
  <c r="G34" i="43"/>
  <c r="G34" i="44"/>
  <c r="CL34" i="45"/>
  <c r="AI34" i="43"/>
  <c r="AI34" i="45"/>
  <c r="BT34" i="43"/>
  <c r="BA34" i="43"/>
  <c r="CL34" i="41"/>
  <c r="CL34" i="44"/>
  <c r="BA34" i="45"/>
  <c r="GV34" i="41"/>
  <c r="BV34" i="41"/>
  <c r="BC34" i="41"/>
  <c r="CN34" i="41"/>
  <c r="CN34" i="45"/>
  <c r="BV34" i="44"/>
  <c r="AK34" i="41"/>
  <c r="AK34" i="45"/>
  <c r="I34" i="44"/>
  <c r="CN34" i="44"/>
  <c r="I34" i="43"/>
  <c r="AK34" i="43"/>
  <c r="I34" i="41"/>
  <c r="BC34" i="44"/>
  <c r="BC34" i="43"/>
  <c r="BV34" i="45"/>
  <c r="BV34" i="43"/>
  <c r="AK34" i="44"/>
  <c r="BC34" i="45"/>
  <c r="DQ117" i="45"/>
  <c r="GP117" i="45"/>
  <c r="DQ117" i="43"/>
  <c r="GP117" i="43"/>
  <c r="DQ117" i="41"/>
  <c r="GP117" i="41"/>
  <c r="DQ117" i="44"/>
  <c r="GP117" i="44"/>
  <c r="H46" i="44"/>
  <c r="H46" i="45"/>
  <c r="CM46" i="41"/>
  <c r="AJ46" i="45"/>
  <c r="AJ46" i="44"/>
  <c r="CM46" i="45"/>
  <c r="CM46" i="43"/>
  <c r="O31" i="45"/>
  <c r="DI31" i="45"/>
  <c r="O31" i="43"/>
  <c r="DI31" i="43" s="1"/>
  <c r="O31" i="44"/>
  <c r="DI31" i="44" s="1"/>
  <c r="S31" i="41"/>
  <c r="S31" i="44"/>
  <c r="S31" i="43"/>
  <c r="S31" i="45"/>
  <c r="B42" i="43"/>
  <c r="B42" i="44"/>
  <c r="AD42" i="45"/>
  <c r="AP42" i="45" s="1"/>
  <c r="B42" i="45"/>
  <c r="GO42" i="45"/>
  <c r="AD42" i="41"/>
  <c r="BO42" i="44"/>
  <c r="GO42" i="43"/>
  <c r="GO42" i="44"/>
  <c r="B42" i="41"/>
  <c r="CG42" i="41"/>
  <c r="AV42" i="45"/>
  <c r="BH42" i="45" s="1"/>
  <c r="CG42" i="43"/>
  <c r="BO42" i="43"/>
  <c r="CG42" i="45"/>
  <c r="CS42" i="45" s="1"/>
  <c r="AD42" i="43"/>
  <c r="CG42" i="44"/>
  <c r="AV42" i="44"/>
  <c r="AV42" i="41"/>
  <c r="AD42" i="44"/>
  <c r="AV42" i="43"/>
  <c r="BO42" i="41"/>
  <c r="GO42" i="41"/>
  <c r="J42" i="43"/>
  <c r="J42" i="44"/>
  <c r="AL42" i="43"/>
  <c r="CO42" i="44"/>
  <c r="CO42" i="43"/>
  <c r="BW42" i="44"/>
  <c r="BD42" i="43"/>
  <c r="GW42" i="43"/>
  <c r="BD42" i="41"/>
  <c r="BD42" i="45"/>
  <c r="AL42" i="45"/>
  <c r="J42" i="45"/>
  <c r="BW42" i="43"/>
  <c r="J42" i="41"/>
  <c r="AL42" i="41"/>
  <c r="GW42" i="44"/>
  <c r="GW42" i="45"/>
  <c r="CO42" i="41"/>
  <c r="AL42" i="44"/>
  <c r="BD42" i="44"/>
  <c r="CO42" i="45"/>
  <c r="BW42" i="41"/>
  <c r="GW42" i="41"/>
  <c r="CW26" i="43"/>
  <c r="CW26" i="45"/>
  <c r="CW26" i="41"/>
  <c r="CW26" i="44"/>
  <c r="DE26" i="45"/>
  <c r="HJ26" i="45"/>
  <c r="DE26" i="43"/>
  <c r="HJ26" i="43"/>
  <c r="DE26" i="41"/>
  <c r="HJ26" i="41" s="1"/>
  <c r="DE26" i="44"/>
  <c r="HJ26" i="44" s="1"/>
  <c r="DF50" i="43"/>
  <c r="HK50" i="43"/>
  <c r="DF50" i="45"/>
  <c r="HK50" i="45" s="1"/>
  <c r="DF50" i="44"/>
  <c r="HK50" i="44" s="1"/>
  <c r="DF50" i="41"/>
  <c r="HK50" i="41"/>
  <c r="DH50" i="44"/>
  <c r="HM50" i="44"/>
  <c r="DH50" i="45"/>
  <c r="HM50" i="45" s="1"/>
  <c r="DH50" i="41"/>
  <c r="HM50" i="41" s="1"/>
  <c r="DH50" i="43"/>
  <c r="HM50" i="43"/>
  <c r="DC22" i="41"/>
  <c r="HH22" i="41"/>
  <c r="DC22" i="45"/>
  <c r="HH22" i="45" s="1"/>
  <c r="DC22" i="44"/>
  <c r="HH22" i="44" s="1"/>
  <c r="DC22" i="43"/>
  <c r="HH22" i="43"/>
  <c r="DH22" i="41"/>
  <c r="HM22" i="41"/>
  <c r="DH22" i="43"/>
  <c r="HM22" i="43" s="1"/>
  <c r="DH22" i="45"/>
  <c r="DH22" i="44"/>
  <c r="HM22" i="44"/>
  <c r="HB49" i="45"/>
  <c r="HB44" i="41"/>
  <c r="G45" i="45"/>
  <c r="BT45" i="43"/>
  <c r="AI45" i="43"/>
  <c r="BA45" i="43"/>
  <c r="G45" i="43"/>
  <c r="CL45" i="41"/>
  <c r="AI45" i="44"/>
  <c r="BA45" i="41"/>
  <c r="CL45" i="44"/>
  <c r="G45" i="44"/>
  <c r="GT45" i="44"/>
  <c r="BT45" i="41"/>
  <c r="CL45" i="45"/>
  <c r="AI45" i="41"/>
  <c r="BA45" i="45"/>
  <c r="BA45" i="44"/>
  <c r="BT45" i="44"/>
  <c r="BT45" i="45"/>
  <c r="G45" i="41"/>
  <c r="CL45" i="43"/>
  <c r="HB37" i="45"/>
  <c r="S60" i="43"/>
  <c r="S60" i="44"/>
  <c r="S60" i="41"/>
  <c r="S60" i="45"/>
  <c r="T60" i="44"/>
  <c r="T60" i="41"/>
  <c r="T60" i="43"/>
  <c r="T60" i="45"/>
  <c r="V41" i="41"/>
  <c r="V41" i="45"/>
  <c r="V41" i="44"/>
  <c r="V41" i="43"/>
  <c r="W41" i="41"/>
  <c r="W41" i="45"/>
  <c r="W41" i="43"/>
  <c r="W41" i="44"/>
  <c r="DU84" i="41"/>
  <c r="GT84" i="41"/>
  <c r="DU84" i="44"/>
  <c r="GT84" i="44"/>
  <c r="DU84" i="43"/>
  <c r="DU84" i="45"/>
  <c r="GT84" i="45" s="1"/>
  <c r="CH56" i="41"/>
  <c r="BP56" i="43"/>
  <c r="BP56" i="44"/>
  <c r="BP56" i="41"/>
  <c r="AE56" i="43"/>
  <c r="AW56" i="44"/>
  <c r="AW56" i="41"/>
  <c r="C56" i="43"/>
  <c r="GP56" i="44"/>
  <c r="C56" i="45"/>
  <c r="AE56" i="41"/>
  <c r="AW56" i="43"/>
  <c r="GP56" i="41"/>
  <c r="CH56" i="44"/>
  <c r="BP56" i="45"/>
  <c r="C56" i="44"/>
  <c r="CH56" i="43"/>
  <c r="AW56" i="45"/>
  <c r="C56" i="41"/>
  <c r="AE56" i="44"/>
  <c r="AE56" i="45"/>
  <c r="CH56" i="45"/>
  <c r="F56" i="43"/>
  <c r="AH56" i="43"/>
  <c r="BS56" i="44"/>
  <c r="AH56" i="44"/>
  <c r="AZ56" i="44"/>
  <c r="CK56" i="41"/>
  <c r="AH56" i="45"/>
  <c r="F56" i="44"/>
  <c r="AZ56" i="45"/>
  <c r="AZ56" i="43"/>
  <c r="GS56" i="44"/>
  <c r="BS56" i="45"/>
  <c r="GS56" i="41"/>
  <c r="F56" i="41"/>
  <c r="CK56" i="43"/>
  <c r="BS56" i="41"/>
  <c r="AH56" i="41"/>
  <c r="BS56" i="43"/>
  <c r="CK56" i="44"/>
  <c r="F56" i="45"/>
  <c r="AZ56" i="41"/>
  <c r="CK56" i="45"/>
  <c r="DA57" i="45"/>
  <c r="HF57" i="45" s="1"/>
  <c r="DA57" i="44"/>
  <c r="HF57" i="44"/>
  <c r="DA57" i="43"/>
  <c r="HF57" i="43"/>
  <c r="DA57" i="41"/>
  <c r="HF57" i="41" s="1"/>
  <c r="GT76" i="41"/>
  <c r="AE40" i="41"/>
  <c r="GP40" i="41"/>
  <c r="C40" i="41"/>
  <c r="BP40" i="45"/>
  <c r="GP40" i="44"/>
  <c r="AW40" i="44"/>
  <c r="AW40" i="45"/>
  <c r="AW40" i="43"/>
  <c r="BP40" i="41"/>
  <c r="BP40" i="43"/>
  <c r="CH40" i="44"/>
  <c r="C40" i="43"/>
  <c r="C40" i="44"/>
  <c r="AE40" i="43"/>
  <c r="CH40" i="41"/>
  <c r="AE40" i="45"/>
  <c r="AE40" i="44"/>
  <c r="AW40" i="41"/>
  <c r="BP40" i="44"/>
  <c r="GU40" i="41"/>
  <c r="H40" i="41"/>
  <c r="BU40" i="41"/>
  <c r="GU40" i="44"/>
  <c r="AJ40" i="44"/>
  <c r="CM40" i="44"/>
  <c r="BB40" i="45"/>
  <c r="BB40" i="44"/>
  <c r="BU40" i="44"/>
  <c r="CM40" i="41"/>
  <c r="AJ40" i="43"/>
  <c r="H40" i="43"/>
  <c r="BU40" i="45"/>
  <c r="BB40" i="43"/>
  <c r="BU40" i="43"/>
  <c r="AJ40" i="41"/>
  <c r="AJ40" i="45"/>
  <c r="CM40" i="43"/>
  <c r="CM40" i="45"/>
  <c r="BB40" i="41"/>
  <c r="H40" i="44"/>
  <c r="AZ60" i="45"/>
  <c r="AK28" i="41"/>
  <c r="BV28" i="41"/>
  <c r="AK28" i="45"/>
  <c r="AK28" i="44"/>
  <c r="BV28" i="45"/>
  <c r="CN28" i="45"/>
  <c r="CN28" i="44"/>
  <c r="I28" i="43"/>
  <c r="I28" i="45"/>
  <c r="I28" i="44"/>
  <c r="BV28" i="43"/>
  <c r="BC28" i="41"/>
  <c r="BV28" i="44"/>
  <c r="CN28" i="43"/>
  <c r="AK28" i="43"/>
  <c r="GV28" i="44"/>
  <c r="BC28" i="44"/>
  <c r="I28" i="41"/>
  <c r="CN28" i="41"/>
  <c r="GV28" i="43"/>
  <c r="BP28" i="41"/>
  <c r="AW28" i="41"/>
  <c r="AE28" i="44"/>
  <c r="BP28" i="45"/>
  <c r="AE28" i="43"/>
  <c r="AE28" i="41"/>
  <c r="BP28" i="44"/>
  <c r="GP28" i="44"/>
  <c r="CH28" i="43"/>
  <c r="C28" i="43"/>
  <c r="S34" i="44"/>
  <c r="S34" i="45"/>
  <c r="S34" i="41"/>
  <c r="S34" i="43"/>
  <c r="P34" i="43"/>
  <c r="P34" i="44"/>
  <c r="P34" i="41"/>
  <c r="O43" i="44"/>
  <c r="O43" i="45"/>
  <c r="O43" i="43"/>
  <c r="O43" i="41"/>
  <c r="AV44" i="41"/>
  <c r="B44" i="45"/>
  <c r="AD44" i="44"/>
  <c r="CG44" i="44"/>
  <c r="CS44" i="44" s="1"/>
  <c r="AV44" i="44"/>
  <c r="BH44" i="44" s="1"/>
  <c r="BO44" i="44"/>
  <c r="CA44" i="44" s="1"/>
  <c r="CG44" i="45"/>
  <c r="B44" i="43"/>
  <c r="BO44" i="43"/>
  <c r="AD44" i="41"/>
  <c r="AD44" i="45"/>
  <c r="AP44" i="45"/>
  <c r="B44" i="41"/>
  <c r="AV44" i="43"/>
  <c r="BH44" i="43" s="1"/>
  <c r="BO44" i="45"/>
  <c r="AD44" i="43"/>
  <c r="AP44" i="43" s="1"/>
  <c r="CG44" i="43"/>
  <c r="B44" i="44"/>
  <c r="BO44" i="41"/>
  <c r="CA44" i="41" s="1"/>
  <c r="GO44" i="44"/>
  <c r="GO44" i="43"/>
  <c r="CG44" i="41"/>
  <c r="GX76" i="44"/>
  <c r="AP26" i="44"/>
  <c r="GO34" i="44"/>
  <c r="GU56" i="45"/>
  <c r="GV46" i="44"/>
  <c r="CA25" i="41"/>
  <c r="GS34" i="44"/>
  <c r="GQ46" i="44"/>
  <c r="GP46" i="43"/>
  <c r="GX60" i="45"/>
  <c r="GX28" i="41"/>
  <c r="GP34" i="44"/>
  <c r="GZ28" i="43"/>
  <c r="GO44" i="41"/>
  <c r="FC12" i="43"/>
  <c r="O40" i="27"/>
  <c r="L40" i="27"/>
  <c r="I40" i="27"/>
  <c r="J40" i="27"/>
  <c r="K40" i="27"/>
  <c r="F40" i="27"/>
  <c r="CO22" i="41"/>
  <c r="BW22" i="45"/>
  <c r="GW22" i="43"/>
  <c r="BD22" i="41"/>
  <c r="BW22" i="44"/>
  <c r="AL22" i="41"/>
  <c r="BW22" i="41"/>
  <c r="CO22" i="43"/>
  <c r="J22" i="44"/>
  <c r="J22" i="45"/>
  <c r="BD22" i="44"/>
  <c r="CO22" i="44"/>
  <c r="BD22" i="45"/>
  <c r="AL22" i="45"/>
  <c r="AL22" i="44"/>
  <c r="CO22" i="45"/>
  <c r="J22" i="43"/>
  <c r="J22" i="41"/>
  <c r="BD22" i="43"/>
  <c r="AL22" i="43"/>
  <c r="BW22" i="43"/>
  <c r="GW22" i="41"/>
  <c r="GW22" i="44"/>
  <c r="GW22" i="45"/>
  <c r="BA52" i="41"/>
  <c r="CL52" i="41"/>
  <c r="GT52" i="41"/>
  <c r="G52" i="45"/>
  <c r="CL52" i="45"/>
  <c r="CL52" i="44"/>
  <c r="BT52" i="43"/>
  <c r="G52" i="41"/>
  <c r="AI52" i="45"/>
  <c r="G52" i="43"/>
  <c r="AI52" i="43"/>
  <c r="CL52" i="43"/>
  <c r="BA52" i="43"/>
  <c r="BT52" i="44"/>
  <c r="BT52" i="45"/>
  <c r="BA52" i="44"/>
  <c r="G52" i="44"/>
  <c r="BT52" i="41"/>
  <c r="GT52" i="44"/>
  <c r="AI52" i="44"/>
  <c r="AI52" i="41"/>
  <c r="BA52" i="45"/>
  <c r="GT52" i="43"/>
  <c r="HB46" i="41"/>
  <c r="DI46" i="41"/>
  <c r="K20" i="43"/>
  <c r="BX20" i="44"/>
  <c r="BE20" i="43"/>
  <c r="AM20" i="45"/>
  <c r="CP20" i="44"/>
  <c r="GX20" i="44"/>
  <c r="BE20" i="44"/>
  <c r="GX20" i="45"/>
  <c r="K20" i="44"/>
  <c r="BX20" i="41"/>
  <c r="BE20" i="45"/>
  <c r="AM20" i="41"/>
  <c r="BE20" i="41"/>
  <c r="GX20" i="43"/>
  <c r="CP20" i="45"/>
  <c r="CP20" i="41"/>
  <c r="K20" i="45"/>
  <c r="AM20" i="43"/>
  <c r="CP20" i="43"/>
  <c r="BX20" i="45"/>
  <c r="BX20" i="43"/>
  <c r="AM20" i="44"/>
  <c r="K20" i="41"/>
  <c r="GX20" i="41"/>
  <c r="AL52" i="41"/>
  <c r="BD52" i="41"/>
  <c r="CO52" i="44"/>
  <c r="GW52" i="41"/>
  <c r="GW52" i="43"/>
  <c r="GW52" i="44"/>
  <c r="J52" i="41"/>
  <c r="CO52" i="43"/>
  <c r="BW52" i="43"/>
  <c r="BW52" i="44"/>
  <c r="BD52" i="43"/>
  <c r="AL52" i="45"/>
  <c r="J52" i="45"/>
  <c r="AL52" i="43"/>
  <c r="J52" i="43"/>
  <c r="CO52" i="41"/>
  <c r="BW52" i="45"/>
  <c r="CO52" i="45"/>
  <c r="AL52" i="44"/>
  <c r="J52" i="44"/>
  <c r="BD52" i="44"/>
  <c r="BD52" i="45"/>
  <c r="BW52" i="41"/>
  <c r="C52" i="45"/>
  <c r="AW52" i="43"/>
  <c r="C52" i="44"/>
  <c r="CH52" i="44"/>
  <c r="GP52" i="41"/>
  <c r="C52" i="41"/>
  <c r="BP52" i="41"/>
  <c r="AE52" i="44"/>
  <c r="AW52" i="44"/>
  <c r="GP52" i="44"/>
  <c r="CH52" i="45"/>
  <c r="AE52" i="45"/>
  <c r="AE52" i="43"/>
  <c r="CH52" i="43"/>
  <c r="AE52" i="41"/>
  <c r="BP52" i="45"/>
  <c r="BP52" i="43"/>
  <c r="AW52" i="45"/>
  <c r="CH52" i="41"/>
  <c r="BP52" i="44"/>
  <c r="AW52" i="41"/>
  <c r="C52" i="43"/>
  <c r="GP52" i="43"/>
  <c r="CA40" i="43"/>
  <c r="AP44" i="44"/>
  <c r="BF22" i="44"/>
  <c r="BF22" i="41"/>
  <c r="CQ22" i="44"/>
  <c r="L22" i="41"/>
  <c r="AN22" i="44"/>
  <c r="BY22" i="41"/>
  <c r="CQ22" i="45"/>
  <c r="CQ22" i="41"/>
  <c r="AN22" i="43"/>
  <c r="L22" i="43"/>
  <c r="L22" i="44"/>
  <c r="GY22" i="43"/>
  <c r="CQ22" i="43"/>
  <c r="AN22" i="41"/>
  <c r="BF22" i="45"/>
  <c r="BY22" i="43"/>
  <c r="BY22" i="44"/>
  <c r="AN22" i="45"/>
  <c r="L22" i="45"/>
  <c r="BY22" i="45"/>
  <c r="BF22" i="43"/>
  <c r="GY22" i="45"/>
  <c r="GY22" i="41"/>
  <c r="GY22" i="44"/>
  <c r="J20" i="45"/>
  <c r="AL20" i="44"/>
  <c r="CO20" i="43"/>
  <c r="GW20" i="44"/>
  <c r="CO20" i="41"/>
  <c r="BD20" i="43"/>
  <c r="BD20" i="45"/>
  <c r="CO20" i="44"/>
  <c r="BW20" i="45"/>
  <c r="J20" i="43"/>
  <c r="AL20" i="43"/>
  <c r="BW20" i="41"/>
  <c r="BW20" i="43"/>
  <c r="BW20" i="44"/>
  <c r="BD20" i="44"/>
  <c r="AL20" i="45"/>
  <c r="J20" i="41"/>
  <c r="J20" i="44"/>
  <c r="CO20" i="45"/>
  <c r="AL20" i="41"/>
  <c r="BD20" i="41"/>
  <c r="GW20" i="41"/>
  <c r="GW20" i="45"/>
  <c r="GW20" i="43"/>
  <c r="CK52" i="45"/>
  <c r="F52" i="45"/>
  <c r="BS52" i="44"/>
  <c r="BS52" i="45"/>
  <c r="AZ52" i="45"/>
  <c r="F52" i="44"/>
  <c r="F52" i="43"/>
  <c r="CK52" i="41"/>
  <c r="AH52" i="45"/>
  <c r="F52" i="41"/>
  <c r="GS52" i="43"/>
  <c r="GS52" i="45"/>
  <c r="HB46" i="43"/>
  <c r="DI46" i="43"/>
  <c r="G22" i="41"/>
  <c r="CL22" i="45"/>
  <c r="BA22" i="43"/>
  <c r="CL22" i="41"/>
  <c r="BT22" i="45"/>
  <c r="G22" i="43"/>
  <c r="BT22" i="41"/>
  <c r="BA22" i="45"/>
  <c r="BT22" i="44"/>
  <c r="CL22" i="44"/>
  <c r="BT22" i="43"/>
  <c r="G22" i="45"/>
  <c r="AI22" i="43"/>
  <c r="AI22" i="41"/>
  <c r="AI22" i="44"/>
  <c r="BA22" i="41"/>
  <c r="G22" i="44"/>
  <c r="AI22" i="45"/>
  <c r="CL22" i="43"/>
  <c r="BA22" i="44"/>
  <c r="GT22" i="43"/>
  <c r="GT22" i="41"/>
  <c r="GT22" i="45"/>
  <c r="GT22" i="44"/>
  <c r="H52" i="41"/>
  <c r="BB52" i="41"/>
  <c r="BB52" i="44"/>
  <c r="BB52" i="43"/>
  <c r="CM52" i="41"/>
  <c r="CM52" i="45"/>
  <c r="CM52" i="44"/>
  <c r="CM52" i="43"/>
  <c r="AJ52" i="45"/>
  <c r="AJ52" i="44"/>
  <c r="H52" i="43"/>
  <c r="BU52" i="41"/>
  <c r="H52" i="45"/>
  <c r="AJ52" i="43"/>
  <c r="BU52" i="45"/>
  <c r="H52" i="44"/>
  <c r="BU52" i="44"/>
  <c r="BU52" i="43"/>
  <c r="AJ52" i="41"/>
  <c r="GU52" i="41"/>
  <c r="GU52" i="44"/>
  <c r="BB52" i="45"/>
  <c r="GU52" i="43"/>
  <c r="BQ22" i="45"/>
  <c r="AX22" i="45"/>
  <c r="AX22" i="43"/>
  <c r="D22" i="44"/>
  <c r="AF22" i="45"/>
  <c r="CI22" i="44"/>
  <c r="D22" i="43"/>
  <c r="BQ22" i="41"/>
  <c r="D22" i="45"/>
  <c r="AX22" i="44"/>
  <c r="AF22" i="41"/>
  <c r="BQ22" i="44"/>
  <c r="GQ22" i="43"/>
  <c r="AX22" i="41"/>
  <c r="BQ22" i="43"/>
  <c r="AF22" i="43"/>
  <c r="D22" i="41"/>
  <c r="CI22" i="43"/>
  <c r="AF22" i="44"/>
  <c r="CI22" i="41"/>
  <c r="CI22" i="45"/>
  <c r="GQ22" i="44"/>
  <c r="GQ22" i="45"/>
  <c r="GQ22" i="41"/>
  <c r="CN20" i="41"/>
  <c r="AK20" i="45"/>
  <c r="I20" i="43"/>
  <c r="I20" i="45"/>
  <c r="BC20" i="45"/>
  <c r="CN20" i="45"/>
  <c r="BV20" i="45"/>
  <c r="BV20" i="43"/>
  <c r="CN20" i="43"/>
  <c r="BC20" i="41"/>
  <c r="AK20" i="41"/>
  <c r="GV20" i="43"/>
  <c r="GV20" i="41"/>
  <c r="BU20" i="41"/>
  <c r="H20" i="45"/>
  <c r="H20" i="44"/>
  <c r="BB20" i="43"/>
  <c r="BU20" i="44"/>
  <c r="GU20" i="45"/>
  <c r="GU20" i="41"/>
  <c r="BB22" i="44"/>
  <c r="CM22" i="41"/>
  <c r="AJ22" i="44"/>
  <c r="GU22" i="43"/>
  <c r="BB22" i="41"/>
  <c r="BU22" i="43"/>
  <c r="AJ22" i="45"/>
  <c r="AJ22" i="43"/>
  <c r="BB22" i="45"/>
  <c r="H22" i="43"/>
  <c r="H22" i="45"/>
  <c r="AJ22" i="41"/>
  <c r="BU22" i="44"/>
  <c r="H22" i="41"/>
  <c r="CM22" i="43"/>
  <c r="BU22" i="45"/>
  <c r="H22" i="44"/>
  <c r="BU22" i="41"/>
  <c r="CM22" i="44"/>
  <c r="CM22" i="45"/>
  <c r="BB22" i="43"/>
  <c r="GU22" i="41"/>
  <c r="GU22" i="45"/>
  <c r="GU22" i="44"/>
  <c r="BP20" i="44"/>
  <c r="AE20" i="44"/>
  <c r="CH20" i="41"/>
  <c r="CH20" i="44"/>
  <c r="C20" i="45"/>
  <c r="BP20" i="43"/>
  <c r="CH20" i="45"/>
  <c r="AE20" i="43"/>
  <c r="AW20" i="43"/>
  <c r="CH20" i="43"/>
  <c r="AW20" i="44"/>
  <c r="AE20" i="45"/>
  <c r="BP20" i="45"/>
  <c r="C20" i="44"/>
  <c r="GP20" i="43"/>
  <c r="AW20" i="45"/>
  <c r="AE20" i="41"/>
  <c r="GP20" i="44"/>
  <c r="C20" i="41"/>
  <c r="BP20" i="41"/>
  <c r="C20" i="43"/>
  <c r="AW20" i="41"/>
  <c r="GP20" i="41"/>
  <c r="GP20" i="45"/>
  <c r="AY20" i="45"/>
  <c r="AY20" i="43"/>
  <c r="CJ20" i="44"/>
  <c r="BR20" i="43"/>
  <c r="CJ20" i="41"/>
  <c r="AY20" i="44"/>
  <c r="AG20" i="43"/>
  <c r="GR20" i="44"/>
  <c r="CJ20" i="45"/>
  <c r="E20" i="44"/>
  <c r="BR20" i="45"/>
  <c r="AG20" i="44"/>
  <c r="BR20" i="41"/>
  <c r="E20" i="43"/>
  <c r="BR20" i="44"/>
  <c r="CJ20" i="43"/>
  <c r="E20" i="45"/>
  <c r="E20" i="41"/>
  <c r="AG20" i="45"/>
  <c r="AG20" i="41"/>
  <c r="AY20" i="41"/>
  <c r="GR20" i="45"/>
  <c r="GR20" i="43"/>
  <c r="GR20" i="41"/>
  <c r="AY52" i="45"/>
  <c r="GR52" i="45"/>
  <c r="BR52" i="41"/>
  <c r="E52" i="41"/>
  <c r="GR52" i="44"/>
  <c r="AG52" i="43"/>
  <c r="AG52" i="41"/>
  <c r="E52" i="44"/>
  <c r="CJ52" i="43"/>
  <c r="AY52" i="43"/>
  <c r="AG52" i="45"/>
  <c r="E52" i="45"/>
  <c r="BR52" i="45"/>
  <c r="GR52" i="41"/>
  <c r="AY52" i="41"/>
  <c r="BR52" i="43"/>
  <c r="GR52" i="43"/>
  <c r="CJ52" i="41"/>
  <c r="BR52" i="44"/>
  <c r="AG52" i="44"/>
  <c r="E52" i="43"/>
  <c r="AY52" i="44"/>
  <c r="CJ52" i="44"/>
  <c r="CJ52" i="45"/>
  <c r="GV52" i="41"/>
  <c r="I52" i="41"/>
  <c r="BV52" i="41"/>
  <c r="BC52" i="41"/>
  <c r="AK52" i="45"/>
  <c r="CN52" i="44"/>
  <c r="I52" i="43"/>
  <c r="AK52" i="43"/>
  <c r="I52" i="44"/>
  <c r="BV52" i="44"/>
  <c r="BC52" i="44"/>
  <c r="CN52" i="43"/>
  <c r="CN52" i="41"/>
  <c r="BV52" i="45"/>
  <c r="CN52" i="45"/>
  <c r="BV52" i="43"/>
  <c r="I52" i="45"/>
  <c r="AK52" i="44"/>
  <c r="BC52" i="43"/>
  <c r="GV52" i="44"/>
  <c r="BC52" i="45"/>
  <c r="AK52" i="41"/>
  <c r="GV52" i="43"/>
  <c r="AP46" i="41"/>
  <c r="AG22" i="45"/>
  <c r="AG22" i="44"/>
  <c r="CJ22" i="43"/>
  <c r="AY22" i="43"/>
  <c r="AY22" i="41"/>
  <c r="CJ22" i="45"/>
  <c r="GR22" i="41"/>
  <c r="GR22" i="45"/>
  <c r="AY22" i="44"/>
  <c r="CJ22" i="41"/>
  <c r="E22" i="43"/>
  <c r="BR22" i="41"/>
  <c r="AY22" i="45"/>
  <c r="E22" i="45"/>
  <c r="GR22" i="43"/>
  <c r="BR22" i="43"/>
  <c r="BR22" i="44"/>
  <c r="CJ22" i="44"/>
  <c r="AG22" i="41"/>
  <c r="E22" i="41"/>
  <c r="AG22" i="43"/>
  <c r="BR22" i="45"/>
  <c r="E22" i="44"/>
  <c r="GR22" i="44"/>
  <c r="BY52" i="41"/>
  <c r="GY52" i="41"/>
  <c r="BF52" i="41"/>
  <c r="CQ52" i="41"/>
  <c r="CQ52" i="45"/>
  <c r="CQ52" i="44"/>
  <c r="CQ52" i="43"/>
  <c r="L52" i="41"/>
  <c r="AN52" i="45"/>
  <c r="AN52" i="44"/>
  <c r="AN52" i="43"/>
  <c r="BF52" i="43"/>
  <c r="L52" i="43"/>
  <c r="BY52" i="43"/>
  <c r="BY52" i="44"/>
  <c r="BY52" i="45"/>
  <c r="BF52" i="44"/>
  <c r="GY52" i="44"/>
  <c r="L52" i="45"/>
  <c r="L52" i="44"/>
  <c r="AN52" i="41"/>
  <c r="BF52" i="45"/>
  <c r="GY52" i="45"/>
  <c r="GY52" i="43"/>
  <c r="D52" i="41"/>
  <c r="CI52" i="41"/>
  <c r="AX52" i="44"/>
  <c r="AX52" i="43"/>
  <c r="CI52" i="44"/>
  <c r="CI52" i="43"/>
  <c r="BQ52" i="41"/>
  <c r="D52" i="45"/>
  <c r="BQ52" i="44"/>
  <c r="GQ52" i="41"/>
  <c r="AX52" i="41"/>
  <c r="CI52" i="45"/>
  <c r="AF52" i="43"/>
  <c r="AF52" i="45"/>
  <c r="AF52" i="44"/>
  <c r="BQ52" i="43"/>
  <c r="D52" i="44"/>
  <c r="BQ52" i="45"/>
  <c r="D52" i="43"/>
  <c r="AX52" i="45"/>
  <c r="AF52" i="41"/>
  <c r="GQ52" i="44"/>
  <c r="GQ52" i="43"/>
  <c r="BZ52" i="41"/>
  <c r="CR52" i="43"/>
  <c r="BZ52" i="45"/>
  <c r="M52" i="44"/>
  <c r="BG52" i="43"/>
  <c r="BG52" i="44"/>
  <c r="AO52" i="43"/>
  <c r="BG52" i="41"/>
  <c r="AO52" i="45"/>
  <c r="M52" i="43"/>
  <c r="BZ52" i="43"/>
  <c r="BZ52" i="44"/>
  <c r="GZ52" i="44"/>
  <c r="AO52" i="44"/>
  <c r="CR52" i="41"/>
  <c r="AO52" i="41"/>
  <c r="CR52" i="45"/>
  <c r="BG52" i="45"/>
  <c r="CR52" i="44"/>
  <c r="GZ52" i="41"/>
  <c r="M52" i="45"/>
  <c r="M52" i="41"/>
  <c r="GZ52" i="43"/>
  <c r="N33" i="27"/>
  <c r="M33" i="27"/>
  <c r="K33" i="27"/>
  <c r="I33" i="27"/>
  <c r="J33" i="27"/>
  <c r="HB46" i="44"/>
  <c r="DI46" i="44"/>
  <c r="BZ22" i="43"/>
  <c r="BG22" i="44"/>
  <c r="GZ22" i="41"/>
  <c r="BG22" i="43"/>
  <c r="M22" i="44"/>
  <c r="AO22" i="44"/>
  <c r="AO22" i="43"/>
  <c r="BZ22" i="44"/>
  <c r="BG22" i="41"/>
  <c r="M22" i="41"/>
  <c r="BZ22" i="41"/>
  <c r="AO22" i="41"/>
  <c r="AO22" i="45"/>
  <c r="BZ22" i="45"/>
  <c r="CR22" i="45"/>
  <c r="GZ22" i="43"/>
  <c r="CR22" i="41"/>
  <c r="M22" i="43"/>
  <c r="BG22" i="45"/>
  <c r="CR22" i="44"/>
  <c r="CR22" i="43"/>
  <c r="M22" i="45"/>
  <c r="GZ22" i="45"/>
  <c r="GZ22" i="44"/>
  <c r="CN22" i="45"/>
  <c r="I22" i="44"/>
  <c r="BC22" i="43"/>
  <c r="BV22" i="45"/>
  <c r="AK22" i="45"/>
  <c r="BV22" i="43"/>
  <c r="GV22" i="43"/>
  <c r="BC22" i="45"/>
  <c r="I22" i="45"/>
  <c r="CN22" i="44"/>
  <c r="BV22" i="41"/>
  <c r="BV22" i="44"/>
  <c r="I22" i="41"/>
  <c r="AK22" i="41"/>
  <c r="CN22" i="43"/>
  <c r="CN22" i="41"/>
  <c r="BC22" i="44"/>
  <c r="AK22" i="43"/>
  <c r="BC22" i="41"/>
  <c r="I22" i="43"/>
  <c r="AK22" i="44"/>
  <c r="GV22" i="44"/>
  <c r="GV22" i="45"/>
  <c r="GV22" i="41"/>
  <c r="CR20" i="44"/>
  <c r="BZ20" i="43"/>
  <c r="CR20" i="41"/>
  <c r="BG20" i="44"/>
  <c r="AO20" i="43"/>
  <c r="BZ20" i="41"/>
  <c r="AO20" i="45"/>
  <c r="M20" i="43"/>
  <c r="BZ20" i="45"/>
  <c r="CR20" i="43"/>
  <c r="M20" i="41"/>
  <c r="BZ20" i="44"/>
  <c r="CR20" i="45"/>
  <c r="AO20" i="44"/>
  <c r="BG20" i="45"/>
  <c r="BG20" i="43"/>
  <c r="M20" i="45"/>
  <c r="M20" i="44"/>
  <c r="BG20" i="41"/>
  <c r="GZ20" i="44"/>
  <c r="AO20" i="41"/>
  <c r="GZ20" i="45"/>
  <c r="GZ20" i="41"/>
  <c r="GZ20" i="43"/>
  <c r="BQ20" i="41"/>
  <c r="AX20" i="43"/>
  <c r="CI20" i="45"/>
  <c r="AF20" i="43"/>
  <c r="AX20" i="45"/>
  <c r="BQ20" i="44"/>
  <c r="CI20" i="41"/>
  <c r="AF20" i="44"/>
  <c r="D20" i="43"/>
  <c r="D20" i="41"/>
  <c r="CI20" i="43"/>
  <c r="BQ20" i="43"/>
  <c r="BQ20" i="45"/>
  <c r="CI20" i="44"/>
  <c r="AX20" i="44"/>
  <c r="D20" i="45"/>
  <c r="D20" i="44"/>
  <c r="AF20" i="45"/>
  <c r="AX20" i="41"/>
  <c r="AF20" i="41"/>
  <c r="GQ20" i="44"/>
  <c r="GQ20" i="41"/>
  <c r="GQ20" i="43"/>
  <c r="GQ20" i="45"/>
  <c r="CP52" i="44"/>
  <c r="GX52" i="41"/>
  <c r="K52" i="41"/>
  <c r="K52" i="43"/>
  <c r="AM52" i="43"/>
  <c r="CP52" i="43"/>
  <c r="CP52" i="41"/>
  <c r="BX52" i="45"/>
  <c r="BE52" i="43"/>
  <c r="CP52" i="45"/>
  <c r="BX52" i="44"/>
  <c r="BE52" i="44"/>
  <c r="AM52" i="44"/>
  <c r="K52" i="44"/>
  <c r="K52" i="45"/>
  <c r="AM52" i="45"/>
  <c r="BX52" i="41"/>
  <c r="BX52" i="43"/>
  <c r="BE52" i="41"/>
  <c r="GX52" i="44"/>
  <c r="BE52" i="45"/>
  <c r="AM52" i="41"/>
  <c r="GX52" i="43"/>
  <c r="BH46" i="41"/>
  <c r="CA46" i="45"/>
  <c r="C22" i="45"/>
  <c r="AW22" i="44"/>
  <c r="CH22" i="43"/>
  <c r="CH22" i="45"/>
  <c r="C22" i="43"/>
  <c r="C22" i="41"/>
  <c r="BP22" i="45"/>
  <c r="BP22" i="44"/>
  <c r="AE22" i="41"/>
  <c r="AE22" i="43"/>
  <c r="CH22" i="41"/>
  <c r="AE22" i="45"/>
  <c r="GP22" i="43"/>
  <c r="AW22" i="41"/>
  <c r="AE22" i="44"/>
  <c r="AW22" i="45"/>
  <c r="BP22" i="41"/>
  <c r="BP22" i="43"/>
  <c r="C22" i="44"/>
  <c r="CH22" i="44"/>
  <c r="AW22" i="43"/>
  <c r="GP22" i="45"/>
  <c r="GP22" i="41"/>
  <c r="GP22" i="44"/>
  <c r="BY20" i="44"/>
  <c r="AN20" i="43"/>
  <c r="CQ20" i="45"/>
  <c r="L20" i="41"/>
  <c r="AN20" i="41"/>
  <c r="B22" i="45"/>
  <c r="AV22" i="44"/>
  <c r="B22" i="43"/>
  <c r="AD22" i="44"/>
  <c r="BO22" i="43"/>
  <c r="B22" i="44"/>
  <c r="CA22" i="44" s="1"/>
  <c r="CG22" i="41"/>
  <c r="CS22" i="41" s="1"/>
  <c r="BO22" i="45"/>
  <c r="CA22" i="45"/>
  <c r="AD22" i="43"/>
  <c r="AP22" i="43" s="1"/>
  <c r="B22" i="41"/>
  <c r="AV22" i="45"/>
  <c r="BH22" i="45" s="1"/>
  <c r="AV22" i="43"/>
  <c r="CG22" i="45"/>
  <c r="CS22" i="45" s="1"/>
  <c r="BO22" i="44"/>
  <c r="CG22" i="43"/>
  <c r="AD22" i="45"/>
  <c r="AP22" i="45" s="1"/>
  <c r="AV22" i="41"/>
  <c r="BH22" i="41" s="1"/>
  <c r="AD22" i="41"/>
  <c r="GO22" i="43"/>
  <c r="BO22" i="41"/>
  <c r="CG22" i="44"/>
  <c r="CS22" i="44"/>
  <c r="GO22" i="44"/>
  <c r="GO22" i="45"/>
  <c r="GO22" i="41"/>
  <c r="AH22" i="44"/>
  <c r="BS22" i="43"/>
  <c r="CK22" i="41"/>
  <c r="BS22" i="45"/>
  <c r="GS22" i="43"/>
  <c r="AZ22" i="41"/>
  <c r="BS22" i="44"/>
  <c r="AH22" i="45"/>
  <c r="CK22" i="44"/>
  <c r="F22" i="44"/>
  <c r="AZ22" i="45"/>
  <c r="F22" i="45"/>
  <c r="F22" i="43"/>
  <c r="AH22" i="41"/>
  <c r="CK22" i="43"/>
  <c r="BS22" i="41"/>
  <c r="AZ22" i="43"/>
  <c r="AH22" i="43"/>
  <c r="AZ22" i="44"/>
  <c r="CK22" i="45"/>
  <c r="F22" i="41"/>
  <c r="GS22" i="41"/>
  <c r="GS22" i="45"/>
  <c r="GS22" i="44"/>
  <c r="AZ20" i="45"/>
  <c r="CK20" i="44"/>
  <c r="AH20" i="45"/>
  <c r="AZ20" i="44"/>
  <c r="F20" i="45"/>
  <c r="AH20" i="44"/>
  <c r="BS20" i="45"/>
  <c r="BS20" i="44"/>
  <c r="F20" i="43"/>
  <c r="CK20" i="45"/>
  <c r="BS20" i="43"/>
  <c r="F20" i="44"/>
  <c r="CK20" i="41"/>
  <c r="F20" i="41"/>
  <c r="BS20" i="41"/>
  <c r="AZ20" i="43"/>
  <c r="AH20" i="43"/>
  <c r="CK20" i="43"/>
  <c r="AH20" i="41"/>
  <c r="AZ20" i="41"/>
  <c r="GS20" i="44"/>
  <c r="GS20" i="41"/>
  <c r="GS20" i="43"/>
  <c r="GS20" i="45"/>
  <c r="BO52" i="41"/>
  <c r="AV52" i="41"/>
  <c r="B52" i="45"/>
  <c r="BO52" i="45"/>
  <c r="AV52" i="44"/>
  <c r="AV52" i="43"/>
  <c r="B52" i="41"/>
  <c r="CG52" i="41"/>
  <c r="GO52" i="41"/>
  <c r="BO52" i="44"/>
  <c r="CA52" i="44"/>
  <c r="CG52" i="45"/>
  <c r="B52" i="44"/>
  <c r="AD52" i="43"/>
  <c r="AP52" i="43" s="1"/>
  <c r="AD52" i="45"/>
  <c r="AP52" i="45" s="1"/>
  <c r="CG52" i="44"/>
  <c r="CS52" i="44" s="1"/>
  <c r="BO52" i="43"/>
  <c r="CA52" i="43"/>
  <c r="AD52" i="44"/>
  <c r="AP52" i="44" s="1"/>
  <c r="CG52" i="43"/>
  <c r="B52" i="43"/>
  <c r="GO52" i="44"/>
  <c r="AV52" i="45"/>
  <c r="AD52" i="41"/>
  <c r="GO52" i="43"/>
  <c r="CS42" i="43"/>
  <c r="CS46" i="41"/>
  <c r="DI46" i="45"/>
  <c r="DF43" i="45"/>
  <c r="HK43" i="45"/>
  <c r="DF43" i="41"/>
  <c r="HK43" i="41" s="1"/>
  <c r="DF43" i="43"/>
  <c r="HK43" i="43"/>
  <c r="DF43" i="44"/>
  <c r="HK43" i="44" s="1"/>
  <c r="AX41" i="41"/>
  <c r="BQ41" i="41"/>
  <c r="AX41" i="43"/>
  <c r="AF41" i="41"/>
  <c r="BQ41" i="43"/>
  <c r="AF41" i="43"/>
  <c r="D41" i="41"/>
  <c r="CI41" i="44"/>
  <c r="D41" i="43"/>
  <c r="AX41" i="44"/>
  <c r="GQ41" i="43"/>
  <c r="GQ41" i="44"/>
  <c r="AX41" i="45"/>
  <c r="CI41" i="45"/>
  <c r="AF41" i="45"/>
  <c r="BQ41" i="44"/>
  <c r="AF41" i="44"/>
  <c r="D41" i="45"/>
  <c r="D41" i="44"/>
  <c r="CI41" i="41"/>
  <c r="CI41" i="43"/>
  <c r="BQ41" i="45"/>
  <c r="GQ41" i="41"/>
  <c r="GU84" i="45"/>
  <c r="HB24" i="45"/>
  <c r="DF20" i="45"/>
  <c r="DF20" i="44"/>
  <c r="DF20" i="43"/>
  <c r="DF20" i="41"/>
  <c r="HK20" i="41" s="1"/>
  <c r="DC20" i="43"/>
  <c r="DC20" i="44"/>
  <c r="DC20" i="45"/>
  <c r="DC20" i="41"/>
  <c r="DE21" i="43"/>
  <c r="HJ21" i="43" s="1"/>
  <c r="CS44" i="45"/>
  <c r="CA56" i="41"/>
  <c r="BH56" i="45"/>
  <c r="DE43" i="45"/>
  <c r="HJ43" i="45"/>
  <c r="DE43" i="44"/>
  <c r="HJ43" i="44"/>
  <c r="DE43" i="41"/>
  <c r="HJ43" i="41" s="1"/>
  <c r="DE43" i="43"/>
  <c r="HJ43" i="43"/>
  <c r="BF41" i="45"/>
  <c r="L41" i="41"/>
  <c r="BY41" i="44"/>
  <c r="AN41" i="45"/>
  <c r="BY41" i="43"/>
  <c r="BY41" i="41"/>
  <c r="BF41" i="41"/>
  <c r="CQ41" i="44"/>
  <c r="CQ41" i="43"/>
  <c r="AN41" i="44"/>
  <c r="GY41" i="43"/>
  <c r="CQ41" i="41"/>
  <c r="BF41" i="43"/>
  <c r="AN41" i="41"/>
  <c r="L41" i="44"/>
  <c r="AN41" i="43"/>
  <c r="L41" i="45"/>
  <c r="L41" i="43"/>
  <c r="BY41" i="45"/>
  <c r="BF41" i="44"/>
  <c r="GY41" i="44"/>
  <c r="GY41" i="41"/>
  <c r="HB28" i="41"/>
  <c r="CZ20" i="44"/>
  <c r="CZ20" i="43"/>
  <c r="CZ20" i="45"/>
  <c r="CZ20" i="41"/>
  <c r="DI26" i="45"/>
  <c r="HB26" i="45"/>
  <c r="BT41" i="45"/>
  <c r="CL41" i="41"/>
  <c r="DA145" i="45"/>
  <c r="DB20" i="43"/>
  <c r="DB20" i="45"/>
  <c r="DB20" i="44"/>
  <c r="DB20" i="41"/>
  <c r="HB22" i="41"/>
  <c r="AD41" i="41"/>
  <c r="AD41" i="43"/>
  <c r="BO41" i="41"/>
  <c r="AV41" i="44"/>
  <c r="AV41" i="41"/>
  <c r="CG41" i="44"/>
  <c r="GO41" i="44"/>
  <c r="CG41" i="43"/>
  <c r="AD41" i="44"/>
  <c r="AV41" i="43"/>
  <c r="B41" i="43"/>
  <c r="CS41" i="43" s="1"/>
  <c r="CG41" i="41"/>
  <c r="GO41" i="41"/>
  <c r="CX20" i="44"/>
  <c r="CX20" i="45"/>
  <c r="HC20" i="45" s="1"/>
  <c r="DE20" i="45"/>
  <c r="HJ20" i="45" s="1"/>
  <c r="DE20" i="41"/>
  <c r="HJ20" i="41" s="1"/>
  <c r="I41" i="41"/>
  <c r="GV41" i="43"/>
  <c r="CN41" i="41"/>
  <c r="BV41" i="43"/>
  <c r="BC41" i="41"/>
  <c r="BC41" i="44"/>
  <c r="I41" i="45"/>
  <c r="GV41" i="44"/>
  <c r="BV41" i="44"/>
  <c r="BC41" i="45"/>
  <c r="AK41" i="45"/>
  <c r="GS84" i="45"/>
  <c r="DB21" i="41"/>
  <c r="HG21" i="41" s="1"/>
  <c r="DB21" i="44"/>
  <c r="HG21" i="44"/>
  <c r="DB21" i="45"/>
  <c r="HG21" i="45"/>
  <c r="DB21" i="43"/>
  <c r="HG21" i="43" s="1"/>
  <c r="DD35" i="44"/>
  <c r="HI35" i="44" s="1"/>
  <c r="DA43" i="44"/>
  <c r="HF43" i="44" s="1"/>
  <c r="DA43" i="45"/>
  <c r="HF43" i="45" s="1"/>
  <c r="DA43" i="41"/>
  <c r="HF43" i="41"/>
  <c r="CZ43" i="45"/>
  <c r="HE43" i="45" s="1"/>
  <c r="CZ43" i="44"/>
  <c r="HE43" i="44" s="1"/>
  <c r="CZ43" i="43"/>
  <c r="HE43" i="43"/>
  <c r="BE41" i="43"/>
  <c r="BX41" i="43"/>
  <c r="BX41" i="44"/>
  <c r="CP41" i="44"/>
  <c r="GX41" i="44"/>
  <c r="AM41" i="43"/>
  <c r="BE41" i="44"/>
  <c r="BX41" i="41"/>
  <c r="GX41" i="43"/>
  <c r="CP41" i="41"/>
  <c r="K41" i="43"/>
  <c r="K41" i="45"/>
  <c r="AM41" i="45"/>
  <c r="AM41" i="41"/>
  <c r="BE41" i="41"/>
  <c r="K41" i="41"/>
  <c r="K41" i="44"/>
  <c r="BX41" i="45"/>
  <c r="BE41" i="45"/>
  <c r="CP41" i="43"/>
  <c r="AM41" i="44"/>
  <c r="GX41" i="41"/>
  <c r="CJ41" i="41"/>
  <c r="BR41" i="43"/>
  <c r="E41" i="44"/>
  <c r="BR41" i="41"/>
  <c r="AY41" i="43"/>
  <c r="BR41" i="45"/>
  <c r="AY41" i="41"/>
  <c r="GR41" i="43"/>
  <c r="AY41" i="45"/>
  <c r="CJ41" i="44"/>
  <c r="AG41" i="45"/>
  <c r="GR41" i="44"/>
  <c r="E41" i="41"/>
  <c r="E41" i="43"/>
  <c r="AG41" i="43"/>
  <c r="BR41" i="44"/>
  <c r="AG41" i="44"/>
  <c r="E41" i="45"/>
  <c r="CJ41" i="43"/>
  <c r="AG41" i="41"/>
  <c r="AY41" i="44"/>
  <c r="GR41" i="41"/>
  <c r="HB28" i="43"/>
  <c r="DI57" i="43"/>
  <c r="HB57" i="43"/>
  <c r="K42" i="25"/>
  <c r="K43" i="25" s="1"/>
  <c r="GV84" i="43"/>
  <c r="CY20" i="41"/>
  <c r="DA21" i="43"/>
  <c r="HF21" i="43" s="1"/>
  <c r="DA21" i="44"/>
  <c r="HF21" i="44"/>
  <c r="DA21" i="41"/>
  <c r="HF21" i="41" s="1"/>
  <c r="DA21" i="45"/>
  <c r="HF21" i="45"/>
  <c r="DF21" i="41"/>
  <c r="HK21" i="41" s="1"/>
  <c r="DF21" i="44"/>
  <c r="HK21" i="44"/>
  <c r="DF21" i="43"/>
  <c r="HK21" i="43"/>
  <c r="DF21" i="45"/>
  <c r="HK21" i="45"/>
  <c r="DE35" i="43"/>
  <c r="HJ35" i="43"/>
  <c r="DE35" i="41"/>
  <c r="HJ35" i="41" s="1"/>
  <c r="DE35" i="44"/>
  <c r="HJ35" i="44" s="1"/>
  <c r="DE35" i="45"/>
  <c r="HJ35" i="45"/>
  <c r="CW35" i="43"/>
  <c r="HB35" i="43" s="1"/>
  <c r="CW35" i="44"/>
  <c r="HB35" i="44" s="1"/>
  <c r="CW35" i="41"/>
  <c r="BH34" i="43"/>
  <c r="BH56" i="41"/>
  <c r="GU84" i="41"/>
  <c r="BL5" i="18"/>
  <c r="HB24" i="44"/>
  <c r="DI57" i="44"/>
  <c r="HB57" i="44"/>
  <c r="GS84" i="44"/>
  <c r="CX21" i="41"/>
  <c r="HC21" i="41"/>
  <c r="CX21" i="44"/>
  <c r="HC21" i="44"/>
  <c r="CX21" i="43"/>
  <c r="HC21" i="43" s="1"/>
  <c r="CX21" i="45"/>
  <c r="HC21" i="45" s="1"/>
  <c r="CZ21" i="45"/>
  <c r="HE21" i="45" s="1"/>
  <c r="CZ21" i="44"/>
  <c r="HE21" i="44"/>
  <c r="CZ21" i="43"/>
  <c r="HE21" i="43"/>
  <c r="CZ21" i="41"/>
  <c r="HE21" i="41"/>
  <c r="DA35" i="43"/>
  <c r="HF35" i="43" s="1"/>
  <c r="DA35" i="41"/>
  <c r="HF35" i="41"/>
  <c r="DA35" i="44"/>
  <c r="HF35" i="44"/>
  <c r="DA35" i="45"/>
  <c r="HF35" i="45"/>
  <c r="AV145" i="45"/>
  <c r="BB145" i="45"/>
  <c r="AV151" i="45"/>
  <c r="DA20" i="43"/>
  <c r="DA20" i="44"/>
  <c r="DA20" i="45"/>
  <c r="DA20" i="41"/>
  <c r="DG43" i="45"/>
  <c r="HL43" i="45"/>
  <c r="DG43" i="44"/>
  <c r="HL43" i="44"/>
  <c r="DG43" i="43"/>
  <c r="HL43" i="43"/>
  <c r="DG43" i="41"/>
  <c r="HL43" i="41" s="1"/>
  <c r="CY43" i="44"/>
  <c r="HD43" i="44"/>
  <c r="BM5" i="18"/>
  <c r="CO41" i="41"/>
  <c r="J41" i="41"/>
  <c r="GW41" i="43"/>
  <c r="BW41" i="43"/>
  <c r="BD41" i="45"/>
  <c r="H41" i="41"/>
  <c r="BU41" i="44"/>
  <c r="BU41" i="41"/>
  <c r="H41" i="45"/>
  <c r="BB41" i="43"/>
  <c r="GS84" i="43"/>
  <c r="DG20" i="45"/>
  <c r="DG20" i="44"/>
  <c r="DG20" i="43"/>
  <c r="DG20" i="41"/>
  <c r="HB22" i="43"/>
  <c r="DH21" i="45"/>
  <c r="HM21" i="45"/>
  <c r="DH21" i="44"/>
  <c r="HM21" i="44" s="1"/>
  <c r="DH21" i="43"/>
  <c r="HM21" i="43"/>
  <c r="DH21" i="41"/>
  <c r="HM21" i="41"/>
  <c r="DC21" i="41"/>
  <c r="HH21" i="41"/>
  <c r="DC21" i="45"/>
  <c r="HH21" i="45" s="1"/>
  <c r="DC21" i="44"/>
  <c r="HH21" i="44"/>
  <c r="DC21" i="43"/>
  <c r="HH21" i="43"/>
  <c r="CA44" i="45"/>
  <c r="DG21" i="43"/>
  <c r="HL21" i="43" s="1"/>
  <c r="DB43" i="45"/>
  <c r="HG43" i="45"/>
  <c r="DB43" i="41"/>
  <c r="HG43" i="41"/>
  <c r="DB43" i="44"/>
  <c r="HG43" i="44"/>
  <c r="DB43" i="43"/>
  <c r="HG43" i="43" s="1"/>
  <c r="DH20" i="45"/>
  <c r="CY21" i="44"/>
  <c r="HD21" i="44"/>
  <c r="CY21" i="41"/>
  <c r="HD21" i="41" s="1"/>
  <c r="CY21" i="43"/>
  <c r="HD21" i="43"/>
  <c r="CY21" i="45"/>
  <c r="HD21" i="45" s="1"/>
  <c r="CX43" i="43"/>
  <c r="HC43" i="43" s="1"/>
  <c r="AO41" i="43"/>
  <c r="BZ41" i="44"/>
  <c r="M41" i="43"/>
  <c r="BG41" i="44"/>
  <c r="M41" i="41"/>
  <c r="GZ41" i="43"/>
  <c r="BG41" i="45"/>
  <c r="BG41" i="43"/>
  <c r="BZ41" i="43"/>
  <c r="BZ41" i="45"/>
  <c r="BZ41" i="41"/>
  <c r="HB57" i="41"/>
  <c r="DI26" i="44"/>
  <c r="HB26" i="44"/>
  <c r="BS41" i="45"/>
  <c r="AZ41" i="44"/>
  <c r="AZ41" i="45"/>
  <c r="AH41" i="44"/>
  <c r="CK41" i="43"/>
  <c r="F41" i="44"/>
  <c r="AZ41" i="43"/>
  <c r="GS41" i="43"/>
  <c r="BS41" i="44"/>
  <c r="F41" i="45"/>
  <c r="AH41" i="41"/>
  <c r="CK41" i="44"/>
  <c r="CK41" i="41"/>
  <c r="GS41" i="41"/>
  <c r="FZ145" i="45"/>
  <c r="GC145" i="45" s="1"/>
  <c r="FW151" i="45" s="1"/>
  <c r="DD20" i="44"/>
  <c r="DD20" i="45"/>
  <c r="DD20" i="43"/>
  <c r="DD20" i="41"/>
  <c r="HB22" i="45"/>
  <c r="CW21" i="44"/>
  <c r="CW21" i="43"/>
  <c r="HB21" i="43" s="1"/>
  <c r="CW21" i="45"/>
  <c r="CW21" i="41"/>
  <c r="CY35" i="41"/>
  <c r="HD35" i="41" s="1"/>
  <c r="CY35" i="43"/>
  <c r="HD35" i="43" s="1"/>
  <c r="CY35" i="44"/>
  <c r="HD35" i="44" s="1"/>
  <c r="CY35" i="45"/>
  <c r="HD35" i="45"/>
  <c r="DC43" i="41"/>
  <c r="HH43" i="41" s="1"/>
  <c r="DC43" i="45"/>
  <c r="HH43" i="45" s="1"/>
  <c r="DC43" i="44"/>
  <c r="HH43" i="44" s="1"/>
  <c r="DD43" i="45"/>
  <c r="HI43" i="45" s="1"/>
  <c r="DD43" i="43"/>
  <c r="HI43" i="43"/>
  <c r="DD43" i="44"/>
  <c r="HI43" i="44" s="1"/>
  <c r="DD43" i="41"/>
  <c r="HI43" i="41" s="1"/>
  <c r="AE41" i="45"/>
  <c r="CH41" i="43"/>
  <c r="AW41" i="43"/>
  <c r="BP41" i="43"/>
  <c r="BP41" i="44"/>
  <c r="CH41" i="44"/>
  <c r="GP41" i="44"/>
  <c r="AE41" i="43"/>
  <c r="AW41" i="41"/>
  <c r="AE41" i="44"/>
  <c r="AW41" i="45"/>
  <c r="C41" i="43"/>
  <c r="AE41" i="41"/>
  <c r="BP41" i="45"/>
  <c r="GP41" i="43"/>
  <c r="AW41" i="44"/>
  <c r="C41" i="44"/>
  <c r="BP41" i="41"/>
  <c r="CH41" i="41"/>
  <c r="C41" i="45"/>
  <c r="C41" i="41"/>
  <c r="GP41" i="41"/>
  <c r="HB28" i="45"/>
  <c r="HB24" i="41"/>
  <c r="DI24" i="41"/>
  <c r="BO145" i="45"/>
  <c r="CW20" i="43"/>
  <c r="DI20" i="43" s="1"/>
  <c r="CW20" i="44"/>
  <c r="DI20" i="44" s="1"/>
  <c r="CW20" i="45"/>
  <c r="HB20" i="45" s="1"/>
  <c r="CW20" i="41"/>
  <c r="DD21" i="41"/>
  <c r="HI21" i="41"/>
  <c r="DD21" i="44"/>
  <c r="HI21" i="44" s="1"/>
  <c r="DD21" i="43"/>
  <c r="HI21" i="43" s="1"/>
  <c r="DD21" i="45"/>
  <c r="HI21" i="45" s="1"/>
  <c r="DC35" i="44"/>
  <c r="HH35" i="44" s="1"/>
  <c r="DC35" i="43"/>
  <c r="HH35" i="43" s="1"/>
  <c r="DC35" i="45"/>
  <c r="HH35" i="45" s="1"/>
  <c r="DB35" i="41"/>
  <c r="HG35" i="41"/>
  <c r="DB35" i="43"/>
  <c r="HG35" i="43" s="1"/>
  <c r="DB35" i="45"/>
  <c r="HG35" i="45" s="1"/>
  <c r="AP44" i="41"/>
  <c r="CS46" i="44"/>
  <c r="AP34" i="43"/>
  <c r="BH22" i="44"/>
  <c r="CS52" i="43"/>
  <c r="BH52" i="44"/>
  <c r="BH52" i="43"/>
  <c r="CA22" i="41"/>
  <c r="BH52" i="45"/>
  <c r="AP22" i="41"/>
  <c r="AP22" i="44"/>
  <c r="HI20" i="43"/>
  <c r="HG20" i="45"/>
  <c r="HF20" i="41"/>
  <c r="HL20" i="45"/>
  <c r="HI20" i="41"/>
  <c r="HL20" i="44"/>
  <c r="HL20" i="43"/>
  <c r="DI35" i="43"/>
  <c r="HE20" i="44"/>
  <c r="HE20" i="41"/>
  <c r="HH20" i="44"/>
  <c r="HF20" i="44"/>
  <c r="DI35" i="44"/>
  <c r="HD20" i="41"/>
  <c r="HG20" i="41"/>
  <c r="HH20" i="45"/>
  <c r="HK20" i="43"/>
  <c r="DI35" i="45"/>
  <c r="HB35" i="45"/>
  <c r="HB20" i="44"/>
  <c r="DI20" i="45"/>
  <c r="HB21" i="45"/>
  <c r="HL20" i="41"/>
  <c r="DI35" i="41"/>
  <c r="HB35" i="41"/>
  <c r="HG20" i="43"/>
  <c r="HE20" i="43"/>
  <c r="HH20" i="41"/>
  <c r="HB20" i="41"/>
  <c r="DI20" i="41"/>
  <c r="HF20" i="43"/>
  <c r="HG20" i="44"/>
  <c r="HB21" i="41"/>
  <c r="HI20" i="44"/>
  <c r="HE20" i="45"/>
  <c r="BH41" i="43"/>
  <c r="HI20" i="45"/>
  <c r="HM20" i="45"/>
  <c r="HF20" i="45"/>
  <c r="HC20" i="44"/>
  <c r="HH20" i="43"/>
  <c r="E65" i="27"/>
  <c r="B30" i="27"/>
  <c r="N35" i="27" s="1"/>
  <c r="B69" i="27" s="1"/>
  <c r="M30" i="27"/>
  <c r="O55" i="35"/>
  <c r="N32" i="15"/>
  <c r="L38" i="15"/>
  <c r="O38" i="15"/>
  <c r="F38" i="15"/>
  <c r="F42" i="15" s="1"/>
  <c r="F39" i="15"/>
  <c r="M32" i="15"/>
  <c r="M30" i="15"/>
  <c r="F43" i="15"/>
  <c r="F48" i="15" s="1"/>
  <c r="F49" i="15" s="1"/>
  <c r="C61" i="15" s="1"/>
  <c r="K24" i="15"/>
  <c r="K27" i="15"/>
  <c r="J24" i="15"/>
  <c r="E60" i="25"/>
  <c r="J25" i="15"/>
  <c r="B42" i="15"/>
  <c r="N30" i="27"/>
  <c r="K48" i="27"/>
  <c r="K49" i="27" s="1"/>
  <c r="C66" i="27"/>
  <c r="F38" i="27"/>
  <c r="O38" i="27"/>
  <c r="N84" i="35"/>
  <c r="R84" i="35"/>
  <c r="Y92" i="35"/>
  <c r="J42" i="25"/>
  <c r="J43" i="25"/>
  <c r="Y98" i="35"/>
  <c r="X93" i="35"/>
  <c r="E64" i="15"/>
  <c r="E65" i="25"/>
  <c r="F64" i="15"/>
  <c r="B79" i="35"/>
  <c r="F52" i="27"/>
  <c r="D61" i="27" s="1"/>
  <c r="B35" i="27"/>
  <c r="J27" i="15"/>
  <c r="F39" i="27"/>
  <c r="F42" i="27" s="1"/>
  <c r="F43" i="27" s="1"/>
  <c r="F48" i="27" s="1"/>
  <c r="F49" i="27" s="1"/>
  <c r="C61" i="27" s="1"/>
  <c r="M9" i="1"/>
  <c r="E42" i="35"/>
  <c r="L58" i="35"/>
  <c r="N57" i="35"/>
  <c r="L55" i="35"/>
  <c r="GN3" i="45"/>
  <c r="GO130" i="45"/>
  <c r="EG130" i="45"/>
  <c r="EJ145" i="45" s="1"/>
  <c r="FF145" i="45"/>
  <c r="I145" i="45"/>
  <c r="B152" i="45" s="1"/>
  <c r="FJ145" i="45"/>
  <c r="FC152" i="45" s="1"/>
  <c r="AG145" i="45"/>
  <c r="AJ145" i="45" s="1"/>
  <c r="AD151" i="45" s="1"/>
  <c r="CJ145" i="45"/>
  <c r="BV145" i="45"/>
  <c r="BO152" i="45" s="1"/>
  <c r="GE145" i="45"/>
  <c r="AL145" i="45"/>
  <c r="DV145" i="45"/>
  <c r="DO152" i="45"/>
  <c r="GN3" i="44"/>
  <c r="GO130" i="44"/>
  <c r="GR145" i="44" s="1"/>
  <c r="EG130" i="44"/>
  <c r="EG145" i="44" s="1"/>
  <c r="CN145" i="44"/>
  <c r="CG152" i="44"/>
  <c r="D164" i="44" s="1"/>
  <c r="X18" i="35" s="1"/>
  <c r="M98" i="35"/>
  <c r="J90" i="35"/>
  <c r="K89" i="35"/>
  <c r="L97" i="35"/>
  <c r="J95" i="35"/>
  <c r="L89" i="35"/>
  <c r="M97" i="35"/>
  <c r="L94" i="35"/>
  <c r="L91" i="35"/>
  <c r="S91" i="35" s="1"/>
  <c r="E104" i="35" s="1"/>
  <c r="K98" i="35"/>
  <c r="J89" i="35"/>
  <c r="DV145" i="44"/>
  <c r="DO152" i="44" s="1"/>
  <c r="D166" i="44" s="1"/>
  <c r="X20" i="35" s="1"/>
  <c r="M96" i="35"/>
  <c r="M93" i="35"/>
  <c r="L92" i="35"/>
  <c r="K97" i="35"/>
  <c r="K96" i="35"/>
  <c r="B3" i="44"/>
  <c r="E10" i="35"/>
  <c r="M88" i="35"/>
  <c r="M89" i="35"/>
  <c r="L90" i="35"/>
  <c r="K95" i="35"/>
  <c r="K94" i="35"/>
  <c r="S94" i="35" s="1"/>
  <c r="E107" i="35" s="1"/>
  <c r="G89" i="35"/>
  <c r="I96" i="35"/>
  <c r="F91" i="35"/>
  <c r="H94" i="35"/>
  <c r="I91" i="35"/>
  <c r="H97" i="35"/>
  <c r="H92" i="35"/>
  <c r="B3" i="43"/>
  <c r="H93" i="35"/>
  <c r="F96" i="35"/>
  <c r="H98" i="35"/>
  <c r="I93" i="35"/>
  <c r="I95" i="35"/>
  <c r="F94" i="35"/>
  <c r="G90" i="35"/>
  <c r="I97" i="35"/>
  <c r="F92" i="35"/>
  <c r="G91" i="35"/>
  <c r="I88" i="35"/>
  <c r="G94" i="35"/>
  <c r="G97" i="35"/>
  <c r="G88" i="35"/>
  <c r="I89" i="35"/>
  <c r="F89" i="35"/>
  <c r="G93" i="35"/>
  <c r="F90" i="35"/>
  <c r="I98" i="35"/>
  <c r="G95" i="35"/>
  <c r="H90" i="35"/>
  <c r="F97" i="35"/>
  <c r="H95" i="35"/>
  <c r="F95" i="35"/>
  <c r="G98" i="35"/>
  <c r="H96" i="35"/>
  <c r="I90" i="35"/>
  <c r="G96" i="35"/>
  <c r="H91" i="35"/>
  <c r="F98" i="35"/>
  <c r="G92" i="35"/>
  <c r="I92" i="35"/>
  <c r="F88" i="35"/>
  <c r="F93" i="35"/>
  <c r="I94" i="35"/>
  <c r="H88" i="35"/>
  <c r="H89" i="35"/>
  <c r="AD152" i="43"/>
  <c r="Z4" i="33"/>
  <c r="AB4" i="33" s="1"/>
  <c r="EG3" i="43" s="1"/>
  <c r="GW145" i="43"/>
  <c r="EN145" i="43"/>
  <c r="EG152" i="43" s="1"/>
  <c r="CO145" i="43"/>
  <c r="BW145" i="43"/>
  <c r="H7" i="48"/>
  <c r="U6" i="48"/>
  <c r="W6" i="48"/>
  <c r="U10" i="48"/>
  <c r="W10" i="48"/>
  <c r="AA10" i="48" s="1"/>
  <c r="U9" i="48"/>
  <c r="W9" i="48" s="1"/>
  <c r="Z9" i="48" s="1"/>
  <c r="AA9" i="48"/>
  <c r="AE7" i="48"/>
  <c r="E19" i="48"/>
  <c r="H8" i="48"/>
  <c r="U7" i="48"/>
  <c r="W7" i="48" s="1"/>
  <c r="AA7" i="48" s="1"/>
  <c r="H9" i="48"/>
  <c r="J9" i="48"/>
  <c r="AE9" i="48"/>
  <c r="H6" i="48"/>
  <c r="J6" i="48" s="1"/>
  <c r="AE6" i="48"/>
  <c r="AE11" i="48" s="1"/>
  <c r="U8" i="48"/>
  <c r="J10" i="48"/>
  <c r="E70" i="26"/>
  <c r="AA98" i="35"/>
  <c r="AB98" i="35" s="1"/>
  <c r="E70" i="27"/>
  <c r="X81" i="35"/>
  <c r="F66" i="27"/>
  <c r="FE18" i="44"/>
  <c r="FE16" i="45"/>
  <c r="H81" i="35"/>
  <c r="E66" i="26"/>
  <c r="AA95" i="35"/>
  <c r="E66" i="27"/>
  <c r="N81" i="35"/>
  <c r="F66" i="15"/>
  <c r="Z95" i="35"/>
  <c r="FE18" i="41"/>
  <c r="X95" i="35"/>
  <c r="FE16" i="43"/>
  <c r="FD26" i="44"/>
  <c r="FD26" i="41"/>
  <c r="FD26" i="43"/>
  <c r="FD25" i="41"/>
  <c r="FD25" i="45"/>
  <c r="R80" i="35"/>
  <c r="FE24" i="45"/>
  <c r="H80" i="35"/>
  <c r="L80" i="35"/>
  <c r="FE25" i="45"/>
  <c r="F65" i="15"/>
  <c r="FE26" i="41"/>
  <c r="FE25" i="41"/>
  <c r="FE19" i="44"/>
  <c r="FE24" i="43"/>
  <c r="FE17" i="45"/>
  <c r="F65" i="25"/>
  <c r="X94" i="35"/>
  <c r="AB94" i="35" s="1"/>
  <c r="FE25" i="43"/>
  <c r="FE24" i="44"/>
  <c r="FE17" i="43"/>
  <c r="FE17" i="41"/>
  <c r="E65" i="15"/>
  <c r="FE19" i="43"/>
  <c r="F65" i="26"/>
  <c r="N78" i="35"/>
  <c r="FE18" i="45"/>
  <c r="FD18" i="44"/>
  <c r="FD18" i="41"/>
  <c r="FD18" i="43"/>
  <c r="FD18" i="45"/>
  <c r="FD17" i="44"/>
  <c r="FD17" i="43"/>
  <c r="FD17" i="45"/>
  <c r="FD17" i="41"/>
  <c r="FD19" i="41"/>
  <c r="FD20" i="44"/>
  <c r="FD20" i="43"/>
  <c r="FD20" i="41"/>
  <c r="FD20" i="45"/>
  <c r="FD27" i="44"/>
  <c r="FD27" i="43"/>
  <c r="FD27" i="41"/>
  <c r="FD27" i="45"/>
  <c r="FD16" i="43"/>
  <c r="FD16" i="45"/>
  <c r="FD16" i="41"/>
  <c r="FD16" i="44"/>
  <c r="FD22" i="43"/>
  <c r="FD22" i="44"/>
  <c r="FD22" i="45"/>
  <c r="X79" i="35"/>
  <c r="FD23" i="45"/>
  <c r="FD23" i="44"/>
  <c r="FD23" i="41"/>
  <c r="FD23" i="43"/>
  <c r="FD24" i="45"/>
  <c r="FD24" i="41"/>
  <c r="FD24" i="44"/>
  <c r="FD24" i="43"/>
  <c r="F79" i="35"/>
  <c r="E64" i="27"/>
  <c r="E64" i="26"/>
  <c r="N79" i="35"/>
  <c r="R79" i="35"/>
  <c r="FD25" i="44"/>
  <c r="FE21" i="41"/>
  <c r="FD25" i="43"/>
  <c r="FE20" i="43"/>
  <c r="FE19" i="41"/>
  <c r="AA93" i="35"/>
  <c r="FE20" i="41"/>
  <c r="Z93" i="35"/>
  <c r="FE27" i="43"/>
  <c r="FE20" i="44"/>
  <c r="FE28" i="44" s="1"/>
  <c r="FE27" i="45"/>
  <c r="F64" i="27"/>
  <c r="X92" i="35"/>
  <c r="AA92" i="35"/>
  <c r="AB92" i="35" s="1"/>
  <c r="T75" i="35"/>
  <c r="W75" i="35" s="1"/>
  <c r="Z89" i="35"/>
  <c r="E75" i="35"/>
  <c r="AA89" i="35"/>
  <c r="Y89" i="35"/>
  <c r="X89" i="35"/>
  <c r="F62" i="25"/>
  <c r="E74" i="35"/>
  <c r="GC11" i="43"/>
  <c r="GC25" i="45"/>
  <c r="GC23" i="41"/>
  <c r="GC22" i="44"/>
  <c r="GC25" i="44"/>
  <c r="GC25" i="41"/>
  <c r="GC26" i="44"/>
  <c r="GC11" i="41"/>
  <c r="GC23" i="43"/>
  <c r="GC17" i="41"/>
  <c r="GC17" i="43"/>
  <c r="GC11" i="45"/>
  <c r="GC23" i="45"/>
  <c r="GE19" i="43"/>
  <c r="GE19" i="44"/>
  <c r="GE19" i="41"/>
  <c r="GE19" i="45"/>
  <c r="GE15" i="43"/>
  <c r="GE15" i="44"/>
  <c r="GE15" i="41"/>
  <c r="GE15" i="45"/>
  <c r="GE23" i="44"/>
  <c r="CB9" i="18"/>
  <c r="GE21" i="44"/>
  <c r="GB13" i="41"/>
  <c r="CB27" i="18"/>
  <c r="GE31" i="43" s="1"/>
  <c r="GE25" i="43"/>
  <c r="GE17" i="44"/>
  <c r="GE23" i="41"/>
  <c r="GB18" i="44"/>
  <c r="GE32" i="44"/>
  <c r="CB16" i="18"/>
  <c r="GB32" i="43"/>
  <c r="GB31" i="45"/>
  <c r="GE24" i="41"/>
  <c r="GE29" i="41"/>
  <c r="GE24" i="45"/>
  <c r="GE14" i="44"/>
  <c r="GE16" i="41"/>
  <c r="GB31" i="43"/>
  <c r="GE14" i="45"/>
  <c r="GB25" i="45"/>
  <c r="GB13" i="45"/>
  <c r="GE24" i="44"/>
  <c r="GB15" i="43"/>
  <c r="GB20" i="44"/>
  <c r="GE29" i="45"/>
  <c r="GB32" i="45"/>
  <c r="GB24" i="45"/>
  <c r="GB15" i="41"/>
  <c r="GE32" i="41"/>
  <c r="GE29" i="43"/>
  <c r="GE14" i="43"/>
  <c r="GE16" i="44"/>
  <c r="GB19" i="43"/>
  <c r="GE21" i="45"/>
  <c r="GB15" i="44"/>
  <c r="GB19" i="41"/>
  <c r="GB13" i="44"/>
  <c r="CB14" i="18"/>
  <c r="GE21" i="43"/>
  <c r="GB31" i="44"/>
  <c r="GB15" i="45"/>
  <c r="GB20" i="41"/>
  <c r="GB20" i="43"/>
  <c r="GD17" i="44"/>
  <c r="GD17" i="43"/>
  <c r="GD28" i="43"/>
  <c r="GD28" i="41"/>
  <c r="GD28" i="44"/>
  <c r="GD28" i="45"/>
  <c r="GD25" i="43"/>
  <c r="GD25" i="44"/>
  <c r="GD25" i="45"/>
  <c r="GD25" i="41"/>
  <c r="GA17" i="44"/>
  <c r="GD32" i="43"/>
  <c r="GD18" i="43"/>
  <c r="GD24" i="44"/>
  <c r="GD24" i="45"/>
  <c r="CA16" i="18"/>
  <c r="GA9" i="41"/>
  <c r="GA17" i="43"/>
  <c r="GA25" i="45"/>
  <c r="GA20" i="45"/>
  <c r="GA12" i="45"/>
  <c r="GA10" i="45"/>
  <c r="GD24" i="41"/>
  <c r="GD15" i="41"/>
  <c r="GD15" i="44"/>
  <c r="GD16" i="41"/>
  <c r="GD21" i="41"/>
  <c r="GD9" i="41"/>
  <c r="GD12" i="41"/>
  <c r="GA32" i="43"/>
  <c r="GA27" i="43"/>
  <c r="GD32" i="45"/>
  <c r="GA18" i="45"/>
  <c r="GD18" i="41"/>
  <c r="GA21" i="41"/>
  <c r="CA23" i="18"/>
  <c r="GD32" i="44"/>
  <c r="GD15" i="43"/>
  <c r="GD16" i="44"/>
  <c r="GD21" i="45"/>
  <c r="GA12" i="44"/>
  <c r="GD11" i="44"/>
  <c r="GD18" i="44"/>
  <c r="GD11" i="41"/>
  <c r="Z96" i="35"/>
  <c r="F67" i="25"/>
  <c r="H82" i="35"/>
  <c r="F67" i="26"/>
  <c r="AA96" i="35"/>
  <c r="T82" i="35"/>
  <c r="W82" i="35" s="1"/>
  <c r="EB104" i="44"/>
  <c r="EC104" i="44"/>
  <c r="EB85" i="43"/>
  <c r="EC85" i="43"/>
  <c r="EB87" i="45"/>
  <c r="EB104" i="45"/>
  <c r="EB92" i="43"/>
  <c r="EC92" i="43" s="1"/>
  <c r="EB92" i="44"/>
  <c r="EC92" i="44"/>
  <c r="EB92" i="45"/>
  <c r="EB92" i="41"/>
  <c r="EC92" i="41"/>
  <c r="EB114" i="44"/>
  <c r="EC114" i="44"/>
  <c r="EB114" i="43"/>
  <c r="EC114" i="43" s="1"/>
  <c r="EB114" i="41"/>
  <c r="EC114" i="41"/>
  <c r="EB77" i="43"/>
  <c r="EB77" i="44"/>
  <c r="EB77" i="45"/>
  <c r="EB77" i="41"/>
  <c r="EC77" i="41" s="1"/>
  <c r="EB102" i="45"/>
  <c r="EB102" i="44"/>
  <c r="EC102" i="44"/>
  <c r="EB86" i="43"/>
  <c r="EC86" i="43" s="1"/>
  <c r="EB86" i="41"/>
  <c r="EC86" i="41" s="1"/>
  <c r="EB112" i="41"/>
  <c r="EC112" i="41"/>
  <c r="EB112" i="45"/>
  <c r="EB95" i="45"/>
  <c r="EB95" i="44"/>
  <c r="EC95" i="44" s="1"/>
  <c r="EB101" i="44"/>
  <c r="EC101" i="44" s="1"/>
  <c r="EB101" i="45"/>
  <c r="EB106" i="43"/>
  <c r="EC106" i="43"/>
  <c r="EB106" i="44"/>
  <c r="EC106" i="44" s="1"/>
  <c r="EB79" i="45"/>
  <c r="EB79" i="41"/>
  <c r="EC79" i="41"/>
  <c r="EB81" i="45"/>
  <c r="EB85" i="45"/>
  <c r="EB87" i="41"/>
  <c r="EC87" i="41"/>
  <c r="EB87" i="44"/>
  <c r="EC87" i="44" s="1"/>
  <c r="EB110" i="45"/>
  <c r="EB110" i="43"/>
  <c r="EC110" i="43" s="1"/>
  <c r="EB94" i="44"/>
  <c r="EC94" i="44"/>
  <c r="EB80" i="41"/>
  <c r="EC80" i="41"/>
  <c r="EB104" i="41"/>
  <c r="EC104" i="41" s="1"/>
  <c r="EB110" i="44"/>
  <c r="EC110" i="44" s="1"/>
  <c r="EB83" i="41"/>
  <c r="EC83" i="41"/>
  <c r="EB83" i="44"/>
  <c r="EC83" i="44"/>
  <c r="EB83" i="43"/>
  <c r="EC83" i="43" s="1"/>
  <c r="EB83" i="45"/>
  <c r="EB109" i="41"/>
  <c r="EC109" i="41" s="1"/>
  <c r="EB109" i="44"/>
  <c r="EC109" i="44"/>
  <c r="EB109" i="45"/>
  <c r="EB109" i="43"/>
  <c r="EC109" i="43" s="1"/>
  <c r="EB108" i="41"/>
  <c r="EC108" i="41" s="1"/>
  <c r="EB108" i="45"/>
  <c r="EB108" i="43"/>
  <c r="EC108" i="43"/>
  <c r="EB108" i="44"/>
  <c r="EC108" i="44"/>
  <c r="EB103" i="43"/>
  <c r="EC103" i="43"/>
  <c r="EB103" i="44"/>
  <c r="EC103" i="44" s="1"/>
  <c r="EB103" i="41"/>
  <c r="EC103" i="41"/>
  <c r="EB103" i="45"/>
  <c r="EB84" i="43"/>
  <c r="EC84" i="43"/>
  <c r="EB84" i="45"/>
  <c r="EB84" i="41"/>
  <c r="EC84" i="41" s="1"/>
  <c r="EB84" i="44"/>
  <c r="EC84" i="44"/>
  <c r="EB113" i="43"/>
  <c r="EC113" i="43" s="1"/>
  <c r="EB113" i="41"/>
  <c r="EC113" i="41" s="1"/>
  <c r="EB113" i="45"/>
  <c r="EB113" i="44"/>
  <c r="EC113" i="44" s="1"/>
  <c r="EB107" i="43"/>
  <c r="EC107" i="43"/>
  <c r="EB107" i="44"/>
  <c r="EC107" i="44"/>
  <c r="EB107" i="45"/>
  <c r="EB107" i="41"/>
  <c r="EC107" i="41" s="1"/>
  <c r="EB97" i="45"/>
  <c r="EB96" i="44"/>
  <c r="EC96" i="44" s="1"/>
  <c r="EB96" i="41"/>
  <c r="EC96" i="41"/>
  <c r="EB96" i="45"/>
  <c r="EB96" i="43"/>
  <c r="EC96" i="43" s="1"/>
  <c r="EB117" i="41"/>
  <c r="EC117" i="41" s="1"/>
  <c r="EB117" i="43"/>
  <c r="EC117" i="43"/>
  <c r="EB117" i="45"/>
  <c r="EB117" i="44"/>
  <c r="EC117" i="44" s="1"/>
  <c r="EB89" i="45"/>
  <c r="EB89" i="41"/>
  <c r="EC89" i="41" s="1"/>
  <c r="EB89" i="44"/>
  <c r="EC89" i="44"/>
  <c r="EB89" i="43"/>
  <c r="EC89" i="43" s="1"/>
  <c r="EB76" i="41"/>
  <c r="EC76" i="41" s="1"/>
  <c r="EB76" i="44"/>
  <c r="EB76" i="45"/>
  <c r="EB76" i="43"/>
  <c r="EB90" i="41"/>
  <c r="EC90" i="41"/>
  <c r="EB90" i="43"/>
  <c r="EC90" i="43" s="1"/>
  <c r="EB90" i="45"/>
  <c r="EB90" i="44"/>
  <c r="EC90" i="44"/>
  <c r="EB82" i="41"/>
  <c r="EC82" i="41" s="1"/>
  <c r="EB82" i="44"/>
  <c r="EC82" i="44"/>
  <c r="EB82" i="45"/>
  <c r="EB82" i="43"/>
  <c r="EC82" i="43" s="1"/>
  <c r="EB101" i="43"/>
  <c r="EC101" i="43" s="1"/>
  <c r="EB86" i="45"/>
  <c r="EB99" i="44"/>
  <c r="EC99" i="44"/>
  <c r="EB94" i="43"/>
  <c r="EC94" i="43"/>
  <c r="F68" i="26"/>
  <c r="EB79" i="43"/>
  <c r="EC79" i="43" s="1"/>
  <c r="EB85" i="41"/>
  <c r="EC85" i="41"/>
  <c r="EB80" i="44"/>
  <c r="EC80" i="44"/>
  <c r="EB91" i="44"/>
  <c r="EC91" i="44" s="1"/>
  <c r="EB105" i="45"/>
  <c r="EB100" i="45"/>
  <c r="E67" i="26"/>
  <c r="EB91" i="43"/>
  <c r="EC91" i="43"/>
  <c r="EB116" i="45"/>
  <c r="EB115" i="45"/>
  <c r="EB102" i="41"/>
  <c r="EC102" i="41"/>
  <c r="EB115" i="43"/>
  <c r="EC115" i="43" s="1"/>
  <c r="E68" i="26"/>
  <c r="EB95" i="41"/>
  <c r="EC95" i="41" s="1"/>
  <c r="EB86" i="44"/>
  <c r="EC86" i="44" s="1"/>
  <c r="EB94" i="45"/>
  <c r="EB116" i="43"/>
  <c r="EC116" i="43" s="1"/>
  <c r="EB112" i="44"/>
  <c r="EC112" i="44"/>
  <c r="EB105" i="44"/>
  <c r="EC105" i="44"/>
  <c r="EB105" i="43"/>
  <c r="EC105" i="43"/>
  <c r="EB102" i="43"/>
  <c r="EC102" i="43" s="1"/>
  <c r="EB100" i="44"/>
  <c r="EC100" i="44"/>
  <c r="EB80" i="43"/>
  <c r="EC80" i="43" s="1"/>
  <c r="EB114" i="45"/>
  <c r="EB115" i="44"/>
  <c r="EC115" i="44" s="1"/>
  <c r="T83" i="35"/>
  <c r="W83" i="35"/>
  <c r="AA97" i="35"/>
  <c r="EB101" i="41"/>
  <c r="EC101" i="41"/>
  <c r="EB106" i="45"/>
  <c r="EB112" i="43"/>
  <c r="EC112" i="43" s="1"/>
  <c r="EB79" i="44"/>
  <c r="EC79" i="44"/>
  <c r="EB91" i="45"/>
  <c r="F68" i="27"/>
  <c r="F68" i="25"/>
  <c r="Z97" i="35"/>
  <c r="EB81" i="44"/>
  <c r="EC81" i="44" s="1"/>
  <c r="EB95" i="43"/>
  <c r="EC95" i="43"/>
  <c r="EB116" i="41"/>
  <c r="EC116" i="41"/>
  <c r="EB106" i="41"/>
  <c r="EC106" i="41"/>
  <c r="EB81" i="43"/>
  <c r="EC81" i="43" s="1"/>
  <c r="E68" i="27"/>
  <c r="DJ21" i="45"/>
  <c r="DJ21" i="43"/>
  <c r="DJ48" i="44"/>
  <c r="DJ48" i="45"/>
  <c r="DJ48" i="41"/>
  <c r="DJ43" i="45"/>
  <c r="DJ43" i="43"/>
  <c r="DJ50" i="43"/>
  <c r="DJ45" i="41"/>
  <c r="DJ40" i="43"/>
  <c r="DJ45" i="43"/>
  <c r="DJ43" i="41"/>
  <c r="DJ34" i="41"/>
  <c r="DJ34" i="45"/>
  <c r="DJ34" i="44"/>
  <c r="DJ28" i="45"/>
  <c r="DJ28" i="44"/>
  <c r="DJ28" i="43"/>
  <c r="DJ28" i="41"/>
  <c r="DJ22" i="43"/>
  <c r="DJ22" i="41"/>
  <c r="DJ22" i="45"/>
  <c r="DJ60" i="41"/>
  <c r="DJ60" i="44"/>
  <c r="DJ60" i="45"/>
  <c r="DJ60" i="43"/>
  <c r="DJ21" i="41"/>
  <c r="DJ25" i="44"/>
  <c r="DJ21" i="44"/>
  <c r="DJ51" i="45"/>
  <c r="DJ48" i="43"/>
  <c r="DJ56" i="41"/>
  <c r="DJ25" i="41"/>
  <c r="DJ40" i="44"/>
  <c r="DJ56" i="44"/>
  <c r="DJ50" i="44"/>
  <c r="DJ50" i="45"/>
  <c r="DJ51" i="44"/>
  <c r="DJ45" i="44"/>
  <c r="DJ55" i="41"/>
  <c r="DJ55" i="44"/>
  <c r="DJ55" i="43"/>
  <c r="DJ55" i="45"/>
  <c r="DJ20" i="41"/>
  <c r="DJ20" i="43"/>
  <c r="DJ20" i="44"/>
  <c r="DJ20" i="45"/>
  <c r="DJ59" i="45"/>
  <c r="DJ59" i="41"/>
  <c r="DJ59" i="43"/>
  <c r="DJ59" i="44"/>
  <c r="DJ36" i="41"/>
  <c r="DJ36" i="43"/>
  <c r="DJ36" i="45"/>
  <c r="DJ36" i="44"/>
  <c r="DJ53" i="44"/>
  <c r="DJ38" i="44"/>
  <c r="DJ38" i="41"/>
  <c r="DJ38" i="45"/>
  <c r="DJ38" i="43"/>
  <c r="DJ29" i="44"/>
  <c r="DJ42" i="43"/>
  <c r="DJ54" i="41"/>
  <c r="DJ29" i="41"/>
  <c r="DJ54" i="43"/>
  <c r="DJ24" i="43"/>
  <c r="DJ51" i="41"/>
  <c r="DJ22" i="44"/>
  <c r="DJ29" i="45"/>
  <c r="DJ47" i="44"/>
  <c r="DJ46" i="44"/>
  <c r="DJ33" i="45"/>
  <c r="DJ46" i="43"/>
  <c r="DJ23" i="43"/>
  <c r="DJ23" i="41"/>
  <c r="DJ42" i="41"/>
  <c r="DJ46" i="41"/>
  <c r="DJ42" i="44"/>
  <c r="DJ47" i="45"/>
  <c r="DJ33" i="43"/>
  <c r="DJ23" i="45"/>
  <c r="DJ33" i="41"/>
  <c r="DJ54" i="44"/>
  <c r="CB21" i="43"/>
  <c r="CB21" i="45"/>
  <c r="BI21" i="43"/>
  <c r="CB54" i="45"/>
  <c r="AQ21" i="45"/>
  <c r="CB21" i="41"/>
  <c r="AQ21" i="44"/>
  <c r="AQ21" i="43"/>
  <c r="CT21" i="44"/>
  <c r="CB21" i="44"/>
  <c r="AQ21" i="41"/>
  <c r="BI21" i="45"/>
  <c r="BI21" i="41"/>
  <c r="CT21" i="43"/>
  <c r="CT42" i="44"/>
  <c r="CB42" i="44"/>
  <c r="BI31" i="44"/>
  <c r="BI46" i="45"/>
  <c r="AQ31" i="43"/>
  <c r="BI46" i="41"/>
  <c r="AQ50" i="44"/>
  <c r="AQ31" i="45"/>
  <c r="BI46" i="43"/>
  <c r="CB42" i="43"/>
  <c r="AQ54" i="41"/>
  <c r="BI42" i="41"/>
  <c r="BI42" i="44"/>
  <c r="CT60" i="43"/>
  <c r="CB60" i="43"/>
  <c r="CB36" i="44"/>
  <c r="CB36" i="41"/>
  <c r="BI36" i="44"/>
  <c r="CT36" i="43"/>
  <c r="BI36" i="43"/>
  <c r="AQ36" i="43"/>
  <c r="AQ36" i="44"/>
  <c r="BI36" i="41"/>
  <c r="AQ46" i="43"/>
  <c r="CT46" i="41"/>
  <c r="CB46" i="41"/>
  <c r="CT46" i="44"/>
  <c r="CT46" i="43"/>
  <c r="AQ46" i="41"/>
  <c r="AQ46" i="44"/>
  <c r="CT50" i="44"/>
  <c r="CB46" i="45"/>
  <c r="AQ46" i="45"/>
  <c r="BI46" i="44"/>
  <c r="BI50" i="44"/>
  <c r="CB46" i="43"/>
  <c r="BI48" i="41"/>
  <c r="BI48" i="45"/>
  <c r="CB48" i="41"/>
  <c r="CB48" i="44"/>
  <c r="CT48" i="44"/>
  <c r="AQ48" i="45"/>
  <c r="CB48" i="43"/>
  <c r="BI48" i="43"/>
  <c r="AQ48" i="44"/>
  <c r="BI48" i="44"/>
  <c r="CB48" i="45"/>
  <c r="AQ48" i="41"/>
  <c r="AQ48" i="43"/>
  <c r="CT48" i="41"/>
  <c r="CT24" i="44"/>
  <c r="CB24" i="43"/>
  <c r="AQ24" i="41"/>
  <c r="BI24" i="45"/>
  <c r="AQ24" i="43"/>
  <c r="BI24" i="43"/>
  <c r="CB24" i="45"/>
  <c r="CT24" i="43"/>
  <c r="AQ41" i="43"/>
  <c r="AQ41" i="44"/>
  <c r="CT41" i="41"/>
  <c r="AQ59" i="44"/>
  <c r="CB59" i="41"/>
  <c r="BI59" i="41"/>
  <c r="CT59" i="44"/>
  <c r="CB59" i="45"/>
  <c r="BI59" i="44"/>
  <c r="BI59" i="45"/>
  <c r="AQ59" i="41"/>
  <c r="CT59" i="43"/>
  <c r="BI59" i="43"/>
  <c r="CT59" i="41"/>
  <c r="CB59" i="43"/>
  <c r="AQ59" i="45"/>
  <c r="CB59" i="44"/>
  <c r="AQ59" i="43"/>
  <c r="AQ36" i="41"/>
  <c r="CT36" i="41"/>
  <c r="CT31" i="43"/>
  <c r="BI36" i="45"/>
  <c r="CT36" i="44"/>
  <c r="BI60" i="41"/>
  <c r="CB36" i="45"/>
  <c r="AQ36" i="45"/>
  <c r="CT31" i="41"/>
  <c r="CT54" i="41"/>
  <c r="AQ60" i="41"/>
  <c r="CB31" i="41"/>
  <c r="CB54" i="43"/>
  <c r="CB60" i="44"/>
  <c r="AQ52" i="41"/>
  <c r="CT52" i="44"/>
  <c r="CB52" i="43"/>
  <c r="BI52" i="41"/>
  <c r="AQ52" i="44"/>
  <c r="AQ52" i="43"/>
  <c r="CB52" i="45"/>
  <c r="CB52" i="41"/>
  <c r="CT52" i="43"/>
  <c r="BI52" i="44"/>
  <c r="BI52" i="45"/>
  <c r="BI52" i="43"/>
  <c r="AQ52" i="45"/>
  <c r="CT52" i="41"/>
  <c r="CB52" i="44"/>
  <c r="BI40" i="41"/>
  <c r="CT40" i="44"/>
  <c r="BI40" i="43"/>
  <c r="CT40" i="43"/>
  <c r="CB40" i="41"/>
  <c r="BI40" i="45"/>
  <c r="AQ40" i="41"/>
  <c r="CT40" i="41"/>
  <c r="CB40" i="43"/>
  <c r="AQ40" i="45"/>
  <c r="CB40" i="45"/>
  <c r="AQ40" i="44"/>
  <c r="AQ40" i="43"/>
  <c r="BI40" i="44"/>
  <c r="CB40" i="44"/>
  <c r="AQ47" i="43"/>
  <c r="BI47" i="44"/>
  <c r="CT47" i="41"/>
  <c r="AQ47" i="44"/>
  <c r="CB47" i="45"/>
  <c r="BI47" i="41"/>
  <c r="CT47" i="44"/>
  <c r="BI47" i="45"/>
  <c r="CB47" i="41"/>
  <c r="CB47" i="44"/>
  <c r="AQ47" i="41"/>
  <c r="BI47" i="43"/>
  <c r="CB47" i="43"/>
  <c r="AQ47" i="45"/>
  <c r="CB50" i="45"/>
  <c r="BI54" i="43"/>
  <c r="AQ42" i="43"/>
  <c r="BI42" i="45"/>
  <c r="BI60" i="44"/>
  <c r="AQ60" i="44"/>
  <c r="BI50" i="41"/>
  <c r="AQ50" i="43"/>
  <c r="CT50" i="41"/>
  <c r="CB31" i="45"/>
  <c r="CB54" i="44"/>
  <c r="BI54" i="41"/>
  <c r="CT42" i="43"/>
  <c r="CT60" i="44"/>
  <c r="AQ24" i="44"/>
  <c r="CT50" i="43"/>
  <c r="AQ54" i="43"/>
  <c r="BI42" i="43"/>
  <c r="CB60" i="45"/>
  <c r="CB50" i="43"/>
  <c r="CB50" i="41"/>
  <c r="CB31" i="43"/>
  <c r="BI31" i="41"/>
  <c r="AQ54" i="45"/>
  <c r="CT54" i="44"/>
  <c r="AQ42" i="45"/>
  <c r="AQ42" i="41"/>
  <c r="BI60" i="43"/>
  <c r="AQ60" i="45"/>
  <c r="BI31" i="45"/>
  <c r="BI24" i="41"/>
  <c r="CB24" i="41"/>
  <c r="BI54" i="45"/>
  <c r="BI50" i="45"/>
  <c r="AQ50" i="41"/>
  <c r="CB31" i="44"/>
  <c r="CT31" i="44"/>
  <c r="CB54" i="41"/>
  <c r="BI54" i="44"/>
  <c r="AQ42" i="44"/>
  <c r="AQ60" i="43"/>
  <c r="CB60" i="41"/>
  <c r="CT24" i="41"/>
  <c r="AQ24" i="45"/>
  <c r="BI24" i="44"/>
  <c r="CB42" i="41"/>
  <c r="CT60" i="41"/>
  <c r="CB50" i="44"/>
  <c r="AQ31" i="44"/>
  <c r="BI31" i="43"/>
  <c r="AQ54" i="44"/>
  <c r="CT42" i="41"/>
  <c r="BI60" i="45"/>
  <c r="CB24" i="44"/>
  <c r="O8" i="48"/>
  <c r="AE8" i="48" s="1"/>
  <c r="B8" i="48"/>
  <c r="J8" i="48" s="1"/>
  <c r="B7" i="48"/>
  <c r="E14" i="34"/>
  <c r="E24" i="1"/>
  <c r="E26" i="1"/>
  <c r="J21" i="1"/>
  <c r="F8" i="28" s="1"/>
  <c r="H8" i="28"/>
  <c r="D8" i="28"/>
  <c r="B7" i="20"/>
  <c r="I20" i="1"/>
  <c r="E30" i="1"/>
  <c r="J22" i="1" s="1"/>
  <c r="B14" i="42"/>
  <c r="I22" i="1"/>
  <c r="C123" i="44"/>
  <c r="AI123" i="44"/>
  <c r="BE123" i="44"/>
  <c r="CH123" i="44"/>
  <c r="DC123" i="44"/>
  <c r="DX123" i="44"/>
  <c r="FX123" i="44"/>
  <c r="GT123" i="44"/>
  <c r="L123" i="44"/>
  <c r="AX123" i="44"/>
  <c r="BU123" i="44"/>
  <c r="CQ123" i="44"/>
  <c r="DQ123" i="44"/>
  <c r="FI123" i="44"/>
  <c r="GG123" i="44"/>
  <c r="AE123" i="44"/>
  <c r="BA123" i="44"/>
  <c r="BX123" i="44"/>
  <c r="CY123" i="44"/>
  <c r="DT123" i="44"/>
  <c r="FL123" i="44"/>
  <c r="GP123" i="44"/>
  <c r="H123" i="44"/>
  <c r="AN123" i="44"/>
  <c r="BQ123" i="44"/>
  <c r="CM123" i="44"/>
  <c r="DH123" i="44"/>
  <c r="FE123" i="44"/>
  <c r="GC123" i="44"/>
  <c r="GY123" i="44"/>
  <c r="M123" i="44"/>
  <c r="AY123" i="44"/>
  <c r="BV123" i="44"/>
  <c r="CR123" i="44"/>
  <c r="DR123" i="44"/>
  <c r="FJ123" i="44"/>
  <c r="GH123" i="44"/>
  <c r="F123" i="44"/>
  <c r="I123" i="44"/>
  <c r="AO123" i="44"/>
  <c r="BR123" i="44"/>
  <c r="CN123" i="44"/>
  <c r="DI123" i="44"/>
  <c r="FF123" i="44"/>
  <c r="GD123" i="44"/>
  <c r="GZ123" i="44"/>
  <c r="AH123" i="44"/>
  <c r="BD123" i="44"/>
  <c r="CG123" i="44"/>
  <c r="DB123" i="44"/>
  <c r="DW123" i="44"/>
  <c r="FW123" i="44"/>
  <c r="GS123" i="44"/>
  <c r="E123" i="44"/>
  <c r="AK123" i="44"/>
  <c r="BG123" i="44"/>
  <c r="CJ123" i="44"/>
  <c r="DE123" i="44"/>
  <c r="DZ123" i="44"/>
  <c r="FZ123" i="44"/>
  <c r="GV123" i="44"/>
  <c r="AD123" i="44"/>
  <c r="AZ123" i="44"/>
  <c r="BW123" i="44"/>
  <c r="CX123" i="44"/>
  <c r="DS123" i="44"/>
  <c r="FK123" i="44"/>
  <c r="GO123" i="44"/>
  <c r="AW123" i="41"/>
  <c r="FJ123" i="41"/>
  <c r="BA123" i="41"/>
  <c r="FD123" i="41"/>
  <c r="GA123" i="41"/>
  <c r="GS123" i="41"/>
  <c r="BC123" i="41"/>
  <c r="BR123" i="41"/>
  <c r="BX123" i="41"/>
  <c r="FK123" i="41"/>
  <c r="FG123" i="41"/>
  <c r="AM123" i="41"/>
  <c r="DI123" i="41"/>
  <c r="BY123" i="41"/>
  <c r="AO123" i="41"/>
  <c r="D166" i="41"/>
  <c r="D20" i="35"/>
  <c r="C10" i="35"/>
  <c r="D162" i="41"/>
  <c r="D16" i="35"/>
  <c r="CM123" i="41"/>
  <c r="DR123" i="41"/>
  <c r="FN123" i="41"/>
  <c r="AN123" i="41"/>
  <c r="GD123" i="41"/>
  <c r="FC123" i="41"/>
  <c r="K123" i="41"/>
  <c r="GA123" i="44"/>
  <c r="DF123" i="44"/>
  <c r="BO123" i="44"/>
  <c r="D123" i="44"/>
  <c r="DV123" i="44"/>
  <c r="BP123" i="44"/>
  <c r="CI123" i="43"/>
  <c r="DG123" i="43"/>
  <c r="DB123" i="43"/>
  <c r="AG123" i="43"/>
  <c r="FM123" i="43"/>
  <c r="DR123" i="43"/>
  <c r="AW123" i="43"/>
  <c r="CQ123" i="43"/>
  <c r="CO123" i="43"/>
  <c r="CM123" i="43"/>
  <c r="AL123" i="43"/>
  <c r="BU123" i="43"/>
  <c r="BQ123" i="43"/>
  <c r="DF123" i="43"/>
  <c r="J123" i="43"/>
  <c r="AJ123" i="43"/>
  <c r="G123" i="43"/>
  <c r="BD123" i="43"/>
  <c r="DC123" i="43"/>
  <c r="CZ123" i="43"/>
  <c r="M123" i="43"/>
  <c r="FK123" i="43"/>
  <c r="GD123" i="43"/>
  <c r="FN123" i="43"/>
  <c r="FJ123" i="43"/>
  <c r="AO123" i="43"/>
  <c r="E123" i="43"/>
  <c r="DP123" i="43"/>
  <c r="DO123" i="43"/>
  <c r="L123" i="43"/>
  <c r="FY123" i="43"/>
  <c r="CJ123" i="43"/>
  <c r="GS123" i="43"/>
  <c r="AF123" i="43"/>
  <c r="BA123" i="43"/>
  <c r="BW123" i="43"/>
  <c r="I123" i="43"/>
  <c r="BT123" i="43"/>
  <c r="AM123" i="43"/>
  <c r="GT123" i="43"/>
  <c r="GW123" i="43"/>
  <c r="CN123" i="43"/>
  <c r="H123" i="43"/>
  <c r="CH123" i="43"/>
  <c r="DD123" i="43"/>
  <c r="GB123" i="43"/>
  <c r="DW123" i="43"/>
  <c r="BZ123" i="43"/>
  <c r="GQ123" i="43"/>
  <c r="AD123" i="43"/>
  <c r="CP123" i="43"/>
  <c r="FI123" i="43"/>
  <c r="FG123" i="43"/>
  <c r="FE123" i="43"/>
  <c r="CK123" i="43"/>
  <c r="GG123" i="43"/>
  <c r="GC123" i="43"/>
  <c r="BO123" i="43"/>
  <c r="CR123" i="43"/>
  <c r="FE123" i="41"/>
  <c r="DP123" i="41"/>
  <c r="DH123" i="41"/>
  <c r="BB123" i="41"/>
  <c r="D123" i="41"/>
  <c r="CJ123" i="41"/>
  <c r="DU123" i="41"/>
  <c r="J123" i="41"/>
  <c r="BD123" i="41"/>
  <c r="GU123" i="44"/>
  <c r="DY123" i="44"/>
  <c r="CI123" i="44"/>
  <c r="AJ123" i="44"/>
  <c r="FN123" i="44"/>
  <c r="CL123" i="44"/>
  <c r="K123" i="44"/>
  <c r="D167" i="44"/>
  <c r="X21" i="35" s="1"/>
  <c r="BZ123" i="41"/>
  <c r="DQ123" i="41"/>
  <c r="DZ123" i="41"/>
  <c r="GW123" i="41"/>
  <c r="BW123" i="41"/>
  <c r="DB123" i="41"/>
  <c r="GW123" i="44"/>
  <c r="FC123" i="44"/>
  <c r="CK123" i="44"/>
  <c r="AL123" i="44"/>
  <c r="GB123" i="44"/>
  <c r="CP123" i="44"/>
  <c r="AG123" i="44"/>
  <c r="BO123" i="41"/>
  <c r="BP123" i="41"/>
  <c r="I123" i="41"/>
  <c r="L123" i="41"/>
  <c r="FH123" i="41"/>
  <c r="GY123" i="41"/>
  <c r="BU123" i="41"/>
  <c r="GB123" i="41"/>
  <c r="FM123" i="41"/>
  <c r="AF123" i="41"/>
  <c r="CY123" i="41"/>
  <c r="AL123" i="41"/>
  <c r="CH123" i="41"/>
  <c r="AJ123" i="41"/>
  <c r="DF123" i="41"/>
  <c r="C123" i="41"/>
  <c r="GZ123" i="41"/>
  <c r="FW123" i="41"/>
  <c r="CP123" i="41"/>
  <c r="DY123" i="41"/>
  <c r="H123" i="41"/>
  <c r="DG123" i="41"/>
  <c r="CQ123" i="41"/>
  <c r="GV123" i="41"/>
  <c r="CI123" i="41"/>
  <c r="CR123" i="41"/>
  <c r="BF123" i="41"/>
  <c r="M123" i="41"/>
  <c r="DV123" i="41"/>
  <c r="DX123" i="41"/>
  <c r="AK123" i="41"/>
  <c r="BT123" i="41"/>
  <c r="CG123" i="41"/>
  <c r="DD123" i="41"/>
  <c r="AX123" i="41"/>
  <c r="FF123" i="41"/>
  <c r="FY123" i="41"/>
  <c r="F123" i="41"/>
  <c r="DE123" i="41"/>
  <c r="DA123" i="41"/>
  <c r="BQ123" i="41"/>
  <c r="BV123" i="41"/>
  <c r="GE123" i="41"/>
  <c r="GP123" i="41"/>
  <c r="DO123" i="41"/>
  <c r="G123" i="41"/>
  <c r="AH123" i="41"/>
  <c r="AZ123" i="41"/>
  <c r="GF123" i="41"/>
  <c r="CN123" i="41"/>
  <c r="CX123" i="41"/>
  <c r="GX123" i="41"/>
  <c r="GU123" i="41"/>
  <c r="CK123" i="41"/>
  <c r="FL123" i="41"/>
  <c r="CO123" i="41"/>
  <c r="GT123" i="41"/>
  <c r="FI123" i="41"/>
  <c r="FX123" i="41"/>
  <c r="AY123" i="41"/>
  <c r="DC123" i="41"/>
  <c r="GG123" i="41"/>
  <c r="DS123" i="41"/>
  <c r="AV123" i="41"/>
  <c r="AE123" i="41"/>
  <c r="BG123" i="41"/>
  <c r="GR123" i="41"/>
  <c r="GQ123" i="41"/>
  <c r="FZ123" i="41"/>
  <c r="CL123" i="41"/>
  <c r="CZ123" i="41"/>
  <c r="DW123" i="41"/>
  <c r="BE123" i="41"/>
  <c r="FG123" i="44"/>
  <c r="CO123" i="44"/>
  <c r="AV123" i="44"/>
  <c r="GF123" i="44"/>
  <c r="DA123" i="44"/>
  <c r="AM123" i="44"/>
  <c r="R78" i="35"/>
  <c r="GO145" i="44"/>
  <c r="GU145" i="44" s="1"/>
  <c r="GO151" i="44" s="1"/>
  <c r="CG130" i="44"/>
  <c r="CJ145" i="44"/>
  <c r="B130" i="44"/>
  <c r="AD130" i="44"/>
  <c r="FW130" i="44"/>
  <c r="FW145" i="44"/>
  <c r="AV130" i="44"/>
  <c r="AV145" i="44"/>
  <c r="DO130" i="44"/>
  <c r="BO130" i="44"/>
  <c r="BO145" i="44" s="1"/>
  <c r="ER3" i="44"/>
  <c r="ER130" i="44"/>
  <c r="FC130" i="44"/>
  <c r="CX130" i="44"/>
  <c r="CX145" i="44" s="1"/>
  <c r="DD145" i="44" s="1"/>
  <c r="CX151" i="44" s="1"/>
  <c r="B130" i="43"/>
  <c r="B145" i="43" s="1"/>
  <c r="H145" i="43" s="1"/>
  <c r="B151" i="43" s="1"/>
  <c r="E145" i="43"/>
  <c r="AD130" i="43"/>
  <c r="FC130" i="43"/>
  <c r="ER3" i="43"/>
  <c r="ER130" i="43" s="1"/>
  <c r="J7" i="48"/>
  <c r="Z7" i="48"/>
  <c r="W8" i="48"/>
  <c r="AA8" i="48"/>
  <c r="Z10" i="48"/>
  <c r="R81" i="35"/>
  <c r="L81" i="35"/>
  <c r="FE28" i="43"/>
  <c r="GE20" i="41"/>
  <c r="GE31" i="41"/>
  <c r="GE31" i="44"/>
  <c r="GE31" i="45"/>
  <c r="GE13" i="45"/>
  <c r="GE13" i="41"/>
  <c r="GD27" i="43"/>
  <c r="GD27" i="45"/>
  <c r="GD27" i="44"/>
  <c r="GD27" i="41"/>
  <c r="GD20" i="43"/>
  <c r="GD20" i="45"/>
  <c r="GD20" i="44"/>
  <c r="GD20" i="41"/>
  <c r="EC76" i="44"/>
  <c r="EC76" i="43"/>
  <c r="C7" i="20"/>
  <c r="G8" i="28"/>
  <c r="B8" i="20"/>
  <c r="B9" i="28"/>
  <c r="FC145" i="44"/>
  <c r="FI145" i="44" s="1"/>
  <c r="FC151" i="44" s="1"/>
  <c r="FF145" i="44"/>
  <c r="CG145" i="44"/>
  <c r="DA145" i="44"/>
  <c r="DR145" i="44"/>
  <c r="DO145" i="44"/>
  <c r="DU145" i="44"/>
  <c r="DO151" i="44" s="1"/>
  <c r="FZ145" i="44"/>
  <c r="GC145" i="44"/>
  <c r="FW151" i="44" s="1"/>
  <c r="AY145" i="44"/>
  <c r="BB145" i="44" s="1"/>
  <c r="AV151" i="44" s="1"/>
  <c r="FC145" i="43"/>
  <c r="FI145" i="43" s="1"/>
  <c r="FC151" i="43" s="1"/>
  <c r="FF145" i="43"/>
  <c r="Z8" i="48"/>
  <c r="AB96" i="35"/>
  <c r="AB88" i="35"/>
  <c r="E45" i="35"/>
  <c r="G34" i="35"/>
  <c r="E59" i="35"/>
  <c r="AB95" i="35"/>
  <c r="F55" i="35"/>
  <c r="L68" i="35" s="1"/>
  <c r="L57" i="35"/>
  <c r="K81" i="35"/>
  <c r="G36" i="35"/>
  <c r="S88" i="35"/>
  <c r="E101" i="35"/>
  <c r="E43" i="35"/>
  <c r="G33" i="35"/>
  <c r="G39" i="35"/>
  <c r="F80" i="35"/>
  <c r="E44" i="35"/>
  <c r="F44" i="35"/>
  <c r="K80" i="35"/>
  <c r="F56" i="35"/>
  <c r="E81" i="35"/>
  <c r="M55" i="35"/>
  <c r="E78" i="35"/>
  <c r="N55" i="35"/>
  <c r="B68" i="35"/>
  <c r="F57" i="35"/>
  <c r="I67" i="33"/>
  <c r="M67" i="33"/>
  <c r="H67" i="33"/>
  <c r="AJ4" i="33"/>
  <c r="AJ3" i="33"/>
  <c r="AK3" i="33"/>
  <c r="EJ3" i="41"/>
  <c r="G167" i="41"/>
  <c r="G21" i="35"/>
  <c r="AJ5" i="33"/>
  <c r="B167" i="44"/>
  <c r="AM3" i="33"/>
  <c r="AO3" i="33" s="1"/>
  <c r="AP3" i="33" s="1"/>
  <c r="AJ6" i="33"/>
  <c r="B167" i="45" s="1"/>
  <c r="AK6" i="33"/>
  <c r="EJ3" i="45"/>
  <c r="G167" i="45" s="1"/>
  <c r="AK21" i="35" s="1"/>
  <c r="AM6" i="33"/>
  <c r="AM4" i="33"/>
  <c r="AO4" i="33" s="1"/>
  <c r="AP4" i="33" s="1"/>
  <c r="G168" i="43"/>
  <c r="Q22" i="35"/>
  <c r="AN5" i="33"/>
  <c r="AN3" i="33"/>
  <c r="EU3" i="45"/>
  <c r="G168" i="45" s="1"/>
  <c r="AK22" i="35" s="1"/>
  <c r="AN4" i="33"/>
  <c r="EU3" i="44"/>
  <c r="AM5" i="33"/>
  <c r="AO5" i="33" s="1"/>
  <c r="AP5" i="33" s="1"/>
  <c r="EV3" i="41"/>
  <c r="G168" i="41"/>
  <c r="G22" i="35"/>
  <c r="AT3" i="33"/>
  <c r="L69" i="35"/>
  <c r="B69" i="35"/>
  <c r="L67" i="35"/>
  <c r="B67" i="35"/>
  <c r="C67" i="35"/>
  <c r="C69" i="35"/>
  <c r="B167" i="41"/>
  <c r="EV3" i="45"/>
  <c r="AK5" i="33"/>
  <c r="EJ3" i="44"/>
  <c r="G167" i="44" s="1"/>
  <c r="AA21" i="35" s="1"/>
  <c r="D167" i="45"/>
  <c r="AH21" i="35" s="1"/>
  <c r="O67" i="33"/>
  <c r="N75" i="33"/>
  <c r="D175" i="41"/>
  <c r="D29" i="35" s="1"/>
  <c r="M75" i="33"/>
  <c r="N67" i="33"/>
  <c r="BR145" i="44"/>
  <c r="EJ145" i="44"/>
  <c r="EN145" i="41"/>
  <c r="EG152" i="41"/>
  <c r="D167" i="41" s="1"/>
  <c r="DO145" i="45"/>
  <c r="DR145" i="45"/>
  <c r="E12" i="44"/>
  <c r="M77" i="33"/>
  <c r="N69" i="33"/>
  <c r="EM145" i="44"/>
  <c r="EG151" i="44" s="1"/>
  <c r="CM145" i="45"/>
  <c r="CG151" i="45"/>
  <c r="CN145" i="43"/>
  <c r="CG152" i="43"/>
  <c r="GR145" i="45"/>
  <c r="GO145" i="45"/>
  <c r="GU145" i="45" s="1"/>
  <c r="GO151" i="45" s="1"/>
  <c r="GO71" i="41"/>
  <c r="GN71" i="44"/>
  <c r="GN71" i="45"/>
  <c r="GV145" i="43"/>
  <c r="GO152" i="43" s="1"/>
  <c r="D169" i="44"/>
  <c r="X23" i="35"/>
  <c r="D174" i="44"/>
  <c r="X28" i="35" s="1"/>
  <c r="L77" i="33"/>
  <c r="M69" i="33"/>
  <c r="D161" i="44"/>
  <c r="X15" i="35" s="1"/>
  <c r="H145" i="41"/>
  <c r="B151" i="41"/>
  <c r="J9" i="35" s="1"/>
  <c r="N9" i="35" s="1"/>
  <c r="J145" i="41"/>
  <c r="N78" i="33"/>
  <c r="O70" i="33"/>
  <c r="EY145" i="43"/>
  <c r="ER152" i="43" s="1"/>
  <c r="DE145" i="44"/>
  <c r="CX152" i="44"/>
  <c r="D165" i="44"/>
  <c r="X19" i="35" s="1"/>
  <c r="E145" i="45"/>
  <c r="B145" i="45"/>
  <c r="L75" i="33"/>
  <c r="J10" i="35"/>
  <c r="N10" i="35"/>
  <c r="D174" i="41"/>
  <c r="D28" i="35" s="1"/>
  <c r="DD145" i="45"/>
  <c r="CX151" i="45"/>
  <c r="DE145" i="43"/>
  <c r="CX152" i="43" s="1"/>
  <c r="J145" i="44"/>
  <c r="DV145" i="43"/>
  <c r="DO152" i="43" s="1"/>
  <c r="AL145" i="44"/>
  <c r="HQ130" i="41"/>
  <c r="O68" i="33"/>
  <c r="N76" i="33"/>
  <c r="R12" i="44"/>
  <c r="I12" i="44"/>
  <c r="P12" i="44"/>
  <c r="Q12" i="44"/>
  <c r="DG122" i="44" s="1"/>
  <c r="S12" i="44"/>
  <c r="M12" i="44"/>
  <c r="L12" i="44"/>
  <c r="DS122" i="44" s="1"/>
  <c r="J12" i="44"/>
  <c r="DQ122" i="44" s="1"/>
  <c r="H12" i="44"/>
  <c r="O12" i="44"/>
  <c r="N12" i="44"/>
  <c r="DU122" i="44" s="1"/>
  <c r="K12" i="44"/>
  <c r="C169" i="41"/>
  <c r="C167" i="41"/>
  <c r="C21" i="35" s="1"/>
  <c r="C165" i="41"/>
  <c r="L67" i="33"/>
  <c r="C9" i="35"/>
  <c r="C168" i="41"/>
  <c r="C166" i="41"/>
  <c r="C20" i="35" s="1"/>
  <c r="C163" i="41"/>
  <c r="C162" i="41"/>
  <c r="H145" i="45"/>
  <c r="B151" i="45" s="1"/>
  <c r="AF122" i="44"/>
  <c r="BQ122" i="44"/>
  <c r="CI122" i="44"/>
  <c r="CZ122" i="44"/>
  <c r="AX122" i="44"/>
  <c r="D122" i="44"/>
  <c r="FY122" i="44" s="1"/>
  <c r="C19" i="35"/>
  <c r="AD122" i="44"/>
  <c r="J122" i="44"/>
  <c r="AL122" i="44"/>
  <c r="DW122" i="44"/>
  <c r="BW122" i="44"/>
  <c r="DF122" i="44"/>
  <c r="BD122" i="44"/>
  <c r="CO122" i="44"/>
  <c r="BS122" i="44"/>
  <c r="AH122" i="44"/>
  <c r="DB122" i="44"/>
  <c r="AZ122" i="44"/>
  <c r="F122" i="44"/>
  <c r="CH122" i="44"/>
  <c r="AW122" i="44"/>
  <c r="C16" i="35"/>
  <c r="AJ122" i="44"/>
  <c r="BU122" i="44"/>
  <c r="H122" i="44"/>
  <c r="GC122" i="44" s="1"/>
  <c r="BB122" i="44"/>
  <c r="K122" i="44"/>
  <c r="GF122" i="44" s="1"/>
  <c r="BX122" i="44"/>
  <c r="AM122" i="44"/>
  <c r="CP122" i="44"/>
  <c r="C22" i="35"/>
  <c r="BR122" i="44"/>
  <c r="AG122" i="44"/>
  <c r="DR122" i="44"/>
  <c r="E122" i="44"/>
  <c r="AY122" i="44"/>
  <c r="DA122" i="44"/>
  <c r="CJ122" i="44"/>
  <c r="M122" i="44"/>
  <c r="AO122" i="44"/>
  <c r="BZ122" i="44"/>
  <c r="CR122" i="44"/>
  <c r="BG122" i="44"/>
  <c r="DI122" i="44"/>
  <c r="DZ122" i="44"/>
  <c r="C23" i="35"/>
  <c r="DC122" i="44"/>
  <c r="AI122" i="44"/>
  <c r="CL122" i="44"/>
  <c r="DT122" i="44"/>
  <c r="G122" i="44"/>
  <c r="BA122" i="44"/>
  <c r="BT122" i="44"/>
  <c r="GE122" i="44"/>
  <c r="GB122" i="44"/>
  <c r="GH122" i="44"/>
  <c r="FZ122" i="44"/>
  <c r="GA122" i="44"/>
  <c r="F9" i="35" l="1"/>
  <c r="C162" i="45"/>
  <c r="C161" i="45"/>
  <c r="L70" i="33"/>
  <c r="C165" i="45"/>
  <c r="C174" i="45"/>
  <c r="C163" i="45"/>
  <c r="C164" i="45"/>
  <c r="K78" i="33"/>
  <c r="C175" i="41"/>
  <c r="N70" i="33"/>
  <c r="M78" i="33"/>
  <c r="CA52" i="41"/>
  <c r="CS52" i="41"/>
  <c r="BH52" i="41"/>
  <c r="D21" i="35"/>
  <c r="C175" i="45"/>
  <c r="BX22" i="45"/>
  <c r="K22" i="44"/>
  <c r="GX22" i="45"/>
  <c r="K22" i="45"/>
  <c r="AM22" i="44"/>
  <c r="BE22" i="45"/>
  <c r="BE22" i="44"/>
  <c r="BX22" i="41"/>
  <c r="AM22" i="41"/>
  <c r="BX22" i="44"/>
  <c r="CP22" i="43"/>
  <c r="GX22" i="41"/>
  <c r="BE22" i="43"/>
  <c r="CP22" i="41"/>
  <c r="AM22" i="45"/>
  <c r="CP22" i="45"/>
  <c r="AM22" i="43"/>
  <c r="K22" i="41"/>
  <c r="K22" i="43"/>
  <c r="BX22" i="43"/>
  <c r="CP22" i="44"/>
  <c r="GX22" i="44"/>
  <c r="GX22" i="43"/>
  <c r="BE22" i="41"/>
  <c r="GH33" i="45"/>
  <c r="B171" i="45" s="1"/>
  <c r="C17" i="35"/>
  <c r="G9" i="28"/>
  <c r="F9" i="28"/>
  <c r="C8" i="20"/>
  <c r="GN12" i="43"/>
  <c r="AL34" i="32"/>
  <c r="AK52" i="32" s="1"/>
  <c r="AM25" i="32"/>
  <c r="AN25" i="32" s="1"/>
  <c r="GS46" i="45"/>
  <c r="EU145" i="43"/>
  <c r="ER145" i="43"/>
  <c r="EX145" i="43" s="1"/>
  <c r="ER151" i="43" s="1"/>
  <c r="AD145" i="44"/>
  <c r="AG145" i="44"/>
  <c r="HK20" i="44"/>
  <c r="DE122" i="44"/>
  <c r="BC122" i="44"/>
  <c r="CN122" i="44"/>
  <c r="I122" i="44"/>
  <c r="GD122" i="44" s="1"/>
  <c r="AK122" i="44"/>
  <c r="BV122" i="44"/>
  <c r="CX122" i="44"/>
  <c r="CG122" i="44"/>
  <c r="AV122" i="44"/>
  <c r="BO122" i="44"/>
  <c r="B122" i="44"/>
  <c r="FW122" i="44" s="1"/>
  <c r="DO122" i="44"/>
  <c r="E145" i="44"/>
  <c r="B145" i="44"/>
  <c r="H145" i="44" s="1"/>
  <c r="B151" i="44" s="1"/>
  <c r="GE18" i="43"/>
  <c r="GE18" i="44"/>
  <c r="GE18" i="45"/>
  <c r="GE18" i="41"/>
  <c r="J11" i="48"/>
  <c r="B14" i="47" s="1"/>
  <c r="L78" i="33"/>
  <c r="D169" i="45"/>
  <c r="AH23" i="35" s="1"/>
  <c r="D164" i="45"/>
  <c r="AH18" i="35" s="1"/>
  <c r="M70" i="33"/>
  <c r="D166" i="45"/>
  <c r="AH20" i="35" s="1"/>
  <c r="D174" i="45"/>
  <c r="AH28" i="35" s="1"/>
  <c r="F10" i="35"/>
  <c r="D175" i="45"/>
  <c r="AH29" i="35" s="1"/>
  <c r="D163" i="45"/>
  <c r="AH17" i="35" s="1"/>
  <c r="HK20" i="45"/>
  <c r="AR28" i="18"/>
  <c r="AV28" i="18" s="1"/>
  <c r="AX28" i="18"/>
  <c r="BB28" i="18" s="1"/>
  <c r="BK28" i="18" s="1"/>
  <c r="AY28" i="18"/>
  <c r="BC28" i="18" s="1"/>
  <c r="BL28" i="18" s="1"/>
  <c r="BG28" i="18"/>
  <c r="AQ28" i="18"/>
  <c r="AU28" i="18" s="1"/>
  <c r="AO28" i="18"/>
  <c r="AS28" i="18" s="1"/>
  <c r="AP28" i="18"/>
  <c r="AT28" i="18" s="1"/>
  <c r="AZ28" i="18"/>
  <c r="BD28" i="18" s="1"/>
  <c r="BM28" i="18" s="1"/>
  <c r="BJ28" i="18"/>
  <c r="BI28" i="18"/>
  <c r="BA28" i="18"/>
  <c r="BE28" i="18" s="1"/>
  <c r="BN28" i="18" s="1"/>
  <c r="BH28" i="18"/>
  <c r="C122" i="44"/>
  <c r="FX122" i="44" s="1"/>
  <c r="AE122" i="44"/>
  <c r="BP122" i="44"/>
  <c r="CY122" i="44"/>
  <c r="DP122" i="44"/>
  <c r="ER145" i="44"/>
  <c r="EU145" i="44"/>
  <c r="L122" i="44"/>
  <c r="GG122" i="44" s="1"/>
  <c r="BY122" i="44"/>
  <c r="DY122" i="44"/>
  <c r="BF122" i="44"/>
  <c r="CQ122" i="44"/>
  <c r="AN122" i="44"/>
  <c r="DU145" i="45"/>
  <c r="DO151" i="45" s="1"/>
  <c r="C166" i="45" s="1"/>
  <c r="DV122" i="44"/>
  <c r="DH122" i="44"/>
  <c r="S98" i="35"/>
  <c r="E111" i="35" s="1"/>
  <c r="AP52" i="41"/>
  <c r="B7" i="28"/>
  <c r="B6" i="20"/>
  <c r="I52" i="35"/>
  <c r="N52" i="35" s="1"/>
  <c r="BH42" i="41"/>
  <c r="CS42" i="41"/>
  <c r="CA42" i="41"/>
  <c r="AP42" i="41"/>
  <c r="CA42" i="44"/>
  <c r="BH42" i="44"/>
  <c r="AP42" i="44"/>
  <c r="DV79" i="44"/>
  <c r="DV79" i="43"/>
  <c r="DV79" i="41"/>
  <c r="DV79" i="45"/>
  <c r="DT96" i="41"/>
  <c r="GS96" i="41" s="1"/>
  <c r="DT96" i="44"/>
  <c r="GS96" i="44" s="1"/>
  <c r="DT96" i="43"/>
  <c r="GS96" i="43" s="1"/>
  <c r="DT96" i="45"/>
  <c r="GS96" i="45" s="1"/>
  <c r="CY42" i="41"/>
  <c r="HD42" i="41" s="1"/>
  <c r="CY42" i="45"/>
  <c r="HD42" i="45" s="1"/>
  <c r="CY42" i="44"/>
  <c r="HD42" i="44" s="1"/>
  <c r="CY42" i="43"/>
  <c r="HD42" i="43" s="1"/>
  <c r="N10" i="15"/>
  <c r="B55" i="32"/>
  <c r="C37" i="32"/>
  <c r="F53" i="32"/>
  <c r="I35" i="32"/>
  <c r="L35" i="32"/>
  <c r="H53" i="32"/>
  <c r="L36" i="32"/>
  <c r="H54" i="32"/>
  <c r="AD20" i="32"/>
  <c r="AM27" i="32"/>
  <c r="AN27" i="32" s="1"/>
  <c r="AR34" i="32"/>
  <c r="AO52" i="32" s="1"/>
  <c r="L79" i="35"/>
  <c r="K79" i="35"/>
  <c r="GJ30" i="45"/>
  <c r="GJ30" i="41"/>
  <c r="GJ33" i="41" s="1"/>
  <c r="G173" i="41" s="1"/>
  <c r="G27" i="35" s="1"/>
  <c r="GJ30" i="44"/>
  <c r="DU108" i="41"/>
  <c r="GT108" i="41" s="1"/>
  <c r="DU108" i="45"/>
  <c r="GT108" i="45" s="1"/>
  <c r="DU108" i="44"/>
  <c r="GT108" i="44" s="1"/>
  <c r="DU108" i="43"/>
  <c r="GT108" i="43" s="1"/>
  <c r="DP31" i="12"/>
  <c r="DW31" i="12"/>
  <c r="DS31" i="12"/>
  <c r="DV31" i="12"/>
  <c r="DL31" i="12"/>
  <c r="DR31" i="12"/>
  <c r="GV31" i="12"/>
  <c r="GX31" i="12" s="1"/>
  <c r="DT31" i="12"/>
  <c r="DN31" i="12"/>
  <c r="DQ31" i="12"/>
  <c r="DM31" i="12"/>
  <c r="DO31" i="12"/>
  <c r="DU31" i="12"/>
  <c r="GN26" i="43"/>
  <c r="V26" i="43"/>
  <c r="O26" i="43"/>
  <c r="K26" i="43"/>
  <c r="T26" i="43"/>
  <c r="L26" i="43"/>
  <c r="E26" i="43"/>
  <c r="S26" i="43"/>
  <c r="G26" i="43"/>
  <c r="M26" i="43"/>
  <c r="C26" i="43"/>
  <c r="D26" i="43"/>
  <c r="H26" i="43"/>
  <c r="F26" i="43"/>
  <c r="I26" i="43"/>
  <c r="Q26" i="43"/>
  <c r="J26" i="43"/>
  <c r="U26" i="43"/>
  <c r="P26" i="43"/>
  <c r="Z26" i="43"/>
  <c r="R26" i="43"/>
  <c r="X26" i="43"/>
  <c r="W26" i="43"/>
  <c r="Y26" i="43"/>
  <c r="B26" i="43"/>
  <c r="BH26" i="43" s="1"/>
  <c r="CU26" i="43"/>
  <c r="DK26" i="43"/>
  <c r="CP26" i="43"/>
  <c r="CL26" i="43"/>
  <c r="CQ26" i="43"/>
  <c r="CG26" i="43"/>
  <c r="CS26" i="43" s="1"/>
  <c r="CN26" i="43"/>
  <c r="CJ26" i="43"/>
  <c r="CO26" i="43"/>
  <c r="CK26" i="43"/>
  <c r="CH26" i="43"/>
  <c r="CR26" i="43"/>
  <c r="CI26" i="43"/>
  <c r="CM26" i="43"/>
  <c r="BS27" i="43"/>
  <c r="BV27" i="43"/>
  <c r="BO27" i="43"/>
  <c r="BP27" i="43"/>
  <c r="BU27" i="43"/>
  <c r="BT27" i="43"/>
  <c r="BX27" i="43"/>
  <c r="BY27" i="43"/>
  <c r="BZ27" i="43"/>
  <c r="BW27" i="43"/>
  <c r="BR27" i="43"/>
  <c r="BQ27" i="43"/>
  <c r="BE28" i="43"/>
  <c r="BF28" i="43"/>
  <c r="BD28" i="43"/>
  <c r="AZ28" i="43"/>
  <c r="BB28" i="43"/>
  <c r="BG28" i="43"/>
  <c r="AX28" i="43"/>
  <c r="AW28" i="43"/>
  <c r="BA28" i="43"/>
  <c r="AY28" i="43"/>
  <c r="AV28" i="43"/>
  <c r="BC28" i="43"/>
  <c r="BI28" i="43"/>
  <c r="AN29" i="43"/>
  <c r="AL29" i="43"/>
  <c r="AG29" i="43"/>
  <c r="AD29" i="43"/>
  <c r="AP29" i="43" s="1"/>
  <c r="DF29" i="43"/>
  <c r="HK29" i="43" s="1"/>
  <c r="AI29" i="43"/>
  <c r="AJ29" i="43"/>
  <c r="AK29" i="43"/>
  <c r="DE29" i="43"/>
  <c r="HJ29" i="43" s="1"/>
  <c r="DB29" i="43"/>
  <c r="HG29" i="43" s="1"/>
  <c r="CY29" i="43"/>
  <c r="HD29" i="43" s="1"/>
  <c r="DC29" i="43"/>
  <c r="HH29" i="43" s="1"/>
  <c r="AO29" i="43"/>
  <c r="DD29" i="43"/>
  <c r="HI29" i="43" s="1"/>
  <c r="CW29" i="43"/>
  <c r="CZ29" i="43"/>
  <c r="HE29" i="43" s="1"/>
  <c r="DH29" i="43"/>
  <c r="HM29" i="43" s="1"/>
  <c r="AE29" i="43"/>
  <c r="AM29" i="43"/>
  <c r="CX29" i="43"/>
  <c r="HC29" i="43" s="1"/>
  <c r="AH29" i="43"/>
  <c r="DG29" i="43"/>
  <c r="HL29" i="43" s="1"/>
  <c r="DA29" i="43"/>
  <c r="HF29" i="43" s="1"/>
  <c r="AQ29" i="43"/>
  <c r="AF29" i="43"/>
  <c r="GN30" i="43"/>
  <c r="DK30" i="43"/>
  <c r="CU30" i="43"/>
  <c r="AM33" i="43"/>
  <c r="AL33" i="43"/>
  <c r="AI33" i="43"/>
  <c r="AE33" i="43"/>
  <c r="AN33" i="43"/>
  <c r="AQ33" i="43"/>
  <c r="GY34" i="43"/>
  <c r="GZ34" i="43"/>
  <c r="GO34" i="43"/>
  <c r="GW34" i="43"/>
  <c r="GT34" i="43"/>
  <c r="GR34" i="43"/>
  <c r="GS34" i="43"/>
  <c r="GU34" i="43"/>
  <c r="GQ34" i="43"/>
  <c r="GV34" i="43"/>
  <c r="GP34" i="43"/>
  <c r="GX34" i="43"/>
  <c r="CU34" i="43"/>
  <c r="DK34" i="43"/>
  <c r="CJ34" i="43"/>
  <c r="CL34" i="43"/>
  <c r="CO34" i="43"/>
  <c r="CN34" i="43"/>
  <c r="CM34" i="43"/>
  <c r="CH34" i="43"/>
  <c r="CP34" i="43"/>
  <c r="CK34" i="43"/>
  <c r="CQ34" i="43"/>
  <c r="DJ34" i="43"/>
  <c r="CR34" i="43"/>
  <c r="CG34" i="43"/>
  <c r="CS34" i="43" s="1"/>
  <c r="CI34" i="43"/>
  <c r="GM36" i="43"/>
  <c r="CB36" i="43"/>
  <c r="GM37" i="43"/>
  <c r="DE38" i="43"/>
  <c r="HJ38" i="43" s="1"/>
  <c r="CZ38" i="43"/>
  <c r="HE38" i="43" s="1"/>
  <c r="DD38" i="43"/>
  <c r="HI38" i="43" s="1"/>
  <c r="CW38" i="43"/>
  <c r="DF38" i="43"/>
  <c r="HK38" i="43" s="1"/>
  <c r="DC38" i="43"/>
  <c r="HH38" i="43" s="1"/>
  <c r="GM39" i="43"/>
  <c r="AH39" i="43"/>
  <c r="AE39" i="43"/>
  <c r="AO39" i="43"/>
  <c r="AG39" i="43"/>
  <c r="AK39" i="43"/>
  <c r="AJ39" i="43"/>
  <c r="GW40" i="43"/>
  <c r="GS40" i="43"/>
  <c r="GZ40" i="43"/>
  <c r="GX40" i="43"/>
  <c r="GU40" i="43"/>
  <c r="GY40" i="43"/>
  <c r="GP40" i="43"/>
  <c r="GQ40" i="43"/>
  <c r="GO40" i="43"/>
  <c r="GR40" i="43"/>
  <c r="CU40" i="43"/>
  <c r="GM40" i="43"/>
  <c r="GV40" i="43" s="1"/>
  <c r="CI40" i="43"/>
  <c r="CO40" i="43"/>
  <c r="CK40" i="43"/>
  <c r="CN40" i="43"/>
  <c r="CP40" i="43"/>
  <c r="CL40" i="43"/>
  <c r="CR40" i="43"/>
  <c r="CQ40" i="43"/>
  <c r="CG40" i="43"/>
  <c r="CS40" i="43" s="1"/>
  <c r="CH40" i="43"/>
  <c r="CJ40" i="43"/>
  <c r="GN47" i="43"/>
  <c r="O47" i="43"/>
  <c r="DI47" i="43" s="1"/>
  <c r="P47" i="43"/>
  <c r="X47" i="43"/>
  <c r="U47" i="43"/>
  <c r="V47" i="43"/>
  <c r="R47" i="43"/>
  <c r="Y47" i="43"/>
  <c r="C47" i="43"/>
  <c r="Z47" i="43"/>
  <c r="L47" i="43"/>
  <c r="F47" i="43"/>
  <c r="Q47" i="43"/>
  <c r="M47" i="43"/>
  <c r="T47" i="43"/>
  <c r="J47" i="43"/>
  <c r="S47" i="43"/>
  <c r="D47" i="43"/>
  <c r="I47" i="43"/>
  <c r="K47" i="43"/>
  <c r="B47" i="43"/>
  <c r="AP47" i="43" s="1"/>
  <c r="E47" i="43"/>
  <c r="G47" i="43"/>
  <c r="W47" i="43"/>
  <c r="H47" i="43"/>
  <c r="DK47" i="43"/>
  <c r="CU47" i="43"/>
  <c r="CQ47" i="43"/>
  <c r="CL47" i="43"/>
  <c r="CH47" i="43"/>
  <c r="CO47" i="43"/>
  <c r="CR47" i="43"/>
  <c r="CP47" i="43"/>
  <c r="CG47" i="43"/>
  <c r="CS47" i="43" s="1"/>
  <c r="CK47" i="43"/>
  <c r="CI47" i="43"/>
  <c r="CT47" i="43"/>
  <c r="DJ47" i="43"/>
  <c r="CN47" i="43"/>
  <c r="CM47" i="43"/>
  <c r="CU48" i="43"/>
  <c r="GM48" i="43"/>
  <c r="CT48" i="43"/>
  <c r="GM49" i="43"/>
  <c r="BV49" i="43"/>
  <c r="BZ49" i="43"/>
  <c r="BY49" i="43"/>
  <c r="BW49" i="43"/>
  <c r="BQ49" i="43"/>
  <c r="BP49" i="43"/>
  <c r="BR49" i="43"/>
  <c r="CB49" i="43"/>
  <c r="BC50" i="43"/>
  <c r="AX50" i="43"/>
  <c r="AW50" i="43"/>
  <c r="AY50" i="43"/>
  <c r="BD50" i="43"/>
  <c r="BE50" i="43"/>
  <c r="BA50" i="43"/>
  <c r="BB50" i="43"/>
  <c r="AZ50" i="43"/>
  <c r="AV50" i="43"/>
  <c r="BF50" i="43"/>
  <c r="BI50" i="43"/>
  <c r="BG50" i="43"/>
  <c r="GN53" i="43"/>
  <c r="T53" i="43"/>
  <c r="Z53" i="43"/>
  <c r="V53" i="43"/>
  <c r="Q53" i="43"/>
  <c r="R53" i="43"/>
  <c r="U53" i="43"/>
  <c r="P53" i="43"/>
  <c r="Y53" i="43"/>
  <c r="X53" i="43"/>
  <c r="W53" i="43"/>
  <c r="DK53" i="43"/>
  <c r="CU53" i="43"/>
  <c r="CU54" i="43"/>
  <c r="GM54" i="43"/>
  <c r="CT54" i="43"/>
  <c r="GO71" i="43"/>
  <c r="GD17" i="41"/>
  <c r="GD17" i="45"/>
  <c r="GD10" i="41"/>
  <c r="GD10" i="43"/>
  <c r="GD10" i="44"/>
  <c r="GD10" i="45"/>
  <c r="EV3" i="44"/>
  <c r="G168" i="44"/>
  <c r="AA22" i="35" s="1"/>
  <c r="I40" i="35" s="1"/>
  <c r="N40" i="35" s="1"/>
  <c r="P57" i="35"/>
  <c r="D69" i="35"/>
  <c r="D68" i="35"/>
  <c r="D67" i="35"/>
  <c r="C169" i="43"/>
  <c r="C168" i="43"/>
  <c r="K76" i="33"/>
  <c r="D9" i="35"/>
  <c r="C174" i="43"/>
  <c r="L68" i="33"/>
  <c r="EC77" i="43"/>
  <c r="GT84" i="43"/>
  <c r="EG130" i="43"/>
  <c r="GN3" i="43"/>
  <c r="GO130" i="43" s="1"/>
  <c r="B43" i="15"/>
  <c r="O42" i="15"/>
  <c r="E42" i="15"/>
  <c r="L42" i="15"/>
  <c r="CA22" i="43"/>
  <c r="CS22" i="43"/>
  <c r="CW43" i="45"/>
  <c r="CW43" i="44"/>
  <c r="CW43" i="43"/>
  <c r="CW43" i="41"/>
  <c r="DH43" i="44"/>
  <c r="HM43" i="44" s="1"/>
  <c r="DH43" i="41"/>
  <c r="HM43" i="41" s="1"/>
  <c r="DH43" i="45"/>
  <c r="HM43" i="45" s="1"/>
  <c r="DH43" i="43"/>
  <c r="HM43" i="43" s="1"/>
  <c r="T44" i="44"/>
  <c r="T44" i="43"/>
  <c r="T44" i="41"/>
  <c r="T44" i="45"/>
  <c r="N20" i="12"/>
  <c r="Q20" i="12" s="1"/>
  <c r="D183" i="12"/>
  <c r="M58" i="35"/>
  <c r="F58" i="35"/>
  <c r="O23" i="17"/>
  <c r="AE24" i="18" s="1"/>
  <c r="GG28" i="41"/>
  <c r="GG28" i="45"/>
  <c r="GG28" i="44"/>
  <c r="GG28" i="43"/>
  <c r="FG42" i="12"/>
  <c r="FT42" i="12" s="1"/>
  <c r="CJ42" i="12"/>
  <c r="FQ40" i="12"/>
  <c r="GD40" i="12" s="1"/>
  <c r="CT40" i="12"/>
  <c r="EB97" i="43"/>
  <c r="EC97" i="43" s="1"/>
  <c r="EB97" i="44"/>
  <c r="EC97" i="44" s="1"/>
  <c r="C59" i="35"/>
  <c r="EC77" i="44"/>
  <c r="AA6" i="48"/>
  <c r="AA11" i="48" s="1"/>
  <c r="J15" i="47" s="1"/>
  <c r="W11" i="48"/>
  <c r="B67" i="27"/>
  <c r="B60" i="27"/>
  <c r="B61" i="27"/>
  <c r="B29" i="23"/>
  <c r="E62" i="35" s="1"/>
  <c r="I62" i="35" s="1"/>
  <c r="GT41" i="41"/>
  <c r="BT41" i="41"/>
  <c r="BH22" i="43"/>
  <c r="FI145" i="45"/>
  <c r="FC151" i="45" s="1"/>
  <c r="C169" i="45" s="1"/>
  <c r="R57" i="41"/>
  <c r="R57" i="44"/>
  <c r="DY116" i="44"/>
  <c r="GX116" i="44" s="1"/>
  <c r="DY116" i="43"/>
  <c r="GX116" i="43" s="1"/>
  <c r="DY116" i="41"/>
  <c r="GX116" i="41" s="1"/>
  <c r="DY116" i="45"/>
  <c r="GX116" i="45" s="1"/>
  <c r="DA29" i="45"/>
  <c r="HF29" i="45" s="1"/>
  <c r="DA29" i="41"/>
  <c r="HF29" i="41" s="1"/>
  <c r="DA29" i="44"/>
  <c r="HF29" i="44" s="1"/>
  <c r="GX33" i="43"/>
  <c r="GW33" i="43"/>
  <c r="GP33" i="43"/>
  <c r="GY33" i="43"/>
  <c r="GT33" i="43"/>
  <c r="GQ33" i="43"/>
  <c r="D108" i="41"/>
  <c r="D108" i="43"/>
  <c r="D108" i="44"/>
  <c r="D108" i="45"/>
  <c r="DB59" i="45"/>
  <c r="HG59" i="45" s="1"/>
  <c r="DB59" i="43"/>
  <c r="HG59" i="43" s="1"/>
  <c r="DB59" i="41"/>
  <c r="HG59" i="41" s="1"/>
  <c r="DB59" i="44"/>
  <c r="HG59" i="44" s="1"/>
  <c r="BB10" i="26"/>
  <c r="P15" i="24" s="1"/>
  <c r="P33" i="26" s="1"/>
  <c r="B23" i="34"/>
  <c r="C24" i="34" s="1"/>
  <c r="F162" i="41" s="1"/>
  <c r="E8" i="34"/>
  <c r="B22" i="34"/>
  <c r="E7" i="34"/>
  <c r="E6" i="34"/>
  <c r="E9" i="34" s="1"/>
  <c r="B12" i="42"/>
  <c r="C23" i="34"/>
  <c r="DD122" i="44"/>
  <c r="CK122" i="44"/>
  <c r="C161" i="41"/>
  <c r="K75" i="33"/>
  <c r="P56" i="35"/>
  <c r="F59" i="35"/>
  <c r="P59" i="35" s="1"/>
  <c r="C68" i="35"/>
  <c r="CT40" i="45"/>
  <c r="BI41" i="41"/>
  <c r="GE13" i="44"/>
  <c r="GE13" i="43"/>
  <c r="AB89" i="35"/>
  <c r="FD19" i="45"/>
  <c r="S95" i="35"/>
  <c r="E108" i="35" s="1"/>
  <c r="S97" i="35"/>
  <c r="E110" i="35" s="1"/>
  <c r="BO130" i="43"/>
  <c r="CX130" i="43"/>
  <c r="FW130" i="43"/>
  <c r="CG130" i="43"/>
  <c r="AV130" i="43"/>
  <c r="DO130" i="43"/>
  <c r="AG45" i="45"/>
  <c r="DD35" i="41"/>
  <c r="HI35" i="41" s="1"/>
  <c r="DD35" i="45"/>
  <c r="HI35" i="45" s="1"/>
  <c r="DD35" i="43"/>
  <c r="HI35" i="43" s="1"/>
  <c r="GU46" i="43"/>
  <c r="BB46" i="44"/>
  <c r="AJ46" i="41"/>
  <c r="CM46" i="44"/>
  <c r="H46" i="43"/>
  <c r="H46" i="41"/>
  <c r="BU46" i="41"/>
  <c r="GU46" i="41"/>
  <c r="BU46" i="44"/>
  <c r="BB46" i="43"/>
  <c r="AJ46" i="43"/>
  <c r="BU46" i="45"/>
  <c r="BB46" i="45"/>
  <c r="BU46" i="43"/>
  <c r="BB46" i="41"/>
  <c r="DQ84" i="44"/>
  <c r="GP84" i="44" s="1"/>
  <c r="DQ84" i="45"/>
  <c r="GP84" i="45" s="1"/>
  <c r="DQ84" i="43"/>
  <c r="GP84" i="43" s="1"/>
  <c r="DQ84" i="41"/>
  <c r="GP84" i="41" s="1"/>
  <c r="DF58" i="41"/>
  <c r="HK58" i="41" s="1"/>
  <c r="DF58" i="44"/>
  <c r="HK58" i="44" s="1"/>
  <c r="DF58" i="45"/>
  <c r="HK58" i="45" s="1"/>
  <c r="DF58" i="43"/>
  <c r="HK58" i="43" s="1"/>
  <c r="D77" i="44"/>
  <c r="D77" i="43"/>
  <c r="D77" i="45"/>
  <c r="D77" i="41"/>
  <c r="GG12" i="43"/>
  <c r="GG33" i="43" s="1"/>
  <c r="GG12" i="44"/>
  <c r="GG33" i="44" s="1"/>
  <c r="GG12" i="41"/>
  <c r="O7" i="17"/>
  <c r="AE8" i="18" s="1"/>
  <c r="DT114" i="45"/>
  <c r="GS114" i="45" s="1"/>
  <c r="DT114" i="43"/>
  <c r="GS114" i="43" s="1"/>
  <c r="DT114" i="41"/>
  <c r="GS114" i="41" s="1"/>
  <c r="DT114" i="44"/>
  <c r="GS114" i="44" s="1"/>
  <c r="DT103" i="41"/>
  <c r="GS103" i="41" s="1"/>
  <c r="DT103" i="45"/>
  <c r="GS103" i="45" s="1"/>
  <c r="DT103" i="43"/>
  <c r="GS103" i="43" s="1"/>
  <c r="DT103" i="44"/>
  <c r="GS103" i="44" s="1"/>
  <c r="HE29" i="12"/>
  <c r="HF29" i="12"/>
  <c r="HC29" i="12"/>
  <c r="HB29" i="12"/>
  <c r="GZ29" i="12"/>
  <c r="HH29" i="12"/>
  <c r="HG29" i="12"/>
  <c r="HA29" i="12"/>
  <c r="G106" i="35"/>
  <c r="AB93" i="35"/>
  <c r="EU145" i="45"/>
  <c r="ER145" i="45"/>
  <c r="EX145" i="45" s="1"/>
  <c r="ER151" i="45" s="1"/>
  <c r="C168" i="45" s="1"/>
  <c r="GP52" i="45"/>
  <c r="GX52" i="45"/>
  <c r="GV52" i="45"/>
  <c r="GU52" i="45"/>
  <c r="GO52" i="45"/>
  <c r="GW52" i="45"/>
  <c r="GQ52" i="45"/>
  <c r="GZ52" i="45"/>
  <c r="Z40" i="41"/>
  <c r="Z40" i="44"/>
  <c r="Z40" i="43"/>
  <c r="BI29" i="45"/>
  <c r="CT29" i="41"/>
  <c r="BI29" i="44"/>
  <c r="CT29" i="43"/>
  <c r="CT29" i="44"/>
  <c r="BI29" i="43"/>
  <c r="CB29" i="44"/>
  <c r="CB29" i="41"/>
  <c r="AQ29" i="45"/>
  <c r="CB29" i="43"/>
  <c r="F37" i="32"/>
  <c r="D55" i="32"/>
  <c r="Z20" i="32"/>
  <c r="HB13" i="12"/>
  <c r="HA13" i="12"/>
  <c r="HF13" i="12"/>
  <c r="HH13" i="12"/>
  <c r="GZ13" i="12"/>
  <c r="HE13" i="12"/>
  <c r="HG13" i="12"/>
  <c r="HC13" i="12"/>
  <c r="C83" i="45"/>
  <c r="C83" i="44"/>
  <c r="C83" i="43"/>
  <c r="C83" i="41"/>
  <c r="DY99" i="44"/>
  <c r="GX99" i="44" s="1"/>
  <c r="DY99" i="43"/>
  <c r="GX99" i="43" s="1"/>
  <c r="DY99" i="45"/>
  <c r="GX99" i="45" s="1"/>
  <c r="DY99" i="41"/>
  <c r="GX99" i="41" s="1"/>
  <c r="G97" i="45"/>
  <c r="G97" i="44"/>
  <c r="G97" i="41"/>
  <c r="G97" i="43"/>
  <c r="GP25" i="12"/>
  <c r="EA98" i="41"/>
  <c r="EA98" i="44"/>
  <c r="EA118" i="44" s="1"/>
  <c r="B166" i="44" s="1"/>
  <c r="EA98" i="43"/>
  <c r="EA118" i="43" s="1"/>
  <c r="B166" i="43" s="1"/>
  <c r="EA98" i="45"/>
  <c r="EA118" i="45" s="1"/>
  <c r="B166" i="45" s="1"/>
  <c r="BE28" i="45"/>
  <c r="AY28" i="45"/>
  <c r="BA28" i="45"/>
  <c r="BB28" i="45"/>
  <c r="AW28" i="45"/>
  <c r="AZ28" i="45"/>
  <c r="BG28" i="45"/>
  <c r="BI28" i="45"/>
  <c r="BF28" i="45"/>
  <c r="BC28" i="45"/>
  <c r="GN34" i="45"/>
  <c r="F34" i="45"/>
  <c r="B34" i="45"/>
  <c r="T34" i="45"/>
  <c r="Z34" i="45"/>
  <c r="Y34" i="45"/>
  <c r="E34" i="45"/>
  <c r="I34" i="45"/>
  <c r="P34" i="45"/>
  <c r="R34" i="45"/>
  <c r="Q34" i="45"/>
  <c r="O34" i="45"/>
  <c r="DI34" i="45" s="1"/>
  <c r="V34" i="45"/>
  <c r="U34" i="45"/>
  <c r="L34" i="45"/>
  <c r="H34" i="45"/>
  <c r="W34" i="45"/>
  <c r="D34" i="45"/>
  <c r="G34" i="45"/>
  <c r="X34" i="45"/>
  <c r="J34" i="45"/>
  <c r="V40" i="45"/>
  <c r="P40" i="45"/>
  <c r="GN40" i="45"/>
  <c r="W40" i="45"/>
  <c r="Z40" i="45"/>
  <c r="Y40" i="45"/>
  <c r="O40" i="45"/>
  <c r="Q40" i="45"/>
  <c r="S40" i="45"/>
  <c r="R40" i="45"/>
  <c r="T40" i="45"/>
  <c r="U40" i="45"/>
  <c r="G40" i="45"/>
  <c r="I40" i="45"/>
  <c r="D40" i="45"/>
  <c r="L40" i="45"/>
  <c r="J40" i="45"/>
  <c r="K40" i="45"/>
  <c r="B40" i="45"/>
  <c r="H40" i="45"/>
  <c r="F40" i="45"/>
  <c r="M40" i="45"/>
  <c r="BU42" i="45"/>
  <c r="BR42" i="45"/>
  <c r="BZ42" i="45"/>
  <c r="BX42" i="45"/>
  <c r="BP42" i="45"/>
  <c r="BT42" i="45"/>
  <c r="BV42" i="45"/>
  <c r="BY42" i="45"/>
  <c r="BO42" i="45"/>
  <c r="CA42" i="45" s="1"/>
  <c r="BS42" i="45"/>
  <c r="AZ44" i="45"/>
  <c r="BB44" i="45"/>
  <c r="AW44" i="45"/>
  <c r="BA44" i="45"/>
  <c r="BC44" i="45"/>
  <c r="BF44" i="45"/>
  <c r="AX44" i="45"/>
  <c r="BD44" i="45"/>
  <c r="GM44" i="45"/>
  <c r="AY44" i="45"/>
  <c r="AV44" i="45"/>
  <c r="BH44" i="45" s="1"/>
  <c r="BI44" i="45"/>
  <c r="GT47" i="45"/>
  <c r="GZ47" i="45"/>
  <c r="GO47" i="45"/>
  <c r="GQ47" i="45"/>
  <c r="GW47" i="45"/>
  <c r="GP47" i="45"/>
  <c r="GX47" i="45"/>
  <c r="GS47" i="45"/>
  <c r="GU47" i="45"/>
  <c r="GY47" i="45"/>
  <c r="CA26" i="18"/>
  <c r="GA30" i="41"/>
  <c r="GA30" i="43"/>
  <c r="GA30" i="44"/>
  <c r="GA30" i="45"/>
  <c r="W218" i="12"/>
  <c r="V218" i="12"/>
  <c r="V253" i="12" s="1"/>
  <c r="Y218" i="12"/>
  <c r="X218" i="12"/>
  <c r="S218" i="12"/>
  <c r="R218" i="12"/>
  <c r="R253" i="12" s="1"/>
  <c r="T218" i="12"/>
  <c r="T253" i="12" s="1"/>
  <c r="M218" i="12"/>
  <c r="Z218" i="12"/>
  <c r="O218" i="12"/>
  <c r="O253" i="12" s="1"/>
  <c r="N218" i="12"/>
  <c r="AA218" i="12"/>
  <c r="L218" i="12"/>
  <c r="P218" i="12"/>
  <c r="U218" i="12"/>
  <c r="U253" i="12" s="1"/>
  <c r="T62" i="18"/>
  <c r="I62" i="18"/>
  <c r="L62" i="18"/>
  <c r="L82" i="18" s="1"/>
  <c r="C91" i="18" s="1"/>
  <c r="C45" i="28" s="1"/>
  <c r="K62" i="18"/>
  <c r="N62" i="18"/>
  <c r="Q62" i="18"/>
  <c r="O62" i="18"/>
  <c r="J62" i="18"/>
  <c r="P62" i="18"/>
  <c r="F62" i="18"/>
  <c r="F82" i="18" s="1"/>
  <c r="C85" i="18" s="1"/>
  <c r="C39" i="28" s="1"/>
  <c r="H62" i="18"/>
  <c r="H82" i="18" s="1"/>
  <c r="C87" i="18" s="1"/>
  <c r="C41" i="28" s="1"/>
  <c r="R62" i="18"/>
  <c r="R82" i="18" s="1"/>
  <c r="C97" i="18" s="1"/>
  <c r="C51" i="28" s="1"/>
  <c r="S62" i="18"/>
  <c r="M62" i="18"/>
  <c r="BE122" i="44"/>
  <c r="AG145" i="43"/>
  <c r="AD145" i="43"/>
  <c r="AJ145" i="43" s="1"/>
  <c r="AD151" i="43" s="1"/>
  <c r="C161" i="43" s="1"/>
  <c r="AQ29" i="44"/>
  <c r="DJ27" i="41"/>
  <c r="DJ53" i="45"/>
  <c r="DJ27" i="44"/>
  <c r="EB97" i="41"/>
  <c r="EC97" i="41" s="1"/>
  <c r="E79" i="35"/>
  <c r="CK60" i="43"/>
  <c r="DI26" i="43"/>
  <c r="HB26" i="43"/>
  <c r="BW42" i="45"/>
  <c r="AP42" i="43"/>
  <c r="CQ40" i="45"/>
  <c r="DI24" i="44"/>
  <c r="BE44" i="45"/>
  <c r="CY20" i="44"/>
  <c r="CY20" i="45"/>
  <c r="CY20" i="43"/>
  <c r="R57" i="43"/>
  <c r="DD28" i="43"/>
  <c r="HI28" i="43" s="1"/>
  <c r="DD28" i="44"/>
  <c r="HI28" i="44" s="1"/>
  <c r="DD28" i="41"/>
  <c r="HI28" i="41" s="1"/>
  <c r="DD28" i="45"/>
  <c r="HI28" i="45" s="1"/>
  <c r="W31" i="43"/>
  <c r="W31" i="45"/>
  <c r="W31" i="41"/>
  <c r="DT117" i="44"/>
  <c r="GS117" i="44" s="1"/>
  <c r="DT117" i="41"/>
  <c r="GS117" i="41" s="1"/>
  <c r="DT117" i="45"/>
  <c r="GS117" i="45" s="1"/>
  <c r="DT117" i="43"/>
  <c r="GS117" i="43" s="1"/>
  <c r="G62" i="18"/>
  <c r="G82" i="18" s="1"/>
  <c r="C86" i="18" s="1"/>
  <c r="C40" i="28" s="1"/>
  <c r="G92" i="44"/>
  <c r="G92" i="41"/>
  <c r="G92" i="45"/>
  <c r="G92" i="43"/>
  <c r="GJ33" i="45"/>
  <c r="G173" i="45" s="1"/>
  <c r="AK27" i="35" s="1"/>
  <c r="W29" i="18"/>
  <c r="BA41" i="43"/>
  <c r="GT41" i="43"/>
  <c r="G41" i="45"/>
  <c r="G41" i="44"/>
  <c r="GT41" i="44"/>
  <c r="G41" i="41"/>
  <c r="BA41" i="45"/>
  <c r="BA41" i="41"/>
  <c r="BT41" i="44"/>
  <c r="BA41" i="44"/>
  <c r="BT41" i="43"/>
  <c r="AI41" i="45"/>
  <c r="CL41" i="43"/>
  <c r="AI41" i="44"/>
  <c r="AI41" i="43"/>
  <c r="G41" i="43"/>
  <c r="CY24" i="43"/>
  <c r="HD24" i="43" s="1"/>
  <c r="CY24" i="41"/>
  <c r="HD24" i="41" s="1"/>
  <c r="CY24" i="45"/>
  <c r="HD24" i="45" s="1"/>
  <c r="R51" i="44"/>
  <c r="R51" i="43"/>
  <c r="R51" i="41"/>
  <c r="R51" i="45"/>
  <c r="GZ58" i="41"/>
  <c r="M58" i="45"/>
  <c r="CR58" i="43"/>
  <c r="BZ58" i="45"/>
  <c r="GZ58" i="43"/>
  <c r="CR58" i="41"/>
  <c r="BG58" i="45"/>
  <c r="BG58" i="41"/>
  <c r="AO58" i="43"/>
  <c r="AO58" i="44"/>
  <c r="M58" i="43"/>
  <c r="GZ58" i="45"/>
  <c r="M58" i="41"/>
  <c r="BZ58" i="43"/>
  <c r="BZ58" i="44"/>
  <c r="GZ58" i="44"/>
  <c r="BG58" i="44"/>
  <c r="AO58" i="41"/>
  <c r="CR58" i="45"/>
  <c r="AO58" i="45"/>
  <c r="BG58" i="43"/>
  <c r="BZ58" i="41"/>
  <c r="B131" i="45"/>
  <c r="AM62" i="32"/>
  <c r="D71" i="45"/>
  <c r="N30" i="26"/>
  <c r="M30" i="26"/>
  <c r="B30" i="26"/>
  <c r="BZ25" i="18"/>
  <c r="GI29" i="41"/>
  <c r="GI29" i="44"/>
  <c r="GI29" i="45"/>
  <c r="GI29" i="43"/>
  <c r="O15" i="17"/>
  <c r="AE16" i="18" s="1"/>
  <c r="GG20" i="41"/>
  <c r="GG20" i="45"/>
  <c r="GG33" i="45" s="1"/>
  <c r="GG20" i="44"/>
  <c r="GG20" i="43"/>
  <c r="DP104" i="43"/>
  <c r="GO104" i="43" s="1"/>
  <c r="DP104" i="41"/>
  <c r="GO104" i="41" s="1"/>
  <c r="DP104" i="45"/>
  <c r="GO104" i="45" s="1"/>
  <c r="DP104" i="44"/>
  <c r="GO104" i="44" s="1"/>
  <c r="K78" i="35"/>
  <c r="L78" i="35"/>
  <c r="HB21" i="44"/>
  <c r="BS60" i="44"/>
  <c r="CA42" i="43"/>
  <c r="BH42" i="43"/>
  <c r="HB28" i="44"/>
  <c r="HB24" i="43"/>
  <c r="CZ26" i="44"/>
  <c r="HE26" i="44" s="1"/>
  <c r="CZ26" i="41"/>
  <c r="HE26" i="41" s="1"/>
  <c r="CZ26" i="45"/>
  <c r="HE26" i="45" s="1"/>
  <c r="T51" i="44"/>
  <c r="T51" i="41"/>
  <c r="T51" i="45"/>
  <c r="T51" i="43"/>
  <c r="L45" i="25"/>
  <c r="K45" i="25"/>
  <c r="K47" i="25" s="1"/>
  <c r="K48" i="25" s="1"/>
  <c r="K49" i="25" s="1"/>
  <c r="C66" i="25" s="1"/>
  <c r="J45" i="25"/>
  <c r="J47" i="25" s="1"/>
  <c r="J48" i="25" s="1"/>
  <c r="J49" i="25" s="1"/>
  <c r="C65" i="25" s="1"/>
  <c r="I45" i="25"/>
  <c r="I47" i="25" s="1"/>
  <c r="E45" i="25"/>
  <c r="E47" i="25" s="1"/>
  <c r="F45" i="25"/>
  <c r="F47" i="25" s="1"/>
  <c r="B47" i="25"/>
  <c r="O45" i="25"/>
  <c r="O47" i="25" s="1"/>
  <c r="DC19" i="12"/>
  <c r="M19" i="16" s="1"/>
  <c r="DF19" i="12" s="1"/>
  <c r="DI19" i="12" s="1"/>
  <c r="F19" i="16"/>
  <c r="BZ20" i="18"/>
  <c r="GI24" i="41"/>
  <c r="GI24" i="45"/>
  <c r="GI24" i="44"/>
  <c r="GI24" i="43"/>
  <c r="I37" i="32"/>
  <c r="F55" i="32"/>
  <c r="X20" i="32"/>
  <c r="FD21" i="41"/>
  <c r="FD21" i="43"/>
  <c r="HF7" i="12"/>
  <c r="HB7" i="12"/>
  <c r="HG7" i="12"/>
  <c r="HC7" i="12"/>
  <c r="HA7" i="12"/>
  <c r="HE7" i="12"/>
  <c r="HH7" i="12"/>
  <c r="HH45" i="12" s="1"/>
  <c r="GZ7" i="12"/>
  <c r="C222" i="12"/>
  <c r="H222" i="12" s="1"/>
  <c r="CL14" i="12"/>
  <c r="EB14" i="12"/>
  <c r="FU14" i="12"/>
  <c r="CN14" i="12"/>
  <c r="CP14" i="12"/>
  <c r="C177" i="12"/>
  <c r="E177" i="12" s="1"/>
  <c r="CR14" i="12"/>
  <c r="CT14" i="12"/>
  <c r="DI14" i="12"/>
  <c r="AR14" i="12"/>
  <c r="CQ14" i="12"/>
  <c r="FY14" i="12"/>
  <c r="FW14" i="12"/>
  <c r="GE14" i="12"/>
  <c r="CU14" i="12"/>
  <c r="CJ14" i="12"/>
  <c r="FZ14" i="12"/>
  <c r="Q14" i="12"/>
  <c r="GA14" i="12"/>
  <c r="GC14" i="12"/>
  <c r="GB14" i="12"/>
  <c r="CM14" i="12"/>
  <c r="FV14" i="12"/>
  <c r="GD14" i="12"/>
  <c r="FT14" i="12"/>
  <c r="CS14" i="12"/>
  <c r="CO14" i="12"/>
  <c r="CK6" i="18"/>
  <c r="CJ28" i="18"/>
  <c r="DS99" i="41"/>
  <c r="GR99" i="41" s="1"/>
  <c r="DS99" i="44"/>
  <c r="GR99" i="44" s="1"/>
  <c r="DS99" i="43"/>
  <c r="GR99" i="43" s="1"/>
  <c r="DS99" i="45"/>
  <c r="GR99" i="45" s="1"/>
  <c r="CT41" i="43"/>
  <c r="CT41" i="44"/>
  <c r="CB41" i="45"/>
  <c r="CB41" i="43"/>
  <c r="CB41" i="41"/>
  <c r="BI41" i="44"/>
  <c r="BI41" i="45"/>
  <c r="BI41" i="43"/>
  <c r="GM32" i="45"/>
  <c r="GM39" i="45"/>
  <c r="AE39" i="45"/>
  <c r="AH39" i="45"/>
  <c r="AI39" i="45"/>
  <c r="AK39" i="45"/>
  <c r="AO39" i="45"/>
  <c r="AF39" i="45"/>
  <c r="AJ39" i="45"/>
  <c r="AG39" i="45"/>
  <c r="GM41" i="45"/>
  <c r="CU41" i="45"/>
  <c r="CG41" i="45"/>
  <c r="CP41" i="45"/>
  <c r="CO41" i="45"/>
  <c r="CH41" i="45"/>
  <c r="CN41" i="45"/>
  <c r="CM41" i="45"/>
  <c r="CQ41" i="45"/>
  <c r="CK41" i="45"/>
  <c r="CL41" i="45"/>
  <c r="CJ41" i="45"/>
  <c r="CT41" i="45"/>
  <c r="GM43" i="45"/>
  <c r="CU46" i="45"/>
  <c r="GM46" i="45"/>
  <c r="GO46" i="45" s="1"/>
  <c r="CK46" i="45"/>
  <c r="CH46" i="45"/>
  <c r="CO46" i="45"/>
  <c r="CR46" i="45"/>
  <c r="CQ46" i="45"/>
  <c r="CJ46" i="45"/>
  <c r="CP46" i="45"/>
  <c r="CA18" i="18"/>
  <c r="GA22" i="45"/>
  <c r="GA33" i="45" s="1"/>
  <c r="GA22" i="41"/>
  <c r="GA33" i="41" s="1"/>
  <c r="GA22" i="43"/>
  <c r="GA33" i="43" s="1"/>
  <c r="GA22" i="44"/>
  <c r="GA33" i="44" s="1"/>
  <c r="M226" i="12"/>
  <c r="N226" i="12"/>
  <c r="O226" i="12"/>
  <c r="P226" i="12"/>
  <c r="AA226" i="12"/>
  <c r="Z226" i="12"/>
  <c r="R226" i="12"/>
  <c r="T226" i="12"/>
  <c r="V226" i="12"/>
  <c r="Y226" i="12"/>
  <c r="L226" i="12"/>
  <c r="X226" i="12"/>
  <c r="U226" i="12"/>
  <c r="S226" i="12"/>
  <c r="W226" i="12"/>
  <c r="W253" i="12" s="1"/>
  <c r="DX122" i="44"/>
  <c r="CM122" i="44"/>
  <c r="D9" i="28"/>
  <c r="H9" i="28"/>
  <c r="CB29" i="45"/>
  <c r="CB42" i="45"/>
  <c r="BI29" i="41"/>
  <c r="AQ41" i="41"/>
  <c r="DJ27" i="45"/>
  <c r="GE20" i="44"/>
  <c r="GE20" i="43"/>
  <c r="GE20" i="45"/>
  <c r="HB20" i="43"/>
  <c r="CL41" i="44"/>
  <c r="HM22" i="45"/>
  <c r="M34" i="45"/>
  <c r="C34" i="45"/>
  <c r="AJ20" i="43"/>
  <c r="CM20" i="43"/>
  <c r="H20" i="43"/>
  <c r="BB20" i="44"/>
  <c r="BU20" i="45"/>
  <c r="CM20" i="45"/>
  <c r="CM20" i="44"/>
  <c r="BB20" i="45"/>
  <c r="BU20" i="43"/>
  <c r="H20" i="41"/>
  <c r="AJ20" i="44"/>
  <c r="GU20" i="44"/>
  <c r="CM20" i="41"/>
  <c r="BB20" i="41"/>
  <c r="AJ20" i="41"/>
  <c r="AJ20" i="45"/>
  <c r="GU20" i="43"/>
  <c r="AN20" i="45"/>
  <c r="CQ20" i="44"/>
  <c r="BF20" i="43"/>
  <c r="L20" i="43"/>
  <c r="CQ20" i="43"/>
  <c r="CQ20" i="41"/>
  <c r="L20" i="45"/>
  <c r="GY20" i="44"/>
  <c r="BY20" i="45"/>
  <c r="BY20" i="43"/>
  <c r="L20" i="44"/>
  <c r="GY20" i="43"/>
  <c r="BF20" i="44"/>
  <c r="BF20" i="41"/>
  <c r="AN20" i="44"/>
  <c r="GY20" i="45"/>
  <c r="BF20" i="45"/>
  <c r="GY20" i="41"/>
  <c r="BY20" i="41"/>
  <c r="DA28" i="41"/>
  <c r="HF28" i="41" s="1"/>
  <c r="DA28" i="45"/>
  <c r="HF28" i="45" s="1"/>
  <c r="DA28" i="44"/>
  <c r="HF28" i="44" s="1"/>
  <c r="DF28" i="41"/>
  <c r="HK28" i="41" s="1"/>
  <c r="DF28" i="43"/>
  <c r="HK28" i="43" s="1"/>
  <c r="X37" i="44"/>
  <c r="X37" i="43"/>
  <c r="X37" i="41"/>
  <c r="X37" i="45"/>
  <c r="CW50" i="41"/>
  <c r="CW50" i="44"/>
  <c r="CW50" i="43"/>
  <c r="CW50" i="45"/>
  <c r="DD50" i="45"/>
  <c r="HI50" i="45" s="1"/>
  <c r="DD50" i="41"/>
  <c r="HI50" i="41" s="1"/>
  <c r="DD50" i="44"/>
  <c r="HI50" i="44" s="1"/>
  <c r="CS26" i="44"/>
  <c r="BH26" i="44"/>
  <c r="DS115" i="44"/>
  <c r="GR115" i="44" s="1"/>
  <c r="DS115" i="41"/>
  <c r="GR115" i="41" s="1"/>
  <c r="DS115" i="43"/>
  <c r="GR115" i="43" s="1"/>
  <c r="GX44" i="41"/>
  <c r="CP44" i="44"/>
  <c r="AM44" i="44"/>
  <c r="K44" i="41"/>
  <c r="CP44" i="45"/>
  <c r="GX44" i="43"/>
  <c r="K44" i="45"/>
  <c r="CP44" i="43"/>
  <c r="BE44" i="44"/>
  <c r="AM44" i="45"/>
  <c r="AM44" i="43"/>
  <c r="BX44" i="44"/>
  <c r="K44" i="43"/>
  <c r="CP44" i="41"/>
  <c r="BX44" i="41"/>
  <c r="GX44" i="44"/>
  <c r="BE44" i="41"/>
  <c r="AM44" i="41"/>
  <c r="K44" i="44"/>
  <c r="I93" i="44"/>
  <c r="I93" i="45"/>
  <c r="I93" i="43"/>
  <c r="I93" i="41"/>
  <c r="DO105" i="41"/>
  <c r="GN105" i="41" s="1"/>
  <c r="DO105" i="43"/>
  <c r="GN105" i="43" s="1"/>
  <c r="DO105" i="44"/>
  <c r="GN105" i="44" s="1"/>
  <c r="DO105" i="45"/>
  <c r="GN105" i="45" s="1"/>
  <c r="DX85" i="45"/>
  <c r="GW85" i="45" s="1"/>
  <c r="DX85" i="43"/>
  <c r="GW85" i="43" s="1"/>
  <c r="DX85" i="44"/>
  <c r="GW85" i="44" s="1"/>
  <c r="DX85" i="41"/>
  <c r="GW85" i="41" s="1"/>
  <c r="BG25" i="18"/>
  <c r="AQ25" i="18"/>
  <c r="AU25" i="18" s="1"/>
  <c r="AX25" i="18"/>
  <c r="BB25" i="18" s="1"/>
  <c r="BK25" i="18" s="1"/>
  <c r="AZ25" i="18"/>
  <c r="BD25" i="18" s="1"/>
  <c r="BM25" i="18" s="1"/>
  <c r="AY25" i="18"/>
  <c r="BC25" i="18" s="1"/>
  <c r="BL25" i="18" s="1"/>
  <c r="AO25" i="18"/>
  <c r="AS25" i="18" s="1"/>
  <c r="AP25" i="18"/>
  <c r="AT25" i="18" s="1"/>
  <c r="AR25" i="18"/>
  <c r="AV25" i="18" s="1"/>
  <c r="BH25" i="18"/>
  <c r="BJ25" i="18"/>
  <c r="BA25" i="18"/>
  <c r="BE25" i="18" s="1"/>
  <c r="BN25" i="18" s="1"/>
  <c r="H115" i="41"/>
  <c r="H115" i="45"/>
  <c r="H115" i="43"/>
  <c r="H115" i="44"/>
  <c r="GA42" i="12"/>
  <c r="GD42" i="12"/>
  <c r="GC42" i="12"/>
  <c r="FZ42" i="12"/>
  <c r="FW42" i="12"/>
  <c r="GB42" i="12"/>
  <c r="FU42" i="12"/>
  <c r="GE42" i="12"/>
  <c r="FV42" i="12"/>
  <c r="FY42" i="12"/>
  <c r="DP112" i="43"/>
  <c r="GO112" i="43" s="1"/>
  <c r="DP112" i="45"/>
  <c r="GO112" i="45" s="1"/>
  <c r="DP112" i="41"/>
  <c r="GO112" i="41" s="1"/>
  <c r="DP112" i="44"/>
  <c r="GO112" i="44" s="1"/>
  <c r="K114" i="41"/>
  <c r="K114" i="44"/>
  <c r="K114" i="43"/>
  <c r="K114" i="45"/>
  <c r="GS60" i="45"/>
  <c r="F60" i="41"/>
  <c r="CK60" i="41"/>
  <c r="AZ60" i="43"/>
  <c r="AH60" i="44"/>
  <c r="BS60" i="45"/>
  <c r="BS60" i="41"/>
  <c r="AZ60" i="44"/>
  <c r="AH60" i="41"/>
  <c r="GS60" i="43"/>
  <c r="GS60" i="44"/>
  <c r="AH60" i="45"/>
  <c r="CK60" i="45"/>
  <c r="CK60" i="44"/>
  <c r="F60" i="43"/>
  <c r="GS60" i="41"/>
  <c r="F60" i="45"/>
  <c r="F60" i="44"/>
  <c r="BS60" i="43"/>
  <c r="DC24" i="44"/>
  <c r="HH24" i="44" s="1"/>
  <c r="DC24" i="45"/>
  <c r="HH24" i="45" s="1"/>
  <c r="DC24" i="43"/>
  <c r="HH24" i="43" s="1"/>
  <c r="D26" i="32"/>
  <c r="E26" i="32" s="1"/>
  <c r="C12" i="43" s="1"/>
  <c r="E12" i="43" s="1"/>
  <c r="D52" i="32"/>
  <c r="F34" i="32"/>
  <c r="GC18" i="41"/>
  <c r="GC18" i="45"/>
  <c r="GC18" i="43"/>
  <c r="GC18" i="44"/>
  <c r="F115" i="41"/>
  <c r="F115" i="43"/>
  <c r="F115" i="45"/>
  <c r="F115" i="44"/>
  <c r="GC29" i="12"/>
  <c r="BU145" i="44"/>
  <c r="BO151" i="44" s="1"/>
  <c r="CS42" i="44"/>
  <c r="DI57" i="45"/>
  <c r="HB57" i="45"/>
  <c r="BN5" i="18"/>
  <c r="DZ109" i="43"/>
  <c r="GY109" i="43" s="1"/>
  <c r="DZ109" i="41"/>
  <c r="GY109" i="41" s="1"/>
  <c r="DZ109" i="44"/>
  <c r="GY109" i="44" s="1"/>
  <c r="DZ109" i="45"/>
  <c r="GY109" i="45" s="1"/>
  <c r="GS28" i="45"/>
  <c r="GT28" i="45"/>
  <c r="GQ28" i="45"/>
  <c r="GX28" i="45"/>
  <c r="GR28" i="45"/>
  <c r="GW28" i="45"/>
  <c r="GO28" i="45"/>
  <c r="GV28" i="45"/>
  <c r="GP28" i="45"/>
  <c r="GU28" i="45"/>
  <c r="GY28" i="45"/>
  <c r="C185" i="12"/>
  <c r="E185" i="12" s="1"/>
  <c r="AM22" i="12"/>
  <c r="AN22" i="12" s="1"/>
  <c r="DI22" i="12"/>
  <c r="Q22" i="12"/>
  <c r="CU60" i="44"/>
  <c r="CU60" i="41"/>
  <c r="CU60" i="43"/>
  <c r="CU60" i="45"/>
  <c r="C224" i="12"/>
  <c r="H224" i="12" s="1"/>
  <c r="CN16" i="12"/>
  <c r="CS16" i="12"/>
  <c r="CO16" i="12"/>
  <c r="CU16" i="12"/>
  <c r="AR16" i="12"/>
  <c r="CQ16" i="12"/>
  <c r="CK16" i="12"/>
  <c r="GK16" i="12"/>
  <c r="EB16" i="12"/>
  <c r="CP16" i="12"/>
  <c r="C179" i="12"/>
  <c r="E179" i="12" s="1"/>
  <c r="DI16" i="12"/>
  <c r="CL16" i="12"/>
  <c r="CJ16" i="12"/>
  <c r="CR16" i="12"/>
  <c r="CM16" i="12"/>
  <c r="GD16" i="12"/>
  <c r="FW16" i="12"/>
  <c r="GE16" i="12"/>
  <c r="CT16" i="12"/>
  <c r="GB16" i="12"/>
  <c r="FY16" i="12"/>
  <c r="Q16" i="12"/>
  <c r="FV16" i="12"/>
  <c r="FX16" i="12"/>
  <c r="GC16" i="12"/>
  <c r="FT16" i="12"/>
  <c r="FU16" i="12"/>
  <c r="FZ16" i="12"/>
  <c r="GH27" i="44"/>
  <c r="GH33" i="44" s="1"/>
  <c r="B171" i="44" s="1"/>
  <c r="GH27" i="43"/>
  <c r="GH33" i="43" s="1"/>
  <c r="B171" i="43" s="1"/>
  <c r="GH27" i="41"/>
  <c r="BY23" i="18"/>
  <c r="G100" i="41"/>
  <c r="G100" i="43"/>
  <c r="G100" i="45"/>
  <c r="G100" i="44"/>
  <c r="D99" i="41"/>
  <c r="D99" i="43"/>
  <c r="D99" i="44"/>
  <c r="D99" i="45"/>
  <c r="DJ53" i="43"/>
  <c r="GP55" i="43"/>
  <c r="GU55" i="43"/>
  <c r="GX55" i="43"/>
  <c r="GQ55" i="43"/>
  <c r="GS55" i="43"/>
  <c r="GT55" i="43"/>
  <c r="GY55" i="43"/>
  <c r="GZ55" i="43"/>
  <c r="GR55" i="43"/>
  <c r="GV55" i="43"/>
  <c r="GW55" i="43"/>
  <c r="GO55" i="43"/>
  <c r="AI33" i="45"/>
  <c r="GM33" i="45"/>
  <c r="AD33" i="45"/>
  <c r="AM33" i="45"/>
  <c r="AL33" i="45"/>
  <c r="GM38" i="45"/>
  <c r="CU40" i="45"/>
  <c r="CU61" i="45" s="1"/>
  <c r="DK40" i="45"/>
  <c r="DK61" i="45" s="1"/>
  <c r="CI40" i="45"/>
  <c r="CO40" i="45"/>
  <c r="CL40" i="45"/>
  <c r="CN40" i="45"/>
  <c r="CP40" i="45"/>
  <c r="CK40" i="45"/>
  <c r="CR40" i="45"/>
  <c r="DJ40" i="45"/>
  <c r="CJ40" i="45"/>
  <c r="AJ45" i="45"/>
  <c r="AE45" i="45"/>
  <c r="GM45" i="45"/>
  <c r="AH45" i="45"/>
  <c r="AM45" i="45"/>
  <c r="AO45" i="45"/>
  <c r="AI45" i="45"/>
  <c r="AL45" i="45"/>
  <c r="AK45" i="45"/>
  <c r="AD45" i="45"/>
  <c r="AP45" i="45" s="1"/>
  <c r="AN45" i="45"/>
  <c r="GU46" i="45"/>
  <c r="GT46" i="45"/>
  <c r="GY46" i="45"/>
  <c r="GV46" i="45"/>
  <c r="GX46" i="45"/>
  <c r="FD28" i="44"/>
  <c r="G169" i="44" s="1"/>
  <c r="AA23" i="35" s="1"/>
  <c r="O234" i="12"/>
  <c r="AA234" i="12"/>
  <c r="M234" i="12"/>
  <c r="Z234" i="12"/>
  <c r="Y234" i="12"/>
  <c r="L234" i="12"/>
  <c r="R234" i="12"/>
  <c r="U234" i="12"/>
  <c r="S234" i="12"/>
  <c r="X234" i="12"/>
  <c r="V234" i="12"/>
  <c r="T234" i="12"/>
  <c r="P234" i="12"/>
  <c r="W234" i="12"/>
  <c r="N234" i="12"/>
  <c r="C174" i="41"/>
  <c r="B167" i="43"/>
  <c r="AK4" i="33"/>
  <c r="EJ3" i="43" s="1"/>
  <c r="G167" i="43" s="1"/>
  <c r="Q21" i="35" s="1"/>
  <c r="I39" i="35" s="1"/>
  <c r="N39" i="35" s="1"/>
  <c r="CM145" i="44"/>
  <c r="CG151" i="44" s="1"/>
  <c r="AQ41" i="45"/>
  <c r="FD19" i="43"/>
  <c r="FD28" i="43" s="1"/>
  <c r="G169" i="43" s="1"/>
  <c r="Q23" i="35" s="1"/>
  <c r="Z6" i="48"/>
  <c r="Z11" i="48" s="1"/>
  <c r="I15" i="47" s="1"/>
  <c r="S96" i="35"/>
  <c r="E109" i="35" s="1"/>
  <c r="B71" i="27"/>
  <c r="K35" i="27"/>
  <c r="B66" i="27" s="1"/>
  <c r="G35" i="27"/>
  <c r="B62" i="27" s="1"/>
  <c r="J35" i="27"/>
  <c r="B65" i="27" s="1"/>
  <c r="I35" i="27"/>
  <c r="B64" i="27" s="1"/>
  <c r="M35" i="27"/>
  <c r="B68" i="27" s="1"/>
  <c r="CR41" i="45"/>
  <c r="AP41" i="43"/>
  <c r="GT52" i="45"/>
  <c r="DC24" i="41"/>
  <c r="HH24" i="41" s="1"/>
  <c r="AZ60" i="41"/>
  <c r="CH40" i="45"/>
  <c r="C40" i="45"/>
  <c r="GZ28" i="45"/>
  <c r="BD41" i="43"/>
  <c r="J41" i="43"/>
  <c r="AL41" i="44"/>
  <c r="J41" i="45"/>
  <c r="BD41" i="44"/>
  <c r="BW41" i="41"/>
  <c r="AL41" i="45"/>
  <c r="CO41" i="43"/>
  <c r="GW41" i="44"/>
  <c r="J41" i="44"/>
  <c r="BW41" i="45"/>
  <c r="BW41" i="44"/>
  <c r="BD41" i="41"/>
  <c r="CO41" i="44"/>
  <c r="GW41" i="41"/>
  <c r="AL41" i="43"/>
  <c r="AL41" i="41"/>
  <c r="BB41" i="44"/>
  <c r="BU41" i="45"/>
  <c r="GU41" i="44"/>
  <c r="BU41" i="43"/>
  <c r="CM41" i="41"/>
  <c r="BB41" i="41"/>
  <c r="AJ41" i="43"/>
  <c r="AJ41" i="45"/>
  <c r="AJ41" i="41"/>
  <c r="H41" i="43"/>
  <c r="GU41" i="41"/>
  <c r="GU41" i="43"/>
  <c r="AJ41" i="44"/>
  <c r="BB41" i="45"/>
  <c r="CM41" i="44"/>
  <c r="CM41" i="43"/>
  <c r="H41" i="44"/>
  <c r="BQ42" i="45"/>
  <c r="AV28" i="45"/>
  <c r="BH28" i="45" s="1"/>
  <c r="CZ26" i="43"/>
  <c r="HE26" i="43" s="1"/>
  <c r="Z41" i="44"/>
  <c r="Z41" i="41"/>
  <c r="Z41" i="45"/>
  <c r="Z41" i="43"/>
  <c r="GO28" i="43"/>
  <c r="B28" i="43"/>
  <c r="B28" i="44"/>
  <c r="AD28" i="41"/>
  <c r="AP28" i="41" s="1"/>
  <c r="BO28" i="43"/>
  <c r="CA28" i="43" s="1"/>
  <c r="B28" i="45"/>
  <c r="AP28" i="45" s="1"/>
  <c r="CG28" i="45"/>
  <c r="CS28" i="45" s="1"/>
  <c r="CG28" i="43"/>
  <c r="B28" i="41"/>
  <c r="CS28" i="41" s="1"/>
  <c r="AD28" i="44"/>
  <c r="AP28" i="44" s="1"/>
  <c r="AV28" i="41"/>
  <c r="BO28" i="41"/>
  <c r="CA28" i="41" s="1"/>
  <c r="BO28" i="45"/>
  <c r="CA28" i="45" s="1"/>
  <c r="GO28" i="44"/>
  <c r="GO28" i="41"/>
  <c r="AV28" i="44"/>
  <c r="BH28" i="44" s="1"/>
  <c r="BO28" i="44"/>
  <c r="CA28" i="44" s="1"/>
  <c r="CG28" i="44"/>
  <c r="CS28" i="44" s="1"/>
  <c r="AD28" i="43"/>
  <c r="GA16" i="12"/>
  <c r="DB24" i="44"/>
  <c r="HG24" i="44" s="1"/>
  <c r="DB24" i="41"/>
  <c r="HG24" i="41" s="1"/>
  <c r="DB24" i="43"/>
  <c r="HG24" i="43" s="1"/>
  <c r="M108" i="45"/>
  <c r="M108" i="44"/>
  <c r="M108" i="41"/>
  <c r="M108" i="43"/>
  <c r="D98" i="41"/>
  <c r="D98" i="43"/>
  <c r="D98" i="45"/>
  <c r="D98" i="44"/>
  <c r="J76" i="44"/>
  <c r="J76" i="43"/>
  <c r="J76" i="41"/>
  <c r="J76" i="45"/>
  <c r="P55" i="35"/>
  <c r="CS44" i="41"/>
  <c r="BH44" i="41"/>
  <c r="DI26" i="41"/>
  <c r="HB26" i="41"/>
  <c r="CX43" i="44"/>
  <c r="HC43" i="44" s="1"/>
  <c r="CX43" i="45"/>
  <c r="HC43" i="45" s="1"/>
  <c r="CX43" i="41"/>
  <c r="HC43" i="41" s="1"/>
  <c r="AP40" i="41"/>
  <c r="DX117" i="45"/>
  <c r="GW117" i="45" s="1"/>
  <c r="DX117" i="44"/>
  <c r="GW117" i="44" s="1"/>
  <c r="DX117" i="43"/>
  <c r="GW117" i="43" s="1"/>
  <c r="DX117" i="41"/>
  <c r="GW117" i="41" s="1"/>
  <c r="DO117" i="44"/>
  <c r="GN117" i="44" s="1"/>
  <c r="DO117" i="45"/>
  <c r="GN117" i="45" s="1"/>
  <c r="GX46" i="43"/>
  <c r="BX46" i="45"/>
  <c r="K46" i="44"/>
  <c r="K46" i="45"/>
  <c r="AM46" i="43"/>
  <c r="K46" i="41"/>
  <c r="CP46" i="43"/>
  <c r="GX46" i="41"/>
  <c r="AM46" i="45"/>
  <c r="CP46" i="44"/>
  <c r="CP46" i="41"/>
  <c r="K46" i="43"/>
  <c r="GX46" i="44"/>
  <c r="BE46" i="41"/>
  <c r="BE46" i="43"/>
  <c r="DB50" i="44"/>
  <c r="HG50" i="44" s="1"/>
  <c r="DB50" i="43"/>
  <c r="HG50" i="43" s="1"/>
  <c r="DB50" i="41"/>
  <c r="HG50" i="41" s="1"/>
  <c r="DI19" i="43"/>
  <c r="HB19" i="43"/>
  <c r="GR60" i="45"/>
  <c r="CJ60" i="41"/>
  <c r="E60" i="43"/>
  <c r="BR60" i="41"/>
  <c r="E60" i="44"/>
  <c r="AY60" i="43"/>
  <c r="CJ60" i="45"/>
  <c r="AG60" i="41"/>
  <c r="AG60" i="43"/>
  <c r="CJ60" i="43"/>
  <c r="AY60" i="45"/>
  <c r="AG60" i="44"/>
  <c r="AY60" i="44"/>
  <c r="GR60" i="43"/>
  <c r="E60" i="41"/>
  <c r="BR60" i="43"/>
  <c r="AG60" i="45"/>
  <c r="BR60" i="45"/>
  <c r="GR28" i="41"/>
  <c r="AY28" i="41"/>
  <c r="AG28" i="43"/>
  <c r="CJ28" i="45"/>
  <c r="GR28" i="44"/>
  <c r="CJ28" i="43"/>
  <c r="E28" i="44"/>
  <c r="AY28" i="44"/>
  <c r="BR28" i="45"/>
  <c r="BR28" i="43"/>
  <c r="BR28" i="41"/>
  <c r="E28" i="41"/>
  <c r="AG28" i="45"/>
  <c r="CJ28" i="44"/>
  <c r="E28" i="45"/>
  <c r="V43" i="41"/>
  <c r="V43" i="44"/>
  <c r="V43" i="45"/>
  <c r="V43" i="43"/>
  <c r="DR109" i="45"/>
  <c r="GQ109" i="45" s="1"/>
  <c r="DR109" i="41"/>
  <c r="GQ109" i="41" s="1"/>
  <c r="DR109" i="43"/>
  <c r="GQ109" i="43" s="1"/>
  <c r="DR109" i="44"/>
  <c r="GQ109" i="44" s="1"/>
  <c r="DO9" i="12"/>
  <c r="DS9" i="12"/>
  <c r="GV9" i="12"/>
  <c r="GX9" i="12" s="1"/>
  <c r="DL9" i="12"/>
  <c r="DV9" i="12"/>
  <c r="DQ9" i="12"/>
  <c r="DW9" i="12"/>
  <c r="DP9" i="12"/>
  <c r="DR9" i="12"/>
  <c r="DN9" i="12"/>
  <c r="DM9" i="12"/>
  <c r="DT9" i="12"/>
  <c r="AW21" i="12"/>
  <c r="BC21" i="12"/>
  <c r="AX21" i="12"/>
  <c r="AU21" i="12"/>
  <c r="BE21" i="12"/>
  <c r="AV21" i="12"/>
  <c r="BB21" i="12"/>
  <c r="AY21" i="12"/>
  <c r="GT21" i="12"/>
  <c r="BF21" i="12"/>
  <c r="BA21" i="12"/>
  <c r="AZ21" i="12"/>
  <c r="GX40" i="44"/>
  <c r="GS40" i="44"/>
  <c r="GT40" i="44"/>
  <c r="GO40" i="44"/>
  <c r="GY40" i="44"/>
  <c r="GQ40" i="44"/>
  <c r="GR40" i="44"/>
  <c r="EG145" i="45"/>
  <c r="EM145" i="45" s="1"/>
  <c r="EG151" i="45" s="1"/>
  <c r="C167" i="45" s="1"/>
  <c r="F52" i="15"/>
  <c r="D61" i="15" s="1"/>
  <c r="CS40" i="41"/>
  <c r="BC20" i="44"/>
  <c r="BC20" i="43"/>
  <c r="AK20" i="44"/>
  <c r="AK20" i="43"/>
  <c r="CN20" i="44"/>
  <c r="BV20" i="41"/>
  <c r="I20" i="41"/>
  <c r="GV20" i="45"/>
  <c r="BV20" i="44"/>
  <c r="I20" i="44"/>
  <c r="GV20" i="44"/>
  <c r="GV56" i="45"/>
  <c r="BV56" i="44"/>
  <c r="BV56" i="43"/>
  <c r="CN56" i="41"/>
  <c r="I56" i="45"/>
  <c r="AK56" i="43"/>
  <c r="BC56" i="43"/>
  <c r="BC56" i="44"/>
  <c r="BV56" i="45"/>
  <c r="CN56" i="45"/>
  <c r="AK56" i="45"/>
  <c r="AK56" i="41"/>
  <c r="G49" i="41"/>
  <c r="CL49" i="45"/>
  <c r="BT49" i="44"/>
  <c r="AI49" i="41"/>
  <c r="G49" i="45"/>
  <c r="AI49" i="43"/>
  <c r="GT49" i="45"/>
  <c r="AI49" i="45"/>
  <c r="BA49" i="44"/>
  <c r="GT49" i="44"/>
  <c r="CL49" i="43"/>
  <c r="G49" i="43"/>
  <c r="G49" i="44"/>
  <c r="AI49" i="44"/>
  <c r="BA49" i="45"/>
  <c r="BA49" i="43"/>
  <c r="BT49" i="45"/>
  <c r="Z25" i="41"/>
  <c r="Z25" i="43"/>
  <c r="Z25" i="44"/>
  <c r="Q25" i="44"/>
  <c r="Q25" i="45"/>
  <c r="Q25" i="41"/>
  <c r="DS83" i="45"/>
  <c r="GR83" i="45" s="1"/>
  <c r="DS83" i="44"/>
  <c r="GR83" i="44" s="1"/>
  <c r="DS83" i="43"/>
  <c r="GR83" i="43" s="1"/>
  <c r="DY90" i="44"/>
  <c r="GX90" i="44" s="1"/>
  <c r="DY90" i="43"/>
  <c r="GX90" i="43" s="1"/>
  <c r="DY90" i="41"/>
  <c r="GX90" i="41" s="1"/>
  <c r="DY90" i="45"/>
  <c r="GX90" i="45" s="1"/>
  <c r="DO81" i="43"/>
  <c r="GN81" i="43" s="1"/>
  <c r="DO81" i="41"/>
  <c r="GN81" i="41" s="1"/>
  <c r="DO81" i="44"/>
  <c r="GN81" i="44" s="1"/>
  <c r="DC60" i="44"/>
  <c r="HH60" i="44" s="1"/>
  <c r="DC60" i="45"/>
  <c r="HH60" i="45" s="1"/>
  <c r="DC60" i="43"/>
  <c r="HH60" i="43" s="1"/>
  <c r="DC60" i="41"/>
  <c r="HH60" i="41" s="1"/>
  <c r="DD49" i="45"/>
  <c r="HI49" i="45" s="1"/>
  <c r="DD49" i="43"/>
  <c r="HI49" i="43" s="1"/>
  <c r="DD49" i="41"/>
  <c r="HI49" i="41" s="1"/>
  <c r="DD49" i="44"/>
  <c r="HI49" i="44" s="1"/>
  <c r="DF45" i="44"/>
  <c r="HK45" i="44" s="1"/>
  <c r="DF45" i="45"/>
  <c r="HK45" i="45" s="1"/>
  <c r="DF45" i="43"/>
  <c r="HK45" i="43" s="1"/>
  <c r="DF45" i="41"/>
  <c r="HK45" i="41" s="1"/>
  <c r="CY45" i="43"/>
  <c r="HD45" i="43" s="1"/>
  <c r="CY45" i="45"/>
  <c r="HD45" i="45" s="1"/>
  <c r="CY45" i="41"/>
  <c r="HD45" i="41" s="1"/>
  <c r="CS52" i="45"/>
  <c r="CA52" i="45"/>
  <c r="CS44" i="43"/>
  <c r="CA44" i="43"/>
  <c r="CY43" i="43"/>
  <c r="HD43" i="43" s="1"/>
  <c r="CY43" i="45"/>
  <c r="HD43" i="45" s="1"/>
  <c r="CY43" i="41"/>
  <c r="HD43" i="41" s="1"/>
  <c r="BC41" i="43"/>
  <c r="AK41" i="43"/>
  <c r="AK41" i="44"/>
  <c r="BV41" i="45"/>
  <c r="I41" i="43"/>
  <c r="BV41" i="41"/>
  <c r="AK41" i="41"/>
  <c r="CN41" i="43"/>
  <c r="I41" i="44"/>
  <c r="CN41" i="44"/>
  <c r="GV41" i="41"/>
  <c r="AH41" i="45"/>
  <c r="BS41" i="43"/>
  <c r="AH41" i="43"/>
  <c r="F41" i="43"/>
  <c r="F41" i="41"/>
  <c r="GS41" i="44"/>
  <c r="BS41" i="41"/>
  <c r="AZ41" i="41"/>
  <c r="CS56" i="43"/>
  <c r="CX20" i="41"/>
  <c r="HC20" i="41" s="1"/>
  <c r="CX20" i="43"/>
  <c r="DE20" i="43"/>
  <c r="HJ20" i="43" s="1"/>
  <c r="DE20" i="44"/>
  <c r="HJ20" i="44" s="1"/>
  <c r="DE21" i="45"/>
  <c r="HJ21" i="45" s="1"/>
  <c r="DE21" i="44"/>
  <c r="HJ21" i="44" s="1"/>
  <c r="DE21" i="41"/>
  <c r="HJ21" i="41" s="1"/>
  <c r="BS52" i="41"/>
  <c r="BS52" i="43"/>
  <c r="CK52" i="44"/>
  <c r="GS52" i="44"/>
  <c r="CK52" i="43"/>
  <c r="GS52" i="41"/>
  <c r="AH52" i="41"/>
  <c r="AZ52" i="41"/>
  <c r="AZ52" i="43"/>
  <c r="AH52" i="43"/>
  <c r="AH52" i="44"/>
  <c r="AZ52" i="44"/>
  <c r="GZ34" i="44"/>
  <c r="AO34" i="45"/>
  <c r="BG34" i="43"/>
  <c r="BG34" i="41"/>
  <c r="AO34" i="43"/>
  <c r="BZ34" i="41"/>
  <c r="BZ34" i="43"/>
  <c r="M34" i="41"/>
  <c r="BZ34" i="44"/>
  <c r="BG34" i="45"/>
  <c r="CR34" i="41"/>
  <c r="CR34" i="45"/>
  <c r="CR34" i="44"/>
  <c r="BZ34" i="45"/>
  <c r="T31" i="45"/>
  <c r="T31" i="41"/>
  <c r="BF42" i="44"/>
  <c r="GY42" i="44"/>
  <c r="CQ42" i="45"/>
  <c r="CQ42" i="43"/>
  <c r="L42" i="45"/>
  <c r="BF42" i="41"/>
  <c r="BF42" i="43"/>
  <c r="BY42" i="41"/>
  <c r="GY42" i="41"/>
  <c r="L42" i="44"/>
  <c r="AN42" i="44"/>
  <c r="AN42" i="43"/>
  <c r="GY42" i="45"/>
  <c r="CQ42" i="44"/>
  <c r="GR76" i="41"/>
  <c r="GO45" i="43"/>
  <c r="GO45" i="44"/>
  <c r="AD45" i="41"/>
  <c r="AP45" i="41" s="1"/>
  <c r="BO45" i="41"/>
  <c r="CA45" i="41" s="1"/>
  <c r="CG45" i="43"/>
  <c r="CS45" i="43" s="1"/>
  <c r="CG45" i="45"/>
  <c r="CS45" i="45" s="1"/>
  <c r="BO45" i="43"/>
  <c r="CA45" i="43" s="1"/>
  <c r="CG45" i="44"/>
  <c r="CS45" i="44" s="1"/>
  <c r="BO45" i="45"/>
  <c r="CA45" i="45" s="1"/>
  <c r="AV45" i="44"/>
  <c r="BH45" i="44" s="1"/>
  <c r="BH29" i="43"/>
  <c r="DY80" i="43"/>
  <c r="DY80" i="45"/>
  <c r="DY80" i="41"/>
  <c r="DY80" i="44"/>
  <c r="V46" i="44"/>
  <c r="V46" i="43"/>
  <c r="V46" i="41"/>
  <c r="H169" i="12"/>
  <c r="G169" i="12"/>
  <c r="DZ91" i="43"/>
  <c r="GY91" i="43" s="1"/>
  <c r="DZ91" i="44"/>
  <c r="GY91" i="44" s="1"/>
  <c r="DZ91" i="45"/>
  <c r="GY91" i="45" s="1"/>
  <c r="DT4" i="12"/>
  <c r="DS4" i="12"/>
  <c r="DQ4" i="12"/>
  <c r="DL4" i="12"/>
  <c r="DM4" i="12"/>
  <c r="DN4" i="12"/>
  <c r="DV4" i="12"/>
  <c r="GV4" i="12"/>
  <c r="GX4" i="12" s="1"/>
  <c r="DR4" i="12"/>
  <c r="DU4" i="12"/>
  <c r="DP4" i="12"/>
  <c r="DO4" i="12"/>
  <c r="D26" i="45"/>
  <c r="BQ26" i="43"/>
  <c r="AX26" i="44"/>
  <c r="CI26" i="45"/>
  <c r="AF26" i="45"/>
  <c r="AX26" i="43"/>
  <c r="BQ26" i="41"/>
  <c r="AF26" i="41"/>
  <c r="D26" i="44"/>
  <c r="D26" i="41"/>
  <c r="CI26" i="44"/>
  <c r="BQ26" i="45"/>
  <c r="AX26" i="45"/>
  <c r="GQ26" i="41"/>
  <c r="CI26" i="41"/>
  <c r="AF26" i="44"/>
  <c r="AX26" i="41"/>
  <c r="C106" i="44"/>
  <c r="C106" i="41"/>
  <c r="C106" i="43"/>
  <c r="C106" i="45"/>
  <c r="GB28" i="41"/>
  <c r="GB28" i="44"/>
  <c r="GB28" i="45"/>
  <c r="CB24" i="18"/>
  <c r="GB28" i="43"/>
  <c r="DZ103" i="45"/>
  <c r="GY103" i="45" s="1"/>
  <c r="DZ103" i="44"/>
  <c r="GY103" i="44" s="1"/>
  <c r="DZ103" i="43"/>
  <c r="GY103" i="43" s="1"/>
  <c r="DZ103" i="41"/>
  <c r="GY103" i="41" s="1"/>
  <c r="U36" i="43"/>
  <c r="U36" i="44"/>
  <c r="U36" i="45"/>
  <c r="U36" i="41"/>
  <c r="Y22" i="45"/>
  <c r="Y22" i="43"/>
  <c r="Y22" i="44"/>
  <c r="Y22" i="41"/>
  <c r="AP45" i="43"/>
  <c r="B41" i="44"/>
  <c r="B41" i="45"/>
  <c r="GO41" i="43"/>
  <c r="AD41" i="45"/>
  <c r="B41" i="41"/>
  <c r="BO41" i="45"/>
  <c r="CA41" i="45" s="1"/>
  <c r="BO41" i="44"/>
  <c r="AV41" i="45"/>
  <c r="BO41" i="43"/>
  <c r="CA41" i="43" s="1"/>
  <c r="GZ41" i="44"/>
  <c r="BG41" i="41"/>
  <c r="AO41" i="45"/>
  <c r="M41" i="44"/>
  <c r="AO41" i="44"/>
  <c r="CR41" i="44"/>
  <c r="CR41" i="43"/>
  <c r="M41" i="45"/>
  <c r="AO41" i="41"/>
  <c r="CR41" i="41"/>
  <c r="GZ41" i="41"/>
  <c r="DH20" i="44"/>
  <c r="DH20" i="41"/>
  <c r="DH20" i="43"/>
  <c r="DG21" i="45"/>
  <c r="HL21" i="45" s="1"/>
  <c r="DG21" i="41"/>
  <c r="HL21" i="41" s="1"/>
  <c r="DG21" i="44"/>
  <c r="HL21" i="44" s="1"/>
  <c r="GQ34" i="44"/>
  <c r="CI34" i="45"/>
  <c r="CI34" i="44"/>
  <c r="AX34" i="43"/>
  <c r="BQ34" i="44"/>
  <c r="BQ34" i="43"/>
  <c r="AX34" i="45"/>
  <c r="GQ34" i="41"/>
  <c r="AX34" i="44"/>
  <c r="D34" i="44"/>
  <c r="D34" i="41"/>
  <c r="D34" i="43"/>
  <c r="AF34" i="41"/>
  <c r="CI34" i="41"/>
  <c r="AX34" i="41"/>
  <c r="AF34" i="43"/>
  <c r="BQ34" i="45"/>
  <c r="BH47" i="43"/>
  <c r="GP28" i="43"/>
  <c r="GP28" i="41"/>
  <c r="CH28" i="45"/>
  <c r="CH28" i="41"/>
  <c r="AW28" i="44"/>
  <c r="C28" i="45"/>
  <c r="C28" i="41"/>
  <c r="AE28" i="45"/>
  <c r="C28" i="44"/>
  <c r="CH28" i="44"/>
  <c r="BP28" i="43"/>
  <c r="R50" i="45"/>
  <c r="R50" i="43"/>
  <c r="R50" i="44"/>
  <c r="R50" i="41"/>
  <c r="BH56" i="43"/>
  <c r="Q31" i="44"/>
  <c r="Q31" i="45"/>
  <c r="Q31" i="41"/>
  <c r="GQ45" i="43"/>
  <c r="BQ45" i="43"/>
  <c r="AF45" i="41"/>
  <c r="D45" i="41"/>
  <c r="BQ45" i="41"/>
  <c r="AF45" i="44"/>
  <c r="BQ45" i="45"/>
  <c r="AX45" i="41"/>
  <c r="AF45" i="43"/>
  <c r="X41" i="44"/>
  <c r="X41" i="41"/>
  <c r="CJ56" i="43"/>
  <c r="AG56" i="43"/>
  <c r="BR56" i="41"/>
  <c r="GR56" i="45"/>
  <c r="E56" i="43"/>
  <c r="CJ56" i="41"/>
  <c r="AY56" i="44"/>
  <c r="GY56" i="45"/>
  <c r="CQ56" i="44"/>
  <c r="BY56" i="43"/>
  <c r="GY56" i="41"/>
  <c r="L56" i="44"/>
  <c r="BF56" i="44"/>
  <c r="AN56" i="43"/>
  <c r="L56" i="45"/>
  <c r="L56" i="41"/>
  <c r="L56" i="43"/>
  <c r="AN56" i="41"/>
  <c r="CQ56" i="41"/>
  <c r="BC40" i="44"/>
  <c r="AK40" i="45"/>
  <c r="BV40" i="45"/>
  <c r="BV40" i="44"/>
  <c r="AK40" i="43"/>
  <c r="BC40" i="41"/>
  <c r="BC40" i="45"/>
  <c r="AK40" i="44"/>
  <c r="CN40" i="41"/>
  <c r="BV40" i="43"/>
  <c r="D40" i="43"/>
  <c r="AF40" i="44"/>
  <c r="BQ40" i="45"/>
  <c r="AX40" i="45"/>
  <c r="CI40" i="44"/>
  <c r="AF40" i="43"/>
  <c r="BQ40" i="44"/>
  <c r="AX40" i="44"/>
  <c r="GZ60" i="45"/>
  <c r="BZ60" i="45"/>
  <c r="AO60" i="41"/>
  <c r="GZ60" i="43"/>
  <c r="AO60" i="45"/>
  <c r="AO60" i="43"/>
  <c r="M60" i="41"/>
  <c r="BZ60" i="43"/>
  <c r="BG60" i="43"/>
  <c r="AY58" i="41"/>
  <c r="BR58" i="41"/>
  <c r="E58" i="45"/>
  <c r="GR58" i="44"/>
  <c r="GR58" i="43"/>
  <c r="CJ58" i="43"/>
  <c r="E58" i="43"/>
  <c r="E58" i="41"/>
  <c r="BR58" i="45"/>
  <c r="CJ58" i="45"/>
  <c r="CJ58" i="44"/>
  <c r="AG58" i="41"/>
  <c r="AY58" i="45"/>
  <c r="AY58" i="44"/>
  <c r="AG58" i="44"/>
  <c r="DG46" i="45"/>
  <c r="HL46" i="45" s="1"/>
  <c r="DG46" i="44"/>
  <c r="HL46" i="44" s="1"/>
  <c r="DG46" i="43"/>
  <c r="HL46" i="43" s="1"/>
  <c r="DR113" i="45"/>
  <c r="GQ113" i="45" s="1"/>
  <c r="DR113" i="43"/>
  <c r="GQ113" i="43" s="1"/>
  <c r="DR113" i="41"/>
  <c r="GQ113" i="41" s="1"/>
  <c r="P56" i="45"/>
  <c r="P56" i="41"/>
  <c r="CW51" i="41"/>
  <c r="CW51" i="43"/>
  <c r="CW51" i="44"/>
  <c r="CX45" i="44"/>
  <c r="HC45" i="44" s="1"/>
  <c r="CX45" i="41"/>
  <c r="HC45" i="41" s="1"/>
  <c r="CX45" i="45"/>
  <c r="HC45" i="45" s="1"/>
  <c r="CX45" i="43"/>
  <c r="HC45" i="43" s="1"/>
  <c r="DC45" i="43"/>
  <c r="HH45" i="43" s="1"/>
  <c r="DC45" i="41"/>
  <c r="HH45" i="41" s="1"/>
  <c r="DC45" i="44"/>
  <c r="HH45" i="44" s="1"/>
  <c r="DS80" i="44"/>
  <c r="DS80" i="45"/>
  <c r="DS80" i="43"/>
  <c r="DS80" i="41"/>
  <c r="GR80" i="41" s="1"/>
  <c r="DS100" i="43"/>
  <c r="GR100" i="43" s="1"/>
  <c r="DS100" i="41"/>
  <c r="GR100" i="41" s="1"/>
  <c r="DS100" i="45"/>
  <c r="GR100" i="45" s="1"/>
  <c r="DS100" i="44"/>
  <c r="GR100" i="44" s="1"/>
  <c r="DO86" i="41"/>
  <c r="GN86" i="41" s="1"/>
  <c r="DO86" i="44"/>
  <c r="GN86" i="44" s="1"/>
  <c r="DO86" i="43"/>
  <c r="GN86" i="43" s="1"/>
  <c r="DO86" i="45"/>
  <c r="GN86" i="45" s="1"/>
  <c r="GC26" i="43"/>
  <c r="GC26" i="41"/>
  <c r="GZ57" i="44"/>
  <c r="GO57" i="44"/>
  <c r="GS57" i="44"/>
  <c r="GX57" i="44"/>
  <c r="GU57" i="44"/>
  <c r="GQ57" i="44"/>
  <c r="GY57" i="44"/>
  <c r="GT57" i="44"/>
  <c r="GV57" i="44"/>
  <c r="GR57" i="44"/>
  <c r="GP57" i="44"/>
  <c r="GY29" i="43"/>
  <c r="GV29" i="43"/>
  <c r="GO29" i="43"/>
  <c r="GW29" i="43"/>
  <c r="GP29" i="43"/>
  <c r="GU29" i="43"/>
  <c r="GS29" i="43"/>
  <c r="GT29" i="43"/>
  <c r="GX29" i="43"/>
  <c r="CX54" i="41"/>
  <c r="HC54" i="41" s="1"/>
  <c r="CX54" i="45"/>
  <c r="HC54" i="45" s="1"/>
  <c r="CX54" i="44"/>
  <c r="HC54" i="44" s="1"/>
  <c r="AP26" i="45"/>
  <c r="BH26" i="45"/>
  <c r="CA26" i="45"/>
  <c r="AH40" i="43"/>
  <c r="BS40" i="41"/>
  <c r="AH40" i="44"/>
  <c r="F40" i="43"/>
  <c r="GS40" i="41"/>
  <c r="F40" i="44"/>
  <c r="T34" i="43"/>
  <c r="T34" i="44"/>
  <c r="DX95" i="43"/>
  <c r="GW95" i="43" s="1"/>
  <c r="DX95" i="41"/>
  <c r="GW95" i="41" s="1"/>
  <c r="DX95" i="44"/>
  <c r="GW95" i="44" s="1"/>
  <c r="DV103" i="43"/>
  <c r="GU103" i="43" s="1"/>
  <c r="DV103" i="45"/>
  <c r="GU103" i="45" s="1"/>
  <c r="DV103" i="44"/>
  <c r="GU103" i="44" s="1"/>
  <c r="DO109" i="43"/>
  <c r="GN109" i="43" s="1"/>
  <c r="DO109" i="45"/>
  <c r="GN109" i="45" s="1"/>
  <c r="DO109" i="41"/>
  <c r="GN109" i="41" s="1"/>
  <c r="BH11" i="18"/>
  <c r="AR11" i="18"/>
  <c r="AV11" i="18" s="1"/>
  <c r="AQ11" i="18"/>
  <c r="AU11" i="18" s="1"/>
  <c r="BI11" i="18"/>
  <c r="AP11" i="18"/>
  <c r="AT11" i="18" s="1"/>
  <c r="BJ11" i="18"/>
  <c r="AZ11" i="18"/>
  <c r="BD11" i="18" s="1"/>
  <c r="BM11" i="18" s="1"/>
  <c r="AX11" i="18"/>
  <c r="BB11" i="18" s="1"/>
  <c r="BK11" i="18" s="1"/>
  <c r="BA11" i="18"/>
  <c r="BE11" i="18" s="1"/>
  <c r="BN11" i="18" s="1"/>
  <c r="F36" i="32"/>
  <c r="D54" i="32"/>
  <c r="P208" i="12"/>
  <c r="G26" i="28" s="1"/>
  <c r="Y25" i="44"/>
  <c r="Y25" i="45"/>
  <c r="DT80" i="43"/>
  <c r="GS80" i="43" s="1"/>
  <c r="DT80" i="44"/>
  <c r="GS80" i="44" s="1"/>
  <c r="DT80" i="41"/>
  <c r="GS80" i="41" s="1"/>
  <c r="DH51" i="41"/>
  <c r="HM51" i="41" s="1"/>
  <c r="DH51" i="45"/>
  <c r="HM51" i="45" s="1"/>
  <c r="DH51" i="43"/>
  <c r="HM51" i="43" s="1"/>
  <c r="DH51" i="44"/>
  <c r="HM51" i="44" s="1"/>
  <c r="DH44" i="41"/>
  <c r="HM44" i="41" s="1"/>
  <c r="DH44" i="43"/>
  <c r="HM44" i="43" s="1"/>
  <c r="GW60" i="44"/>
  <c r="GZ60" i="44"/>
  <c r="GW47" i="41"/>
  <c r="GT47" i="41"/>
  <c r="GO47" i="41"/>
  <c r="GQ47" i="41"/>
  <c r="GR47" i="41"/>
  <c r="GS47" i="41"/>
  <c r="GV47" i="41"/>
  <c r="GC30" i="12"/>
  <c r="FW30" i="12"/>
  <c r="FU30" i="12"/>
  <c r="FZ30" i="12"/>
  <c r="FT30" i="12"/>
  <c r="FV30" i="12"/>
  <c r="GB30" i="12"/>
  <c r="CA56" i="45"/>
  <c r="GW46" i="44"/>
  <c r="J46" i="44"/>
  <c r="CO46" i="41"/>
  <c r="BW46" i="41"/>
  <c r="AL46" i="41"/>
  <c r="BW46" i="45"/>
  <c r="J46" i="43"/>
  <c r="GW46" i="43"/>
  <c r="BW46" i="44"/>
  <c r="GZ56" i="45"/>
  <c r="AO56" i="43"/>
  <c r="AO56" i="41"/>
  <c r="GZ56" i="41"/>
  <c r="AP25" i="43"/>
  <c r="BH25" i="43"/>
  <c r="F44" i="41"/>
  <c r="AH44" i="45"/>
  <c r="BS44" i="43"/>
  <c r="AH44" i="44"/>
  <c r="L44" i="45"/>
  <c r="BF44" i="44"/>
  <c r="CQ44" i="41"/>
  <c r="AN44" i="43"/>
  <c r="L44" i="43"/>
  <c r="L44" i="41"/>
  <c r="GY44" i="43"/>
  <c r="DY103" i="45"/>
  <c r="GX103" i="45" s="1"/>
  <c r="DY103" i="43"/>
  <c r="GX103" i="43" s="1"/>
  <c r="DY103" i="41"/>
  <c r="GX103" i="41" s="1"/>
  <c r="DS88" i="45"/>
  <c r="GR88" i="45" s="1"/>
  <c r="DS88" i="41"/>
  <c r="GR88" i="41" s="1"/>
  <c r="CS57" i="43"/>
  <c r="CA57" i="43"/>
  <c r="DX109" i="44"/>
  <c r="GW109" i="44" s="1"/>
  <c r="DX109" i="41"/>
  <c r="GW109" i="41" s="1"/>
  <c r="DX109" i="45"/>
  <c r="GW109" i="45" s="1"/>
  <c r="W35" i="41"/>
  <c r="W35" i="44"/>
  <c r="W35" i="45"/>
  <c r="BK20" i="32"/>
  <c r="AO37" i="32" s="1"/>
  <c r="AM55" i="32" s="1"/>
  <c r="BV20" i="32"/>
  <c r="B169" i="41" s="1"/>
  <c r="G80" i="45"/>
  <c r="G80" i="41"/>
  <c r="G80" i="43"/>
  <c r="BO29" i="41"/>
  <c r="CA29" i="41" s="1"/>
  <c r="AD29" i="45"/>
  <c r="BO29" i="45"/>
  <c r="AD29" i="44"/>
  <c r="AP29" i="44" s="1"/>
  <c r="GO29" i="41"/>
  <c r="B29" i="43"/>
  <c r="B29" i="41"/>
  <c r="BH29" i="41" s="1"/>
  <c r="CG29" i="41"/>
  <c r="AD29" i="41"/>
  <c r="AP29" i="41" s="1"/>
  <c r="B29" i="45"/>
  <c r="BH29" i="45" s="1"/>
  <c r="CG29" i="43"/>
  <c r="CS29" i="43" s="1"/>
  <c r="BO29" i="43"/>
  <c r="CA29" i="43" s="1"/>
  <c r="GO29" i="44"/>
  <c r="CG29" i="45"/>
  <c r="BO29" i="44"/>
  <c r="CA29" i="44" s="1"/>
  <c r="B29" i="44"/>
  <c r="CS29" i="44" s="1"/>
  <c r="CL26" i="45"/>
  <c r="AI26" i="44"/>
  <c r="BT26" i="43"/>
  <c r="AI26" i="41"/>
  <c r="G26" i="44"/>
  <c r="CL26" i="44"/>
  <c r="G26" i="45"/>
  <c r="G26" i="41"/>
  <c r="CL26" i="41"/>
  <c r="BT26" i="41"/>
  <c r="BT26" i="45"/>
  <c r="GT26" i="45"/>
  <c r="BA26" i="45"/>
  <c r="F91" i="45"/>
  <c r="F91" i="43"/>
  <c r="D76" i="45"/>
  <c r="D76" i="43"/>
  <c r="D76" i="41"/>
  <c r="D76" i="44"/>
  <c r="DF56" i="44"/>
  <c r="HK56" i="44" s="1"/>
  <c r="DF56" i="43"/>
  <c r="HK56" i="43" s="1"/>
  <c r="DF56" i="45"/>
  <c r="HK56" i="45" s="1"/>
  <c r="DF56" i="41"/>
  <c r="HK56" i="41" s="1"/>
  <c r="DC42" i="41"/>
  <c r="HH42" i="41" s="1"/>
  <c r="DC42" i="45"/>
  <c r="HH42" i="45" s="1"/>
  <c r="DC42" i="44"/>
  <c r="HH42" i="44" s="1"/>
  <c r="DC42" i="43"/>
  <c r="HH42" i="43" s="1"/>
  <c r="C46" i="44"/>
  <c r="AE46" i="43"/>
  <c r="AW46" i="44"/>
  <c r="AE46" i="45"/>
  <c r="C46" i="43"/>
  <c r="AE46" i="44"/>
  <c r="GP46" i="41"/>
  <c r="AE46" i="41"/>
  <c r="BP46" i="44"/>
  <c r="AW46" i="41"/>
  <c r="K42" i="41"/>
  <c r="CP42" i="43"/>
  <c r="GX42" i="43"/>
  <c r="CP42" i="45"/>
  <c r="AM42" i="43"/>
  <c r="K42" i="43"/>
  <c r="GX42" i="44"/>
  <c r="BE42" i="43"/>
  <c r="GX42" i="41"/>
  <c r="K42" i="44"/>
  <c r="GX42" i="45"/>
  <c r="DF26" i="43"/>
  <c r="HK26" i="43" s="1"/>
  <c r="DF26" i="44"/>
  <c r="HK26" i="44" s="1"/>
  <c r="CX22" i="41"/>
  <c r="HC22" i="41" s="1"/>
  <c r="CX22" i="44"/>
  <c r="HC22" i="44" s="1"/>
  <c r="CZ22" i="41"/>
  <c r="HE22" i="41" s="1"/>
  <c r="CZ22" i="44"/>
  <c r="HE22" i="44" s="1"/>
  <c r="EP19" i="12"/>
  <c r="EH19" i="12"/>
  <c r="EF19" i="12"/>
  <c r="EO19" i="12"/>
  <c r="EN19" i="12"/>
  <c r="GP60" i="45"/>
  <c r="C60" i="41"/>
  <c r="AE60" i="41"/>
  <c r="BP60" i="41"/>
  <c r="DO80" i="41"/>
  <c r="GN80" i="41" s="1"/>
  <c r="DO80" i="44"/>
  <c r="GN80" i="44" s="1"/>
  <c r="DS103" i="43"/>
  <c r="GR103" i="43" s="1"/>
  <c r="DS103" i="45"/>
  <c r="GR103" i="45" s="1"/>
  <c r="DS103" i="44"/>
  <c r="GR103" i="44" s="1"/>
  <c r="GP58" i="41"/>
  <c r="AE58" i="43"/>
  <c r="C58" i="43"/>
  <c r="GP58" i="44"/>
  <c r="BP58" i="44"/>
  <c r="C58" i="45"/>
  <c r="BP58" i="45"/>
  <c r="AE58" i="45"/>
  <c r="CH58" i="43"/>
  <c r="BP58" i="43"/>
  <c r="AE58" i="41"/>
  <c r="C58" i="41"/>
  <c r="AW58" i="45"/>
  <c r="AP57" i="41"/>
  <c r="CA57" i="41"/>
  <c r="BH57" i="41"/>
  <c r="HB60" i="43"/>
  <c r="DI60" i="43"/>
  <c r="T56" i="44"/>
  <c r="T56" i="45"/>
  <c r="T56" i="43"/>
  <c r="GO39" i="41"/>
  <c r="GY39" i="41"/>
  <c r="GU39" i="41"/>
  <c r="GP39" i="41"/>
  <c r="GR39" i="41"/>
  <c r="GU50" i="44"/>
  <c r="GY50" i="44"/>
  <c r="GZ50" i="44"/>
  <c r="GS50" i="44"/>
  <c r="GT50" i="44"/>
  <c r="GW50" i="44"/>
  <c r="GO50" i="44"/>
  <c r="GR50" i="44"/>
  <c r="GQ50" i="44"/>
  <c r="GP50" i="44"/>
  <c r="AR9" i="18"/>
  <c r="AV9" i="18" s="1"/>
  <c r="BJ9" i="18"/>
  <c r="BG9" i="18"/>
  <c r="AO9" i="18"/>
  <c r="AS9" i="18" s="1"/>
  <c r="BA9" i="18"/>
  <c r="BE9" i="18" s="1"/>
  <c r="BN9" i="18" s="1"/>
  <c r="BI9" i="18"/>
  <c r="AX9" i="18"/>
  <c r="BB9" i="18" s="1"/>
  <c r="BK9" i="18" s="1"/>
  <c r="BH9" i="18"/>
  <c r="AP9" i="18"/>
  <c r="AT9" i="18" s="1"/>
  <c r="DP99" i="44"/>
  <c r="GO99" i="44" s="1"/>
  <c r="DP99" i="41"/>
  <c r="GO99" i="41" s="1"/>
  <c r="DP99" i="43"/>
  <c r="GO99" i="43" s="1"/>
  <c r="V53" i="44"/>
  <c r="V53" i="41"/>
  <c r="DF27" i="41"/>
  <c r="HK27" i="41" s="1"/>
  <c r="DF27" i="45"/>
  <c r="HK27" i="45" s="1"/>
  <c r="DF27" i="43"/>
  <c r="HK27" i="43" s="1"/>
  <c r="DF27" i="44"/>
  <c r="HK27" i="44" s="1"/>
  <c r="D103" i="41"/>
  <c r="D103" i="44"/>
  <c r="D103" i="45"/>
  <c r="DC28" i="41"/>
  <c r="HH28" i="41" s="1"/>
  <c r="AZ34" i="45"/>
  <c r="AH34" i="43"/>
  <c r="J16" i="21"/>
  <c r="B39" i="25"/>
  <c r="CA26" i="44"/>
  <c r="Z45" i="41"/>
  <c r="Z45" i="44"/>
  <c r="AD44" i="12"/>
  <c r="V44" i="12"/>
  <c r="Z44" i="12"/>
  <c r="GU60" i="44" s="1"/>
  <c r="T44" i="12"/>
  <c r="GO60" i="44" s="1"/>
  <c r="AA44" i="12"/>
  <c r="Y44" i="12"/>
  <c r="GS44" i="12"/>
  <c r="GU44" i="12" s="1"/>
  <c r="I78" i="43"/>
  <c r="I78" i="41"/>
  <c r="DU112" i="41"/>
  <c r="GT112" i="41" s="1"/>
  <c r="DU112" i="45"/>
  <c r="GT112" i="45" s="1"/>
  <c r="DU112" i="44"/>
  <c r="GT112" i="44" s="1"/>
  <c r="BJ20" i="32"/>
  <c r="AO36" i="32" s="1"/>
  <c r="AM54" i="32" s="1"/>
  <c r="G213" i="12"/>
  <c r="E213" i="12"/>
  <c r="H213" i="12"/>
  <c r="BZ29" i="41"/>
  <c r="BZ29" i="43"/>
  <c r="M29" i="43"/>
  <c r="GZ29" i="45"/>
  <c r="CR29" i="45"/>
  <c r="M29" i="41"/>
  <c r="BG29" i="43"/>
  <c r="AO29" i="44"/>
  <c r="BG29" i="41"/>
  <c r="BG29" i="45"/>
  <c r="DG44" i="41"/>
  <c r="HL44" i="41" s="1"/>
  <c r="DG44" i="43"/>
  <c r="HL44" i="43" s="1"/>
  <c r="DG44" i="45"/>
  <c r="HL44" i="45" s="1"/>
  <c r="BH23" i="45"/>
  <c r="AP23" i="45"/>
  <c r="F235" i="12"/>
  <c r="E235" i="12"/>
  <c r="R10" i="27"/>
  <c r="AD10" i="27"/>
  <c r="CZ34" i="43"/>
  <c r="HE34" i="43" s="1"/>
  <c r="CZ34" i="45"/>
  <c r="HE34" i="45" s="1"/>
  <c r="CZ34" i="41"/>
  <c r="HE34" i="41" s="1"/>
  <c r="CZ34" i="44"/>
  <c r="HE34" i="44" s="1"/>
  <c r="AP57" i="43"/>
  <c r="U21" i="41"/>
  <c r="U21" i="43"/>
  <c r="U21" i="44"/>
  <c r="DS110" i="41"/>
  <c r="GR110" i="41" s="1"/>
  <c r="DS110" i="45"/>
  <c r="GR110" i="45" s="1"/>
  <c r="DS110" i="44"/>
  <c r="GR110" i="44" s="1"/>
  <c r="B132" i="45"/>
  <c r="B65" i="45"/>
  <c r="U23" i="45"/>
  <c r="U23" i="43"/>
  <c r="BC39" i="45"/>
  <c r="CN39" i="45"/>
  <c r="CN39" i="41"/>
  <c r="CN39" i="43"/>
  <c r="BV39" i="41"/>
  <c r="BC39" i="43"/>
  <c r="BV39" i="44"/>
  <c r="GX26" i="45"/>
  <c r="GW26" i="45"/>
  <c r="GU26" i="45"/>
  <c r="GV26" i="45"/>
  <c r="GR26" i="45"/>
  <c r="GQ26" i="45"/>
  <c r="GO26" i="45"/>
  <c r="DZ98" i="43"/>
  <c r="GY98" i="43" s="1"/>
  <c r="DZ98" i="41"/>
  <c r="GY98" i="41" s="1"/>
  <c r="DZ98" i="44"/>
  <c r="GY98" i="44" s="1"/>
  <c r="DZ98" i="45"/>
  <c r="GY98" i="45" s="1"/>
  <c r="F109" i="41"/>
  <c r="F109" i="45"/>
  <c r="F109" i="43"/>
  <c r="F109" i="44"/>
  <c r="DC54" i="43"/>
  <c r="HH54" i="43" s="1"/>
  <c r="DC54" i="44"/>
  <c r="HH54" i="44" s="1"/>
  <c r="DC54" i="45"/>
  <c r="HH54" i="45" s="1"/>
  <c r="DW77" i="45"/>
  <c r="DW77" i="43"/>
  <c r="DW77" i="41"/>
  <c r="F27" i="45"/>
  <c r="AH27" i="43"/>
  <c r="CK27" i="44"/>
  <c r="F27" i="41"/>
  <c r="AZ27" i="43"/>
  <c r="CK27" i="43"/>
  <c r="F27" i="43"/>
  <c r="AH27" i="44"/>
  <c r="BS27" i="44"/>
  <c r="AH27" i="45"/>
  <c r="CK27" i="45"/>
  <c r="CK27" i="41"/>
  <c r="BS27" i="45"/>
  <c r="F27" i="44"/>
  <c r="AZ27" i="44"/>
  <c r="AH27" i="41"/>
  <c r="AZ27" i="45"/>
  <c r="GS27" i="43"/>
  <c r="BS27" i="41"/>
  <c r="GS27" i="45"/>
  <c r="GU23" i="43"/>
  <c r="GW23" i="43"/>
  <c r="GS23" i="43"/>
  <c r="GQ23" i="43"/>
  <c r="GZ23" i="43"/>
  <c r="GY23" i="43"/>
  <c r="GR23" i="43"/>
  <c r="GT23" i="43"/>
  <c r="GV23" i="43"/>
  <c r="GX23" i="43"/>
  <c r="GP23" i="43"/>
  <c r="GT46" i="43"/>
  <c r="P82" i="18"/>
  <c r="C95" i="18" s="1"/>
  <c r="C49" i="28" s="1"/>
  <c r="DX83" i="41"/>
  <c r="GW83" i="41" s="1"/>
  <c r="DX83" i="44"/>
  <c r="GW83" i="44" s="1"/>
  <c r="DX83" i="45"/>
  <c r="GW83" i="45" s="1"/>
  <c r="DX83" i="43"/>
  <c r="GW83" i="43" s="1"/>
  <c r="DZ84" i="41"/>
  <c r="GY84" i="41" s="1"/>
  <c r="DZ84" i="45"/>
  <c r="GY84" i="45" s="1"/>
  <c r="DZ84" i="43"/>
  <c r="GY84" i="43" s="1"/>
  <c r="C34" i="32"/>
  <c r="D25" i="32"/>
  <c r="E25" i="32" s="1"/>
  <c r="C12" i="41" s="1"/>
  <c r="E12" i="41" s="1"/>
  <c r="B81" i="41"/>
  <c r="B81" i="43"/>
  <c r="B81" i="44"/>
  <c r="GX42" i="12"/>
  <c r="DZ99" i="44"/>
  <c r="GY99" i="44" s="1"/>
  <c r="DZ99" i="45"/>
  <c r="GY99" i="45" s="1"/>
  <c r="H102" i="41"/>
  <c r="H102" i="44"/>
  <c r="DT44" i="12"/>
  <c r="DM44" i="12"/>
  <c r="DS44" i="12"/>
  <c r="GV44" i="12"/>
  <c r="GX44" i="12" s="1"/>
  <c r="DN44" i="12"/>
  <c r="DU44" i="12"/>
  <c r="DQ44" i="12"/>
  <c r="DW44" i="12"/>
  <c r="G103" i="43"/>
  <c r="G103" i="41"/>
  <c r="B108" i="43"/>
  <c r="B108" i="45"/>
  <c r="B108" i="44"/>
  <c r="C80" i="41"/>
  <c r="C80" i="44"/>
  <c r="DE31" i="41"/>
  <c r="HJ31" i="41" s="1"/>
  <c r="DE31" i="45"/>
  <c r="HJ31" i="45" s="1"/>
  <c r="DE31" i="43"/>
  <c r="HJ31" i="43" s="1"/>
  <c r="Y4" i="12"/>
  <c r="T4" i="12"/>
  <c r="AF49" i="43"/>
  <c r="D49" i="45"/>
  <c r="GQ49" i="45"/>
  <c r="GQ49" i="44"/>
  <c r="I95" i="45"/>
  <c r="I95" i="44"/>
  <c r="B85" i="44"/>
  <c r="B85" i="43"/>
  <c r="B85" i="45"/>
  <c r="DV91" i="45"/>
  <c r="GU91" i="45" s="1"/>
  <c r="DV91" i="41"/>
  <c r="GU91" i="41" s="1"/>
  <c r="DV91" i="44"/>
  <c r="GU91" i="44" s="1"/>
  <c r="H88" i="44"/>
  <c r="H88" i="45"/>
  <c r="DD60" i="44"/>
  <c r="HI60" i="44" s="1"/>
  <c r="DD60" i="45"/>
  <c r="HI60" i="45" s="1"/>
  <c r="DD60" i="41"/>
  <c r="HI60" i="41" s="1"/>
  <c r="CZ49" i="43"/>
  <c r="HE49" i="43" s="1"/>
  <c r="CZ49" i="45"/>
  <c r="HE49" i="45" s="1"/>
  <c r="CZ49" i="44"/>
  <c r="HE49" i="44" s="1"/>
  <c r="CQ26" i="45"/>
  <c r="L26" i="44"/>
  <c r="AN26" i="43"/>
  <c r="CQ26" i="44"/>
  <c r="BF26" i="44"/>
  <c r="CQ26" i="41"/>
  <c r="BY26" i="41"/>
  <c r="BY26" i="44"/>
  <c r="B47" i="44"/>
  <c r="BO47" i="45"/>
  <c r="CA47" i="45" s="1"/>
  <c r="CG47" i="45"/>
  <c r="CS47" i="45" s="1"/>
  <c r="BO47" i="44"/>
  <c r="AD47" i="41"/>
  <c r="AP47" i="41" s="1"/>
  <c r="BO47" i="43"/>
  <c r="CA47" i="43" s="1"/>
  <c r="AV47" i="44"/>
  <c r="AD47" i="45"/>
  <c r="AP47" i="45" s="1"/>
  <c r="AV47" i="41"/>
  <c r="BH47" i="41" s="1"/>
  <c r="GO47" i="44"/>
  <c r="P40" i="15"/>
  <c r="B33" i="15"/>
  <c r="B40" i="15"/>
  <c r="C40" i="15"/>
  <c r="L111" i="41"/>
  <c r="L111" i="44"/>
  <c r="L111" i="45"/>
  <c r="L111" i="43"/>
  <c r="AC42" i="12"/>
  <c r="GS42" i="12"/>
  <c r="GU42" i="12" s="1"/>
  <c r="T42" i="12"/>
  <c r="AA42" i="12"/>
  <c r="X42" i="12"/>
  <c r="AB42" i="12"/>
  <c r="AD42" i="12"/>
  <c r="Y42" i="12"/>
  <c r="Z42" i="12"/>
  <c r="V42" i="12"/>
  <c r="DO77" i="45"/>
  <c r="GN77" i="45" s="1"/>
  <c r="DO77" i="41"/>
  <c r="GN77" i="41" s="1"/>
  <c r="DO77" i="44"/>
  <c r="GN77" i="44" s="1"/>
  <c r="GZ49" i="45"/>
  <c r="GZ49" i="41"/>
  <c r="O89" i="35"/>
  <c r="S89" i="35" s="1"/>
  <c r="E102" i="35" s="1"/>
  <c r="Q93" i="35"/>
  <c r="O90" i="35"/>
  <c r="N98" i="35"/>
  <c r="N93" i="35"/>
  <c r="S93" i="35" s="1"/>
  <c r="E106" i="35" s="1"/>
  <c r="H106" i="35" s="1"/>
  <c r="L106" i="35" s="1"/>
  <c r="AP55" i="45"/>
  <c r="CS55" i="45"/>
  <c r="DE45" i="41"/>
  <c r="HJ45" i="41" s="1"/>
  <c r="DE45" i="45"/>
  <c r="HJ45" i="45" s="1"/>
  <c r="DR100" i="45"/>
  <c r="GQ100" i="45" s="1"/>
  <c r="DR100" i="43"/>
  <c r="GQ100" i="43" s="1"/>
  <c r="DR100" i="44"/>
  <c r="GQ100" i="44" s="1"/>
  <c r="K103" i="44"/>
  <c r="K103" i="43"/>
  <c r="DT99" i="41"/>
  <c r="GS99" i="41" s="1"/>
  <c r="DT99" i="43"/>
  <c r="GS99" i="43" s="1"/>
  <c r="DT99" i="44"/>
  <c r="GS99" i="44" s="1"/>
  <c r="L100" i="43"/>
  <c r="L100" i="44"/>
  <c r="L100" i="41"/>
  <c r="GR55" i="44"/>
  <c r="GV55" i="44"/>
  <c r="GS55" i="44"/>
  <c r="GQ55" i="44"/>
  <c r="GZ55" i="44"/>
  <c r="GO55" i="44"/>
  <c r="E114" i="43"/>
  <c r="E114" i="41"/>
  <c r="E114" i="44"/>
  <c r="FY39" i="12"/>
  <c r="GC39" i="12"/>
  <c r="FW39" i="12"/>
  <c r="GD39" i="12"/>
  <c r="FX39" i="12"/>
  <c r="GT40" i="12"/>
  <c r="GU40" i="12" s="1"/>
  <c r="AY40" i="12"/>
  <c r="BF40" i="12"/>
  <c r="BE40" i="12"/>
  <c r="AU40" i="12"/>
  <c r="AX40" i="12"/>
  <c r="DL28" i="12"/>
  <c r="DM28" i="12"/>
  <c r="DO28" i="12"/>
  <c r="DW28" i="12"/>
  <c r="DU28" i="12"/>
  <c r="DQ28" i="12"/>
  <c r="E79" i="41"/>
  <c r="E79" i="44"/>
  <c r="DW40" i="12"/>
  <c r="DV40" i="12"/>
  <c r="DL40" i="12"/>
  <c r="DS40" i="12"/>
  <c r="GV40" i="12"/>
  <c r="GX40" i="12" s="1"/>
  <c r="DU40" i="12"/>
  <c r="DR40" i="12"/>
  <c r="FY8" i="12"/>
  <c r="GE8" i="12"/>
  <c r="GB8" i="12"/>
  <c r="FW8" i="12"/>
  <c r="FX8" i="12"/>
  <c r="FU8" i="12"/>
  <c r="GA8" i="12"/>
  <c r="FV8" i="12"/>
  <c r="GC8" i="12"/>
  <c r="BP25" i="41"/>
  <c r="BP25" i="45"/>
  <c r="AE25" i="41"/>
  <c r="BP25" i="44"/>
  <c r="AE25" i="45"/>
  <c r="AW25" i="41"/>
  <c r="GP25" i="43"/>
  <c r="C25" i="44"/>
  <c r="AE25" i="44"/>
  <c r="BP25" i="43"/>
  <c r="DS30" i="12"/>
  <c r="DP30" i="12"/>
  <c r="DQ30" i="12"/>
  <c r="DL30" i="12"/>
  <c r="DN30" i="12"/>
  <c r="DU30" i="12"/>
  <c r="DV30" i="12"/>
  <c r="DO30" i="12"/>
  <c r="DR30" i="12"/>
  <c r="DF47" i="44"/>
  <c r="HK47" i="44" s="1"/>
  <c r="DF47" i="41"/>
  <c r="HK47" i="41" s="1"/>
  <c r="DF47" i="45"/>
  <c r="HK47" i="45" s="1"/>
  <c r="G23" i="44"/>
  <c r="CL23" i="45"/>
  <c r="AI23" i="44"/>
  <c r="BA23" i="44"/>
  <c r="BA23" i="43"/>
  <c r="BT23" i="44"/>
  <c r="AI23" i="45"/>
  <c r="GT23" i="41"/>
  <c r="G23" i="43"/>
  <c r="AI23" i="41"/>
  <c r="BA23" i="45"/>
  <c r="BA23" i="41"/>
  <c r="CL23" i="44"/>
  <c r="AI23" i="43"/>
  <c r="G23" i="45"/>
  <c r="CL23" i="43"/>
  <c r="BT23" i="43"/>
  <c r="BT23" i="45"/>
  <c r="DC38" i="41"/>
  <c r="HH38" i="41" s="1"/>
  <c r="DC38" i="44"/>
  <c r="HH38" i="44" s="1"/>
  <c r="DC38" i="45"/>
  <c r="HH38" i="45" s="1"/>
  <c r="S82" i="18"/>
  <c r="C98" i="18" s="1"/>
  <c r="C52" i="28" s="1"/>
  <c r="J101" i="41"/>
  <c r="J101" i="45"/>
  <c r="J101" i="44"/>
  <c r="L107" i="43"/>
  <c r="L107" i="41"/>
  <c r="L107" i="44"/>
  <c r="BE41" i="12"/>
  <c r="BD41" i="12"/>
  <c r="BC41" i="12"/>
  <c r="BA41" i="12"/>
  <c r="GT41" i="12"/>
  <c r="GU41" i="12" s="1"/>
  <c r="AW41" i="12"/>
  <c r="D112" i="45"/>
  <c r="D112" i="41"/>
  <c r="D112" i="44"/>
  <c r="DL6" i="12"/>
  <c r="DV6" i="12"/>
  <c r="DP6" i="12"/>
  <c r="DU6" i="12"/>
  <c r="DS6" i="12"/>
  <c r="DW6" i="12"/>
  <c r="DR6" i="12"/>
  <c r="DN6" i="12"/>
  <c r="GC40" i="12"/>
  <c r="GE40" i="12"/>
  <c r="FU40" i="12"/>
  <c r="FV40" i="12"/>
  <c r="FX40" i="12"/>
  <c r="FZ40" i="12"/>
  <c r="FY40" i="12"/>
  <c r="Z33" i="12"/>
  <c r="GS33" i="12"/>
  <c r="GU33" i="12" s="1"/>
  <c r="AA33" i="12"/>
  <c r="AC33" i="12"/>
  <c r="X33" i="12"/>
  <c r="BS49" i="43" s="1"/>
  <c r="AD33" i="12"/>
  <c r="T33" i="12"/>
  <c r="W49" i="45"/>
  <c r="W49" i="44"/>
  <c r="W49" i="43"/>
  <c r="O24" i="44"/>
  <c r="O24" i="45"/>
  <c r="DI24" i="45" s="1"/>
  <c r="O24" i="43"/>
  <c r="DI24" i="43" s="1"/>
  <c r="DH36" i="41"/>
  <c r="HM36" i="41" s="1"/>
  <c r="DH36" i="44"/>
  <c r="HM36" i="44" s="1"/>
  <c r="DH36" i="43"/>
  <c r="HM36" i="43" s="1"/>
  <c r="EA118" i="41"/>
  <c r="B166" i="41" s="1"/>
  <c r="GZ24" i="44"/>
  <c r="GR34" i="44"/>
  <c r="AR20" i="18"/>
  <c r="AV20" i="18" s="1"/>
  <c r="AO20" i="18"/>
  <c r="AS20" i="18" s="1"/>
  <c r="K100" i="41"/>
  <c r="K100" i="43"/>
  <c r="G99" i="43"/>
  <c r="G99" i="44"/>
  <c r="GB36" i="12"/>
  <c r="FV36" i="12"/>
  <c r="FX36" i="12"/>
  <c r="FZ36" i="12"/>
  <c r="F100" i="41"/>
  <c r="F100" i="44"/>
  <c r="F100" i="43"/>
  <c r="S29" i="41"/>
  <c r="S29" i="44"/>
  <c r="DD47" i="41"/>
  <c r="HI47" i="41" s="1"/>
  <c r="DD47" i="43"/>
  <c r="HI47" i="43" s="1"/>
  <c r="CU61" i="44"/>
  <c r="H117" i="45"/>
  <c r="H117" i="41"/>
  <c r="H117" i="44"/>
  <c r="D93" i="41"/>
  <c r="D93" i="45"/>
  <c r="D93" i="43"/>
  <c r="GU59" i="45"/>
  <c r="CA23" i="43"/>
  <c r="CA27" i="44"/>
  <c r="BQ23" i="44"/>
  <c r="AX23" i="45"/>
  <c r="CI23" i="43"/>
  <c r="BQ23" i="43"/>
  <c r="CI23" i="45"/>
  <c r="D23" i="45"/>
  <c r="CI23" i="41"/>
  <c r="AF23" i="44"/>
  <c r="BQ23" i="45"/>
  <c r="GQ23" i="41"/>
  <c r="AX23" i="43"/>
  <c r="AF23" i="41"/>
  <c r="BQ23" i="41"/>
  <c r="AF23" i="45"/>
  <c r="D23" i="44"/>
  <c r="D23" i="43"/>
  <c r="CR24" i="41"/>
  <c r="CR24" i="43"/>
  <c r="BG24" i="45"/>
  <c r="M24" i="44"/>
  <c r="BZ24" i="45"/>
  <c r="AO24" i="44"/>
  <c r="BG24" i="41"/>
  <c r="BG24" i="43"/>
  <c r="CR24" i="45"/>
  <c r="BG24" i="44"/>
  <c r="CR24" i="44"/>
  <c r="M24" i="41"/>
  <c r="AO24" i="43"/>
  <c r="X23" i="12"/>
  <c r="AD23" i="12"/>
  <c r="AB23" i="12"/>
  <c r="AL39" i="43" s="1"/>
  <c r="Y23" i="12"/>
  <c r="T23" i="12"/>
  <c r="AC23" i="12"/>
  <c r="V23" i="12"/>
  <c r="GQ39" i="41" s="1"/>
  <c r="GS23" i="12"/>
  <c r="GU23" i="12" s="1"/>
  <c r="DQ92" i="43"/>
  <c r="GP92" i="43" s="1"/>
  <c r="DQ92" i="45"/>
  <c r="GP92" i="45" s="1"/>
  <c r="J26" i="45"/>
  <c r="DO24" i="12"/>
  <c r="DN24" i="12"/>
  <c r="DQ24" i="12"/>
  <c r="DL24" i="12"/>
  <c r="GV24" i="12"/>
  <c r="GX24" i="12" s="1"/>
  <c r="DR24" i="12"/>
  <c r="DS24" i="12"/>
  <c r="DY101" i="44"/>
  <c r="GX101" i="44" s="1"/>
  <c r="AH57" i="45"/>
  <c r="AH57" i="43"/>
  <c r="BS57" i="44"/>
  <c r="F57" i="43"/>
  <c r="DD36" i="43"/>
  <c r="HI36" i="43" s="1"/>
  <c r="DD36" i="44"/>
  <c r="HI36" i="44" s="1"/>
  <c r="DD36" i="45"/>
  <c r="HI36" i="45" s="1"/>
  <c r="DD36" i="41"/>
  <c r="HI36" i="41" s="1"/>
  <c r="AV27" i="41"/>
  <c r="BH27" i="41" s="1"/>
  <c r="AD27" i="43"/>
  <c r="B27" i="43"/>
  <c r="CS27" i="43" s="1"/>
  <c r="AV27" i="43"/>
  <c r="B27" i="44"/>
  <c r="CG27" i="41"/>
  <c r="CS27" i="41" s="1"/>
  <c r="AD27" i="44"/>
  <c r="AD27" i="41"/>
  <c r="AP27" i="41" s="1"/>
  <c r="CG27" i="45"/>
  <c r="CS27" i="45" s="1"/>
  <c r="AV27" i="45"/>
  <c r="BH27" i="45" s="1"/>
  <c r="BO27" i="45"/>
  <c r="CA27" i="45" s="1"/>
  <c r="AV27" i="44"/>
  <c r="BO27" i="41"/>
  <c r="CA27" i="41" s="1"/>
  <c r="BE26" i="44"/>
  <c r="CP26" i="44"/>
  <c r="BX26" i="43"/>
  <c r="BX26" i="41"/>
  <c r="CP26" i="45"/>
  <c r="K26" i="41"/>
  <c r="CP26" i="41"/>
  <c r="GX26" i="41"/>
  <c r="BE26" i="43"/>
  <c r="AM26" i="43"/>
  <c r="BE26" i="45"/>
  <c r="K26" i="44"/>
  <c r="AM26" i="41"/>
  <c r="BE26" i="41"/>
  <c r="ER131" i="44"/>
  <c r="EZ146" i="44" s="1"/>
  <c r="FW131" i="44"/>
  <c r="GE146" i="44" s="1"/>
  <c r="J146" i="44"/>
  <c r="GP50" i="45"/>
  <c r="GO50" i="45"/>
  <c r="DA37" i="45"/>
  <c r="HF37" i="45" s="1"/>
  <c r="DA37" i="41"/>
  <c r="HF37" i="41" s="1"/>
  <c r="DA37" i="44"/>
  <c r="HF37" i="44" s="1"/>
  <c r="BP39" i="43"/>
  <c r="AW39" i="43"/>
  <c r="BP39" i="45"/>
  <c r="C39" i="41"/>
  <c r="AE39" i="41"/>
  <c r="CH39" i="43"/>
  <c r="AW39" i="45"/>
  <c r="CM145" i="41"/>
  <c r="CG151" i="41" s="1"/>
  <c r="C164" i="41" s="1"/>
  <c r="CS27" i="44"/>
  <c r="DA36" i="43"/>
  <c r="HF36" i="43" s="1"/>
  <c r="DA36" i="44"/>
  <c r="HF36" i="44" s="1"/>
  <c r="U20" i="41"/>
  <c r="U20" i="45"/>
  <c r="Y24" i="41"/>
  <c r="Y24" i="45"/>
  <c r="Y24" i="43"/>
  <c r="Y24" i="44"/>
  <c r="V22" i="44"/>
  <c r="V22" i="41"/>
  <c r="V22" i="45"/>
  <c r="V22" i="43"/>
  <c r="CX131" i="41"/>
  <c r="DF146" i="41" s="1"/>
  <c r="AV131" i="41"/>
  <c r="BD146" i="41" s="1"/>
  <c r="D71" i="41"/>
  <c r="DO131" i="41"/>
  <c r="DW146" i="41" s="1"/>
  <c r="AD131" i="41"/>
  <c r="AL146" i="41" s="1"/>
  <c r="AM59" i="32"/>
  <c r="B131" i="41"/>
  <c r="CG131" i="41"/>
  <c r="CO146" i="41" s="1"/>
  <c r="Y47" i="45"/>
  <c r="Y47" i="44"/>
  <c r="Y47" i="41"/>
  <c r="CY58" i="41"/>
  <c r="HD58" i="41" s="1"/>
  <c r="CY58" i="43"/>
  <c r="HD58" i="43" s="1"/>
  <c r="CY58" i="44"/>
  <c r="HD58" i="44" s="1"/>
  <c r="CY58" i="45"/>
  <c r="HD58" i="45" s="1"/>
  <c r="W44" i="45"/>
  <c r="W44" i="41"/>
  <c r="GO59" i="45"/>
  <c r="GY59" i="45"/>
  <c r="GT59" i="45"/>
  <c r="DW36" i="12"/>
  <c r="GV36" i="12"/>
  <c r="DO36" i="12"/>
  <c r="AP27" i="45"/>
  <c r="DA36" i="45"/>
  <c r="HF36" i="45" s="1"/>
  <c r="AE47" i="41"/>
  <c r="CH47" i="41"/>
  <c r="AW47" i="41"/>
  <c r="CH47" i="45"/>
  <c r="AE47" i="43"/>
  <c r="BP47" i="41"/>
  <c r="AW47" i="45"/>
  <c r="BP47" i="44"/>
  <c r="C47" i="45"/>
  <c r="CH47" i="44"/>
  <c r="C47" i="41"/>
  <c r="BP47" i="45"/>
  <c r="AE47" i="45"/>
  <c r="C47" i="44"/>
  <c r="L55" i="41"/>
  <c r="CQ55" i="44"/>
  <c r="BF55" i="45"/>
  <c r="BF55" i="41"/>
  <c r="L55" i="43"/>
  <c r="L55" i="45"/>
  <c r="BY55" i="41"/>
  <c r="AN55" i="43"/>
  <c r="BY55" i="44"/>
  <c r="CQ55" i="45"/>
  <c r="BF55" i="44"/>
  <c r="BY55" i="45"/>
  <c r="BF55" i="43"/>
  <c r="L55" i="44"/>
  <c r="AN55" i="44"/>
  <c r="BT55" i="45"/>
  <c r="AI55" i="44"/>
  <c r="G55" i="44"/>
  <c r="BT55" i="44"/>
  <c r="AI55" i="41"/>
  <c r="BA55" i="44"/>
  <c r="G55" i="43"/>
  <c r="CL55" i="41"/>
  <c r="BA55" i="45"/>
  <c r="BA55" i="41"/>
  <c r="CL55" i="43"/>
  <c r="AI55" i="45"/>
  <c r="CL55" i="44"/>
  <c r="BT55" i="41"/>
  <c r="BA55" i="43"/>
  <c r="HB42" i="44"/>
  <c r="DI42" i="44"/>
  <c r="U8" i="12"/>
  <c r="GS8" i="12"/>
  <c r="W8" i="12"/>
  <c r="AB8" i="12"/>
  <c r="T8" i="12"/>
  <c r="AA8" i="12"/>
  <c r="AC8" i="12"/>
  <c r="X8" i="12"/>
  <c r="V8" i="12"/>
  <c r="AJ50" i="44"/>
  <c r="CM50" i="43"/>
  <c r="H50" i="44"/>
  <c r="AJ50" i="43"/>
  <c r="BB50" i="45"/>
  <c r="BU50" i="43"/>
  <c r="CM50" i="45"/>
  <c r="AJ50" i="45"/>
  <c r="H50" i="43"/>
  <c r="BB50" i="44"/>
  <c r="H50" i="41"/>
  <c r="BU50" i="44"/>
  <c r="BU50" i="41"/>
  <c r="CM50" i="44"/>
  <c r="CM50" i="41"/>
  <c r="AJ50" i="41"/>
  <c r="H50" i="45"/>
  <c r="BU50" i="45"/>
  <c r="AL29" i="41"/>
  <c r="BW29" i="45"/>
  <c r="BW29" i="44"/>
  <c r="AL29" i="44"/>
  <c r="J29" i="43"/>
  <c r="CO29" i="41"/>
  <c r="J29" i="44"/>
  <c r="BW29" i="43"/>
  <c r="BW29" i="41"/>
  <c r="J29" i="45"/>
  <c r="CO29" i="43"/>
  <c r="BD29" i="43"/>
  <c r="BD29" i="45"/>
  <c r="AL29" i="45"/>
  <c r="DR78" i="44"/>
  <c r="DR78" i="45"/>
  <c r="DR78" i="43"/>
  <c r="DR78" i="41"/>
  <c r="H202" i="12"/>
  <c r="G202" i="12"/>
  <c r="F202" i="12"/>
  <c r="GC26" i="12"/>
  <c r="FW26" i="12"/>
  <c r="GC145" i="41"/>
  <c r="FW151" i="41" s="1"/>
  <c r="BV23" i="44"/>
  <c r="BC23" i="43"/>
  <c r="CN23" i="43"/>
  <c r="I23" i="43"/>
  <c r="AK23" i="41"/>
  <c r="AK23" i="45"/>
  <c r="BP27" i="41"/>
  <c r="AE27" i="44"/>
  <c r="CH27" i="43"/>
  <c r="AW27" i="45"/>
  <c r="C27" i="43"/>
  <c r="BP27" i="45"/>
  <c r="AE27" i="43"/>
  <c r="AE27" i="45"/>
  <c r="CH27" i="44"/>
  <c r="DG48" i="41"/>
  <c r="HL48" i="41" s="1"/>
  <c r="DG48" i="45"/>
  <c r="HL48" i="45" s="1"/>
  <c r="DG48" i="44"/>
  <c r="HL48" i="44" s="1"/>
  <c r="DQ43" i="12"/>
  <c r="GV43" i="12"/>
  <c r="GX43" i="12" s="1"/>
  <c r="DN43" i="12"/>
  <c r="DR43" i="12"/>
  <c r="DU43" i="12"/>
  <c r="DO43" i="12"/>
  <c r="DV43" i="12"/>
  <c r="DS43" i="12"/>
  <c r="DZ82" i="43"/>
  <c r="GY82" i="43" s="1"/>
  <c r="DZ82" i="44"/>
  <c r="GY82" i="44" s="1"/>
  <c r="DZ82" i="41"/>
  <c r="GY82" i="41" s="1"/>
  <c r="DZ82" i="45"/>
  <c r="GY82" i="45" s="1"/>
  <c r="FY6" i="12"/>
  <c r="GI33" i="41"/>
  <c r="B172" i="41" s="1"/>
  <c r="BX27" i="41"/>
  <c r="AM27" i="44"/>
  <c r="CP27" i="43"/>
  <c r="BE27" i="45"/>
  <c r="K27" i="43"/>
  <c r="BX27" i="45"/>
  <c r="AM27" i="43"/>
  <c r="K27" i="45"/>
  <c r="CP27" i="44"/>
  <c r="S92" i="35"/>
  <c r="E105" i="35" s="1"/>
  <c r="DH56" i="45"/>
  <c r="HM56" i="45" s="1"/>
  <c r="DH56" i="44"/>
  <c r="HM56" i="44" s="1"/>
  <c r="CO33" i="44"/>
  <c r="BW33" i="43"/>
  <c r="CO33" i="41"/>
  <c r="AL33" i="44"/>
  <c r="J33" i="45"/>
  <c r="CO33" i="45"/>
  <c r="BD33" i="45"/>
  <c r="BW33" i="44"/>
  <c r="BW33" i="41"/>
  <c r="J33" i="44"/>
  <c r="AJ27" i="45"/>
  <c r="BU27" i="45"/>
  <c r="BB27" i="45"/>
  <c r="CM27" i="45"/>
  <c r="BU27" i="44"/>
  <c r="BU27" i="41"/>
  <c r="CM27" i="44"/>
  <c r="H27" i="43"/>
  <c r="S90" i="35"/>
  <c r="F194" i="12"/>
  <c r="G194" i="12"/>
  <c r="E194" i="12"/>
  <c r="CX48" i="44"/>
  <c r="HC48" i="44" s="1"/>
  <c r="CX48" i="43"/>
  <c r="HC48" i="43" s="1"/>
  <c r="CX48" i="45"/>
  <c r="HC48" i="45" s="1"/>
  <c r="CX48" i="41"/>
  <c r="HC48" i="41" s="1"/>
  <c r="CX51" i="44"/>
  <c r="HC51" i="44" s="1"/>
  <c r="CX51" i="43"/>
  <c r="HC51" i="43" s="1"/>
  <c r="DR82" i="44"/>
  <c r="GQ82" i="44" s="1"/>
  <c r="DR82" i="41"/>
  <c r="GQ82" i="41" s="1"/>
  <c r="DR82" i="43"/>
  <c r="GQ82" i="43" s="1"/>
  <c r="DR82" i="45"/>
  <c r="GQ82" i="45" s="1"/>
  <c r="BC23" i="44"/>
  <c r="BE27" i="41"/>
  <c r="AG23" i="45"/>
  <c r="BR23" i="45"/>
  <c r="AG23" i="43"/>
  <c r="BR23" i="41"/>
  <c r="E23" i="44"/>
  <c r="CJ23" i="44"/>
  <c r="AY23" i="41"/>
  <c r="AG23" i="44"/>
  <c r="CJ23" i="41"/>
  <c r="CJ23" i="45"/>
  <c r="E23" i="41"/>
  <c r="CJ23" i="43"/>
  <c r="AY23" i="43"/>
  <c r="DG31" i="45"/>
  <c r="HL31" i="45" s="1"/>
  <c r="D27" i="45"/>
  <c r="BQ27" i="45"/>
  <c r="AF27" i="45"/>
  <c r="CI27" i="45"/>
  <c r="BQ27" i="44"/>
  <c r="CI27" i="41"/>
  <c r="CI27" i="44"/>
  <c r="D27" i="43"/>
  <c r="BC55" i="45"/>
  <c r="AK55" i="45"/>
  <c r="CN55" i="45"/>
  <c r="BV55" i="45"/>
  <c r="I55" i="41"/>
  <c r="AK55" i="44"/>
  <c r="I55" i="44"/>
  <c r="BV55" i="41"/>
  <c r="BV55" i="43"/>
  <c r="H55" i="41"/>
  <c r="BB55" i="44"/>
  <c r="CM55" i="43"/>
  <c r="AJ55" i="41"/>
  <c r="CM55" i="44"/>
  <c r="H55" i="44"/>
  <c r="BB55" i="41"/>
  <c r="H55" i="43"/>
  <c r="H55" i="45"/>
  <c r="CM55" i="45"/>
  <c r="AJ55" i="43"/>
  <c r="AL33" i="41"/>
  <c r="CZ38" i="41"/>
  <c r="HE38" i="41" s="1"/>
  <c r="CZ38" i="45"/>
  <c r="HE38" i="45" s="1"/>
  <c r="CZ48" i="44"/>
  <c r="HE48" i="44" s="1"/>
  <c r="CZ48" i="43"/>
  <c r="HE48" i="43" s="1"/>
  <c r="CZ48" i="41"/>
  <c r="HE48" i="41" s="1"/>
  <c r="N37" i="12"/>
  <c r="Q37" i="12" s="1"/>
  <c r="D200" i="12"/>
  <c r="DZ85" i="43"/>
  <c r="GY85" i="43" s="1"/>
  <c r="DZ85" i="45"/>
  <c r="GY85" i="45" s="1"/>
  <c r="DZ85" i="41"/>
  <c r="GY85" i="41" s="1"/>
  <c r="X21" i="43"/>
  <c r="X21" i="44"/>
  <c r="X21" i="45"/>
  <c r="DS93" i="43"/>
  <c r="GR93" i="43" s="1"/>
  <c r="DS93" i="41"/>
  <c r="GR93" i="41" s="1"/>
  <c r="Y29" i="44"/>
  <c r="Y29" i="45"/>
  <c r="Y29" i="41"/>
  <c r="DV83" i="43"/>
  <c r="GU83" i="43" s="1"/>
  <c r="DV83" i="45"/>
  <c r="GU83" i="45" s="1"/>
  <c r="DV83" i="41"/>
  <c r="GU83" i="41" s="1"/>
  <c r="G33" i="41"/>
  <c r="G33" i="45"/>
  <c r="BT33" i="43"/>
  <c r="AI33" i="41"/>
  <c r="CL33" i="43"/>
  <c r="BT33" i="41"/>
  <c r="G33" i="43"/>
  <c r="AI33" i="44"/>
  <c r="BA33" i="44"/>
  <c r="BA33" i="43"/>
  <c r="BT33" i="44"/>
  <c r="CL33" i="44"/>
  <c r="CL33" i="41"/>
  <c r="CL33" i="45"/>
  <c r="EP15" i="12"/>
  <c r="EF15" i="12"/>
  <c r="GW15" i="12"/>
  <c r="DO11" i="12"/>
  <c r="GV11" i="12"/>
  <c r="GX11" i="12" s="1"/>
  <c r="DP11" i="12"/>
  <c r="DQ11" i="12"/>
  <c r="S42" i="44"/>
  <c r="S42" i="41"/>
  <c r="S42" i="45"/>
  <c r="R23" i="41"/>
  <c r="R23" i="43"/>
  <c r="R23" i="44"/>
  <c r="L50" i="44"/>
  <c r="CQ50" i="45"/>
  <c r="AN50" i="44"/>
  <c r="L50" i="41"/>
  <c r="CQ50" i="43"/>
  <c r="L50" i="45"/>
  <c r="AN50" i="43"/>
  <c r="AN50" i="45"/>
  <c r="AN50" i="41"/>
  <c r="I50" i="41"/>
  <c r="AK50" i="43"/>
  <c r="AK50" i="41"/>
  <c r="CN50" i="43"/>
  <c r="BV50" i="43"/>
  <c r="AK50" i="44"/>
  <c r="CN50" i="44"/>
  <c r="BV50" i="41"/>
  <c r="BC50" i="44"/>
  <c r="CN50" i="41"/>
  <c r="I50" i="43"/>
  <c r="I50" i="45"/>
  <c r="CN50" i="45"/>
  <c r="BE33" i="44"/>
  <c r="BX33" i="45"/>
  <c r="BX33" i="44"/>
  <c r="CP33" i="45"/>
  <c r="AM33" i="41"/>
  <c r="CP33" i="43"/>
  <c r="BX33" i="41"/>
  <c r="BE33" i="45"/>
  <c r="CP33" i="41"/>
  <c r="K33" i="44"/>
  <c r="K33" i="41"/>
  <c r="AM33" i="44"/>
  <c r="DL33" i="12"/>
  <c r="DW33" i="12"/>
  <c r="DO33" i="12"/>
  <c r="DM33" i="12"/>
  <c r="DS33" i="12"/>
  <c r="DT33" i="12"/>
  <c r="DR33" i="12"/>
  <c r="GV33" i="12"/>
  <c r="GX33" i="12" s="1"/>
  <c r="DQ33" i="12"/>
  <c r="EI22" i="12"/>
  <c r="DA38" i="43" s="1"/>
  <c r="HF38" i="43" s="1"/>
  <c r="EN22" i="12"/>
  <c r="EJ22" i="12"/>
  <c r="EF22" i="12"/>
  <c r="CX38" i="43" s="1"/>
  <c r="HC38" i="43" s="1"/>
  <c r="EP22" i="12"/>
  <c r="EO22" i="12"/>
  <c r="EG22" i="12"/>
  <c r="EE22" i="12"/>
  <c r="EM22" i="12"/>
  <c r="B84" i="44"/>
  <c r="B84" i="43"/>
  <c r="B84" i="41"/>
  <c r="DE41" i="41"/>
  <c r="HJ41" i="41" s="1"/>
  <c r="DE41" i="43"/>
  <c r="HJ41" i="43" s="1"/>
  <c r="DW108" i="41"/>
  <c r="GV108" i="41" s="1"/>
  <c r="DW108" i="44"/>
  <c r="GV108" i="44" s="1"/>
  <c r="DW108" i="45"/>
  <c r="GV108" i="45" s="1"/>
  <c r="DW108" i="43"/>
  <c r="GV108" i="43" s="1"/>
  <c r="S24" i="43"/>
  <c r="S24" i="44"/>
  <c r="DJ25" i="43"/>
  <c r="DJ25" i="45"/>
  <c r="S38" i="45"/>
  <c r="S38" i="43"/>
  <c r="S38" i="44"/>
  <c r="F92" i="45"/>
  <c r="F92" i="44"/>
  <c r="F92" i="43"/>
  <c r="BF59" i="43"/>
  <c r="L59" i="41"/>
  <c r="BF59" i="41"/>
  <c r="BY59" i="41"/>
  <c r="GY59" i="41"/>
  <c r="BF59" i="44"/>
  <c r="BY59" i="44"/>
  <c r="AN59" i="44"/>
  <c r="AN59" i="43"/>
  <c r="DT7" i="12"/>
  <c r="DO7" i="12"/>
  <c r="DN7" i="12"/>
  <c r="DS7" i="12"/>
  <c r="DR7" i="12"/>
  <c r="GV7" i="12"/>
  <c r="GX7" i="12" s="1"/>
  <c r="DH42" i="44"/>
  <c r="HM42" i="44" s="1"/>
  <c r="DH42" i="41"/>
  <c r="HM42" i="41" s="1"/>
  <c r="DH42" i="43"/>
  <c r="HM42" i="43" s="1"/>
  <c r="DH42" i="45"/>
  <c r="HM42" i="45" s="1"/>
  <c r="P59" i="43"/>
  <c r="P59" i="45"/>
  <c r="W17" i="12"/>
  <c r="AG33" i="43" s="1"/>
  <c r="V17" i="12"/>
  <c r="X17" i="12"/>
  <c r="Z17" i="12"/>
  <c r="AJ33" i="43" s="1"/>
  <c r="U17" i="12"/>
  <c r="AE33" i="45" s="1"/>
  <c r="T17" i="12"/>
  <c r="AD33" i="43" s="1"/>
  <c r="AA17" i="12"/>
  <c r="GV33" i="43" s="1"/>
  <c r="AD17" i="12"/>
  <c r="AN33" i="45" s="1"/>
  <c r="AE17" i="12"/>
  <c r="AO33" i="43" s="1"/>
  <c r="D59" i="44"/>
  <c r="D59" i="45"/>
  <c r="BQ59" i="45"/>
  <c r="AF59" i="45"/>
  <c r="CI59" i="45"/>
  <c r="CI59" i="41"/>
  <c r="GQ59" i="41"/>
  <c r="AF59" i="43"/>
  <c r="AX6" i="12"/>
  <c r="BF6" i="12"/>
  <c r="AY6" i="12"/>
  <c r="GT6" i="12"/>
  <c r="GU6" i="12" s="1"/>
  <c r="AU6" i="12"/>
  <c r="H77" i="41"/>
  <c r="H77" i="43"/>
  <c r="L47" i="25"/>
  <c r="G90" i="41"/>
  <c r="G90" i="44"/>
  <c r="G90" i="43"/>
  <c r="G90" i="45"/>
  <c r="DW116" i="41"/>
  <c r="GV116" i="41" s="1"/>
  <c r="DW116" i="44"/>
  <c r="GV116" i="44" s="1"/>
  <c r="DW116" i="43"/>
  <c r="GV116" i="43" s="1"/>
  <c r="AL50" i="41"/>
  <c r="CO50" i="43"/>
  <c r="J50" i="44"/>
  <c r="CO50" i="41"/>
  <c r="J50" i="45"/>
  <c r="G59" i="41"/>
  <c r="CL59" i="44"/>
  <c r="BT59" i="43"/>
  <c r="EM40" i="12"/>
  <c r="EI40" i="12"/>
  <c r="EF40" i="12"/>
  <c r="EJ40" i="12"/>
  <c r="EO40" i="12"/>
  <c r="EE40" i="12"/>
  <c r="EL40" i="12"/>
  <c r="EP24" i="12"/>
  <c r="EF24" i="12"/>
  <c r="EK24" i="12"/>
  <c r="EO24" i="12"/>
  <c r="EL24" i="12"/>
  <c r="EE24" i="12"/>
  <c r="EJ24" i="12"/>
  <c r="EI24" i="12"/>
  <c r="EH24" i="12"/>
  <c r="CX23" i="45"/>
  <c r="HC23" i="45" s="1"/>
  <c r="CX23" i="43"/>
  <c r="HC23" i="43" s="1"/>
  <c r="EF23" i="12"/>
  <c r="EP23" i="12"/>
  <c r="EO23" i="12"/>
  <c r="EH23" i="12"/>
  <c r="EG23" i="12"/>
  <c r="GW23" i="12"/>
  <c r="EM23" i="12"/>
  <c r="EL23" i="12"/>
  <c r="DZ83" i="43"/>
  <c r="GY83" i="43" s="1"/>
  <c r="DZ83" i="44"/>
  <c r="GY83" i="44" s="1"/>
  <c r="X48" i="43"/>
  <c r="X48" i="41"/>
  <c r="P42" i="45"/>
  <c r="P42" i="44"/>
  <c r="GC14" i="45"/>
  <c r="GC14" i="41"/>
  <c r="GC14" i="44"/>
  <c r="F96" i="45"/>
  <c r="F96" i="43"/>
  <c r="E90" i="45"/>
  <c r="E90" i="41"/>
  <c r="DB58" i="41"/>
  <c r="HG58" i="41" s="1"/>
  <c r="DB58" i="45"/>
  <c r="HG58" i="45" s="1"/>
  <c r="DB58" i="43"/>
  <c r="HG58" i="43" s="1"/>
  <c r="GS33" i="45"/>
  <c r="D50" i="44"/>
  <c r="AX50" i="45"/>
  <c r="CI50" i="45"/>
  <c r="CI50" i="43"/>
  <c r="D50" i="41"/>
  <c r="BQ50" i="44"/>
  <c r="DH23" i="45"/>
  <c r="HM23" i="45" s="1"/>
  <c r="DH23" i="44"/>
  <c r="HM23" i="44" s="1"/>
  <c r="DH23" i="43"/>
  <c r="HM23" i="43" s="1"/>
  <c r="DH23" i="41"/>
  <c r="HM23" i="41" s="1"/>
  <c r="M90" i="45"/>
  <c r="M90" i="44"/>
  <c r="DY83" i="43"/>
  <c r="GX83" i="43" s="1"/>
  <c r="DY83" i="45"/>
  <c r="GX83" i="45" s="1"/>
  <c r="DT3" i="12"/>
  <c r="DM3" i="12"/>
  <c r="DN3" i="12"/>
  <c r="DS3" i="12"/>
  <c r="DO3" i="12"/>
  <c r="X58" i="44"/>
  <c r="X58" i="43"/>
  <c r="B86" i="45"/>
  <c r="B86" i="44"/>
  <c r="B86" i="43"/>
  <c r="B86" i="41"/>
  <c r="DM26" i="12"/>
  <c r="DW26" i="12"/>
  <c r="DO38" i="12"/>
  <c r="DP38" i="12"/>
  <c r="DS38" i="12"/>
  <c r="DT38" i="12"/>
  <c r="DW38" i="12"/>
  <c r="DQ38" i="12"/>
  <c r="DR38" i="12"/>
  <c r="GV38" i="12"/>
  <c r="GX38" i="12" s="1"/>
  <c r="DM38" i="12"/>
  <c r="DL38" i="12"/>
  <c r="CW23" i="44"/>
  <c r="CW23" i="43"/>
  <c r="U48" i="41"/>
  <c r="DE19" i="41"/>
  <c r="DE19" i="45"/>
  <c r="DE19" i="44"/>
  <c r="DE19" i="43"/>
  <c r="E180" i="12"/>
  <c r="G180" i="12"/>
  <c r="CX59" i="45"/>
  <c r="HC59" i="45" s="1"/>
  <c r="CX59" i="41"/>
  <c r="HC59" i="41" s="1"/>
  <c r="CX59" i="43"/>
  <c r="HC59" i="43" s="1"/>
  <c r="X47" i="45"/>
  <c r="X47" i="44"/>
  <c r="F83" i="41"/>
  <c r="F83" i="43"/>
  <c r="F83" i="44"/>
  <c r="F83" i="45"/>
  <c r="AU12" i="12"/>
  <c r="BE12" i="12"/>
  <c r="AZ12" i="12"/>
  <c r="AW12" i="12"/>
  <c r="BB12" i="12"/>
  <c r="BF12" i="12"/>
  <c r="AX12" i="12"/>
  <c r="GT12" i="12"/>
  <c r="GU12" i="12" s="1"/>
  <c r="AV12" i="12"/>
  <c r="BD12" i="12"/>
  <c r="BC12" i="12"/>
  <c r="AY12" i="12"/>
  <c r="CU19" i="41"/>
  <c r="CU61" i="41" s="1"/>
  <c r="CU19" i="43"/>
  <c r="E45" i="15"/>
  <c r="E47" i="15" s="1"/>
  <c r="J45" i="15"/>
  <c r="J47" i="15" s="1"/>
  <c r="J48" i="15" s="1"/>
  <c r="J49" i="15" s="1"/>
  <c r="C65" i="15" s="1"/>
  <c r="K45" i="15"/>
  <c r="K47" i="15" s="1"/>
  <c r="B47" i="15"/>
  <c r="I45" i="15"/>
  <c r="I47" i="15" s="1"/>
  <c r="L45" i="15"/>
  <c r="BZ8" i="18"/>
  <c r="GI12" i="45"/>
  <c r="GI12" i="43"/>
  <c r="GI33" i="43" s="1"/>
  <c r="B172" i="43" s="1"/>
  <c r="U7" i="18"/>
  <c r="U29" i="18" s="1"/>
  <c r="Q29" i="18"/>
  <c r="AM23" i="12"/>
  <c r="AN23" i="12" s="1"/>
  <c r="C186" i="12"/>
  <c r="E186" i="12" s="1"/>
  <c r="DI23" i="12"/>
  <c r="K83" i="44"/>
  <c r="K83" i="45"/>
  <c r="K83" i="43"/>
  <c r="B50" i="44"/>
  <c r="B50" i="43"/>
  <c r="CA50" i="43" s="1"/>
  <c r="N27" i="12"/>
  <c r="Q27" i="12" s="1"/>
  <c r="D190" i="12"/>
  <c r="E77" i="45"/>
  <c r="E77" i="44"/>
  <c r="E77" i="41"/>
  <c r="I88" i="41"/>
  <c r="I88" i="44"/>
  <c r="Z23" i="41"/>
  <c r="Z23" i="44"/>
  <c r="DA59" i="41"/>
  <c r="HF59" i="41" s="1"/>
  <c r="DA59" i="43"/>
  <c r="HF59" i="43" s="1"/>
  <c r="DA59" i="45"/>
  <c r="HF59" i="45" s="1"/>
  <c r="I111" i="44"/>
  <c r="I111" i="41"/>
  <c r="Y44" i="41"/>
  <c r="Y44" i="45"/>
  <c r="EP42" i="12"/>
  <c r="EF42" i="12"/>
  <c r="EM42" i="12"/>
  <c r="EE42" i="12"/>
  <c r="GW42" i="12"/>
  <c r="EL42" i="12"/>
  <c r="EH42" i="12"/>
  <c r="K102" i="45"/>
  <c r="K102" i="44"/>
  <c r="K102" i="41"/>
  <c r="C110" i="41"/>
  <c r="C110" i="43"/>
  <c r="C169" i="12"/>
  <c r="E169" i="12" s="1"/>
  <c r="AM6" i="12"/>
  <c r="AN6" i="12" s="1"/>
  <c r="B96" i="44"/>
  <c r="D168" i="44"/>
  <c r="X22" i="35" s="1"/>
  <c r="CX153" i="44"/>
  <c r="DE49" i="41"/>
  <c r="HJ49" i="41" s="1"/>
  <c r="DE49" i="45"/>
  <c r="HJ49" i="45" s="1"/>
  <c r="DE49" i="44"/>
  <c r="HJ49" i="44" s="1"/>
  <c r="DE49" i="43"/>
  <c r="HJ49" i="43" s="1"/>
  <c r="DW114" i="41"/>
  <c r="GV114" i="41" s="1"/>
  <c r="DW114" i="45"/>
  <c r="GV114" i="45" s="1"/>
  <c r="AZ8" i="12"/>
  <c r="GT8" i="12"/>
  <c r="C110" i="45"/>
  <c r="I88" i="45"/>
  <c r="I47" i="27"/>
  <c r="DL42" i="12"/>
  <c r="DM42" i="12"/>
  <c r="DQ42" i="12"/>
  <c r="DP42" i="12"/>
  <c r="DR42" i="12"/>
  <c r="DF59" i="41"/>
  <c r="HK59" i="41" s="1"/>
  <c r="DF59" i="45"/>
  <c r="HK59" i="45" s="1"/>
  <c r="EI42" i="12"/>
  <c r="EH7" i="12"/>
  <c r="EM7" i="12"/>
  <c r="EN7" i="12"/>
  <c r="EL7" i="12"/>
  <c r="EI7" i="12"/>
  <c r="EK7" i="12"/>
  <c r="GW38" i="12"/>
  <c r="EO38" i="12"/>
  <c r="EG38" i="12"/>
  <c r="DV114" i="44"/>
  <c r="GU114" i="44" s="1"/>
  <c r="DV114" i="41"/>
  <c r="GU114" i="41" s="1"/>
  <c r="DV114" i="45"/>
  <c r="GU114" i="45" s="1"/>
  <c r="I112" i="43"/>
  <c r="R40" i="43"/>
  <c r="CG152" i="41"/>
  <c r="D164" i="41" s="1"/>
  <c r="D18" i="35" s="1"/>
  <c r="F39" i="25"/>
  <c r="F52" i="25" s="1"/>
  <c r="D61" i="25" s="1"/>
  <c r="DS105" i="41"/>
  <c r="GR105" i="41" s="1"/>
  <c r="DS105" i="44"/>
  <c r="GR105" i="44" s="1"/>
  <c r="P39" i="45"/>
  <c r="P39" i="41"/>
  <c r="AU28" i="12"/>
  <c r="BB28" i="12"/>
  <c r="BD28" i="12"/>
  <c r="AX28" i="12"/>
  <c r="AW28" i="12"/>
  <c r="BA28" i="12"/>
  <c r="AX5" i="12"/>
  <c r="AZ5" i="12"/>
  <c r="AU5" i="12"/>
  <c r="AY5" i="12"/>
  <c r="AV5" i="12"/>
  <c r="DC5" i="12"/>
  <c r="M5" i="16" s="1"/>
  <c r="DF5" i="12" s="1"/>
  <c r="DI5" i="12" s="1"/>
  <c r="F5" i="16"/>
  <c r="X23" i="18"/>
  <c r="U23" i="18"/>
  <c r="L47" i="15"/>
  <c r="GH21" i="12"/>
  <c r="BI37" i="45" s="1"/>
  <c r="AM21" i="12"/>
  <c r="AN21" i="12" s="1"/>
  <c r="C184" i="12"/>
  <c r="GH12" i="12"/>
  <c r="C175" i="12"/>
  <c r="E175" i="12" s="1"/>
  <c r="GI16" i="45"/>
  <c r="BZ12" i="18"/>
  <c r="R29" i="18"/>
  <c r="I117" i="41"/>
  <c r="I117" i="45"/>
  <c r="CR13" i="12"/>
  <c r="FO13" i="12"/>
  <c r="BY7" i="18"/>
  <c r="GH11" i="41"/>
  <c r="GH33" i="41" s="1"/>
  <c r="B171" i="41" s="1"/>
  <c r="HG6" i="12"/>
  <c r="HF6" i="12"/>
  <c r="HF45" i="12" s="1"/>
  <c r="HC6" i="12"/>
  <c r="HA6" i="12"/>
  <c r="HA45" i="12" s="1"/>
  <c r="HB6" i="12"/>
  <c r="HB45" i="12" s="1"/>
  <c r="B124" i="44" s="1"/>
  <c r="GZ6" i="12"/>
  <c r="HE6" i="12"/>
  <c r="E88" i="43"/>
  <c r="E108" i="44"/>
  <c r="J79" i="44"/>
  <c r="CX19" i="44"/>
  <c r="CX19" i="45"/>
  <c r="EK3" i="12"/>
  <c r="EJ3" i="12"/>
  <c r="EH3" i="12"/>
  <c r="EL3" i="12"/>
  <c r="EI3" i="12"/>
  <c r="P38" i="45"/>
  <c r="P38" i="41"/>
  <c r="L76" i="41"/>
  <c r="L76" i="45"/>
  <c r="DU93" i="44"/>
  <c r="GT93" i="44" s="1"/>
  <c r="DU93" i="41"/>
  <c r="GT93" i="41" s="1"/>
  <c r="P30" i="15"/>
  <c r="P35" i="15" s="1"/>
  <c r="L29" i="13" s="1"/>
  <c r="L62" i="35" s="1"/>
  <c r="P62" i="35" s="1"/>
  <c r="AX21" i="18"/>
  <c r="BB21" i="18" s="1"/>
  <c r="BK21" i="18" s="1"/>
  <c r="AP21" i="18"/>
  <c r="AT21" i="18" s="1"/>
  <c r="AO21" i="18"/>
  <c r="AS21" i="18" s="1"/>
  <c r="FT20" i="12"/>
  <c r="GK14" i="12"/>
  <c r="CX19" i="41"/>
  <c r="EO3" i="12"/>
  <c r="FT3" i="12"/>
  <c r="FU3" i="12"/>
  <c r="FY3" i="12"/>
  <c r="GE9" i="45"/>
  <c r="GE9" i="41"/>
  <c r="F52" i="26"/>
  <c r="D61" i="26" s="1"/>
  <c r="F39" i="26"/>
  <c r="F94" i="45"/>
  <c r="F94" i="44"/>
  <c r="DW93" i="41"/>
  <c r="GV93" i="41" s="1"/>
  <c r="DW93" i="44"/>
  <c r="GV93" i="44" s="1"/>
  <c r="B29" i="15"/>
  <c r="B30" i="15" s="1"/>
  <c r="G35" i="15" s="1"/>
  <c r="B62" i="15" s="1"/>
  <c r="N27" i="15"/>
  <c r="N29" i="15" s="1"/>
  <c r="N30" i="15" s="1"/>
  <c r="U25" i="18"/>
  <c r="X25" i="18"/>
  <c r="V25" i="18"/>
  <c r="I90" i="41"/>
  <c r="I90" i="45"/>
  <c r="L104" i="45"/>
  <c r="DO13" i="12"/>
  <c r="DN13" i="12"/>
  <c r="DQ13" i="12"/>
  <c r="GV13" i="12"/>
  <c r="GX13" i="12" s="1"/>
  <c r="DW13" i="12"/>
  <c r="BB43" i="12"/>
  <c r="AW43" i="12"/>
  <c r="BG27" i="18"/>
  <c r="AP27" i="18"/>
  <c r="AT27" i="18" s="1"/>
  <c r="BA27" i="18"/>
  <c r="BE27" i="18" s="1"/>
  <c r="BN27" i="18" s="1"/>
  <c r="BH27" i="18"/>
  <c r="CP21" i="12"/>
  <c r="ER21" i="12"/>
  <c r="CQ21" i="12"/>
  <c r="O17" i="17"/>
  <c r="AE18" i="18" s="1"/>
  <c r="AN19" i="12"/>
  <c r="GC20" i="12"/>
  <c r="N35" i="12"/>
  <c r="Q35" i="12" s="1"/>
  <c r="Q32" i="12"/>
  <c r="D247" i="12"/>
  <c r="DY39" i="12"/>
  <c r="FM43" i="12"/>
  <c r="FZ43" i="12" s="1"/>
  <c r="CP43" i="12"/>
  <c r="AZ7" i="12"/>
  <c r="AY7" i="12"/>
  <c r="BE7" i="12"/>
  <c r="AW33" i="12"/>
  <c r="AU33" i="12"/>
  <c r="N3" i="12"/>
  <c r="Q3" i="12" s="1"/>
  <c r="D166" i="12"/>
  <c r="BI14" i="18"/>
  <c r="AP14" i="18"/>
  <c r="AT14" i="18" s="1"/>
  <c r="BH14" i="18"/>
  <c r="AX14" i="18"/>
  <c r="BB14" i="18" s="1"/>
  <c r="BK14" i="18" s="1"/>
  <c r="AQ14" i="18"/>
  <c r="AU14" i="18" s="1"/>
  <c r="DY17" i="12"/>
  <c r="D225" i="12"/>
  <c r="AR17" i="12"/>
  <c r="FH21" i="12"/>
  <c r="CK21" i="12"/>
  <c r="H233" i="12"/>
  <c r="FR33" i="12"/>
  <c r="GE33" i="12" s="1"/>
  <c r="CU33" i="12"/>
  <c r="BB7" i="12"/>
  <c r="AU37" i="12"/>
  <c r="O53" i="43" s="1"/>
  <c r="DI53" i="43" s="1"/>
  <c r="AY37" i="12"/>
  <c r="S53" i="43" s="1"/>
  <c r="E216" i="12"/>
  <c r="F216" i="12"/>
  <c r="DC21" i="12"/>
  <c r="M21" i="16" s="1"/>
  <c r="DF21" i="12" s="1"/>
  <c r="DI21" i="12" s="1"/>
  <c r="F21" i="16"/>
  <c r="AE5" i="33"/>
  <c r="AF5" i="33" s="1"/>
  <c r="ES3" i="44" s="1"/>
  <c r="GO3" i="44" s="1"/>
  <c r="O5" i="33"/>
  <c r="C3" i="44" s="1"/>
  <c r="EH3" i="44" s="1"/>
  <c r="FT9" i="12"/>
  <c r="AO12" i="18"/>
  <c r="AS12" i="18" s="1"/>
  <c r="BJ12" i="18"/>
  <c r="AZ12" i="18"/>
  <c r="BD12" i="18" s="1"/>
  <c r="BM12" i="18" s="1"/>
  <c r="CL28" i="12"/>
  <c r="C236" i="12"/>
  <c r="H236" i="12" s="1"/>
  <c r="CP28" i="12"/>
  <c r="GK28" i="12"/>
  <c r="CJ28" i="12"/>
  <c r="Q38" i="12"/>
  <c r="AP17" i="18"/>
  <c r="AT17" i="18" s="1"/>
  <c r="AY17" i="18"/>
  <c r="BC17" i="18" s="1"/>
  <c r="BL17" i="18" s="1"/>
  <c r="DC15" i="12"/>
  <c r="M15" i="16" s="1"/>
  <c r="DF15" i="12" s="1"/>
  <c r="DI15" i="12" s="1"/>
  <c r="F15" i="16"/>
  <c r="C219" i="12"/>
  <c r="H219" i="12" s="1"/>
  <c r="AR11" i="12"/>
  <c r="CL11" i="12"/>
  <c r="GB23" i="12"/>
  <c r="FH20" i="12"/>
  <c r="FU20" i="12" s="1"/>
  <c r="CK20" i="12"/>
  <c r="AT13" i="18"/>
  <c r="AV13" i="18"/>
  <c r="CK15" i="18"/>
  <c r="ER38" i="12"/>
  <c r="CN38" i="12"/>
  <c r="CL38" i="12"/>
  <c r="FI37" i="12"/>
  <c r="FV37" i="12" s="1"/>
  <c r="CL37" i="12"/>
  <c r="HH42" i="12"/>
  <c r="GZ42" i="12"/>
  <c r="HE42" i="12"/>
  <c r="AD15" i="18"/>
  <c r="O14" i="17" s="1"/>
  <c r="AE15" i="18" s="1"/>
  <c r="H14" i="17"/>
  <c r="I15" i="18" s="1"/>
  <c r="AD6" i="18"/>
  <c r="O5" i="17" s="1"/>
  <c r="AE6" i="18" s="1"/>
  <c r="H5" i="17"/>
  <c r="I6" i="18" s="1"/>
  <c r="T20" i="32"/>
  <c r="B12" i="45" s="1"/>
  <c r="E12" i="45" s="1"/>
  <c r="W28" i="18"/>
  <c r="W22" i="18"/>
  <c r="U22" i="18"/>
  <c r="V22" i="18"/>
  <c r="V29" i="18" s="1"/>
  <c r="X22" i="18"/>
  <c r="X15" i="18"/>
  <c r="X29" i="18" s="1"/>
  <c r="W15" i="18"/>
  <c r="CJ21" i="12"/>
  <c r="FI12" i="12"/>
  <c r="FV12" i="12" s="1"/>
  <c r="CL12" i="12"/>
  <c r="AN6" i="33"/>
  <c r="AO6" i="33" s="1"/>
  <c r="AP6" i="33" s="1"/>
  <c r="FV18" i="12"/>
  <c r="BW19" i="32"/>
  <c r="BX19" i="32"/>
  <c r="AZ19" i="32"/>
  <c r="AZ20" i="32" s="1"/>
  <c r="AL26" i="32" s="1"/>
  <c r="AS17" i="18"/>
  <c r="GE41" i="12"/>
  <c r="FU41" i="12"/>
  <c r="C204" i="12"/>
  <c r="E204" i="12" s="1"/>
  <c r="FW41" i="12"/>
  <c r="GK41" i="12"/>
  <c r="FV33" i="12"/>
  <c r="GK33" i="12"/>
  <c r="CL33" i="12"/>
  <c r="FW152" i="44"/>
  <c r="D170" i="44" s="1"/>
  <c r="BC24" i="12"/>
  <c r="BD24" i="12"/>
  <c r="X40" i="45" s="1"/>
  <c r="FW20" i="12"/>
  <c r="FH12" i="12"/>
  <c r="FU12" i="12" s="1"/>
  <c r="CK12" i="12"/>
  <c r="GB13" i="12"/>
  <c r="FX14" i="12"/>
  <c r="FT17" i="12"/>
  <c r="GK3" i="12"/>
  <c r="CK10" i="18"/>
  <c r="AK6" i="26"/>
  <c r="D244" i="12"/>
  <c r="AR36" i="12"/>
  <c r="DY36" i="12"/>
  <c r="CK28" i="12"/>
  <c r="BF42" i="12"/>
  <c r="BE23" i="12"/>
  <c r="BD23" i="12"/>
  <c r="E231" i="12"/>
  <c r="AY10" i="15"/>
  <c r="BB10" i="15" s="1"/>
  <c r="P15" i="13" s="1"/>
  <c r="P33" i="15" s="1"/>
  <c r="GH19" i="12"/>
  <c r="CB35" i="43" s="1"/>
  <c r="AM19" i="12"/>
  <c r="GH16" i="12"/>
  <c r="AM16" i="12"/>
  <c r="AN16" i="12" s="1"/>
  <c r="H25" i="17"/>
  <c r="I26" i="18" s="1"/>
  <c r="AD26" i="18"/>
  <c r="O25" i="17" s="1"/>
  <c r="AE26" i="18" s="1"/>
  <c r="GC23" i="12"/>
  <c r="FU23" i="12"/>
  <c r="FH19" i="12"/>
  <c r="FU19" i="12" s="1"/>
  <c r="CK19" i="12"/>
  <c r="AE3" i="33"/>
  <c r="AF3" i="33" s="1"/>
  <c r="ES3" i="41" s="1"/>
  <c r="GO3" i="41" s="1"/>
  <c r="O3" i="33"/>
  <c r="C3" i="41" s="1"/>
  <c r="EH3" i="41" s="1"/>
  <c r="O10" i="26"/>
  <c r="AD10" i="26" s="1"/>
  <c r="FI43" i="12"/>
  <c r="FV43" i="12" s="1"/>
  <c r="CL43" i="12"/>
  <c r="CQ43" i="12"/>
  <c r="FJ38" i="12"/>
  <c r="CM38" i="12"/>
  <c r="CR38" i="12"/>
  <c r="FO37" i="12"/>
  <c r="GB37" i="12" s="1"/>
  <c r="CR37" i="12"/>
  <c r="BQ29" i="18"/>
  <c r="E172" i="43" s="1"/>
  <c r="CM11" i="12"/>
  <c r="CS11" i="12"/>
  <c r="FP11" i="12"/>
  <c r="GC11" i="12" s="1"/>
  <c r="DF10" i="12"/>
  <c r="DI10" i="12" s="1"/>
  <c r="GK19" i="12"/>
  <c r="GK10" i="12"/>
  <c r="CQ10" i="12"/>
  <c r="B59" i="35"/>
  <c r="GE34" i="12"/>
  <c r="GH39" i="12"/>
  <c r="CS17" i="12"/>
  <c r="CL17" i="12"/>
  <c r="FI17" i="12"/>
  <c r="FV17" i="12" s="1"/>
  <c r="GC13" i="12"/>
  <c r="GP20" i="12"/>
  <c r="CK14" i="12"/>
  <c r="CP38" i="12"/>
  <c r="CQ36" i="12"/>
  <c r="CQ28" i="12"/>
  <c r="FN27" i="12"/>
  <c r="GA27" i="12" s="1"/>
  <c r="CQ27" i="12"/>
  <c r="BO153" i="44"/>
  <c r="C231" i="12"/>
  <c r="H231" i="12" s="1"/>
  <c r="GK23" i="12"/>
  <c r="CK3" i="12"/>
  <c r="FX18" i="12"/>
  <c r="FT21" i="12"/>
  <c r="GK21" i="12"/>
  <c r="GP5" i="12"/>
  <c r="GE38" i="12"/>
  <c r="ER24" i="12"/>
  <c r="GE24" i="12" s="1"/>
  <c r="CP24" i="12"/>
  <c r="GH42" i="12"/>
  <c r="GH17" i="12"/>
  <c r="CM13" i="12"/>
  <c r="FT5" i="12"/>
  <c r="GA12" i="12"/>
  <c r="FY20" i="12"/>
  <c r="FU21" i="12"/>
  <c r="GK15" i="12"/>
  <c r="AH20" i="32"/>
  <c r="ER34" i="12"/>
  <c r="CK34" i="12"/>
  <c r="CR34" i="12"/>
  <c r="CJ34" i="12"/>
  <c r="CS28" i="12"/>
  <c r="CN24" i="12"/>
  <c r="GH28" i="12"/>
  <c r="FW152" i="41"/>
  <c r="GJ30" i="43"/>
  <c r="GJ33" i="43" s="1"/>
  <c r="G173" i="43" s="1"/>
  <c r="Q27" i="35" s="1"/>
  <c r="DO153" i="44"/>
  <c r="GC17" i="12"/>
  <c r="AW17" i="32"/>
  <c r="AW20" i="32" s="1"/>
  <c r="BH18" i="32"/>
  <c r="BH20" i="32" s="1"/>
  <c r="AL37" i="32" s="1"/>
  <c r="AK55" i="32" s="1"/>
  <c r="FC26" i="45"/>
  <c r="BK18" i="32"/>
  <c r="BV18" i="32"/>
  <c r="BP18" i="32"/>
  <c r="BQ18" i="32"/>
  <c r="BM18" i="32"/>
  <c r="BI18" i="32"/>
  <c r="BI20" i="32" s="1"/>
  <c r="AO35" i="32" s="1"/>
  <c r="AM53" i="32" s="1"/>
  <c r="GH40" i="12"/>
  <c r="GH29" i="12"/>
  <c r="CJ41" i="12"/>
  <c r="FT31" i="12"/>
  <c r="BV17" i="32"/>
  <c r="BN17" i="32"/>
  <c r="BF17" i="32"/>
  <c r="BG17" i="32"/>
  <c r="BO17" i="32"/>
  <c r="BC17" i="32"/>
  <c r="BC20" i="32" s="1"/>
  <c r="BI17" i="32"/>
  <c r="J52" i="25"/>
  <c r="D65" i="25" s="1"/>
  <c r="AM10" i="25"/>
  <c r="AP10" i="25" s="1"/>
  <c r="G15" i="21" s="1"/>
  <c r="AN10" i="26"/>
  <c r="AP10" i="26" s="1"/>
  <c r="G15" i="24" s="1"/>
  <c r="FR39" i="12"/>
  <c r="GE39" i="12" s="1"/>
  <c r="CU39" i="12"/>
  <c r="CU37" i="12"/>
  <c r="ER29" i="12"/>
  <c r="CN29" i="12"/>
  <c r="GK42" i="12"/>
  <c r="GH37" i="12"/>
  <c r="GH10" i="12"/>
  <c r="GV145" i="44"/>
  <c r="GO152" i="44" s="1"/>
  <c r="ER152" i="45"/>
  <c r="D168" i="45" s="1"/>
  <c r="AH22" i="35" s="1"/>
  <c r="FE24" i="41"/>
  <c r="BL11" i="32"/>
  <c r="BA11" i="32"/>
  <c r="BA20" i="32" s="1"/>
  <c r="CK25" i="18"/>
  <c r="AK6" i="15"/>
  <c r="AN10" i="25"/>
  <c r="BB10" i="25" s="1"/>
  <c r="P15" i="21" s="1"/>
  <c r="P33" i="25" s="1"/>
  <c r="AZ10" i="27"/>
  <c r="BB10" i="27" s="1"/>
  <c r="P15" i="23" s="1"/>
  <c r="P33" i="27" s="1"/>
  <c r="BY18" i="32"/>
  <c r="BY20" i="32" s="1"/>
  <c r="B169" i="45" s="1"/>
  <c r="CM39" i="12"/>
  <c r="CR33" i="12"/>
  <c r="FO33" i="12"/>
  <c r="GB33" i="12" s="1"/>
  <c r="CM28" i="12"/>
  <c r="GK36" i="12"/>
  <c r="GH9" i="12"/>
  <c r="GM27" i="44"/>
  <c r="AD152" i="45"/>
  <c r="D161" i="45" s="1"/>
  <c r="AH15" i="35" s="1"/>
  <c r="CX152" i="45"/>
  <c r="D165" i="45" s="1"/>
  <c r="AH19" i="35" s="1"/>
  <c r="FW152" i="45"/>
  <c r="D171" i="45" s="1"/>
  <c r="BO13" i="32"/>
  <c r="BO20" i="32" s="1"/>
  <c r="AU35" i="32" s="1"/>
  <c r="AQ53" i="32" s="1"/>
  <c r="BF13" i="32"/>
  <c r="FC21" i="45"/>
  <c r="BM13" i="32"/>
  <c r="BM20" i="32" s="1"/>
  <c r="AR36" i="32" s="1"/>
  <c r="AO54" i="32" s="1"/>
  <c r="K52" i="25"/>
  <c r="D66" i="25" s="1"/>
  <c r="BX13" i="32"/>
  <c r="BX20" i="32" s="1"/>
  <c r="B169" i="44" s="1"/>
  <c r="GA33" i="12"/>
  <c r="CJ33" i="12"/>
  <c r="CK32" i="12"/>
  <c r="FP31" i="12"/>
  <c r="CS31" i="12"/>
  <c r="GC31" i="12"/>
  <c r="I52" i="15"/>
  <c r="D64" i="15" s="1"/>
  <c r="GH33" i="12"/>
  <c r="GH27" i="12"/>
  <c r="GH11" i="12"/>
  <c r="GH4" i="12"/>
  <c r="GM45" i="41"/>
  <c r="CX152" i="41"/>
  <c r="D165" i="41" s="1"/>
  <c r="GM23" i="44"/>
  <c r="GM31" i="44"/>
  <c r="CG152" i="45"/>
  <c r="EA101" i="44"/>
  <c r="K52" i="15"/>
  <c r="D66" i="15" s="1"/>
  <c r="K42" i="15"/>
  <c r="K43" i="15" s="1"/>
  <c r="K48" i="15" s="1"/>
  <c r="K49" i="15" s="1"/>
  <c r="C66" i="15" s="1"/>
  <c r="BN13" i="32"/>
  <c r="BN20" i="32" s="1"/>
  <c r="AR37" i="32" s="1"/>
  <c r="AO55" i="32" s="1"/>
  <c r="GH41" i="12"/>
  <c r="GH7" i="12"/>
  <c r="FW152" i="43"/>
  <c r="BO152" i="44"/>
  <c r="D163" i="44" s="1"/>
  <c r="X17" i="35" s="1"/>
  <c r="L74" i="18"/>
  <c r="K74" i="18"/>
  <c r="DK59" i="43"/>
  <c r="J52" i="15"/>
  <c r="D65" i="15" s="1"/>
  <c r="BL13" i="32"/>
  <c r="GH18" i="12"/>
  <c r="CT34" i="43" s="1"/>
  <c r="AV152" i="44"/>
  <c r="D162" i="44" s="1"/>
  <c r="X16" i="35" s="1"/>
  <c r="BD13" i="32"/>
  <c r="BD20" i="32" s="1"/>
  <c r="AL28" i="32" s="1"/>
  <c r="FC22" i="41"/>
  <c r="BP14" i="32"/>
  <c r="BQ14" i="32"/>
  <c r="BQ20" i="32" s="1"/>
  <c r="AU37" i="32" s="1"/>
  <c r="AQ55" i="32" s="1"/>
  <c r="I52" i="25"/>
  <c r="D64" i="25" s="1"/>
  <c r="BW14" i="32"/>
  <c r="BW20" i="32" s="1"/>
  <c r="B169" i="43" s="1"/>
  <c r="CJ43" i="12"/>
  <c r="CJ37" i="12"/>
  <c r="CR36" i="12"/>
  <c r="CJ36" i="12"/>
  <c r="GA37" i="12"/>
  <c r="BG13" i="32"/>
  <c r="BG20" i="32" s="1"/>
  <c r="AL36" i="32" s="1"/>
  <c r="AK54" i="32" s="1"/>
  <c r="GH3" i="12"/>
  <c r="CT46" i="45" s="1"/>
  <c r="FK145" i="43"/>
  <c r="GM33" i="44"/>
  <c r="GM34" i="45"/>
  <c r="GH35" i="12"/>
  <c r="GH6" i="12"/>
  <c r="GM57" i="41"/>
  <c r="G40" i="35"/>
  <c r="B152" i="43"/>
  <c r="DW145" i="43"/>
  <c r="GJ19" i="44"/>
  <c r="AQ50" i="45"/>
  <c r="F63" i="18"/>
  <c r="T63" i="18"/>
  <c r="K63" i="18"/>
  <c r="I63" i="18"/>
  <c r="L63" i="18"/>
  <c r="O63" i="18"/>
  <c r="H63" i="18"/>
  <c r="CJ38" i="12"/>
  <c r="CT28" i="12"/>
  <c r="GM27" i="41"/>
  <c r="GA27" i="41"/>
  <c r="FJ145" i="41"/>
  <c r="FC152" i="41" s="1"/>
  <c r="D169" i="41" s="1"/>
  <c r="DF145" i="43"/>
  <c r="CO145" i="44"/>
  <c r="CG153" i="44" s="1"/>
  <c r="GM19" i="45"/>
  <c r="GI28" i="45"/>
  <c r="GM36" i="45"/>
  <c r="DF145" i="45"/>
  <c r="I70" i="33"/>
  <c r="GH23" i="12"/>
  <c r="AQ39" i="45" s="1"/>
  <c r="GH14" i="12"/>
  <c r="CT30" i="43" s="1"/>
  <c r="AL145" i="41"/>
  <c r="GM56" i="43"/>
  <c r="EO145" i="43"/>
  <c r="GM26" i="44"/>
  <c r="CU59" i="45"/>
  <c r="AV152" i="45"/>
  <c r="D162" i="45" s="1"/>
  <c r="AH16" i="35" s="1"/>
  <c r="B52" i="25"/>
  <c r="D13" i="28"/>
  <c r="GH22" i="12"/>
  <c r="EY145" i="41"/>
  <c r="ER152" i="41" s="1"/>
  <c r="D168" i="41" s="1"/>
  <c r="GM57" i="43"/>
  <c r="BD145" i="43"/>
  <c r="GE145" i="43"/>
  <c r="L241" i="12"/>
  <c r="Z211" i="12"/>
  <c r="Z253" i="12" s="1"/>
  <c r="Q211" i="12"/>
  <c r="M81" i="18"/>
  <c r="K81" i="18"/>
  <c r="H68" i="33"/>
  <c r="M79" i="18"/>
  <c r="F77" i="18"/>
  <c r="F76" i="18"/>
  <c r="M71" i="18"/>
  <c r="N68" i="18"/>
  <c r="K70" i="33"/>
  <c r="F69" i="33"/>
  <c r="H69" i="33" s="1"/>
  <c r="J70" i="33"/>
  <c r="H76" i="33"/>
  <c r="J76" i="33" s="1"/>
  <c r="Q240" i="12"/>
  <c r="Q236" i="12"/>
  <c r="K61" i="18"/>
  <c r="K80" i="18"/>
  <c r="I79" i="18"/>
  <c r="I82" i="18" s="1"/>
  <c r="C88" i="18" s="1"/>
  <c r="C42" i="28" s="1"/>
  <c r="F78" i="18"/>
  <c r="T76" i="18"/>
  <c r="L75" i="18"/>
  <c r="I71" i="18"/>
  <c r="T69" i="18"/>
  <c r="L68" i="18"/>
  <c r="M63" i="18"/>
  <c r="K21" i="1"/>
  <c r="K23" i="1" s="1"/>
  <c r="F70" i="33"/>
  <c r="H70" i="33" s="1"/>
  <c r="J68" i="33"/>
  <c r="J71" i="33" s="1"/>
  <c r="G48" i="35" s="1"/>
  <c r="T77" i="18"/>
  <c r="N76" i="18"/>
  <c r="F68" i="18"/>
  <c r="H77" i="33"/>
  <c r="J77" i="33" s="1"/>
  <c r="K76" i="18"/>
  <c r="K68" i="18"/>
  <c r="Q79" i="18"/>
  <c r="N77" i="18"/>
  <c r="M76" i="18"/>
  <c r="Q71" i="18"/>
  <c r="U68" i="18"/>
  <c r="U63" i="18"/>
  <c r="U82" i="18" s="1"/>
  <c r="C100" i="18" s="1"/>
  <c r="C54" i="28" s="1"/>
  <c r="G63" i="18"/>
  <c r="G69" i="33"/>
  <c r="I69" i="33" s="1"/>
  <c r="G75" i="33"/>
  <c r="I75" i="33" s="1"/>
  <c r="I79" i="33" s="1"/>
  <c r="M77" i="18"/>
  <c r="L76" i="18"/>
  <c r="T68" i="18"/>
  <c r="K67" i="33"/>
  <c r="K79" i="18"/>
  <c r="K71" i="18"/>
  <c r="J79" i="18"/>
  <c r="AH25" i="35" l="1"/>
  <c r="DZ97" i="41"/>
  <c r="GY97" i="41" s="1"/>
  <c r="DZ97" i="43"/>
  <c r="GY97" i="43" s="1"/>
  <c r="DZ97" i="44"/>
  <c r="GY97" i="44" s="1"/>
  <c r="DZ97" i="45"/>
  <c r="GY97" i="45" s="1"/>
  <c r="AG22" i="35"/>
  <c r="F168" i="45"/>
  <c r="AG20" i="35"/>
  <c r="DW21" i="12"/>
  <c r="DS21" i="12"/>
  <c r="GV21" i="12"/>
  <c r="GX21" i="12" s="1"/>
  <c r="DP21" i="12"/>
  <c r="DU21" i="12"/>
  <c r="DN21" i="12"/>
  <c r="DT21" i="12"/>
  <c r="DM21" i="12"/>
  <c r="DO21" i="12"/>
  <c r="DR21" i="12"/>
  <c r="DL21" i="12"/>
  <c r="DV21" i="12"/>
  <c r="DQ21" i="12"/>
  <c r="AU34" i="32"/>
  <c r="AQ52" i="32" s="1"/>
  <c r="AM28" i="32"/>
  <c r="AN28" i="32" s="1"/>
  <c r="I162" i="41"/>
  <c r="I16" i="35" s="1"/>
  <c r="F16" i="35"/>
  <c r="J162" i="41"/>
  <c r="J16" i="35" s="1"/>
  <c r="AO34" i="32"/>
  <c r="AM52" i="32" s="1"/>
  <c r="AM26" i="32"/>
  <c r="AN26" i="32" s="1"/>
  <c r="AG23" i="35"/>
  <c r="FD28" i="41"/>
  <c r="G169" i="41" s="1"/>
  <c r="G23" i="35" s="1"/>
  <c r="D22" i="35"/>
  <c r="F40" i="35" s="1"/>
  <c r="F168" i="41"/>
  <c r="E71" i="45"/>
  <c r="B66" i="45"/>
  <c r="B170" i="45"/>
  <c r="B173" i="45"/>
  <c r="B40" i="25"/>
  <c r="B33" i="25"/>
  <c r="C40" i="25"/>
  <c r="P40" i="25"/>
  <c r="Q40" i="25"/>
  <c r="P42" i="25" s="1"/>
  <c r="P43" i="25" s="1"/>
  <c r="P48" i="25" s="1"/>
  <c r="P49" i="25" s="1"/>
  <c r="L30" i="21" s="1"/>
  <c r="M63" i="35" s="1"/>
  <c r="Q63" i="35" s="1"/>
  <c r="M15" i="35"/>
  <c r="CT27" i="43"/>
  <c r="AQ27" i="41"/>
  <c r="AQ27" i="45"/>
  <c r="AQ27" i="43"/>
  <c r="BI27" i="45"/>
  <c r="CT27" i="41"/>
  <c r="CT27" i="44"/>
  <c r="AQ27" i="44"/>
  <c r="CB27" i="44"/>
  <c r="BI27" i="44"/>
  <c r="CB27" i="41"/>
  <c r="BI27" i="41"/>
  <c r="CB27" i="45"/>
  <c r="BI27" i="43"/>
  <c r="H111" i="45"/>
  <c r="H111" i="41"/>
  <c r="H111" i="43"/>
  <c r="H111" i="44"/>
  <c r="DP96" i="41"/>
  <c r="GO96" i="41" s="1"/>
  <c r="DP96" i="44"/>
  <c r="GO96" i="44" s="1"/>
  <c r="DP96" i="45"/>
  <c r="GO96" i="45" s="1"/>
  <c r="DP96" i="43"/>
  <c r="GO96" i="43" s="1"/>
  <c r="O36" i="16"/>
  <c r="EB36" i="12"/>
  <c r="C93" i="44"/>
  <c r="C93" i="41"/>
  <c r="C93" i="45"/>
  <c r="C93" i="43"/>
  <c r="DN5" i="12"/>
  <c r="DT5" i="12"/>
  <c r="DM5" i="12"/>
  <c r="DV5" i="12"/>
  <c r="DL5" i="12"/>
  <c r="DP5" i="12"/>
  <c r="DQ5" i="12"/>
  <c r="DO5" i="12"/>
  <c r="DU5" i="12"/>
  <c r="DR5" i="12"/>
  <c r="DW5" i="12"/>
  <c r="GV5" i="12"/>
  <c r="GX5" i="12" s="1"/>
  <c r="DS5" i="12"/>
  <c r="E71" i="41"/>
  <c r="B66" i="41"/>
  <c r="BX39" i="45"/>
  <c r="BE39" i="45"/>
  <c r="CP39" i="41"/>
  <c r="BX39" i="43"/>
  <c r="K39" i="41"/>
  <c r="BX39" i="44"/>
  <c r="CP39" i="43"/>
  <c r="K39" i="45"/>
  <c r="AM39" i="44"/>
  <c r="K39" i="44"/>
  <c r="BE39" i="41"/>
  <c r="GX39" i="44"/>
  <c r="CP39" i="44"/>
  <c r="CP39" i="45"/>
  <c r="AM39" i="41"/>
  <c r="K39" i="43"/>
  <c r="BX39" i="41"/>
  <c r="BE39" i="44"/>
  <c r="BE39" i="43"/>
  <c r="X57" i="41"/>
  <c r="X57" i="45"/>
  <c r="X57" i="43"/>
  <c r="X57" i="44"/>
  <c r="DP103" i="44"/>
  <c r="GO103" i="44" s="1"/>
  <c r="DP103" i="41"/>
  <c r="GO103" i="41" s="1"/>
  <c r="DP103" i="43"/>
  <c r="GO103" i="43" s="1"/>
  <c r="DP103" i="45"/>
  <c r="GO103" i="45" s="1"/>
  <c r="DR89" i="41"/>
  <c r="GQ89" i="41" s="1"/>
  <c r="DR89" i="44"/>
  <c r="GQ89" i="44" s="1"/>
  <c r="DR89" i="43"/>
  <c r="GQ89" i="43" s="1"/>
  <c r="DR89" i="45"/>
  <c r="GQ89" i="45" s="1"/>
  <c r="DZ87" i="43"/>
  <c r="GY87" i="43" s="1"/>
  <c r="DZ87" i="41"/>
  <c r="GY87" i="41" s="1"/>
  <c r="DZ87" i="44"/>
  <c r="GY87" i="44" s="1"/>
  <c r="DZ87" i="45"/>
  <c r="GY87" i="45" s="1"/>
  <c r="GC24" i="43"/>
  <c r="GC24" i="41"/>
  <c r="GC24" i="44"/>
  <c r="GC24" i="45"/>
  <c r="DO115" i="43"/>
  <c r="GN115" i="43" s="1"/>
  <c r="DO115" i="45"/>
  <c r="GN115" i="45" s="1"/>
  <c r="DO115" i="41"/>
  <c r="GN115" i="41" s="1"/>
  <c r="DO115" i="44"/>
  <c r="GN115" i="44" s="1"/>
  <c r="F183" i="12"/>
  <c r="E183" i="12"/>
  <c r="H183" i="12"/>
  <c r="G183" i="12"/>
  <c r="EJ145" i="43"/>
  <c r="EG145" i="43"/>
  <c r="EM145" i="43" s="1"/>
  <c r="EG151" i="43" s="1"/>
  <c r="C167" i="43" s="1"/>
  <c r="GU79" i="43"/>
  <c r="C175" i="44"/>
  <c r="C162" i="44"/>
  <c r="E9" i="35"/>
  <c r="G9" i="35" s="1"/>
  <c r="C11" i="42" s="1"/>
  <c r="D11" i="42" s="1"/>
  <c r="C161" i="44"/>
  <c r="K77" i="33"/>
  <c r="C166" i="44"/>
  <c r="C167" i="44"/>
  <c r="C165" i="44"/>
  <c r="C164" i="44"/>
  <c r="C174" i="44"/>
  <c r="C163" i="44"/>
  <c r="L69" i="33"/>
  <c r="L71" i="33" s="1"/>
  <c r="E48" i="35" s="1"/>
  <c r="H48" i="35" s="1"/>
  <c r="C169" i="44"/>
  <c r="CB38" i="41"/>
  <c r="CB38" i="44"/>
  <c r="BI38" i="43"/>
  <c r="AQ38" i="44"/>
  <c r="CB38" i="43"/>
  <c r="BI38" i="41"/>
  <c r="AQ38" i="45"/>
  <c r="AQ38" i="41"/>
  <c r="BI38" i="45"/>
  <c r="CT38" i="41"/>
  <c r="BI38" i="44"/>
  <c r="CT38" i="44"/>
  <c r="CB38" i="45"/>
  <c r="CT38" i="43"/>
  <c r="GY56" i="43"/>
  <c r="GO56" i="43"/>
  <c r="GQ56" i="43"/>
  <c r="GX56" i="43"/>
  <c r="GZ56" i="43"/>
  <c r="GP56" i="43"/>
  <c r="GS56" i="43"/>
  <c r="GV56" i="43"/>
  <c r="GR56" i="43"/>
  <c r="GU56" i="43"/>
  <c r="GT56" i="43"/>
  <c r="GW56" i="43"/>
  <c r="GS19" i="45"/>
  <c r="GT19" i="45"/>
  <c r="GX19" i="45"/>
  <c r="GW19" i="45"/>
  <c r="GP19" i="45"/>
  <c r="B111" i="43"/>
  <c r="B111" i="45"/>
  <c r="B111" i="44"/>
  <c r="B111" i="41"/>
  <c r="BI23" i="45"/>
  <c r="AQ23" i="43"/>
  <c r="AQ23" i="41"/>
  <c r="CT23" i="41"/>
  <c r="CB23" i="44"/>
  <c r="CT23" i="43"/>
  <c r="BI23" i="44"/>
  <c r="CT23" i="44"/>
  <c r="AQ23" i="44"/>
  <c r="AQ23" i="45"/>
  <c r="CB23" i="43"/>
  <c r="CB23" i="41"/>
  <c r="CB23" i="45"/>
  <c r="BI23" i="41"/>
  <c r="BI23" i="43"/>
  <c r="CB43" i="41"/>
  <c r="CB43" i="44"/>
  <c r="BI43" i="43"/>
  <c r="AQ43" i="41"/>
  <c r="CB43" i="43"/>
  <c r="BI43" i="45"/>
  <c r="AQ43" i="44"/>
  <c r="BI43" i="44"/>
  <c r="AQ43" i="43"/>
  <c r="AQ43" i="45"/>
  <c r="CT43" i="44"/>
  <c r="BI43" i="41"/>
  <c r="CT43" i="43"/>
  <c r="CT43" i="41"/>
  <c r="B106" i="44"/>
  <c r="B106" i="41"/>
  <c r="B106" i="45"/>
  <c r="B106" i="43"/>
  <c r="AQ26" i="41"/>
  <c r="CT26" i="44"/>
  <c r="AQ26" i="44"/>
  <c r="BI26" i="45"/>
  <c r="CB26" i="44"/>
  <c r="CB26" i="43"/>
  <c r="CB26" i="45"/>
  <c r="AQ26" i="45"/>
  <c r="AQ26" i="43"/>
  <c r="CT26" i="41"/>
  <c r="BI26" i="43"/>
  <c r="BI26" i="41"/>
  <c r="BI26" i="44"/>
  <c r="CB26" i="41"/>
  <c r="DZ112" i="41"/>
  <c r="GY112" i="41" s="1"/>
  <c r="DZ112" i="45"/>
  <c r="GY112" i="45" s="1"/>
  <c r="DZ112" i="43"/>
  <c r="GY112" i="43" s="1"/>
  <c r="DZ112" i="44"/>
  <c r="GY112" i="44" s="1"/>
  <c r="FD12" i="43"/>
  <c r="FC12" i="41"/>
  <c r="FE12" i="41"/>
  <c r="GP12" i="41" s="1"/>
  <c r="FD12" i="41"/>
  <c r="GO12" i="41" s="1"/>
  <c r="FD12" i="45"/>
  <c r="GO12" i="45" s="1"/>
  <c r="FD12" i="44"/>
  <c r="GO12" i="44" s="1"/>
  <c r="B107" i="45"/>
  <c r="B107" i="41"/>
  <c r="B107" i="44"/>
  <c r="B107" i="43"/>
  <c r="DT93" i="43"/>
  <c r="GS93" i="43" s="1"/>
  <c r="DT93" i="45"/>
  <c r="GS93" i="45" s="1"/>
  <c r="DT93" i="44"/>
  <c r="GS93" i="44" s="1"/>
  <c r="DT93" i="41"/>
  <c r="GS93" i="41" s="1"/>
  <c r="DZ111" i="44"/>
  <c r="GY111" i="44" s="1"/>
  <c r="DZ111" i="45"/>
  <c r="GY111" i="45" s="1"/>
  <c r="DZ111" i="41"/>
  <c r="GY111" i="41" s="1"/>
  <c r="DZ111" i="43"/>
  <c r="GY111" i="43" s="1"/>
  <c r="C87" i="41"/>
  <c r="C87" i="44"/>
  <c r="C87" i="43"/>
  <c r="C87" i="45"/>
  <c r="DZ107" i="41"/>
  <c r="GY107" i="41" s="1"/>
  <c r="DZ107" i="45"/>
  <c r="GY107" i="45" s="1"/>
  <c r="DZ107" i="44"/>
  <c r="GY107" i="44" s="1"/>
  <c r="DZ107" i="43"/>
  <c r="GY107" i="43" s="1"/>
  <c r="E84" i="41"/>
  <c r="E84" i="45"/>
  <c r="E118" i="45" s="1"/>
  <c r="E84" i="43"/>
  <c r="E84" i="44"/>
  <c r="D116" i="44"/>
  <c r="D116" i="41"/>
  <c r="D116" i="43"/>
  <c r="D116" i="45"/>
  <c r="DX96" i="43"/>
  <c r="GW96" i="43" s="1"/>
  <c r="DX96" i="41"/>
  <c r="GW96" i="41" s="1"/>
  <c r="DX96" i="45"/>
  <c r="GW96" i="45" s="1"/>
  <c r="DX96" i="44"/>
  <c r="GW96" i="44" s="1"/>
  <c r="BE36" i="12"/>
  <c r="BB36" i="12"/>
  <c r="BD36" i="12"/>
  <c r="AU36" i="12"/>
  <c r="AW36" i="12"/>
  <c r="AY36" i="12"/>
  <c r="BA36" i="12"/>
  <c r="BC36" i="12"/>
  <c r="GT36" i="12"/>
  <c r="GU36" i="12" s="1"/>
  <c r="AZ36" i="12"/>
  <c r="BF36" i="12"/>
  <c r="AX36" i="12"/>
  <c r="AV36" i="12"/>
  <c r="C85" i="41"/>
  <c r="C85" i="44"/>
  <c r="C85" i="43"/>
  <c r="C85" i="45"/>
  <c r="DQ106" i="41"/>
  <c r="GP106" i="41" s="1"/>
  <c r="DQ106" i="44"/>
  <c r="GP106" i="44" s="1"/>
  <c r="DQ106" i="43"/>
  <c r="GP106" i="43" s="1"/>
  <c r="DQ106" i="45"/>
  <c r="GP106" i="45" s="1"/>
  <c r="DQ110" i="41"/>
  <c r="GP110" i="41" s="1"/>
  <c r="DQ110" i="44"/>
  <c r="GP110" i="44" s="1"/>
  <c r="DQ110" i="43"/>
  <c r="GP110" i="43" s="1"/>
  <c r="DQ110" i="45"/>
  <c r="GP110" i="45" s="1"/>
  <c r="DP93" i="43"/>
  <c r="GO93" i="43" s="1"/>
  <c r="DP93" i="44"/>
  <c r="GO93" i="44" s="1"/>
  <c r="DP93" i="45"/>
  <c r="GO93" i="45" s="1"/>
  <c r="DP93" i="41"/>
  <c r="GO93" i="41" s="1"/>
  <c r="C94" i="44"/>
  <c r="C94" i="41"/>
  <c r="C94" i="45"/>
  <c r="C94" i="43"/>
  <c r="T23" i="43"/>
  <c r="T23" i="44"/>
  <c r="T23" i="45"/>
  <c r="T23" i="41"/>
  <c r="DO93" i="41"/>
  <c r="GN93" i="41" s="1"/>
  <c r="DO93" i="45"/>
  <c r="GN93" i="45" s="1"/>
  <c r="DO93" i="44"/>
  <c r="GN93" i="44" s="1"/>
  <c r="DO93" i="43"/>
  <c r="GN93" i="43" s="1"/>
  <c r="L118" i="41"/>
  <c r="HC19" i="45"/>
  <c r="P21" i="41"/>
  <c r="P21" i="45"/>
  <c r="P21" i="43"/>
  <c r="P21" i="44"/>
  <c r="X44" i="41"/>
  <c r="X44" i="44"/>
  <c r="X44" i="43"/>
  <c r="X44" i="45"/>
  <c r="DG54" i="43"/>
  <c r="HL54" i="43" s="1"/>
  <c r="DG54" i="44"/>
  <c r="HL54" i="44" s="1"/>
  <c r="DG54" i="45"/>
  <c r="HL54" i="45" s="1"/>
  <c r="DG54" i="41"/>
  <c r="HL54" i="41" s="1"/>
  <c r="DA58" i="44"/>
  <c r="HF58" i="44" s="1"/>
  <c r="DA58" i="43"/>
  <c r="HF58" i="43" s="1"/>
  <c r="DA58" i="45"/>
  <c r="HF58" i="45" s="1"/>
  <c r="DA58" i="41"/>
  <c r="HF58" i="41" s="1"/>
  <c r="AN45" i="12"/>
  <c r="B54" i="12" s="1"/>
  <c r="B56" i="12" s="1"/>
  <c r="DD58" i="45"/>
  <c r="HI58" i="45" s="1"/>
  <c r="DD58" i="41"/>
  <c r="HI58" i="41" s="1"/>
  <c r="DD58" i="43"/>
  <c r="HI58" i="43" s="1"/>
  <c r="DD58" i="44"/>
  <c r="HI58" i="44" s="1"/>
  <c r="R28" i="45"/>
  <c r="R28" i="44"/>
  <c r="R28" i="43"/>
  <c r="R28" i="41"/>
  <c r="HB23" i="44"/>
  <c r="DI23" i="44"/>
  <c r="DD39" i="43"/>
  <c r="HI39" i="43" s="1"/>
  <c r="DD39" i="41"/>
  <c r="HI39" i="41" s="1"/>
  <c r="DD39" i="44"/>
  <c r="HI39" i="44" s="1"/>
  <c r="DD39" i="45"/>
  <c r="HI39" i="45" s="1"/>
  <c r="DC40" i="43"/>
  <c r="HH40" i="43" s="1"/>
  <c r="DC40" i="44"/>
  <c r="HH40" i="44" s="1"/>
  <c r="DC40" i="41"/>
  <c r="HH40" i="41" s="1"/>
  <c r="DC40" i="45"/>
  <c r="HH40" i="45" s="1"/>
  <c r="DA56" i="43"/>
  <c r="HF56" i="43" s="1"/>
  <c r="DA56" i="45"/>
  <c r="HF56" i="45" s="1"/>
  <c r="DA56" i="41"/>
  <c r="HF56" i="41" s="1"/>
  <c r="DA56" i="44"/>
  <c r="HF56" i="44" s="1"/>
  <c r="R22" i="41"/>
  <c r="R22" i="45"/>
  <c r="R22" i="44"/>
  <c r="R22" i="43"/>
  <c r="CK33" i="44"/>
  <c r="AH33" i="44"/>
  <c r="F33" i="43"/>
  <c r="F33" i="45"/>
  <c r="AZ33" i="44"/>
  <c r="CK33" i="45"/>
  <c r="AH33" i="41"/>
  <c r="F33" i="44"/>
  <c r="F33" i="41"/>
  <c r="BS33" i="44"/>
  <c r="CK33" i="43"/>
  <c r="BS33" i="41"/>
  <c r="AZ33" i="43"/>
  <c r="BS33" i="43"/>
  <c r="BS33" i="45"/>
  <c r="CK33" i="41"/>
  <c r="AZ33" i="41"/>
  <c r="AZ33" i="45"/>
  <c r="GS33" i="41"/>
  <c r="DG38" i="41"/>
  <c r="HL38" i="41" s="1"/>
  <c r="DG38" i="45"/>
  <c r="HL38" i="45" s="1"/>
  <c r="DG38" i="44"/>
  <c r="HL38" i="44" s="1"/>
  <c r="AK24" i="45"/>
  <c r="CN24" i="44"/>
  <c r="AK24" i="43"/>
  <c r="BC24" i="41"/>
  <c r="BC24" i="43"/>
  <c r="BV24" i="41"/>
  <c r="BV24" i="43"/>
  <c r="I24" i="41"/>
  <c r="CN24" i="45"/>
  <c r="BV24" i="44"/>
  <c r="CN24" i="41"/>
  <c r="BC24" i="45"/>
  <c r="AK24" i="41"/>
  <c r="BV24" i="45"/>
  <c r="AK24" i="44"/>
  <c r="GV24" i="45"/>
  <c r="I24" i="45"/>
  <c r="I24" i="43"/>
  <c r="GV24" i="43"/>
  <c r="CN24" i="43"/>
  <c r="GV24" i="44"/>
  <c r="BC24" i="44"/>
  <c r="I24" i="44"/>
  <c r="GV24" i="41"/>
  <c r="J146" i="41"/>
  <c r="EG131" i="41"/>
  <c r="FW131" i="41"/>
  <c r="GE146" i="41" s="1"/>
  <c r="ER131" i="41"/>
  <c r="EZ146" i="41" s="1"/>
  <c r="BO39" i="41"/>
  <c r="B39" i="43"/>
  <c r="B39" i="45"/>
  <c r="CG39" i="43"/>
  <c r="CS39" i="43" s="1"/>
  <c r="B39" i="41"/>
  <c r="GO39" i="44"/>
  <c r="AD39" i="41"/>
  <c r="BO39" i="45"/>
  <c r="CA39" i="45" s="1"/>
  <c r="CG39" i="45"/>
  <c r="CS39" i="45" s="1"/>
  <c r="AD39" i="44"/>
  <c r="CG39" i="41"/>
  <c r="CG39" i="44"/>
  <c r="CS39" i="44" s="1"/>
  <c r="AV39" i="45"/>
  <c r="BH39" i="45" s="1"/>
  <c r="AV39" i="43"/>
  <c r="BH39" i="43" s="1"/>
  <c r="BO39" i="43"/>
  <c r="AV39" i="41"/>
  <c r="B39" i="44"/>
  <c r="BO39" i="44"/>
  <c r="AV39" i="44"/>
  <c r="DT113" i="45"/>
  <c r="GS113" i="45" s="1"/>
  <c r="DT113" i="43"/>
  <c r="GS113" i="43" s="1"/>
  <c r="DT113" i="44"/>
  <c r="GS113" i="44" s="1"/>
  <c r="DT113" i="41"/>
  <c r="GS113" i="41" s="1"/>
  <c r="Y57" i="45"/>
  <c r="Y57" i="43"/>
  <c r="Y57" i="44"/>
  <c r="Y57" i="41"/>
  <c r="DS81" i="45"/>
  <c r="GR81" i="45" s="1"/>
  <c r="DS81" i="43"/>
  <c r="GR81" i="43" s="1"/>
  <c r="DS81" i="41"/>
  <c r="DS81" i="44"/>
  <c r="GR81" i="44" s="1"/>
  <c r="S56" i="44"/>
  <c r="S56" i="45"/>
  <c r="S56" i="43"/>
  <c r="S56" i="41"/>
  <c r="GW58" i="44"/>
  <c r="BW58" i="44"/>
  <c r="BW58" i="45"/>
  <c r="GW58" i="45"/>
  <c r="GW58" i="41"/>
  <c r="AL58" i="43"/>
  <c r="AL58" i="44"/>
  <c r="BD58" i="45"/>
  <c r="BD58" i="43"/>
  <c r="CO58" i="43"/>
  <c r="J58" i="45"/>
  <c r="J58" i="43"/>
  <c r="BW58" i="41"/>
  <c r="GW58" i="43"/>
  <c r="CO58" i="41"/>
  <c r="AL58" i="45"/>
  <c r="J58" i="41"/>
  <c r="CO58" i="44"/>
  <c r="BW58" i="43"/>
  <c r="AL58" i="41"/>
  <c r="J58" i="44"/>
  <c r="BD58" i="44"/>
  <c r="CO58" i="45"/>
  <c r="BD58" i="41"/>
  <c r="BT20" i="44"/>
  <c r="G20" i="41"/>
  <c r="GT20" i="44"/>
  <c r="BT20" i="45"/>
  <c r="BT20" i="43"/>
  <c r="AI20" i="43"/>
  <c r="BA20" i="44"/>
  <c r="G20" i="45"/>
  <c r="AI20" i="41"/>
  <c r="G20" i="43"/>
  <c r="AI20" i="45"/>
  <c r="CL20" i="45"/>
  <c r="GT20" i="43"/>
  <c r="CL20" i="44"/>
  <c r="CL20" i="41"/>
  <c r="G20" i="44"/>
  <c r="BT20" i="41"/>
  <c r="AI20" i="44"/>
  <c r="CL20" i="43"/>
  <c r="GT20" i="45"/>
  <c r="GT20" i="41"/>
  <c r="BA20" i="43"/>
  <c r="BA20" i="41"/>
  <c r="BA20" i="45"/>
  <c r="GV77" i="45"/>
  <c r="AI60" i="41"/>
  <c r="AI60" i="43"/>
  <c r="CL60" i="43"/>
  <c r="BA60" i="45"/>
  <c r="CL60" i="41"/>
  <c r="AI60" i="45"/>
  <c r="G60" i="41"/>
  <c r="BT60" i="44"/>
  <c r="CL60" i="44"/>
  <c r="BT60" i="43"/>
  <c r="G60" i="45"/>
  <c r="G60" i="43"/>
  <c r="BA60" i="43"/>
  <c r="GT60" i="41"/>
  <c r="BT60" i="41"/>
  <c r="CL60" i="45"/>
  <c r="BT60" i="45"/>
  <c r="BA60" i="44"/>
  <c r="G60" i="44"/>
  <c r="GT60" i="45"/>
  <c r="GT60" i="43"/>
  <c r="BA60" i="41"/>
  <c r="AI60" i="44"/>
  <c r="DH35" i="45"/>
  <c r="HM35" i="45" s="1"/>
  <c r="DH35" i="43"/>
  <c r="HM35" i="43" s="1"/>
  <c r="DH35" i="41"/>
  <c r="HM35" i="41" s="1"/>
  <c r="DH35" i="44"/>
  <c r="HM35" i="44" s="1"/>
  <c r="DR103" i="45"/>
  <c r="GQ103" i="45" s="1"/>
  <c r="DR103" i="41"/>
  <c r="GQ103" i="41" s="1"/>
  <c r="DR103" i="44"/>
  <c r="GQ103" i="44" s="1"/>
  <c r="DR103" i="43"/>
  <c r="GQ103" i="43" s="1"/>
  <c r="HB51" i="43"/>
  <c r="DI51" i="43"/>
  <c r="HM20" i="44"/>
  <c r="AP41" i="41"/>
  <c r="CA41" i="41"/>
  <c r="Y37" i="44"/>
  <c r="Y37" i="43"/>
  <c r="Y37" i="45"/>
  <c r="Y37" i="41"/>
  <c r="DV89" i="41"/>
  <c r="GU89" i="41" s="1"/>
  <c r="DV89" i="44"/>
  <c r="GU89" i="44" s="1"/>
  <c r="DV89" i="43"/>
  <c r="GU89" i="43" s="1"/>
  <c r="DV89" i="45"/>
  <c r="GU89" i="45" s="1"/>
  <c r="AO33" i="45"/>
  <c r="AJ33" i="45"/>
  <c r="GB27" i="41"/>
  <c r="GB27" i="44"/>
  <c r="GB27" i="45"/>
  <c r="CB23" i="18"/>
  <c r="GB27" i="43"/>
  <c r="DS89" i="45"/>
  <c r="GR89" i="45" s="1"/>
  <c r="DS89" i="41"/>
  <c r="GR89" i="41" s="1"/>
  <c r="DS89" i="44"/>
  <c r="GR89" i="44" s="1"/>
  <c r="DS89" i="43"/>
  <c r="GR89" i="43" s="1"/>
  <c r="DY89" i="44"/>
  <c r="GX89" i="44" s="1"/>
  <c r="DY89" i="41"/>
  <c r="GX89" i="41" s="1"/>
  <c r="DY89" i="45"/>
  <c r="GX89" i="45" s="1"/>
  <c r="DY89" i="43"/>
  <c r="GX89" i="43" s="1"/>
  <c r="GW16" i="12"/>
  <c r="EE16" i="12"/>
  <c r="EH16" i="12"/>
  <c r="EK16" i="12"/>
  <c r="EF16" i="12"/>
  <c r="EO16" i="12"/>
  <c r="EN16" i="12"/>
  <c r="EL16" i="12"/>
  <c r="EI16" i="12"/>
  <c r="EM16" i="12"/>
  <c r="EG16" i="12"/>
  <c r="EJ16" i="12"/>
  <c r="EP16" i="12"/>
  <c r="F89" i="44"/>
  <c r="F89" i="41"/>
  <c r="F89" i="43"/>
  <c r="F89" i="45"/>
  <c r="DQ115" i="41"/>
  <c r="GP115" i="41" s="1"/>
  <c r="DQ115" i="45"/>
  <c r="GP115" i="45" s="1"/>
  <c r="DQ115" i="43"/>
  <c r="GP115" i="43" s="1"/>
  <c r="DQ115" i="44"/>
  <c r="GP115" i="44" s="1"/>
  <c r="DV115" i="44"/>
  <c r="GU115" i="44" s="1"/>
  <c r="DV115" i="45"/>
  <c r="GU115" i="45" s="1"/>
  <c r="DV115" i="43"/>
  <c r="GU115" i="43" s="1"/>
  <c r="DV115" i="41"/>
  <c r="GU115" i="41" s="1"/>
  <c r="HB50" i="45"/>
  <c r="DI50" i="45"/>
  <c r="DW87" i="43"/>
  <c r="GV87" i="43" s="1"/>
  <c r="DW87" i="44"/>
  <c r="GV87" i="44" s="1"/>
  <c r="DW87" i="41"/>
  <c r="GV87" i="41" s="1"/>
  <c r="DW87" i="45"/>
  <c r="GV87" i="45" s="1"/>
  <c r="DR87" i="41"/>
  <c r="GQ87" i="41" s="1"/>
  <c r="DR87" i="43"/>
  <c r="GQ87" i="43" s="1"/>
  <c r="DR87" i="45"/>
  <c r="GQ87" i="45" s="1"/>
  <c r="DR87" i="44"/>
  <c r="GQ87" i="44" s="1"/>
  <c r="H87" i="45"/>
  <c r="H87" i="44"/>
  <c r="H87" i="43"/>
  <c r="H87" i="41"/>
  <c r="B54" i="32"/>
  <c r="C36" i="32"/>
  <c r="D182" i="12"/>
  <c r="N19" i="12"/>
  <c r="Q19" i="12" s="1"/>
  <c r="AV131" i="45"/>
  <c r="BD146" i="45" s="1"/>
  <c r="AD131" i="45"/>
  <c r="AL146" i="45" s="1"/>
  <c r="EG131" i="45"/>
  <c r="EO146" i="45" s="1"/>
  <c r="J146" i="45"/>
  <c r="ER131" i="45"/>
  <c r="EZ146" i="45" s="1"/>
  <c r="FW131" i="45"/>
  <c r="GE146" i="45" s="1"/>
  <c r="HD20" i="45"/>
  <c r="B170" i="43"/>
  <c r="B173" i="43"/>
  <c r="W20" i="12"/>
  <c r="AB20" i="12"/>
  <c r="Y20" i="12"/>
  <c r="Z20" i="12"/>
  <c r="GS20" i="12"/>
  <c r="GU20" i="12" s="1"/>
  <c r="U20" i="12"/>
  <c r="AA20" i="12"/>
  <c r="AC20" i="12"/>
  <c r="AE20" i="12"/>
  <c r="X20" i="12"/>
  <c r="V20" i="12"/>
  <c r="AD20" i="12"/>
  <c r="GY36" i="45" s="1"/>
  <c r="T20" i="12"/>
  <c r="GO36" i="45" s="1"/>
  <c r="M23" i="35"/>
  <c r="GT39" i="43"/>
  <c r="GS39" i="43"/>
  <c r="GP39" i="43"/>
  <c r="GU39" i="43"/>
  <c r="GV39" i="43"/>
  <c r="GR39" i="43"/>
  <c r="GY39" i="43"/>
  <c r="GX39" i="43"/>
  <c r="GZ39" i="43"/>
  <c r="GO39" i="43"/>
  <c r="GQ39" i="43"/>
  <c r="GW39" i="43"/>
  <c r="DI29" i="43"/>
  <c r="HB29" i="43"/>
  <c r="GQ26" i="43"/>
  <c r="GU26" i="43"/>
  <c r="GY26" i="43"/>
  <c r="GO26" i="43"/>
  <c r="GZ26" i="43"/>
  <c r="GT26" i="43"/>
  <c r="GR26" i="43"/>
  <c r="GV26" i="43"/>
  <c r="GW26" i="43"/>
  <c r="GX26" i="43"/>
  <c r="GP26" i="43"/>
  <c r="GS26" i="43"/>
  <c r="GU79" i="44"/>
  <c r="EX145" i="44"/>
  <c r="ER151" i="44" s="1"/>
  <c r="C168" i="44" s="1"/>
  <c r="D170" i="45"/>
  <c r="Q253" i="12"/>
  <c r="GJ33" i="44"/>
  <c r="G173" i="44" s="1"/>
  <c r="AA27" i="35" s="1"/>
  <c r="DV110" i="45"/>
  <c r="GU110" i="45" s="1"/>
  <c r="DV110" i="43"/>
  <c r="GU110" i="43" s="1"/>
  <c r="DV110" i="41"/>
  <c r="GU110" i="41" s="1"/>
  <c r="DV110" i="44"/>
  <c r="GU110" i="44" s="1"/>
  <c r="BP20" i="32"/>
  <c r="AU36" i="32" s="1"/>
  <c r="AQ54" i="32" s="1"/>
  <c r="CB57" i="41"/>
  <c r="CT57" i="44"/>
  <c r="BI57" i="44"/>
  <c r="CB57" i="43"/>
  <c r="AQ57" i="43"/>
  <c r="BI57" i="45"/>
  <c r="BI57" i="43"/>
  <c r="CB57" i="45"/>
  <c r="AQ57" i="44"/>
  <c r="CT57" i="43"/>
  <c r="AQ57" i="45"/>
  <c r="AQ57" i="41"/>
  <c r="BI57" i="41"/>
  <c r="CT57" i="41"/>
  <c r="CB57" i="44"/>
  <c r="BI49" i="41"/>
  <c r="CB49" i="45"/>
  <c r="CB49" i="44"/>
  <c r="AQ49" i="44"/>
  <c r="BI49" i="43"/>
  <c r="CT49" i="43"/>
  <c r="AQ49" i="43"/>
  <c r="AQ49" i="45"/>
  <c r="BI49" i="45"/>
  <c r="CT49" i="41"/>
  <c r="CT49" i="44"/>
  <c r="CB49" i="41"/>
  <c r="BI49" i="44"/>
  <c r="AQ49" i="41"/>
  <c r="DV106" i="44"/>
  <c r="GU106" i="44" s="1"/>
  <c r="DV106" i="41"/>
  <c r="GU106" i="41" s="1"/>
  <c r="DV106" i="43"/>
  <c r="GU106" i="43" s="1"/>
  <c r="DV106" i="45"/>
  <c r="GU106" i="45" s="1"/>
  <c r="E101" i="41"/>
  <c r="E101" i="44"/>
  <c r="E101" i="45"/>
  <c r="E101" i="43"/>
  <c r="CB53" i="45"/>
  <c r="AQ53" i="41"/>
  <c r="CB53" i="43"/>
  <c r="CB53" i="44"/>
  <c r="CT53" i="44"/>
  <c r="AQ53" i="43"/>
  <c r="BI53" i="44"/>
  <c r="CB53" i="41"/>
  <c r="CT53" i="41"/>
  <c r="AQ53" i="45"/>
  <c r="BI53" i="41"/>
  <c r="AQ53" i="44"/>
  <c r="BI53" i="45"/>
  <c r="BI53" i="43"/>
  <c r="B33" i="26"/>
  <c r="C40" i="26"/>
  <c r="Q40" i="26"/>
  <c r="P40" i="26"/>
  <c r="B40" i="26"/>
  <c r="DX90" i="43"/>
  <c r="GW90" i="43" s="1"/>
  <c r="DX90" i="45"/>
  <c r="GW90" i="45" s="1"/>
  <c r="DX90" i="41"/>
  <c r="GW90" i="41" s="1"/>
  <c r="DX90" i="44"/>
  <c r="GW90" i="44" s="1"/>
  <c r="DV85" i="44"/>
  <c r="GU85" i="44" s="1"/>
  <c r="DV85" i="45"/>
  <c r="GU85" i="45" s="1"/>
  <c r="DV85" i="41"/>
  <c r="GU85" i="41" s="1"/>
  <c r="DV85" i="43"/>
  <c r="GU85" i="43" s="1"/>
  <c r="EB78" i="41"/>
  <c r="EB78" i="45"/>
  <c r="EB78" i="44"/>
  <c r="EB78" i="43"/>
  <c r="EB93" i="41"/>
  <c r="EC93" i="41" s="1"/>
  <c r="EB93" i="45"/>
  <c r="EB93" i="43"/>
  <c r="EC93" i="43" s="1"/>
  <c r="EB93" i="44"/>
  <c r="EC93" i="44" s="1"/>
  <c r="I107" i="35"/>
  <c r="G108" i="35"/>
  <c r="G105" i="35"/>
  <c r="H105" i="35" s="1"/>
  <c r="L105" i="35" s="1"/>
  <c r="I102" i="35"/>
  <c r="I108" i="35"/>
  <c r="G102" i="35"/>
  <c r="H102" i="35" s="1"/>
  <c r="L102" i="35" s="1"/>
  <c r="G101" i="35"/>
  <c r="H101" i="35" s="1"/>
  <c r="L101" i="35" s="1"/>
  <c r="I101" i="35"/>
  <c r="I105" i="35"/>
  <c r="I111" i="35"/>
  <c r="G172" i="43"/>
  <c r="Q26" i="35" s="1"/>
  <c r="I44" i="35" s="1"/>
  <c r="N44" i="35" s="1"/>
  <c r="O26" i="35"/>
  <c r="G44" i="35" s="1"/>
  <c r="F172" i="43"/>
  <c r="DQ116" i="44"/>
  <c r="GP116" i="44" s="1"/>
  <c r="DQ116" i="41"/>
  <c r="GP116" i="41" s="1"/>
  <c r="DQ116" i="43"/>
  <c r="GP116" i="43" s="1"/>
  <c r="DQ116" i="45"/>
  <c r="GP116" i="45" s="1"/>
  <c r="AY26" i="18"/>
  <c r="BC26" i="18" s="1"/>
  <c r="BL26" i="18" s="1"/>
  <c r="AP26" i="18"/>
  <c r="AT26" i="18" s="1"/>
  <c r="AZ26" i="18"/>
  <c r="BD26" i="18" s="1"/>
  <c r="BM26" i="18" s="1"/>
  <c r="BH26" i="18"/>
  <c r="AR26" i="18"/>
  <c r="AV26" i="18" s="1"/>
  <c r="AX26" i="18"/>
  <c r="BB26" i="18" s="1"/>
  <c r="BK26" i="18" s="1"/>
  <c r="BA26" i="18"/>
  <c r="BE26" i="18" s="1"/>
  <c r="BN26" i="18" s="1"/>
  <c r="BG26" i="18"/>
  <c r="BJ26" i="18"/>
  <c r="AQ26" i="18"/>
  <c r="AU26" i="18" s="1"/>
  <c r="AO26" i="18"/>
  <c r="AS26" i="18" s="1"/>
  <c r="BI26" i="18"/>
  <c r="E244" i="12"/>
  <c r="H244" i="12"/>
  <c r="F244" i="12"/>
  <c r="G244" i="12"/>
  <c r="DP85" i="43"/>
  <c r="GO85" i="43" s="1"/>
  <c r="DP85" i="45"/>
  <c r="GO85" i="45" s="1"/>
  <c r="DP85" i="44"/>
  <c r="GO85" i="44" s="1"/>
  <c r="DP85" i="41"/>
  <c r="GO85" i="41" s="1"/>
  <c r="DJ57" i="44"/>
  <c r="DJ57" i="43"/>
  <c r="DJ57" i="45"/>
  <c r="DJ57" i="41"/>
  <c r="BI6" i="18"/>
  <c r="BJ6" i="18"/>
  <c r="BJ29" i="18" s="1"/>
  <c r="AY6" i="18"/>
  <c r="AQ6" i="18"/>
  <c r="AZ6" i="18"/>
  <c r="BG6" i="18"/>
  <c r="BA6" i="18"/>
  <c r="AP6" i="18"/>
  <c r="AO6" i="18"/>
  <c r="AR6" i="18"/>
  <c r="BH6" i="18"/>
  <c r="BH29" i="18" s="1"/>
  <c r="AX6" i="18"/>
  <c r="D111" i="43"/>
  <c r="D111" i="41"/>
  <c r="D111" i="45"/>
  <c r="D111" i="44"/>
  <c r="DW96" i="41"/>
  <c r="GV96" i="41" s="1"/>
  <c r="DW96" i="44"/>
  <c r="GV96" i="44" s="1"/>
  <c r="DW96" i="45"/>
  <c r="GV96" i="45" s="1"/>
  <c r="DW96" i="43"/>
  <c r="GV96" i="43" s="1"/>
  <c r="Y38" i="12"/>
  <c r="GS38" i="12"/>
  <c r="GU38" i="12" s="1"/>
  <c r="V38" i="12"/>
  <c r="T38" i="12"/>
  <c r="AC38" i="12"/>
  <c r="AA38" i="12"/>
  <c r="GV54" i="43" s="1"/>
  <c r="AD38" i="12"/>
  <c r="GY54" i="43" s="1"/>
  <c r="U38" i="12"/>
  <c r="Z38" i="12"/>
  <c r="W38" i="12"/>
  <c r="AB38" i="12"/>
  <c r="AE38" i="12"/>
  <c r="X38" i="12"/>
  <c r="H116" i="44"/>
  <c r="H116" i="41"/>
  <c r="H116" i="43"/>
  <c r="H116" i="45"/>
  <c r="AR18" i="18"/>
  <c r="AV18" i="18" s="1"/>
  <c r="BH18" i="18"/>
  <c r="AY18" i="18"/>
  <c r="BC18" i="18" s="1"/>
  <c r="BL18" i="18" s="1"/>
  <c r="BA18" i="18"/>
  <c r="BE18" i="18" s="1"/>
  <c r="BN18" i="18" s="1"/>
  <c r="AP18" i="18"/>
  <c r="AT18" i="18" s="1"/>
  <c r="AX18" i="18"/>
  <c r="BB18" i="18" s="1"/>
  <c r="BK18" i="18" s="1"/>
  <c r="AO18" i="18"/>
  <c r="AS18" i="18" s="1"/>
  <c r="BJ18" i="18"/>
  <c r="BG18" i="18"/>
  <c r="AQ18" i="18"/>
  <c r="AU18" i="18" s="1"/>
  <c r="BI18" i="18"/>
  <c r="AZ18" i="18"/>
  <c r="BD18" i="18" s="1"/>
  <c r="BM18" i="18" s="1"/>
  <c r="HC19" i="44"/>
  <c r="HC45" i="12"/>
  <c r="B124" i="45" s="1"/>
  <c r="S21" i="43"/>
  <c r="S21" i="44"/>
  <c r="S21" i="45"/>
  <c r="S21" i="41"/>
  <c r="V44" i="41"/>
  <c r="V44" i="45"/>
  <c r="V44" i="43"/>
  <c r="V44" i="44"/>
  <c r="GI33" i="45"/>
  <c r="B172" i="45" s="1"/>
  <c r="CU61" i="43"/>
  <c r="Z28" i="43"/>
  <c r="Z28" i="45"/>
  <c r="Z28" i="44"/>
  <c r="Z28" i="41"/>
  <c r="DE39" i="45"/>
  <c r="HJ39" i="45" s="1"/>
  <c r="DE39" i="41"/>
  <c r="HJ39" i="41" s="1"/>
  <c r="DE39" i="43"/>
  <c r="HJ39" i="43" s="1"/>
  <c r="DE39" i="44"/>
  <c r="HJ39" i="44" s="1"/>
  <c r="CX40" i="44"/>
  <c r="HC40" i="44" s="1"/>
  <c r="CX40" i="41"/>
  <c r="HC40" i="41" s="1"/>
  <c r="CX40" i="45"/>
  <c r="HC40" i="45" s="1"/>
  <c r="CX40" i="43"/>
  <c r="HC40" i="43" s="1"/>
  <c r="DE56" i="44"/>
  <c r="HJ56" i="44" s="1"/>
  <c r="DE56" i="45"/>
  <c r="HJ56" i="45" s="1"/>
  <c r="DE56" i="41"/>
  <c r="HJ56" i="41" s="1"/>
  <c r="DE56" i="43"/>
  <c r="HJ56" i="43" s="1"/>
  <c r="D33" i="45"/>
  <c r="BQ33" i="41"/>
  <c r="CI33" i="44"/>
  <c r="AF33" i="44"/>
  <c r="CI33" i="41"/>
  <c r="D33" i="43"/>
  <c r="AX33" i="44"/>
  <c r="BQ33" i="45"/>
  <c r="CI33" i="45"/>
  <c r="D33" i="44"/>
  <c r="BQ33" i="44"/>
  <c r="AF33" i="41"/>
  <c r="D33" i="41"/>
  <c r="AX33" i="45"/>
  <c r="AX33" i="43"/>
  <c r="AX33" i="41"/>
  <c r="CI33" i="43"/>
  <c r="BQ33" i="43"/>
  <c r="GQ33" i="41"/>
  <c r="DH38" i="41"/>
  <c r="HM38" i="41" s="1"/>
  <c r="DH38" i="45"/>
  <c r="HM38" i="45" s="1"/>
  <c r="DH38" i="44"/>
  <c r="HM38" i="44" s="1"/>
  <c r="GQ78" i="41"/>
  <c r="AV24" i="41"/>
  <c r="GO24" i="45"/>
  <c r="BO24" i="45"/>
  <c r="BO24" i="44"/>
  <c r="CG24" i="44"/>
  <c r="CG24" i="41"/>
  <c r="GO24" i="43"/>
  <c r="AV24" i="45"/>
  <c r="BH24" i="45" s="1"/>
  <c r="B24" i="43"/>
  <c r="B24" i="44"/>
  <c r="B24" i="45"/>
  <c r="AD24" i="45"/>
  <c r="AV24" i="44"/>
  <c r="AD24" i="41"/>
  <c r="GO24" i="44"/>
  <c r="CG24" i="45"/>
  <c r="CS24" i="45" s="1"/>
  <c r="CG24" i="43"/>
  <c r="CS24" i="43" s="1"/>
  <c r="GO24" i="41"/>
  <c r="AV24" i="43"/>
  <c r="BH24" i="43" s="1"/>
  <c r="AD24" i="43"/>
  <c r="AP24" i="43" s="1"/>
  <c r="AD24" i="44"/>
  <c r="B24" i="41"/>
  <c r="BO24" i="41"/>
  <c r="CA24" i="41" s="1"/>
  <c r="BO24" i="43"/>
  <c r="CA24" i="43" s="1"/>
  <c r="FC131" i="41"/>
  <c r="GP71" i="41"/>
  <c r="AP27" i="44"/>
  <c r="BA39" i="45"/>
  <c r="BA39" i="41"/>
  <c r="BT39" i="45"/>
  <c r="G39" i="44"/>
  <c r="BT39" i="43"/>
  <c r="CL39" i="41"/>
  <c r="CL39" i="45"/>
  <c r="AI39" i="44"/>
  <c r="BT39" i="44"/>
  <c r="BT39" i="41"/>
  <c r="G39" i="43"/>
  <c r="GT39" i="44"/>
  <c r="G39" i="41"/>
  <c r="BA39" i="44"/>
  <c r="CL39" i="43"/>
  <c r="CL39" i="44"/>
  <c r="G39" i="45"/>
  <c r="BA39" i="43"/>
  <c r="AI39" i="41"/>
  <c r="GT39" i="41"/>
  <c r="DU109" i="44"/>
  <c r="GT109" i="44" s="1"/>
  <c r="DU109" i="45"/>
  <c r="GT109" i="45" s="1"/>
  <c r="DU109" i="43"/>
  <c r="GT109" i="43" s="1"/>
  <c r="DU109" i="41"/>
  <c r="GT109" i="41" s="1"/>
  <c r="GO49" i="45"/>
  <c r="GO49" i="44"/>
  <c r="B49" i="45"/>
  <c r="AV49" i="44"/>
  <c r="BH49" i="44" s="1"/>
  <c r="B49" i="44"/>
  <c r="B49" i="43"/>
  <c r="CG49" i="44"/>
  <c r="CS49" i="44" s="1"/>
  <c r="BO49" i="44"/>
  <c r="CA49" i="44" s="1"/>
  <c r="AV49" i="45"/>
  <c r="AV49" i="43"/>
  <c r="BH49" i="43" s="1"/>
  <c r="AD49" i="45"/>
  <c r="AP49" i="45" s="1"/>
  <c r="CG49" i="45"/>
  <c r="CS49" i="45" s="1"/>
  <c r="BO49" i="45"/>
  <c r="CG49" i="43"/>
  <c r="CS49" i="43" s="1"/>
  <c r="BO49" i="41"/>
  <c r="AV49" i="41"/>
  <c r="GO49" i="41"/>
  <c r="AD49" i="43"/>
  <c r="AP49" i="43" s="1"/>
  <c r="AD49" i="41"/>
  <c r="B49" i="41"/>
  <c r="CG49" i="41"/>
  <c r="AD49" i="44"/>
  <c r="AP49" i="44" s="1"/>
  <c r="DU113" i="41"/>
  <c r="GT113" i="41" s="1"/>
  <c r="DU113" i="44"/>
  <c r="GT113" i="44" s="1"/>
  <c r="DU113" i="45"/>
  <c r="GT113" i="45" s="1"/>
  <c r="DU113" i="43"/>
  <c r="GT113" i="43" s="1"/>
  <c r="DR81" i="43"/>
  <c r="GQ81" i="43" s="1"/>
  <c r="DR81" i="45"/>
  <c r="GQ81" i="45" s="1"/>
  <c r="DR81" i="44"/>
  <c r="GQ81" i="44" s="1"/>
  <c r="DR81" i="41"/>
  <c r="GQ81" i="41" s="1"/>
  <c r="GS58" i="44"/>
  <c r="GS58" i="41"/>
  <c r="GS58" i="43"/>
  <c r="AZ58" i="43"/>
  <c r="AZ58" i="45"/>
  <c r="AH58" i="41"/>
  <c r="AH58" i="45"/>
  <c r="BS58" i="43"/>
  <c r="AZ58" i="44"/>
  <c r="F58" i="45"/>
  <c r="F58" i="44"/>
  <c r="CK58" i="41"/>
  <c r="BS58" i="41"/>
  <c r="GS58" i="45"/>
  <c r="AH58" i="44"/>
  <c r="BS58" i="44"/>
  <c r="BS58" i="45"/>
  <c r="F58" i="41"/>
  <c r="CK58" i="44"/>
  <c r="AH58" i="43"/>
  <c r="F58" i="43"/>
  <c r="CK58" i="45"/>
  <c r="AZ58" i="41"/>
  <c r="CK58" i="43"/>
  <c r="BH47" i="44"/>
  <c r="GV60" i="41"/>
  <c r="BV60" i="43"/>
  <c r="GV60" i="43"/>
  <c r="AK60" i="45"/>
  <c r="AK60" i="41"/>
  <c r="BV60" i="41"/>
  <c r="GV60" i="45"/>
  <c r="BC60" i="41"/>
  <c r="I60" i="43"/>
  <c r="CN60" i="44"/>
  <c r="BV60" i="45"/>
  <c r="I60" i="44"/>
  <c r="BV60" i="44"/>
  <c r="BC60" i="44"/>
  <c r="AK60" i="43"/>
  <c r="AK60" i="44"/>
  <c r="GV60" i="44"/>
  <c r="I60" i="45"/>
  <c r="CN60" i="45"/>
  <c r="BC60" i="43"/>
  <c r="I60" i="41"/>
  <c r="BC60" i="45"/>
  <c r="CN60" i="43"/>
  <c r="CN60" i="41"/>
  <c r="GX39" i="41"/>
  <c r="CA29" i="45"/>
  <c r="DX103" i="44"/>
  <c r="GW103" i="44" s="1"/>
  <c r="DX103" i="41"/>
  <c r="GW103" i="41" s="1"/>
  <c r="DX103" i="45"/>
  <c r="GW103" i="45" s="1"/>
  <c r="DX103" i="43"/>
  <c r="GW103" i="43" s="1"/>
  <c r="GT60" i="44"/>
  <c r="HB51" i="41"/>
  <c r="DI51" i="41"/>
  <c r="AP41" i="45"/>
  <c r="T37" i="44"/>
  <c r="T37" i="45"/>
  <c r="T37" i="41"/>
  <c r="T37" i="43"/>
  <c r="O37" i="41"/>
  <c r="DI37" i="41" s="1"/>
  <c r="O37" i="45"/>
  <c r="DI37" i="45" s="1"/>
  <c r="O37" i="43"/>
  <c r="DI37" i="43" s="1"/>
  <c r="O37" i="44"/>
  <c r="DI37" i="44" s="1"/>
  <c r="AP28" i="43"/>
  <c r="BH28" i="41"/>
  <c r="K15" i="47"/>
  <c r="O17" i="48"/>
  <c r="I16" i="47"/>
  <c r="O18" i="48" s="1"/>
  <c r="R18" i="48" s="1"/>
  <c r="C28" i="35"/>
  <c r="G174" i="41"/>
  <c r="G28" i="35" s="1"/>
  <c r="F174" i="41"/>
  <c r="GW46" i="45"/>
  <c r="AF33" i="45"/>
  <c r="AK33" i="45"/>
  <c r="DQ89" i="45"/>
  <c r="GP89" i="45" s="1"/>
  <c r="DQ89" i="44"/>
  <c r="GP89" i="44" s="1"/>
  <c r="DQ89" i="43"/>
  <c r="GP89" i="43" s="1"/>
  <c r="DQ89" i="41"/>
  <c r="GP89" i="41" s="1"/>
  <c r="E89" i="44"/>
  <c r="E89" i="43"/>
  <c r="E89" i="45"/>
  <c r="E89" i="41"/>
  <c r="DJ32" i="44"/>
  <c r="DJ32" i="43"/>
  <c r="DJ32" i="41"/>
  <c r="DJ32" i="45"/>
  <c r="DZ115" i="45"/>
  <c r="GY115" i="45" s="1"/>
  <c r="DZ115" i="43"/>
  <c r="GY115" i="43" s="1"/>
  <c r="DZ115" i="41"/>
  <c r="GY115" i="41" s="1"/>
  <c r="DZ115" i="44"/>
  <c r="GY115" i="44" s="1"/>
  <c r="DI50" i="43"/>
  <c r="HB50" i="43"/>
  <c r="GQ43" i="45"/>
  <c r="GX43" i="45"/>
  <c r="GO43" i="45"/>
  <c r="GP43" i="45"/>
  <c r="GV43" i="45"/>
  <c r="AD39" i="45"/>
  <c r="AP39" i="45" s="1"/>
  <c r="CK28" i="18"/>
  <c r="DX87" i="44"/>
  <c r="GW87" i="44" s="1"/>
  <c r="DX87" i="41"/>
  <c r="GW87" i="41" s="1"/>
  <c r="DX87" i="45"/>
  <c r="GW87" i="45" s="1"/>
  <c r="DX87" i="43"/>
  <c r="GW87" i="43" s="1"/>
  <c r="DT87" i="44"/>
  <c r="GS87" i="44" s="1"/>
  <c r="DT87" i="43"/>
  <c r="GS87" i="43" s="1"/>
  <c r="DT87" i="45"/>
  <c r="GS87" i="45" s="1"/>
  <c r="DT87" i="41"/>
  <c r="GS87" i="41" s="1"/>
  <c r="F87" i="41"/>
  <c r="F118" i="41" s="1"/>
  <c r="F87" i="44"/>
  <c r="F118" i="44" s="1"/>
  <c r="F87" i="45"/>
  <c r="F118" i="45" s="1"/>
  <c r="F87" i="43"/>
  <c r="F118" i="43" s="1"/>
  <c r="DR19" i="12"/>
  <c r="DV19" i="12"/>
  <c r="DW19" i="12"/>
  <c r="DU19" i="12"/>
  <c r="GV19" i="12"/>
  <c r="GX19" i="12" s="1"/>
  <c r="DT19" i="12"/>
  <c r="DP19" i="12"/>
  <c r="DO19" i="12"/>
  <c r="DQ19" i="12"/>
  <c r="DN19" i="12"/>
  <c r="DM19" i="12"/>
  <c r="DL19" i="12"/>
  <c r="DS19" i="12"/>
  <c r="HD20" i="44"/>
  <c r="G107" i="35"/>
  <c r="H107" i="35" s="1"/>
  <c r="L107" i="35" s="1"/>
  <c r="T82" i="18"/>
  <c r="C99" i="18" s="1"/>
  <c r="C53" i="28" s="1"/>
  <c r="M253" i="12"/>
  <c r="CA40" i="45"/>
  <c r="AP40" i="45"/>
  <c r="BH40" i="45"/>
  <c r="EB98" i="45"/>
  <c r="EB98" i="41"/>
  <c r="EC98" i="41" s="1"/>
  <c r="EB98" i="43"/>
  <c r="EC98" i="43" s="1"/>
  <c r="EB98" i="44"/>
  <c r="EC98" i="44" s="1"/>
  <c r="CA26" i="43"/>
  <c r="BO49" i="43"/>
  <c r="DG38" i="43"/>
  <c r="HL38" i="43" s="1"/>
  <c r="BH28" i="43"/>
  <c r="CT26" i="43"/>
  <c r="F163" i="41"/>
  <c r="AG29" i="35"/>
  <c r="F161" i="45"/>
  <c r="AG15" i="35"/>
  <c r="L101" i="45"/>
  <c r="L118" i="45" s="1"/>
  <c r="L101" i="44"/>
  <c r="L101" i="43"/>
  <c r="L101" i="41"/>
  <c r="C105" i="41"/>
  <c r="C105" i="45"/>
  <c r="C105" i="44"/>
  <c r="C105" i="43"/>
  <c r="M112" i="44"/>
  <c r="M112" i="45"/>
  <c r="M112" i="41"/>
  <c r="M112" i="43"/>
  <c r="K101" i="41"/>
  <c r="K101" i="45"/>
  <c r="K101" i="43"/>
  <c r="K101" i="44"/>
  <c r="CB55" i="41"/>
  <c r="CB55" i="43"/>
  <c r="AQ55" i="45"/>
  <c r="CB55" i="44"/>
  <c r="AQ55" i="44"/>
  <c r="CT55" i="41"/>
  <c r="CB55" i="45"/>
  <c r="BI55" i="41"/>
  <c r="CT55" i="44"/>
  <c r="AQ55" i="43"/>
  <c r="BI55" i="43"/>
  <c r="BI55" i="45"/>
  <c r="AQ55" i="41"/>
  <c r="BI55" i="44"/>
  <c r="CT55" i="43"/>
  <c r="Q12" i="45"/>
  <c r="L12" i="45"/>
  <c r="R12" i="45"/>
  <c r="S12" i="45"/>
  <c r="I12" i="45"/>
  <c r="P12" i="45"/>
  <c r="M12" i="45"/>
  <c r="H12" i="45"/>
  <c r="J12" i="45"/>
  <c r="O12" i="45"/>
  <c r="N12" i="45"/>
  <c r="K12" i="45"/>
  <c r="DX93" i="41"/>
  <c r="GW93" i="41" s="1"/>
  <c r="DX93" i="44"/>
  <c r="GW93" i="44" s="1"/>
  <c r="DX93" i="45"/>
  <c r="GW93" i="45" s="1"/>
  <c r="DX93" i="43"/>
  <c r="GW93" i="43" s="1"/>
  <c r="DQ124" i="44"/>
  <c r="DF124" i="44"/>
  <c r="F124" i="44"/>
  <c r="AE124" i="44"/>
  <c r="BG124" i="44"/>
  <c r="M124" i="44"/>
  <c r="FN124" i="44"/>
  <c r="BX124" i="44"/>
  <c r="GA124" i="44"/>
  <c r="CI124" i="44"/>
  <c r="BD124" i="44"/>
  <c r="BC124" i="44"/>
  <c r="GY124" i="44"/>
  <c r="CP124" i="44"/>
  <c r="AN124" i="44"/>
  <c r="FG124" i="44"/>
  <c r="CN124" i="44"/>
  <c r="CK124" i="44"/>
  <c r="BA124" i="44"/>
  <c r="AH124" i="44"/>
  <c r="AV124" i="44"/>
  <c r="DX124" i="44"/>
  <c r="DO124" i="44"/>
  <c r="CO124" i="44"/>
  <c r="CH124" i="44"/>
  <c r="K124" i="44"/>
  <c r="GQ124" i="44"/>
  <c r="G124" i="44"/>
  <c r="BO124" i="44"/>
  <c r="DP124" i="44"/>
  <c r="BP124" i="44"/>
  <c r="AD124" i="44"/>
  <c r="FI124" i="44"/>
  <c r="AM124" i="44"/>
  <c r="BW124" i="44"/>
  <c r="DZ124" i="44"/>
  <c r="FL124" i="44"/>
  <c r="AZ124" i="44"/>
  <c r="BB124" i="44"/>
  <c r="DI124" i="44"/>
  <c r="FM124" i="44"/>
  <c r="AG124" i="44"/>
  <c r="BS124" i="44"/>
  <c r="AX124" i="44"/>
  <c r="GH124" i="44"/>
  <c r="E124" i="44"/>
  <c r="FD124" i="44"/>
  <c r="L124" i="44"/>
  <c r="DC124" i="44"/>
  <c r="BQ124" i="44"/>
  <c r="CM124" i="44"/>
  <c r="DU124" i="44"/>
  <c r="BT124" i="44"/>
  <c r="CJ124" i="44"/>
  <c r="GT124" i="44"/>
  <c r="BE124" i="44"/>
  <c r="FX124" i="44"/>
  <c r="GD124" i="44"/>
  <c r="GW124" i="44"/>
  <c r="GV124" i="44"/>
  <c r="DB124" i="44"/>
  <c r="DT124" i="44"/>
  <c r="BZ124" i="44"/>
  <c r="CZ124" i="44"/>
  <c r="BR124" i="44"/>
  <c r="GO124" i="44"/>
  <c r="DV124" i="44"/>
  <c r="D124" i="44"/>
  <c r="DR124" i="44"/>
  <c r="H124" i="44"/>
  <c r="FY124" i="44"/>
  <c r="DS124" i="44"/>
  <c r="GF124" i="44"/>
  <c r="J124" i="44"/>
  <c r="CR124" i="44"/>
  <c r="DY124" i="44"/>
  <c r="GC124" i="44"/>
  <c r="FW124" i="44"/>
  <c r="CX124" i="44"/>
  <c r="BV124" i="44"/>
  <c r="AY124" i="44"/>
  <c r="CQ124" i="44"/>
  <c r="DA124" i="44"/>
  <c r="FF124" i="44"/>
  <c r="AO124" i="44"/>
  <c r="BY124" i="44"/>
  <c r="GG124" i="44"/>
  <c r="FC124" i="44"/>
  <c r="I124" i="44"/>
  <c r="FK124" i="44"/>
  <c r="CY124" i="44"/>
  <c r="CG124" i="44"/>
  <c r="AL124" i="44"/>
  <c r="FH124" i="44"/>
  <c r="FJ124" i="44"/>
  <c r="DE124" i="44"/>
  <c r="BU124" i="44"/>
  <c r="GP124" i="44"/>
  <c r="GZ124" i="44"/>
  <c r="FE124" i="44"/>
  <c r="DD124" i="44"/>
  <c r="AK124" i="44"/>
  <c r="GB124" i="44"/>
  <c r="FZ124" i="44"/>
  <c r="AJ124" i="44"/>
  <c r="GE124" i="44"/>
  <c r="DH124" i="44"/>
  <c r="GU124" i="44"/>
  <c r="GX124" i="44"/>
  <c r="CL124" i="44"/>
  <c r="C124" i="44"/>
  <c r="GS124" i="44"/>
  <c r="GR124" i="44"/>
  <c r="AW124" i="44"/>
  <c r="AF124" i="44"/>
  <c r="DG124" i="44"/>
  <c r="DW124" i="44"/>
  <c r="BF124" i="44"/>
  <c r="AI124" i="44"/>
  <c r="CZ23" i="41"/>
  <c r="HE23" i="41" s="1"/>
  <c r="CZ23" i="43"/>
  <c r="HE23" i="43" s="1"/>
  <c r="CZ23" i="45"/>
  <c r="HE23" i="45" s="1"/>
  <c r="CZ23" i="44"/>
  <c r="HE23" i="44" s="1"/>
  <c r="BH50" i="44"/>
  <c r="CS50" i="44"/>
  <c r="CA50" i="44"/>
  <c r="AP50" i="44"/>
  <c r="DG40" i="44"/>
  <c r="HL40" i="44" s="1"/>
  <c r="DG40" i="41"/>
  <c r="HL40" i="41" s="1"/>
  <c r="DG40" i="43"/>
  <c r="HL40" i="43" s="1"/>
  <c r="DG40" i="45"/>
  <c r="HL40" i="45" s="1"/>
  <c r="Z22" i="44"/>
  <c r="Z22" i="45"/>
  <c r="Z22" i="41"/>
  <c r="Z22" i="43"/>
  <c r="CY38" i="45"/>
  <c r="HD38" i="45" s="1"/>
  <c r="CY38" i="41"/>
  <c r="HD38" i="41" s="1"/>
  <c r="CY38" i="44"/>
  <c r="HD38" i="44" s="1"/>
  <c r="DP81" i="44"/>
  <c r="GO81" i="44" s="1"/>
  <c r="DP81" i="45"/>
  <c r="GO81" i="45" s="1"/>
  <c r="DP81" i="41"/>
  <c r="GO81" i="41" s="1"/>
  <c r="DP81" i="43"/>
  <c r="GO81" i="43" s="1"/>
  <c r="B20" i="43"/>
  <c r="AD20" i="45"/>
  <c r="GO20" i="44"/>
  <c r="CG20" i="41"/>
  <c r="AV20" i="44"/>
  <c r="AV20" i="41"/>
  <c r="BH20" i="41" s="1"/>
  <c r="BO20" i="45"/>
  <c r="AV20" i="43"/>
  <c r="BO20" i="44"/>
  <c r="AV20" i="45"/>
  <c r="B20" i="44"/>
  <c r="GO20" i="43"/>
  <c r="AD20" i="41"/>
  <c r="AP20" i="41" s="1"/>
  <c r="GO20" i="45"/>
  <c r="B20" i="41"/>
  <c r="GO20" i="41"/>
  <c r="BO20" i="41"/>
  <c r="CA20" i="41" s="1"/>
  <c r="AD20" i="44"/>
  <c r="B20" i="45"/>
  <c r="CG20" i="45"/>
  <c r="AD20" i="43"/>
  <c r="AP20" i="43" s="1"/>
  <c r="CG20" i="43"/>
  <c r="CG20" i="44"/>
  <c r="BO20" i="43"/>
  <c r="G253" i="12"/>
  <c r="G30" i="28" s="1"/>
  <c r="CZ35" i="44"/>
  <c r="HE35" i="44" s="1"/>
  <c r="CZ35" i="41"/>
  <c r="HE35" i="41" s="1"/>
  <c r="CZ35" i="43"/>
  <c r="HE35" i="43" s="1"/>
  <c r="CZ35" i="45"/>
  <c r="HE35" i="45" s="1"/>
  <c r="HB51" i="44"/>
  <c r="DI51" i="44"/>
  <c r="P37" i="41"/>
  <c r="P37" i="45"/>
  <c r="P37" i="43"/>
  <c r="P37" i="44"/>
  <c r="DL22" i="12"/>
  <c r="DV22" i="12"/>
  <c r="DR22" i="12"/>
  <c r="DO22" i="12"/>
  <c r="DM22" i="12"/>
  <c r="DT22" i="12"/>
  <c r="GV22" i="12"/>
  <c r="GX22" i="12" s="1"/>
  <c r="DQ22" i="12"/>
  <c r="DU22" i="12"/>
  <c r="DW22" i="12"/>
  <c r="DP22" i="12"/>
  <c r="DN22" i="12"/>
  <c r="DS22" i="12"/>
  <c r="DT115" i="44"/>
  <c r="GS115" i="44" s="1"/>
  <c r="DT115" i="45"/>
  <c r="GS115" i="45" s="1"/>
  <c r="DT115" i="41"/>
  <c r="GS115" i="41" s="1"/>
  <c r="DT115" i="43"/>
  <c r="GS115" i="43" s="1"/>
  <c r="GT41" i="45"/>
  <c r="GR41" i="45"/>
  <c r="GU41" i="45"/>
  <c r="GQ41" i="45"/>
  <c r="GY41" i="45"/>
  <c r="GP41" i="45"/>
  <c r="GO41" i="45"/>
  <c r="GZ41" i="45"/>
  <c r="GS41" i="45"/>
  <c r="GV41" i="45"/>
  <c r="GX41" i="45"/>
  <c r="GW41" i="45"/>
  <c r="GP71" i="45"/>
  <c r="FC131" i="45"/>
  <c r="E71" i="44"/>
  <c r="G71" i="44" s="1"/>
  <c r="B66" i="44"/>
  <c r="K82" i="18"/>
  <c r="C90" i="18" s="1"/>
  <c r="C44" i="28" s="1"/>
  <c r="B109" i="41"/>
  <c r="B109" i="45"/>
  <c r="B109" i="43"/>
  <c r="B109" i="44"/>
  <c r="FE22" i="41"/>
  <c r="FE28" i="41" s="1"/>
  <c r="FD22" i="41"/>
  <c r="FE12" i="44"/>
  <c r="GP12" i="44" s="1"/>
  <c r="FC12" i="44"/>
  <c r="DO78" i="41"/>
  <c r="GN78" i="41" s="1"/>
  <c r="DO78" i="44"/>
  <c r="GN78" i="44" s="1"/>
  <c r="DO78" i="43"/>
  <c r="GN78" i="43" s="1"/>
  <c r="DO78" i="45"/>
  <c r="GN78" i="45" s="1"/>
  <c r="DX86" i="45"/>
  <c r="GW86" i="45" s="1"/>
  <c r="DX86" i="41"/>
  <c r="GW86" i="41" s="1"/>
  <c r="DX86" i="44"/>
  <c r="GW86" i="44" s="1"/>
  <c r="DX86" i="43"/>
  <c r="GW86" i="43" s="1"/>
  <c r="J110" i="41"/>
  <c r="J110" i="44"/>
  <c r="J110" i="45"/>
  <c r="J110" i="43"/>
  <c r="D84" i="43"/>
  <c r="D118" i="43" s="1"/>
  <c r="D84" i="45"/>
  <c r="D118" i="45" s="1"/>
  <c r="D84" i="44"/>
  <c r="D118" i="44" s="1"/>
  <c r="D84" i="41"/>
  <c r="DU116" i="41"/>
  <c r="GT116" i="41" s="1"/>
  <c r="DU116" i="43"/>
  <c r="GT116" i="43" s="1"/>
  <c r="DU116" i="44"/>
  <c r="GT116" i="44" s="1"/>
  <c r="DU116" i="45"/>
  <c r="GT116" i="45" s="1"/>
  <c r="O21" i="44"/>
  <c r="O21" i="45"/>
  <c r="O21" i="43"/>
  <c r="O21" i="41"/>
  <c r="GC12" i="43"/>
  <c r="GC12" i="45"/>
  <c r="GC33" i="45" s="1"/>
  <c r="GC12" i="41"/>
  <c r="GC12" i="44"/>
  <c r="DH40" i="44"/>
  <c r="HM40" i="44" s="1"/>
  <c r="DH40" i="43"/>
  <c r="HM40" i="43" s="1"/>
  <c r="DH40" i="45"/>
  <c r="HM40" i="45" s="1"/>
  <c r="DH40" i="41"/>
  <c r="HM40" i="41" s="1"/>
  <c r="AY33" i="45"/>
  <c r="CJ33" i="45"/>
  <c r="CJ33" i="44"/>
  <c r="BR33" i="44"/>
  <c r="E33" i="44"/>
  <c r="BR33" i="41"/>
  <c r="E33" i="45"/>
  <c r="E33" i="43"/>
  <c r="AG33" i="41"/>
  <c r="BR33" i="45"/>
  <c r="AY33" i="44"/>
  <c r="CJ33" i="41"/>
  <c r="BR33" i="43"/>
  <c r="AG33" i="44"/>
  <c r="AY33" i="43"/>
  <c r="CJ33" i="43"/>
  <c r="AY33" i="41"/>
  <c r="GR33" i="41"/>
  <c r="E33" i="41"/>
  <c r="E200" i="12"/>
  <c r="F200" i="12"/>
  <c r="H200" i="12"/>
  <c r="G200" i="12"/>
  <c r="GQ78" i="43"/>
  <c r="DS113" i="43"/>
  <c r="GR113" i="43" s="1"/>
  <c r="DS113" i="41"/>
  <c r="GR113" i="41" s="1"/>
  <c r="DS113" i="44"/>
  <c r="GR113" i="44" s="1"/>
  <c r="DS113" i="45"/>
  <c r="GR113" i="45" s="1"/>
  <c r="L40" i="15"/>
  <c r="O40" i="15"/>
  <c r="J40" i="15"/>
  <c r="K40" i="15"/>
  <c r="F40" i="15"/>
  <c r="I40" i="15"/>
  <c r="I42" i="15" s="1"/>
  <c r="I43" i="15" s="1"/>
  <c r="I48" i="15" s="1"/>
  <c r="I49" i="15" s="1"/>
  <c r="C64" i="15" s="1"/>
  <c r="C89" i="41"/>
  <c r="C89" i="44"/>
  <c r="C89" i="45"/>
  <c r="C89" i="43"/>
  <c r="DI50" i="44"/>
  <c r="HB50" i="44"/>
  <c r="I87" i="44"/>
  <c r="I87" i="41"/>
  <c r="I87" i="45"/>
  <c r="I87" i="43"/>
  <c r="GT40" i="45"/>
  <c r="GW40" i="45"/>
  <c r="GQ40" i="45"/>
  <c r="GV40" i="45"/>
  <c r="GO40" i="45"/>
  <c r="GS40" i="45"/>
  <c r="GU40" i="45"/>
  <c r="GP40" i="45"/>
  <c r="GX40" i="45"/>
  <c r="GZ40" i="45"/>
  <c r="GY40" i="45"/>
  <c r="GR40" i="45"/>
  <c r="DI43" i="41"/>
  <c r="HB43" i="41"/>
  <c r="F162" i="45"/>
  <c r="AG16" i="35"/>
  <c r="GS33" i="44"/>
  <c r="GV33" i="44"/>
  <c r="GO33" i="44"/>
  <c r="GZ33" i="44"/>
  <c r="GR33" i="44"/>
  <c r="GY33" i="44"/>
  <c r="GX33" i="44"/>
  <c r="GW33" i="44"/>
  <c r="GU33" i="44"/>
  <c r="GP33" i="44"/>
  <c r="GT33" i="44"/>
  <c r="GQ33" i="44"/>
  <c r="J109" i="45"/>
  <c r="J109" i="43"/>
  <c r="J109" i="44"/>
  <c r="J109" i="41"/>
  <c r="DV100" i="41"/>
  <c r="GU100" i="41" s="1"/>
  <c r="DV100" i="45"/>
  <c r="GU100" i="45" s="1"/>
  <c r="DV100" i="44"/>
  <c r="GU100" i="44" s="1"/>
  <c r="DV100" i="43"/>
  <c r="GU100" i="43" s="1"/>
  <c r="BH15" i="18"/>
  <c r="AQ15" i="18"/>
  <c r="AU15" i="18" s="1"/>
  <c r="AX15" i="18"/>
  <c r="BB15" i="18" s="1"/>
  <c r="BK15" i="18" s="1"/>
  <c r="AY15" i="18"/>
  <c r="BC15" i="18" s="1"/>
  <c r="BL15" i="18" s="1"/>
  <c r="AZ15" i="18"/>
  <c r="BD15" i="18" s="1"/>
  <c r="BM15" i="18" s="1"/>
  <c r="AR15" i="18"/>
  <c r="AV15" i="18" s="1"/>
  <c r="BI15" i="18"/>
  <c r="AP15" i="18"/>
  <c r="AT15" i="18" s="1"/>
  <c r="BA15" i="18"/>
  <c r="BE15" i="18" s="1"/>
  <c r="BN15" i="18" s="1"/>
  <c r="BJ15" i="18"/>
  <c r="BG15" i="18"/>
  <c r="AO15" i="18"/>
  <c r="AS15" i="18" s="1"/>
  <c r="DJ44" i="41"/>
  <c r="DJ44" i="43"/>
  <c r="DJ44" i="45"/>
  <c r="DJ44" i="44"/>
  <c r="Y3" i="12"/>
  <c r="X3" i="12"/>
  <c r="AA3" i="12"/>
  <c r="T3" i="12"/>
  <c r="GS3" i="12"/>
  <c r="GU3" i="12" s="1"/>
  <c r="Z3" i="12"/>
  <c r="GU19" i="45" s="1"/>
  <c r="AD3" i="12"/>
  <c r="U3" i="12"/>
  <c r="W3" i="12"/>
  <c r="AC3" i="12"/>
  <c r="AE3" i="12"/>
  <c r="GZ19" i="45" s="1"/>
  <c r="AB3" i="12"/>
  <c r="V3" i="12"/>
  <c r="V59" i="41"/>
  <c r="V59" i="44"/>
  <c r="V59" i="45"/>
  <c r="V59" i="43"/>
  <c r="DA19" i="41"/>
  <c r="DA19" i="44"/>
  <c r="DA19" i="45"/>
  <c r="DA19" i="43"/>
  <c r="GC16" i="41"/>
  <c r="GC16" i="44"/>
  <c r="GC16" i="45"/>
  <c r="GC16" i="43"/>
  <c r="DD56" i="41"/>
  <c r="HI56" i="41" s="1"/>
  <c r="DD56" i="43"/>
  <c r="HI56" i="43" s="1"/>
  <c r="DD56" i="44"/>
  <c r="HI56" i="44" s="1"/>
  <c r="DD56" i="45"/>
  <c r="HI56" i="45" s="1"/>
  <c r="V37" i="12"/>
  <c r="Y37" i="12"/>
  <c r="AC37" i="12"/>
  <c r="AE37" i="12"/>
  <c r="U37" i="12"/>
  <c r="AA37" i="12"/>
  <c r="GS37" i="12"/>
  <c r="GU37" i="12" s="1"/>
  <c r="Z37" i="12"/>
  <c r="GU53" i="43" s="1"/>
  <c r="X37" i="12"/>
  <c r="T37" i="12"/>
  <c r="W37" i="12"/>
  <c r="AB37" i="12"/>
  <c r="AD37" i="12"/>
  <c r="BF39" i="45"/>
  <c r="BF39" i="44"/>
  <c r="AN39" i="41"/>
  <c r="BY39" i="41"/>
  <c r="AN39" i="44"/>
  <c r="BF39" i="43"/>
  <c r="BY39" i="45"/>
  <c r="BY39" i="43"/>
  <c r="CQ39" i="43"/>
  <c r="CQ39" i="41"/>
  <c r="CQ39" i="44"/>
  <c r="L39" i="43"/>
  <c r="L39" i="45"/>
  <c r="L39" i="41"/>
  <c r="L39" i="44"/>
  <c r="GY39" i="44"/>
  <c r="BY39" i="44"/>
  <c r="CQ39" i="45"/>
  <c r="BF39" i="41"/>
  <c r="DQ109" i="41"/>
  <c r="GP109" i="41" s="1"/>
  <c r="DQ109" i="45"/>
  <c r="GP109" i="45" s="1"/>
  <c r="DQ109" i="43"/>
  <c r="GP109" i="43" s="1"/>
  <c r="DQ109" i="44"/>
  <c r="GP109" i="44" s="1"/>
  <c r="AH49" i="45"/>
  <c r="F49" i="44"/>
  <c r="AZ49" i="44"/>
  <c r="AH49" i="44"/>
  <c r="BS49" i="44"/>
  <c r="F49" i="45"/>
  <c r="GS49" i="41"/>
  <c r="BS49" i="41"/>
  <c r="F49" i="43"/>
  <c r="CK49" i="44"/>
  <c r="CK49" i="43"/>
  <c r="AH49" i="43"/>
  <c r="CK49" i="41"/>
  <c r="CK49" i="45"/>
  <c r="GS49" i="45"/>
  <c r="GS49" i="44"/>
  <c r="BS49" i="45"/>
  <c r="AZ49" i="41"/>
  <c r="AZ49" i="43"/>
  <c r="F49" i="41"/>
  <c r="AH49" i="41"/>
  <c r="AZ49" i="45"/>
  <c r="Q57" i="45"/>
  <c r="Q57" i="41"/>
  <c r="Q57" i="43"/>
  <c r="Q57" i="44"/>
  <c r="C39" i="27"/>
  <c r="G11" i="23"/>
  <c r="GX45" i="45"/>
  <c r="GP45" i="45"/>
  <c r="GU45" i="45"/>
  <c r="GO45" i="45"/>
  <c r="GW45" i="45"/>
  <c r="GR45" i="45"/>
  <c r="GS45" i="45"/>
  <c r="GV45" i="45"/>
  <c r="GQ45" i="45"/>
  <c r="GY45" i="45"/>
  <c r="GZ45" i="45"/>
  <c r="GT45" i="45"/>
  <c r="DT89" i="41"/>
  <c r="GS89" i="41" s="1"/>
  <c r="DT89" i="43"/>
  <c r="GS89" i="43" s="1"/>
  <c r="DT89" i="44"/>
  <c r="GS89" i="44" s="1"/>
  <c r="DT89" i="45"/>
  <c r="GS89" i="45" s="1"/>
  <c r="DX102" i="45"/>
  <c r="GW102" i="45" s="1"/>
  <c r="DX102" i="43"/>
  <c r="GW102" i="43" s="1"/>
  <c r="DX102" i="44"/>
  <c r="GW102" i="44" s="1"/>
  <c r="DX102" i="41"/>
  <c r="GW102" i="41" s="1"/>
  <c r="AC14" i="12"/>
  <c r="Z14" i="12"/>
  <c r="AB14" i="12"/>
  <c r="W14" i="12"/>
  <c r="GR30" i="43" s="1"/>
  <c r="T14" i="12"/>
  <c r="AA14" i="12"/>
  <c r="GS14" i="12"/>
  <c r="AD14" i="12"/>
  <c r="U14" i="12"/>
  <c r="AE14" i="12"/>
  <c r="X14" i="12"/>
  <c r="Y14" i="12"/>
  <c r="GT30" i="43" s="1"/>
  <c r="V14" i="12"/>
  <c r="M35" i="26"/>
  <c r="B68" i="26" s="1"/>
  <c r="N35" i="26"/>
  <c r="B69" i="26" s="1"/>
  <c r="G35" i="26"/>
  <c r="B62" i="26" s="1"/>
  <c r="K35" i="26"/>
  <c r="B66" i="26" s="1"/>
  <c r="J35" i="26"/>
  <c r="B65" i="26" s="1"/>
  <c r="I35" i="26"/>
  <c r="B64" i="26" s="1"/>
  <c r="B35" i="26"/>
  <c r="P253" i="12"/>
  <c r="GP44" i="45"/>
  <c r="GZ44" i="45"/>
  <c r="GX44" i="45"/>
  <c r="GS44" i="45"/>
  <c r="GU44" i="45"/>
  <c r="GQ44" i="45"/>
  <c r="GT44" i="45"/>
  <c r="GW44" i="45"/>
  <c r="GR44" i="45"/>
  <c r="GY44" i="45"/>
  <c r="GO44" i="45"/>
  <c r="GV44" i="45"/>
  <c r="O43" i="15"/>
  <c r="O48" i="15" s="1"/>
  <c r="O49" i="15" s="1"/>
  <c r="C71" i="15" s="1"/>
  <c r="L43" i="15"/>
  <c r="L48" i="15" s="1"/>
  <c r="L49" i="15" s="1"/>
  <c r="C67" i="15" s="1"/>
  <c r="E43" i="15"/>
  <c r="E48" i="15" s="1"/>
  <c r="E49" i="15" s="1"/>
  <c r="C60" i="15" s="1"/>
  <c r="B48" i="15"/>
  <c r="B49" i="15" s="1"/>
  <c r="GY49" i="43"/>
  <c r="GZ49" i="43"/>
  <c r="GT49" i="43"/>
  <c r="GR49" i="43"/>
  <c r="GW49" i="43"/>
  <c r="GQ49" i="43"/>
  <c r="GU49" i="43"/>
  <c r="GP49" i="43"/>
  <c r="GS49" i="43"/>
  <c r="GO49" i="43"/>
  <c r="GV49" i="43"/>
  <c r="GX49" i="43"/>
  <c r="AN39" i="43"/>
  <c r="B110" i="43"/>
  <c r="B110" i="41"/>
  <c r="B110" i="44"/>
  <c r="B110" i="45"/>
  <c r="D19" i="35"/>
  <c r="F165" i="41"/>
  <c r="E112" i="41"/>
  <c r="E112" i="45"/>
  <c r="E112" i="43"/>
  <c r="E112" i="44"/>
  <c r="D171" i="41"/>
  <c r="D170" i="41"/>
  <c r="FW34" i="12"/>
  <c r="FX34" i="12"/>
  <c r="GB34" i="12"/>
  <c r="FZ34" i="12"/>
  <c r="FY34" i="12"/>
  <c r="FU34" i="12"/>
  <c r="GD34" i="12"/>
  <c r="FT34" i="12"/>
  <c r="FV34" i="12"/>
  <c r="GC34" i="12"/>
  <c r="GA34" i="12"/>
  <c r="BI33" i="45"/>
  <c r="CT33" i="41"/>
  <c r="CB33" i="41"/>
  <c r="CT33" i="44"/>
  <c r="CB33" i="43"/>
  <c r="CT33" i="43"/>
  <c r="BI33" i="44"/>
  <c r="CB33" i="44"/>
  <c r="CB33" i="45"/>
  <c r="BI33" i="41"/>
  <c r="AQ33" i="41"/>
  <c r="BI33" i="43"/>
  <c r="AQ33" i="44"/>
  <c r="I101" i="41"/>
  <c r="I101" i="45"/>
  <c r="I101" i="44"/>
  <c r="I101" i="43"/>
  <c r="DJ35" i="45"/>
  <c r="DJ35" i="41"/>
  <c r="DJ35" i="43"/>
  <c r="DJ35" i="44"/>
  <c r="J111" i="44"/>
  <c r="J111" i="45"/>
  <c r="J111" i="43"/>
  <c r="J111" i="41"/>
  <c r="CT32" i="44"/>
  <c r="AQ32" i="43"/>
  <c r="BI32" i="43"/>
  <c r="CB32" i="45"/>
  <c r="CT32" i="41"/>
  <c r="CB32" i="44"/>
  <c r="CT32" i="43"/>
  <c r="BI32" i="41"/>
  <c r="AQ32" i="41"/>
  <c r="BI32" i="44"/>
  <c r="CB32" i="43"/>
  <c r="CB32" i="41"/>
  <c r="AQ32" i="44"/>
  <c r="AQ32" i="45"/>
  <c r="Z58" i="45"/>
  <c r="Z58" i="43"/>
  <c r="Z58" i="44"/>
  <c r="Z58" i="41"/>
  <c r="DJ19" i="41"/>
  <c r="DJ19" i="44"/>
  <c r="DJ19" i="45"/>
  <c r="DJ19" i="43"/>
  <c r="W40" i="41"/>
  <c r="W40" i="44"/>
  <c r="W40" i="43"/>
  <c r="DP114" i="41"/>
  <c r="GO114" i="41" s="1"/>
  <c r="DP114" i="45"/>
  <c r="GO114" i="45" s="1"/>
  <c r="DP114" i="43"/>
  <c r="GO114" i="43" s="1"/>
  <c r="DP114" i="44"/>
  <c r="GO114" i="44" s="1"/>
  <c r="C253" i="12"/>
  <c r="H101" i="41"/>
  <c r="H101" i="45"/>
  <c r="H101" i="43"/>
  <c r="H101" i="44"/>
  <c r="V23" i="43"/>
  <c r="V23" i="44"/>
  <c r="V23" i="45"/>
  <c r="V23" i="41"/>
  <c r="O17" i="16"/>
  <c r="EB17" i="12"/>
  <c r="O49" i="43"/>
  <c r="DI49" i="43" s="1"/>
  <c r="O49" i="45"/>
  <c r="DI49" i="45" s="1"/>
  <c r="O49" i="41"/>
  <c r="DI49" i="41" s="1"/>
  <c r="O49" i="44"/>
  <c r="DI49" i="44" s="1"/>
  <c r="E247" i="12"/>
  <c r="G247" i="12"/>
  <c r="F247" i="12"/>
  <c r="F253" i="12" s="1"/>
  <c r="F30" i="28" s="1"/>
  <c r="H247" i="12"/>
  <c r="FW21" i="12"/>
  <c r="FZ21" i="12"/>
  <c r="GE21" i="12"/>
  <c r="FV21" i="12"/>
  <c r="GA21" i="12"/>
  <c r="GB21" i="12"/>
  <c r="FY21" i="12"/>
  <c r="GD21" i="12"/>
  <c r="FX21" i="12"/>
  <c r="GC21" i="12"/>
  <c r="DO76" i="43"/>
  <c r="DO76" i="44"/>
  <c r="DO76" i="41"/>
  <c r="DO76" i="45"/>
  <c r="DD19" i="41"/>
  <c r="DD19" i="43"/>
  <c r="DD19" i="45"/>
  <c r="DD19" i="44"/>
  <c r="R21" i="41"/>
  <c r="R21" i="45"/>
  <c r="R21" i="43"/>
  <c r="R21" i="44"/>
  <c r="DD23" i="44"/>
  <c r="HI23" i="44" s="1"/>
  <c r="DD23" i="43"/>
  <c r="HI23" i="43" s="1"/>
  <c r="DD23" i="45"/>
  <c r="HI23" i="45" s="1"/>
  <c r="DD23" i="41"/>
  <c r="HI23" i="41" s="1"/>
  <c r="T24" i="44"/>
  <c r="T24" i="45"/>
  <c r="T24" i="41"/>
  <c r="T24" i="43"/>
  <c r="D171" i="44"/>
  <c r="CX58" i="41"/>
  <c r="HC58" i="41" s="1"/>
  <c r="CX58" i="43"/>
  <c r="HC58" i="43" s="1"/>
  <c r="CX58" i="45"/>
  <c r="HC58" i="45" s="1"/>
  <c r="CX58" i="44"/>
  <c r="HC58" i="44" s="1"/>
  <c r="H190" i="12"/>
  <c r="G190" i="12"/>
  <c r="F190" i="12"/>
  <c r="E190" i="12"/>
  <c r="W28" i="44"/>
  <c r="W28" i="45"/>
  <c r="W28" i="43"/>
  <c r="W28" i="41"/>
  <c r="T28" i="44"/>
  <c r="T28" i="45"/>
  <c r="T28" i="43"/>
  <c r="T28" i="41"/>
  <c r="HJ19" i="45"/>
  <c r="CZ39" i="43"/>
  <c r="HE39" i="43" s="1"/>
  <c r="CZ39" i="41"/>
  <c r="HE39" i="41" s="1"/>
  <c r="CZ39" i="44"/>
  <c r="HE39" i="44" s="1"/>
  <c r="CZ39" i="45"/>
  <c r="HE39" i="45" s="1"/>
  <c r="DB40" i="41"/>
  <c r="HG40" i="41" s="1"/>
  <c r="DB40" i="45"/>
  <c r="HG40" i="45" s="1"/>
  <c r="DB40" i="43"/>
  <c r="HG40" i="43" s="1"/>
  <c r="DB40" i="44"/>
  <c r="HG40" i="44" s="1"/>
  <c r="CW56" i="45"/>
  <c r="CW56" i="43"/>
  <c r="CW56" i="41"/>
  <c r="CW56" i="44"/>
  <c r="O22" i="41"/>
  <c r="DI22" i="41" s="1"/>
  <c r="O22" i="45"/>
  <c r="DI22" i="45" s="1"/>
  <c r="O22" i="43"/>
  <c r="DI22" i="43" s="1"/>
  <c r="O22" i="44"/>
  <c r="DI22" i="44" s="1"/>
  <c r="CN33" i="43"/>
  <c r="BC33" i="45"/>
  <c r="CN33" i="41"/>
  <c r="BC33" i="43"/>
  <c r="I33" i="41"/>
  <c r="BV33" i="43"/>
  <c r="AK33" i="41"/>
  <c r="BC33" i="44"/>
  <c r="BV33" i="41"/>
  <c r="BV33" i="44"/>
  <c r="I33" i="44"/>
  <c r="I33" i="45"/>
  <c r="CN33" i="44"/>
  <c r="CN33" i="45"/>
  <c r="AK33" i="44"/>
  <c r="I33" i="43"/>
  <c r="GV33" i="41"/>
  <c r="BV33" i="45"/>
  <c r="BC33" i="41"/>
  <c r="DF38" i="41"/>
  <c r="HK38" i="41" s="1"/>
  <c r="DF38" i="45"/>
  <c r="HK38" i="45" s="1"/>
  <c r="DF38" i="44"/>
  <c r="HK38" i="44" s="1"/>
  <c r="CX31" i="43"/>
  <c r="HC31" i="43" s="1"/>
  <c r="CX31" i="45"/>
  <c r="HC31" i="45" s="1"/>
  <c r="CX31" i="41"/>
  <c r="HC31" i="41" s="1"/>
  <c r="CX31" i="44"/>
  <c r="HC31" i="44" s="1"/>
  <c r="DT79" i="45"/>
  <c r="GS79" i="45" s="1"/>
  <c r="DT79" i="41"/>
  <c r="GS79" i="41" s="1"/>
  <c r="DT79" i="43"/>
  <c r="GS79" i="43" s="1"/>
  <c r="DT79" i="44"/>
  <c r="GS79" i="44" s="1"/>
  <c r="DR99" i="45"/>
  <c r="GQ99" i="45" s="1"/>
  <c r="DR99" i="44"/>
  <c r="GQ99" i="44" s="1"/>
  <c r="DR99" i="43"/>
  <c r="GQ99" i="43" s="1"/>
  <c r="DR99" i="41"/>
  <c r="GQ99" i="41" s="1"/>
  <c r="GQ78" i="44"/>
  <c r="GU8" i="12"/>
  <c r="FY71" i="41"/>
  <c r="G71" i="41"/>
  <c r="C18" i="35"/>
  <c r="F164" i="41"/>
  <c r="BH27" i="44"/>
  <c r="BH27" i="43"/>
  <c r="BS39" i="43"/>
  <c r="F39" i="43"/>
  <c r="CK39" i="41"/>
  <c r="F39" i="45"/>
  <c r="BS39" i="44"/>
  <c r="BS39" i="41"/>
  <c r="AH39" i="41"/>
  <c r="CK39" i="44"/>
  <c r="GS39" i="44"/>
  <c r="CK39" i="43"/>
  <c r="AH39" i="44"/>
  <c r="BS39" i="45"/>
  <c r="AZ39" i="43"/>
  <c r="AZ39" i="44"/>
  <c r="AZ39" i="41"/>
  <c r="AZ39" i="45"/>
  <c r="CK39" i="45"/>
  <c r="F39" i="44"/>
  <c r="F39" i="41"/>
  <c r="GS39" i="41"/>
  <c r="DW109" i="41"/>
  <c r="GV109" i="41" s="1"/>
  <c r="DW109" i="45"/>
  <c r="GV109" i="45" s="1"/>
  <c r="DW109" i="43"/>
  <c r="GV109" i="43" s="1"/>
  <c r="DW109" i="44"/>
  <c r="GV109" i="44" s="1"/>
  <c r="GX49" i="45"/>
  <c r="AM49" i="43"/>
  <c r="BE49" i="41"/>
  <c r="AM49" i="44"/>
  <c r="K49" i="41"/>
  <c r="CP49" i="45"/>
  <c r="BX49" i="44"/>
  <c r="BE49" i="45"/>
  <c r="CP49" i="44"/>
  <c r="K49" i="44"/>
  <c r="AM49" i="41"/>
  <c r="GX49" i="41"/>
  <c r="K49" i="43"/>
  <c r="BX49" i="41"/>
  <c r="CP49" i="41"/>
  <c r="AM49" i="45"/>
  <c r="BX49" i="45"/>
  <c r="GX49" i="44"/>
  <c r="CP49" i="43"/>
  <c r="BE49" i="43"/>
  <c r="BE49" i="44"/>
  <c r="K49" i="45"/>
  <c r="BX49" i="43"/>
  <c r="DP113" i="41"/>
  <c r="GO113" i="41" s="1"/>
  <c r="DP113" i="44"/>
  <c r="GO113" i="44" s="1"/>
  <c r="DP113" i="45"/>
  <c r="GO113" i="45" s="1"/>
  <c r="DP113" i="43"/>
  <c r="GO113" i="43" s="1"/>
  <c r="DX81" i="41"/>
  <c r="DX81" i="45"/>
  <c r="DX81" i="44"/>
  <c r="DX81" i="43"/>
  <c r="DT81" i="44"/>
  <c r="GS81" i="44" s="1"/>
  <c r="DT81" i="43"/>
  <c r="GS81" i="43" s="1"/>
  <c r="DT81" i="45"/>
  <c r="GS81" i="45" s="1"/>
  <c r="DT81" i="41"/>
  <c r="GS81" i="41" s="1"/>
  <c r="R56" i="44"/>
  <c r="R56" i="45"/>
  <c r="R56" i="43"/>
  <c r="R56" i="41"/>
  <c r="DR112" i="45"/>
  <c r="GQ112" i="45" s="1"/>
  <c r="DR112" i="43"/>
  <c r="GQ112" i="43" s="1"/>
  <c r="DR112" i="41"/>
  <c r="GQ112" i="41" s="1"/>
  <c r="DR112" i="44"/>
  <c r="GQ112" i="44" s="1"/>
  <c r="GQ58" i="44"/>
  <c r="GQ58" i="45"/>
  <c r="BQ58" i="41"/>
  <c r="CI58" i="41"/>
  <c r="AF58" i="41"/>
  <c r="D58" i="45"/>
  <c r="AX58" i="41"/>
  <c r="AX58" i="43"/>
  <c r="CI58" i="44"/>
  <c r="D58" i="41"/>
  <c r="AF58" i="45"/>
  <c r="GQ58" i="41"/>
  <c r="AF58" i="44"/>
  <c r="CI58" i="43"/>
  <c r="D58" i="43"/>
  <c r="AX58" i="45"/>
  <c r="AX58" i="44"/>
  <c r="CI58" i="45"/>
  <c r="BQ58" i="45"/>
  <c r="BQ58" i="44"/>
  <c r="AF58" i="43"/>
  <c r="BQ58" i="43"/>
  <c r="D58" i="44"/>
  <c r="GQ58" i="43"/>
  <c r="I33" i="15"/>
  <c r="I34" i="15" s="1"/>
  <c r="I35" i="15" s="1"/>
  <c r="B64" i="15" s="1"/>
  <c r="M33" i="15"/>
  <c r="M34" i="15" s="1"/>
  <c r="M35" i="15" s="1"/>
  <c r="B68" i="15" s="1"/>
  <c r="J33" i="15"/>
  <c r="J34" i="15" s="1"/>
  <c r="J35" i="15" s="1"/>
  <c r="B65" i="15" s="1"/>
  <c r="N33" i="15"/>
  <c r="N34" i="15" s="1"/>
  <c r="N35" i="15" s="1"/>
  <c r="B69" i="15" s="1"/>
  <c r="K33" i="15"/>
  <c r="K34" i="15" s="1"/>
  <c r="K35" i="15" s="1"/>
  <c r="B66" i="15" s="1"/>
  <c r="B34" i="15"/>
  <c r="B35" i="15" s="1"/>
  <c r="CA47" i="44"/>
  <c r="AF60" i="44"/>
  <c r="D60" i="43"/>
  <c r="AX60" i="43"/>
  <c r="GQ60" i="41"/>
  <c r="CI60" i="44"/>
  <c r="CI60" i="45"/>
  <c r="D60" i="44"/>
  <c r="AX60" i="44"/>
  <c r="GQ60" i="43"/>
  <c r="AF60" i="41"/>
  <c r="BQ60" i="44"/>
  <c r="BQ60" i="41"/>
  <c r="GQ60" i="44"/>
  <c r="GQ60" i="45"/>
  <c r="AX60" i="45"/>
  <c r="D60" i="45"/>
  <c r="BQ60" i="45"/>
  <c r="CI60" i="43"/>
  <c r="CI60" i="41"/>
  <c r="D60" i="41"/>
  <c r="AF60" i="45"/>
  <c r="BQ60" i="43"/>
  <c r="AF60" i="43"/>
  <c r="AX60" i="41"/>
  <c r="DF35" i="45"/>
  <c r="HK35" i="45" s="1"/>
  <c r="DF35" i="43"/>
  <c r="HK35" i="43" s="1"/>
  <c r="DF35" i="41"/>
  <c r="HK35" i="41" s="1"/>
  <c r="DF35" i="44"/>
  <c r="HK35" i="44" s="1"/>
  <c r="CS29" i="41"/>
  <c r="DQ103" i="45"/>
  <c r="GP103" i="45" s="1"/>
  <c r="DQ103" i="43"/>
  <c r="GP103" i="43" s="1"/>
  <c r="DQ103" i="44"/>
  <c r="GP103" i="44" s="1"/>
  <c r="DQ103" i="41"/>
  <c r="GP103" i="41" s="1"/>
  <c r="AP41" i="44"/>
  <c r="BH41" i="44"/>
  <c r="GE28" i="41"/>
  <c r="GE28" i="45"/>
  <c r="GE28" i="43"/>
  <c r="GE28" i="44"/>
  <c r="GX80" i="41"/>
  <c r="HC20" i="43"/>
  <c r="Q37" i="45"/>
  <c r="Q37" i="44"/>
  <c r="Q37" i="41"/>
  <c r="Q37" i="43"/>
  <c r="CS28" i="43"/>
  <c r="GZ46" i="45"/>
  <c r="AQ33" i="45"/>
  <c r="AH33" i="45"/>
  <c r="DU89" i="45"/>
  <c r="GT89" i="45" s="1"/>
  <c r="DU89" i="41"/>
  <c r="GT89" i="41" s="1"/>
  <c r="DU89" i="44"/>
  <c r="GT89" i="44" s="1"/>
  <c r="DU89" i="43"/>
  <c r="GT89" i="43" s="1"/>
  <c r="DW89" i="43"/>
  <c r="GV89" i="43" s="1"/>
  <c r="DW89" i="44"/>
  <c r="GV89" i="44" s="1"/>
  <c r="DW89" i="45"/>
  <c r="GV89" i="45" s="1"/>
  <c r="DW89" i="41"/>
  <c r="GV89" i="41" s="1"/>
  <c r="D89" i="44"/>
  <c r="D89" i="43"/>
  <c r="D89" i="41"/>
  <c r="D118" i="41" s="1"/>
  <c r="D89" i="45"/>
  <c r="GT16" i="12"/>
  <c r="AU16" i="12"/>
  <c r="BB16" i="12"/>
  <c r="BE16" i="12"/>
  <c r="AW16" i="12"/>
  <c r="AV16" i="12"/>
  <c r="AX16" i="12"/>
  <c r="BD16" i="12"/>
  <c r="BC16" i="12"/>
  <c r="AZ16" i="12"/>
  <c r="BA16" i="12"/>
  <c r="AY16" i="12"/>
  <c r="BF16" i="12"/>
  <c r="DR115" i="45"/>
  <c r="GQ115" i="45" s="1"/>
  <c r="DR115" i="43"/>
  <c r="GQ115" i="43" s="1"/>
  <c r="DR115" i="44"/>
  <c r="GQ115" i="44" s="1"/>
  <c r="DR115" i="41"/>
  <c r="GQ115" i="41" s="1"/>
  <c r="DO87" i="44"/>
  <c r="GN87" i="44" s="1"/>
  <c r="DO87" i="45"/>
  <c r="GN87" i="45" s="1"/>
  <c r="DO87" i="43"/>
  <c r="GN87" i="43" s="1"/>
  <c r="DO87" i="41"/>
  <c r="GN87" i="41" s="1"/>
  <c r="DU87" i="43"/>
  <c r="DU87" i="41"/>
  <c r="DU87" i="44"/>
  <c r="DU87" i="45"/>
  <c r="DL14" i="12"/>
  <c r="DV14" i="12"/>
  <c r="DW14" i="12"/>
  <c r="DR14" i="12"/>
  <c r="DM14" i="12"/>
  <c r="DQ14" i="12"/>
  <c r="DT14" i="12"/>
  <c r="DS14" i="12"/>
  <c r="GV14" i="12"/>
  <c r="DO14" i="12"/>
  <c r="DU14" i="12"/>
  <c r="DN14" i="12"/>
  <c r="DP14" i="12"/>
  <c r="D87" i="45"/>
  <c r="D87" i="43"/>
  <c r="D87" i="44"/>
  <c r="D87" i="41"/>
  <c r="GI33" i="44"/>
  <c r="B172" i="44" s="1"/>
  <c r="M82" i="18"/>
  <c r="C92" i="18" s="1"/>
  <c r="C46" i="28" s="1"/>
  <c r="Q82" i="18"/>
  <c r="C96" i="18" s="1"/>
  <c r="C50" i="28" s="1"/>
  <c r="L253" i="12"/>
  <c r="O254" i="12" s="1"/>
  <c r="S253" i="12"/>
  <c r="CG145" i="43"/>
  <c r="CM145" i="43" s="1"/>
  <c r="CG151" i="43" s="1"/>
  <c r="C164" i="43" s="1"/>
  <c r="CJ145" i="43"/>
  <c r="J16" i="47"/>
  <c r="P18" i="48" s="1"/>
  <c r="P17" i="48"/>
  <c r="L113" i="45"/>
  <c r="L113" i="41"/>
  <c r="L113" i="43"/>
  <c r="L113" i="44"/>
  <c r="BI24" i="18"/>
  <c r="AZ24" i="18"/>
  <c r="BD24" i="18" s="1"/>
  <c r="BM24" i="18" s="1"/>
  <c r="AY24" i="18"/>
  <c r="BC24" i="18" s="1"/>
  <c r="BL24" i="18" s="1"/>
  <c r="BH24" i="18"/>
  <c r="BJ24" i="18"/>
  <c r="AQ24" i="18"/>
  <c r="AU24" i="18" s="1"/>
  <c r="AR24" i="18"/>
  <c r="AV24" i="18" s="1"/>
  <c r="BA24" i="18"/>
  <c r="BE24" i="18" s="1"/>
  <c r="BN24" i="18" s="1"/>
  <c r="AO24" i="18"/>
  <c r="AS24" i="18" s="1"/>
  <c r="BG24" i="18"/>
  <c r="AX24" i="18"/>
  <c r="BB24" i="18" s="1"/>
  <c r="BK24" i="18" s="1"/>
  <c r="AP24" i="18"/>
  <c r="AT24" i="18" s="1"/>
  <c r="HB43" i="44"/>
  <c r="DI43" i="44"/>
  <c r="GD33" i="45"/>
  <c r="CT53" i="43"/>
  <c r="AD39" i="43"/>
  <c r="AP39" i="43" s="1"/>
  <c r="CY38" i="43"/>
  <c r="HD38" i="43" s="1"/>
  <c r="CB27" i="43"/>
  <c r="R10" i="15"/>
  <c r="AD10" i="15"/>
  <c r="AJ145" i="44"/>
  <c r="AD151" i="44" s="1"/>
  <c r="CS41" i="44"/>
  <c r="CS41" i="41"/>
  <c r="F163" i="45"/>
  <c r="AG17" i="35"/>
  <c r="CT51" i="44"/>
  <c r="AQ51" i="41"/>
  <c r="AQ51" i="44"/>
  <c r="BI51" i="43"/>
  <c r="BI51" i="45"/>
  <c r="CT51" i="43"/>
  <c r="CB51" i="45"/>
  <c r="CB51" i="41"/>
  <c r="BI51" i="41"/>
  <c r="CB51" i="43"/>
  <c r="AQ51" i="43"/>
  <c r="AQ51" i="45"/>
  <c r="CB51" i="44"/>
  <c r="CT51" i="41"/>
  <c r="BI51" i="44"/>
  <c r="BI56" i="43"/>
  <c r="CT56" i="44"/>
  <c r="AQ56" i="43"/>
  <c r="CB56" i="45"/>
  <c r="CB56" i="43"/>
  <c r="AQ56" i="41"/>
  <c r="AQ56" i="45"/>
  <c r="BI56" i="45"/>
  <c r="AQ56" i="44"/>
  <c r="BI56" i="44"/>
  <c r="CT56" i="43"/>
  <c r="CT56" i="41"/>
  <c r="BI56" i="41"/>
  <c r="CB56" i="44"/>
  <c r="CB56" i="41"/>
  <c r="GC24" i="12"/>
  <c r="FY24" i="12"/>
  <c r="FZ24" i="12"/>
  <c r="GB24" i="12"/>
  <c r="FW24" i="12"/>
  <c r="FV24" i="12"/>
  <c r="GA24" i="12"/>
  <c r="GD24" i="12"/>
  <c r="FT24" i="12"/>
  <c r="I116" i="41"/>
  <c r="I116" i="45"/>
  <c r="I116" i="43"/>
  <c r="I116" i="44"/>
  <c r="DJ49" i="44"/>
  <c r="DJ49" i="45"/>
  <c r="DJ49" i="43"/>
  <c r="DJ49" i="41"/>
  <c r="DJ30" i="43"/>
  <c r="DJ30" i="45"/>
  <c r="DJ30" i="44"/>
  <c r="DJ30" i="41"/>
  <c r="DC19" i="43"/>
  <c r="DC19" i="45"/>
  <c r="DC19" i="44"/>
  <c r="DC19" i="41"/>
  <c r="J86" i="43"/>
  <c r="J118" i="43" s="1"/>
  <c r="J86" i="44"/>
  <c r="J86" i="45"/>
  <c r="J118" i="45" s="1"/>
  <c r="J86" i="41"/>
  <c r="J118" i="41" s="1"/>
  <c r="CY54" i="41"/>
  <c r="HD54" i="41" s="1"/>
  <c r="CY54" i="45"/>
  <c r="HD54" i="45" s="1"/>
  <c r="CY54" i="44"/>
  <c r="HD54" i="44" s="1"/>
  <c r="CY54" i="43"/>
  <c r="HD54" i="43" s="1"/>
  <c r="CZ58" i="41"/>
  <c r="HE58" i="41" s="1"/>
  <c r="CZ58" i="45"/>
  <c r="HE58" i="45" s="1"/>
  <c r="CZ58" i="43"/>
  <c r="HE58" i="43" s="1"/>
  <c r="CZ58" i="44"/>
  <c r="HE58" i="44" s="1"/>
  <c r="CX56" i="43"/>
  <c r="HC56" i="43" s="1"/>
  <c r="CX56" i="45"/>
  <c r="HC56" i="45" s="1"/>
  <c r="CX56" i="44"/>
  <c r="HC56" i="44" s="1"/>
  <c r="CX56" i="41"/>
  <c r="HC56" i="41" s="1"/>
  <c r="CM33" i="45"/>
  <c r="CM33" i="43"/>
  <c r="H33" i="44"/>
  <c r="AJ33" i="41"/>
  <c r="BB33" i="43"/>
  <c r="H33" i="41"/>
  <c r="H33" i="43"/>
  <c r="BB33" i="41"/>
  <c r="BU33" i="43"/>
  <c r="BU33" i="41"/>
  <c r="BU33" i="45"/>
  <c r="BU33" i="44"/>
  <c r="BB33" i="44"/>
  <c r="CM33" i="44"/>
  <c r="CM33" i="41"/>
  <c r="BB33" i="45"/>
  <c r="AJ33" i="44"/>
  <c r="GU33" i="41"/>
  <c r="H33" i="45"/>
  <c r="BX24" i="45"/>
  <c r="GX24" i="43"/>
  <c r="AM24" i="44"/>
  <c r="AM24" i="45"/>
  <c r="BX24" i="43"/>
  <c r="BE24" i="44"/>
  <c r="BX24" i="44"/>
  <c r="BX24" i="41"/>
  <c r="CP24" i="41"/>
  <c r="K24" i="43"/>
  <c r="GX24" i="45"/>
  <c r="CP24" i="45"/>
  <c r="BE24" i="41"/>
  <c r="CP24" i="43"/>
  <c r="CP24" i="44"/>
  <c r="AM24" i="41"/>
  <c r="K24" i="45"/>
  <c r="K24" i="41"/>
  <c r="BE24" i="45"/>
  <c r="GX24" i="44"/>
  <c r="K24" i="44"/>
  <c r="BE24" i="43"/>
  <c r="GX24" i="41"/>
  <c r="AM24" i="43"/>
  <c r="GU49" i="41"/>
  <c r="GU49" i="44"/>
  <c r="GU49" i="45"/>
  <c r="H49" i="44"/>
  <c r="CM49" i="44"/>
  <c r="BB49" i="45"/>
  <c r="H49" i="43"/>
  <c r="H49" i="45"/>
  <c r="AJ49" i="44"/>
  <c r="CM49" i="45"/>
  <c r="BU49" i="41"/>
  <c r="BU49" i="44"/>
  <c r="CM49" i="41"/>
  <c r="H49" i="41"/>
  <c r="BB49" i="43"/>
  <c r="AJ49" i="41"/>
  <c r="AJ49" i="45"/>
  <c r="BB49" i="44"/>
  <c r="BU49" i="45"/>
  <c r="AJ49" i="43"/>
  <c r="CM49" i="43"/>
  <c r="BB49" i="41"/>
  <c r="Z56" i="41"/>
  <c r="Z56" i="43"/>
  <c r="Z56" i="45"/>
  <c r="Z56" i="44"/>
  <c r="AP47" i="44"/>
  <c r="CS47" i="44"/>
  <c r="HM20" i="41"/>
  <c r="H89" i="44"/>
  <c r="H89" i="43"/>
  <c r="H118" i="43" s="1"/>
  <c r="H89" i="41"/>
  <c r="H89" i="45"/>
  <c r="E87" i="41"/>
  <c r="E87" i="43"/>
  <c r="E87" i="44"/>
  <c r="E87" i="45"/>
  <c r="B170" i="44"/>
  <c r="B173" i="44"/>
  <c r="BR145" i="43"/>
  <c r="BO145" i="43"/>
  <c r="BU145" i="43" s="1"/>
  <c r="BO151" i="43" s="1"/>
  <c r="C163" i="43" s="1"/>
  <c r="AQ30" i="43"/>
  <c r="BI30" i="44"/>
  <c r="CB30" i="43"/>
  <c r="AQ30" i="41"/>
  <c r="CB30" i="45"/>
  <c r="BI30" i="43"/>
  <c r="CT30" i="41"/>
  <c r="CB30" i="41"/>
  <c r="BI30" i="45"/>
  <c r="AQ30" i="44"/>
  <c r="CT30" i="44"/>
  <c r="BI30" i="41"/>
  <c r="CB30" i="44"/>
  <c r="AQ30" i="45"/>
  <c r="GP23" i="44"/>
  <c r="GX23" i="44"/>
  <c r="GR23" i="44"/>
  <c r="GW23" i="44"/>
  <c r="GY23" i="44"/>
  <c r="GU23" i="44"/>
  <c r="GS23" i="44"/>
  <c r="GV23" i="44"/>
  <c r="GO23" i="44"/>
  <c r="GZ23" i="44"/>
  <c r="GQ23" i="44"/>
  <c r="GT23" i="44"/>
  <c r="DJ58" i="43"/>
  <c r="DJ58" i="44"/>
  <c r="DJ58" i="41"/>
  <c r="DJ58" i="45"/>
  <c r="DJ37" i="45"/>
  <c r="DJ37" i="44"/>
  <c r="DJ37" i="43"/>
  <c r="DJ37" i="41"/>
  <c r="P11" i="24"/>
  <c r="Q39" i="26"/>
  <c r="X39" i="41"/>
  <c r="X39" i="44"/>
  <c r="X39" i="45"/>
  <c r="X39" i="43"/>
  <c r="DR114" i="45"/>
  <c r="GQ114" i="45" s="1"/>
  <c r="DR114" i="44"/>
  <c r="GQ114" i="44" s="1"/>
  <c r="DR114" i="41"/>
  <c r="GQ114" i="41" s="1"/>
  <c r="DR114" i="43"/>
  <c r="GQ114" i="43" s="1"/>
  <c r="F111" i="41"/>
  <c r="F111" i="43"/>
  <c r="F111" i="45"/>
  <c r="F111" i="44"/>
  <c r="BC17" i="12"/>
  <c r="AX17" i="12"/>
  <c r="BA17" i="12"/>
  <c r="AV17" i="12"/>
  <c r="BD17" i="12"/>
  <c r="BF17" i="12"/>
  <c r="BE17" i="12"/>
  <c r="AW17" i="12"/>
  <c r="AY17" i="12"/>
  <c r="GT17" i="12"/>
  <c r="GU17" i="12" s="1"/>
  <c r="BB17" i="12"/>
  <c r="AZ17" i="12"/>
  <c r="AU17" i="12"/>
  <c r="Q59" i="41"/>
  <c r="Q59" i="45"/>
  <c r="Q59" i="43"/>
  <c r="Q59" i="44"/>
  <c r="DT76" i="45"/>
  <c r="DT76" i="43"/>
  <c r="DT76" i="41"/>
  <c r="DT76" i="44"/>
  <c r="B65" i="43"/>
  <c r="B132" i="43"/>
  <c r="O44" i="41"/>
  <c r="DI44" i="41" s="1"/>
  <c r="O44" i="45"/>
  <c r="DI44" i="45" s="1"/>
  <c r="O44" i="43"/>
  <c r="DI44" i="43" s="1"/>
  <c r="O44" i="44"/>
  <c r="DI44" i="44" s="1"/>
  <c r="V28" i="43"/>
  <c r="V28" i="44"/>
  <c r="V28" i="41"/>
  <c r="V28" i="45"/>
  <c r="BD24" i="45"/>
  <c r="J24" i="43"/>
  <c r="J24" i="44"/>
  <c r="CO24" i="45"/>
  <c r="AL24" i="43"/>
  <c r="J24" i="41"/>
  <c r="BD24" i="43"/>
  <c r="BW24" i="41"/>
  <c r="BW24" i="45"/>
  <c r="CO24" i="44"/>
  <c r="CO24" i="43"/>
  <c r="AL24" i="44"/>
  <c r="BD24" i="44"/>
  <c r="AL24" i="41"/>
  <c r="J24" i="45"/>
  <c r="BD24" i="41"/>
  <c r="CO24" i="41"/>
  <c r="BW24" i="44"/>
  <c r="BW24" i="43"/>
  <c r="GW24" i="43"/>
  <c r="AL24" i="45"/>
  <c r="GW24" i="45"/>
  <c r="GW24" i="41"/>
  <c r="BD39" i="41"/>
  <c r="CO39" i="41"/>
  <c r="BW39" i="44"/>
  <c r="GW39" i="44"/>
  <c r="BW39" i="45"/>
  <c r="J39" i="45"/>
  <c r="BW39" i="41"/>
  <c r="J39" i="44"/>
  <c r="BD39" i="45"/>
  <c r="J39" i="41"/>
  <c r="AL39" i="44"/>
  <c r="CO39" i="43"/>
  <c r="CO39" i="45"/>
  <c r="J39" i="43"/>
  <c r="BD39" i="43"/>
  <c r="BW39" i="43"/>
  <c r="CO39" i="44"/>
  <c r="AL39" i="41"/>
  <c r="BD39" i="44"/>
  <c r="F63" i="25"/>
  <c r="Y91" i="35"/>
  <c r="H77" i="35"/>
  <c r="R37" i="41"/>
  <c r="R37" i="43"/>
  <c r="R37" i="44"/>
  <c r="R37" i="45"/>
  <c r="J89" i="45"/>
  <c r="J89" i="41"/>
  <c r="J89" i="43"/>
  <c r="J89" i="44"/>
  <c r="GU32" i="45"/>
  <c r="GP32" i="45"/>
  <c r="GR32" i="45"/>
  <c r="GW32" i="45"/>
  <c r="G87" i="44"/>
  <c r="G87" i="45"/>
  <c r="G87" i="43"/>
  <c r="G87" i="41"/>
  <c r="DP87" i="41"/>
  <c r="GO87" i="41" s="1"/>
  <c r="DP87" i="45"/>
  <c r="GO87" i="45" s="1"/>
  <c r="DP87" i="43"/>
  <c r="GO87" i="43" s="1"/>
  <c r="DP87" i="44"/>
  <c r="GO87" i="44" s="1"/>
  <c r="W254" i="12"/>
  <c r="DR145" i="43"/>
  <c r="DO145" i="43"/>
  <c r="GZ33" i="43"/>
  <c r="GT53" i="43"/>
  <c r="GZ53" i="43"/>
  <c r="GY53" i="43"/>
  <c r="GP53" i="43"/>
  <c r="GW53" i="43"/>
  <c r="GX53" i="43"/>
  <c r="GO53" i="43"/>
  <c r="GV53" i="43"/>
  <c r="GZ47" i="43"/>
  <c r="GP47" i="43"/>
  <c r="GY47" i="43"/>
  <c r="GS47" i="43"/>
  <c r="GQ47" i="43"/>
  <c r="GW47" i="43"/>
  <c r="GU47" i="43"/>
  <c r="GT47" i="43"/>
  <c r="GX47" i="43"/>
  <c r="GR47" i="43"/>
  <c r="GO47" i="43"/>
  <c r="GV47" i="43"/>
  <c r="AQ39" i="41"/>
  <c r="CB39" i="43"/>
  <c r="CT39" i="41"/>
  <c r="AQ39" i="44"/>
  <c r="CB39" i="44"/>
  <c r="CT39" i="44"/>
  <c r="BI39" i="45"/>
  <c r="CB39" i="41"/>
  <c r="CB39" i="45"/>
  <c r="BI39" i="41"/>
  <c r="BI39" i="43"/>
  <c r="CT39" i="43"/>
  <c r="BI39" i="44"/>
  <c r="FU24" i="12"/>
  <c r="J106" i="44"/>
  <c r="J106" i="43"/>
  <c r="J106" i="41"/>
  <c r="J106" i="45"/>
  <c r="FX24" i="12"/>
  <c r="C107" i="44"/>
  <c r="C107" i="43"/>
  <c r="C107" i="41"/>
  <c r="C107" i="45"/>
  <c r="DO94" i="41"/>
  <c r="GN94" i="41" s="1"/>
  <c r="DO94" i="43"/>
  <c r="GN94" i="43" s="1"/>
  <c r="DO94" i="44"/>
  <c r="GN94" i="44" s="1"/>
  <c r="DO94" i="45"/>
  <c r="GN94" i="45" s="1"/>
  <c r="DW110" i="45"/>
  <c r="GV110" i="45" s="1"/>
  <c r="DW110" i="44"/>
  <c r="GV110" i="44" s="1"/>
  <c r="DW110" i="43"/>
  <c r="GV110" i="43" s="1"/>
  <c r="DW110" i="41"/>
  <c r="GV110" i="41" s="1"/>
  <c r="Y39" i="41"/>
  <c r="Y39" i="43"/>
  <c r="Y39" i="44"/>
  <c r="Y39" i="45"/>
  <c r="DQ91" i="41"/>
  <c r="GP91" i="41" s="1"/>
  <c r="DQ91" i="44"/>
  <c r="GP91" i="44" s="1"/>
  <c r="DQ91" i="43"/>
  <c r="GP91" i="43" s="1"/>
  <c r="DQ91" i="45"/>
  <c r="GP91" i="45" s="1"/>
  <c r="GB38" i="12"/>
  <c r="GA38" i="12"/>
  <c r="FY38" i="12"/>
  <c r="GD38" i="12"/>
  <c r="FX38" i="12"/>
  <c r="FV38" i="12"/>
  <c r="FZ38" i="12"/>
  <c r="FT38" i="12"/>
  <c r="GC38" i="12"/>
  <c r="FU38" i="12"/>
  <c r="DO82" i="41"/>
  <c r="GN82" i="41" s="1"/>
  <c r="DO82" i="43"/>
  <c r="GN82" i="43" s="1"/>
  <c r="DO82" i="45"/>
  <c r="GN82" i="45" s="1"/>
  <c r="DO82" i="44"/>
  <c r="GN82" i="44" s="1"/>
  <c r="G225" i="12"/>
  <c r="E225" i="12"/>
  <c r="F225" i="12"/>
  <c r="H225" i="12"/>
  <c r="H253" i="12" s="1"/>
  <c r="H30" i="28" s="1"/>
  <c r="EB39" i="12"/>
  <c r="O39" i="16"/>
  <c r="DP76" i="45"/>
  <c r="DP76" i="43"/>
  <c r="DP76" i="41"/>
  <c r="DP76" i="44"/>
  <c r="S28" i="45"/>
  <c r="S28" i="43"/>
  <c r="S28" i="44"/>
  <c r="S28" i="41"/>
  <c r="HJ19" i="44"/>
  <c r="CY39" i="44"/>
  <c r="HD39" i="44" s="1"/>
  <c r="CY39" i="45"/>
  <c r="HD39" i="45" s="1"/>
  <c r="CY39" i="43"/>
  <c r="HD39" i="43" s="1"/>
  <c r="CY39" i="41"/>
  <c r="HD39" i="41" s="1"/>
  <c r="DB38" i="44"/>
  <c r="HG38" i="44" s="1"/>
  <c r="DB38" i="45"/>
  <c r="HG38" i="45" s="1"/>
  <c r="DB38" i="41"/>
  <c r="HG38" i="41" s="1"/>
  <c r="BR24" i="41"/>
  <c r="CJ24" i="45"/>
  <c r="CJ24" i="44"/>
  <c r="BR24" i="44"/>
  <c r="BR24" i="45"/>
  <c r="AY24" i="43"/>
  <c r="AY24" i="41"/>
  <c r="E24" i="43"/>
  <c r="AG24" i="45"/>
  <c r="GR24" i="43"/>
  <c r="AY24" i="45"/>
  <c r="AY24" i="44"/>
  <c r="GR24" i="45"/>
  <c r="AG24" i="43"/>
  <c r="E24" i="44"/>
  <c r="CJ24" i="43"/>
  <c r="E24" i="45"/>
  <c r="BR24" i="43"/>
  <c r="AG24" i="41"/>
  <c r="AG24" i="44"/>
  <c r="GR24" i="41"/>
  <c r="E24" i="41"/>
  <c r="GR24" i="44"/>
  <c r="CJ24" i="41"/>
  <c r="DZ81" i="41"/>
  <c r="DZ81" i="45"/>
  <c r="DZ81" i="44"/>
  <c r="DZ81" i="43"/>
  <c r="DY112" i="45"/>
  <c r="GX112" i="45" s="1"/>
  <c r="DY112" i="44"/>
  <c r="GX112" i="44" s="1"/>
  <c r="DY112" i="43"/>
  <c r="GX112" i="43" s="1"/>
  <c r="DY112" i="41"/>
  <c r="GX112" i="41" s="1"/>
  <c r="GU60" i="45"/>
  <c r="BU60" i="45"/>
  <c r="BU60" i="41"/>
  <c r="GU60" i="43"/>
  <c r="BB60" i="45"/>
  <c r="CM60" i="45"/>
  <c r="AJ60" i="45"/>
  <c r="AJ60" i="43"/>
  <c r="AJ60" i="44"/>
  <c r="H60" i="44"/>
  <c r="H60" i="41"/>
  <c r="H60" i="43"/>
  <c r="BU60" i="44"/>
  <c r="GU60" i="41"/>
  <c r="H60" i="45"/>
  <c r="AJ60" i="41"/>
  <c r="BB60" i="41"/>
  <c r="BB60" i="44"/>
  <c r="BB60" i="43"/>
  <c r="CM60" i="41"/>
  <c r="CM60" i="44"/>
  <c r="BU60" i="43"/>
  <c r="CM60" i="43"/>
  <c r="GW39" i="41"/>
  <c r="DW103" i="45"/>
  <c r="GV103" i="45" s="1"/>
  <c r="DW103" i="41"/>
  <c r="GV103" i="41" s="1"/>
  <c r="DW103" i="44"/>
  <c r="GV103" i="44" s="1"/>
  <c r="DW103" i="43"/>
  <c r="GV103" i="43" s="1"/>
  <c r="BH41" i="41"/>
  <c r="Z37" i="45"/>
  <c r="Z37" i="41"/>
  <c r="Z37" i="44"/>
  <c r="Z37" i="43"/>
  <c r="B89" i="43"/>
  <c r="B89" i="44"/>
  <c r="B89" i="45"/>
  <c r="B89" i="41"/>
  <c r="HB50" i="41"/>
  <c r="DI50" i="41"/>
  <c r="AN39" i="45"/>
  <c r="K87" i="41"/>
  <c r="K87" i="43"/>
  <c r="K87" i="45"/>
  <c r="K87" i="44"/>
  <c r="EH14" i="12"/>
  <c r="EF14" i="12"/>
  <c r="EK14" i="12"/>
  <c r="EG14" i="12"/>
  <c r="EO14" i="12"/>
  <c r="EP14" i="12"/>
  <c r="EN14" i="12"/>
  <c r="EM14" i="12"/>
  <c r="EE14" i="12"/>
  <c r="EJ14" i="12"/>
  <c r="GW14" i="12"/>
  <c r="EI14" i="12"/>
  <c r="EL14" i="12"/>
  <c r="O82" i="18"/>
  <c r="C94" i="18" s="1"/>
  <c r="C48" i="28" s="1"/>
  <c r="CS34" i="45"/>
  <c r="BH34" i="45"/>
  <c r="AP34" i="45"/>
  <c r="AV145" i="43"/>
  <c r="AY145" i="43"/>
  <c r="M69" i="35"/>
  <c r="M68" i="35"/>
  <c r="M67" i="35"/>
  <c r="HB43" i="43"/>
  <c r="DI43" i="43"/>
  <c r="F54" i="32"/>
  <c r="I36" i="32"/>
  <c r="F167" i="41"/>
  <c r="F102" i="43"/>
  <c r="F102" i="45"/>
  <c r="F102" i="44"/>
  <c r="F102" i="41"/>
  <c r="D90" i="41"/>
  <c r="D90" i="45"/>
  <c r="D90" i="43"/>
  <c r="D90" i="44"/>
  <c r="J79" i="33"/>
  <c r="GX45" i="41"/>
  <c r="GU45" i="41"/>
  <c r="GV45" i="41"/>
  <c r="GZ45" i="41"/>
  <c r="GP45" i="41"/>
  <c r="GT45" i="41"/>
  <c r="GS45" i="41"/>
  <c r="GO45" i="41"/>
  <c r="GR45" i="41"/>
  <c r="GW45" i="41"/>
  <c r="GY45" i="41"/>
  <c r="GQ45" i="41"/>
  <c r="FD21" i="45"/>
  <c r="FD28" i="45" s="1"/>
  <c r="G169" i="45" s="1"/>
  <c r="AK23" i="35" s="1"/>
  <c r="FE21" i="45"/>
  <c r="FX29" i="12"/>
  <c r="FY29" i="12"/>
  <c r="FT29" i="12"/>
  <c r="FU29" i="12"/>
  <c r="GD29" i="12"/>
  <c r="GE29" i="12"/>
  <c r="FZ29" i="12"/>
  <c r="FV29" i="12"/>
  <c r="GA29" i="12"/>
  <c r="FW29" i="12"/>
  <c r="B114" i="44"/>
  <c r="B114" i="41"/>
  <c r="B114" i="43"/>
  <c r="B114" i="45"/>
  <c r="CB44" i="45"/>
  <c r="CT44" i="43"/>
  <c r="CB44" i="44"/>
  <c r="AQ44" i="43"/>
  <c r="BI44" i="44"/>
  <c r="CB44" i="43"/>
  <c r="BI44" i="43"/>
  <c r="BI44" i="41"/>
  <c r="AQ44" i="44"/>
  <c r="CB44" i="41"/>
  <c r="AQ44" i="41"/>
  <c r="AQ44" i="45"/>
  <c r="CT44" i="41"/>
  <c r="CT44" i="44"/>
  <c r="CT58" i="43"/>
  <c r="AQ58" i="43"/>
  <c r="CT58" i="44"/>
  <c r="CT58" i="41"/>
  <c r="AQ58" i="44"/>
  <c r="CB58" i="41"/>
  <c r="CB58" i="44"/>
  <c r="BI58" i="43"/>
  <c r="CB58" i="43"/>
  <c r="AQ58" i="41"/>
  <c r="BI58" i="41"/>
  <c r="AQ58" i="45"/>
  <c r="CB58" i="45"/>
  <c r="BI58" i="44"/>
  <c r="BI58" i="45"/>
  <c r="GB29" i="12"/>
  <c r="K90" i="45"/>
  <c r="K90" i="41"/>
  <c r="K90" i="44"/>
  <c r="K90" i="43"/>
  <c r="C92" i="41"/>
  <c r="C92" i="45"/>
  <c r="C92" i="44"/>
  <c r="C92" i="43"/>
  <c r="X24" i="35"/>
  <c r="DZ114" i="41"/>
  <c r="GY114" i="41" s="1"/>
  <c r="DZ114" i="45"/>
  <c r="GY114" i="45" s="1"/>
  <c r="DZ114" i="43"/>
  <c r="GY114" i="43" s="1"/>
  <c r="DZ114" i="44"/>
  <c r="GY114" i="44" s="1"/>
  <c r="D85" i="41"/>
  <c r="D85" i="43"/>
  <c r="D85" i="44"/>
  <c r="D85" i="45"/>
  <c r="D178" i="12"/>
  <c r="N15" i="12"/>
  <c r="Q15" i="12" s="1"/>
  <c r="M106" i="41"/>
  <c r="M106" i="44"/>
  <c r="M106" i="45"/>
  <c r="M106" i="43"/>
  <c r="Q49" i="44"/>
  <c r="Q49" i="43"/>
  <c r="Q49" i="45"/>
  <c r="Q49" i="41"/>
  <c r="GS32" i="12"/>
  <c r="GU32" i="12" s="1"/>
  <c r="AA32" i="12"/>
  <c r="T32" i="12"/>
  <c r="AB32" i="12"/>
  <c r="X32" i="12"/>
  <c r="V32" i="12"/>
  <c r="GQ48" i="43" s="1"/>
  <c r="Y32" i="12"/>
  <c r="AE32" i="12"/>
  <c r="Z32" i="12"/>
  <c r="W32" i="12"/>
  <c r="U32" i="12"/>
  <c r="AC32" i="12"/>
  <c r="AD32" i="12"/>
  <c r="GY48" i="43" s="1"/>
  <c r="H94" i="41"/>
  <c r="H118" i="41" s="1"/>
  <c r="H94" i="43"/>
  <c r="H94" i="44"/>
  <c r="H94" i="45"/>
  <c r="DG19" i="43"/>
  <c r="DG19" i="44"/>
  <c r="DG19" i="41"/>
  <c r="DG19" i="45"/>
  <c r="CZ19" i="44"/>
  <c r="CZ19" i="43"/>
  <c r="CZ19" i="45"/>
  <c r="CZ19" i="41"/>
  <c r="HE45" i="12"/>
  <c r="GB11" i="45"/>
  <c r="GB33" i="45" s="1"/>
  <c r="GB11" i="41"/>
  <c r="GB33" i="41" s="1"/>
  <c r="CB7" i="18"/>
  <c r="GB11" i="44"/>
  <c r="GB33" i="44" s="1"/>
  <c r="GB11" i="43"/>
  <c r="GB33" i="43" s="1"/>
  <c r="U44" i="44"/>
  <c r="U44" i="41"/>
  <c r="U44" i="43"/>
  <c r="U44" i="45"/>
  <c r="DF23" i="41"/>
  <c r="DF23" i="43"/>
  <c r="DF23" i="45"/>
  <c r="DF23" i="44"/>
  <c r="DH58" i="44"/>
  <c r="HM58" i="44" s="1"/>
  <c r="DH58" i="41"/>
  <c r="HM58" i="41" s="1"/>
  <c r="DH58" i="45"/>
  <c r="HM58" i="45" s="1"/>
  <c r="DH58" i="43"/>
  <c r="HM58" i="43" s="1"/>
  <c r="AE27" i="12"/>
  <c r="GZ43" i="45" s="1"/>
  <c r="V27" i="12"/>
  <c r="GS27" i="12"/>
  <c r="GU27" i="12" s="1"/>
  <c r="Y27" i="12"/>
  <c r="W27" i="12"/>
  <c r="X27" i="12"/>
  <c r="AD27" i="12"/>
  <c r="GY43" i="45" s="1"/>
  <c r="AB27" i="12"/>
  <c r="AC27" i="12"/>
  <c r="T27" i="12"/>
  <c r="U27" i="12"/>
  <c r="Z27" i="12"/>
  <c r="AA27" i="12"/>
  <c r="X28" i="45"/>
  <c r="X28" i="44"/>
  <c r="X28" i="43"/>
  <c r="X28" i="41"/>
  <c r="Y28" i="45"/>
  <c r="Y28" i="44"/>
  <c r="Y28" i="43"/>
  <c r="Y28" i="41"/>
  <c r="HJ19" i="41"/>
  <c r="DG39" i="43"/>
  <c r="HL39" i="43" s="1"/>
  <c r="DG39" i="44"/>
  <c r="HL39" i="44" s="1"/>
  <c r="DG39" i="45"/>
  <c r="HL39" i="45" s="1"/>
  <c r="DG39" i="41"/>
  <c r="HL39" i="41" s="1"/>
  <c r="CW40" i="45"/>
  <c r="CW40" i="41"/>
  <c r="CW40" i="43"/>
  <c r="CW40" i="44"/>
  <c r="DG56" i="41"/>
  <c r="HL56" i="41" s="1"/>
  <c r="DG56" i="44"/>
  <c r="HL56" i="44" s="1"/>
  <c r="DG56" i="43"/>
  <c r="HL56" i="43" s="1"/>
  <c r="DG56" i="45"/>
  <c r="HL56" i="45" s="1"/>
  <c r="B33" i="41"/>
  <c r="BO33" i="44"/>
  <c r="BO33" i="45"/>
  <c r="AD33" i="41"/>
  <c r="CG33" i="44"/>
  <c r="CS33" i="44" s="1"/>
  <c r="CG33" i="41"/>
  <c r="AV33" i="45"/>
  <c r="B33" i="45"/>
  <c r="AP33" i="45" s="1"/>
  <c r="CG33" i="45"/>
  <c r="CS33" i="45" s="1"/>
  <c r="B33" i="44"/>
  <c r="BO33" i="41"/>
  <c r="BO33" i="43"/>
  <c r="CA33" i="43" s="1"/>
  <c r="B33" i="43"/>
  <c r="AP33" i="43" s="1"/>
  <c r="AV33" i="44"/>
  <c r="BH33" i="44" s="1"/>
  <c r="AV33" i="41"/>
  <c r="AV33" i="43"/>
  <c r="BH33" i="43" s="1"/>
  <c r="CG33" i="43"/>
  <c r="CS33" i="43" s="1"/>
  <c r="GO33" i="41"/>
  <c r="AD33" i="44"/>
  <c r="AP33" i="44" s="1"/>
  <c r="DE38" i="45"/>
  <c r="HJ38" i="45" s="1"/>
  <c r="DE38" i="41"/>
  <c r="HJ38" i="41" s="1"/>
  <c r="DE38" i="44"/>
  <c r="HJ38" i="44" s="1"/>
  <c r="DA38" i="45"/>
  <c r="HF38" i="45" s="1"/>
  <c r="DA38" i="41"/>
  <c r="HF38" i="41" s="1"/>
  <c r="DA38" i="44"/>
  <c r="HF38" i="44" s="1"/>
  <c r="DH31" i="43"/>
  <c r="HM31" i="43" s="1"/>
  <c r="DH31" i="45"/>
  <c r="HM31" i="45" s="1"/>
  <c r="DH31" i="41"/>
  <c r="HM31" i="41" s="1"/>
  <c r="DH31" i="44"/>
  <c r="HM31" i="44" s="1"/>
  <c r="DX99" i="44"/>
  <c r="GW99" i="44" s="1"/>
  <c r="DX99" i="45"/>
  <c r="GW99" i="45" s="1"/>
  <c r="DX99" i="43"/>
  <c r="GW99" i="43" s="1"/>
  <c r="DX99" i="41"/>
  <c r="GW99" i="41" s="1"/>
  <c r="BQ24" i="44"/>
  <c r="CI24" i="41"/>
  <c r="AX24" i="41"/>
  <c r="D24" i="41"/>
  <c r="CI24" i="45"/>
  <c r="D24" i="43"/>
  <c r="AF24" i="41"/>
  <c r="BQ24" i="41"/>
  <c r="AF24" i="43"/>
  <c r="GQ24" i="45"/>
  <c r="CI24" i="44"/>
  <c r="AX24" i="44"/>
  <c r="GQ24" i="41"/>
  <c r="BQ24" i="45"/>
  <c r="GQ24" i="43"/>
  <c r="AF24" i="44"/>
  <c r="BQ24" i="43"/>
  <c r="AX24" i="43"/>
  <c r="D24" i="45"/>
  <c r="CI24" i="43"/>
  <c r="GQ24" i="44"/>
  <c r="AX24" i="45"/>
  <c r="AF24" i="45"/>
  <c r="D24" i="44"/>
  <c r="BP24" i="45"/>
  <c r="AW24" i="44"/>
  <c r="CH24" i="45"/>
  <c r="CH24" i="44"/>
  <c r="C24" i="41"/>
  <c r="C24" i="45"/>
  <c r="AW24" i="43"/>
  <c r="CH24" i="41"/>
  <c r="BP24" i="44"/>
  <c r="AW24" i="41"/>
  <c r="BP24" i="43"/>
  <c r="AE24" i="41"/>
  <c r="CH24" i="43"/>
  <c r="BP24" i="41"/>
  <c r="C24" i="43"/>
  <c r="AE24" i="44"/>
  <c r="AE24" i="43"/>
  <c r="GP24" i="43"/>
  <c r="GP24" i="45"/>
  <c r="GP24" i="44"/>
  <c r="C24" i="44"/>
  <c r="AW24" i="45"/>
  <c r="AE24" i="45"/>
  <c r="GP24" i="41"/>
  <c r="BV49" i="44"/>
  <c r="BC49" i="43"/>
  <c r="BV49" i="45"/>
  <c r="GV49" i="41"/>
  <c r="I49" i="45"/>
  <c r="BC49" i="41"/>
  <c r="AK49" i="41"/>
  <c r="BC49" i="45"/>
  <c r="CN49" i="43"/>
  <c r="GV49" i="45"/>
  <c r="I49" i="41"/>
  <c r="I49" i="43"/>
  <c r="CN49" i="41"/>
  <c r="BC49" i="44"/>
  <c r="CN49" i="45"/>
  <c r="BV49" i="41"/>
  <c r="CN49" i="44"/>
  <c r="GV49" i="44"/>
  <c r="AK49" i="45"/>
  <c r="AK49" i="43"/>
  <c r="I49" i="44"/>
  <c r="AK49" i="44"/>
  <c r="DZ113" i="43"/>
  <c r="GY113" i="43" s="1"/>
  <c r="DZ113" i="45"/>
  <c r="GY113" i="45" s="1"/>
  <c r="DZ113" i="41"/>
  <c r="GY113" i="41" s="1"/>
  <c r="DZ113" i="44"/>
  <c r="GY113" i="44" s="1"/>
  <c r="U57" i="43"/>
  <c r="U57" i="41"/>
  <c r="U57" i="44"/>
  <c r="U57" i="45"/>
  <c r="DQ81" i="45"/>
  <c r="DQ81" i="43"/>
  <c r="DQ81" i="44"/>
  <c r="DQ81" i="41"/>
  <c r="O56" i="45"/>
  <c r="O56" i="41"/>
  <c r="O56" i="43"/>
  <c r="O56" i="44"/>
  <c r="DX112" i="41"/>
  <c r="GW112" i="41" s="1"/>
  <c r="DX112" i="44"/>
  <c r="GW112" i="44" s="1"/>
  <c r="DX112" i="45"/>
  <c r="GW112" i="45" s="1"/>
  <c r="DX112" i="43"/>
  <c r="GW112" i="43" s="1"/>
  <c r="R10" i="26"/>
  <c r="GU58" i="44"/>
  <c r="H58" i="43"/>
  <c r="GU58" i="43"/>
  <c r="CM58" i="43"/>
  <c r="CM58" i="41"/>
  <c r="BU58" i="44"/>
  <c r="BB58" i="44"/>
  <c r="BU58" i="43"/>
  <c r="CM58" i="44"/>
  <c r="H58" i="41"/>
  <c r="H58" i="44"/>
  <c r="BB58" i="43"/>
  <c r="H58" i="45"/>
  <c r="BU58" i="45"/>
  <c r="GU58" i="41"/>
  <c r="BU58" i="41"/>
  <c r="BB58" i="45"/>
  <c r="BB58" i="41"/>
  <c r="AJ58" i="41"/>
  <c r="GU58" i="45"/>
  <c r="AJ58" i="45"/>
  <c r="AJ58" i="43"/>
  <c r="AJ58" i="44"/>
  <c r="CM58" i="45"/>
  <c r="GX58" i="44"/>
  <c r="AM58" i="44"/>
  <c r="BE58" i="43"/>
  <c r="K58" i="41"/>
  <c r="BE58" i="44"/>
  <c r="GX58" i="45"/>
  <c r="GX58" i="41"/>
  <c r="GX58" i="43"/>
  <c r="BE58" i="41"/>
  <c r="BX58" i="41"/>
  <c r="CP58" i="41"/>
  <c r="AM58" i="45"/>
  <c r="BE58" i="45"/>
  <c r="K58" i="45"/>
  <c r="CP58" i="45"/>
  <c r="BX58" i="44"/>
  <c r="CP58" i="43"/>
  <c r="K58" i="44"/>
  <c r="BX58" i="45"/>
  <c r="CP58" i="44"/>
  <c r="AM58" i="43"/>
  <c r="BX58" i="43"/>
  <c r="AM58" i="41"/>
  <c r="K58" i="43"/>
  <c r="CG132" i="45"/>
  <c r="CO149" i="45" s="1"/>
  <c r="BO132" i="45"/>
  <c r="BW149" i="45" s="1"/>
  <c r="ER132" i="45"/>
  <c r="EZ149" i="45" s="1"/>
  <c r="FC132" i="45"/>
  <c r="FK149" i="45" s="1"/>
  <c r="EG132" i="45"/>
  <c r="EO149" i="45" s="1"/>
  <c r="DO132" i="45"/>
  <c r="DW149" i="45" s="1"/>
  <c r="J149" i="45"/>
  <c r="AV132" i="45"/>
  <c r="BD149" i="45" s="1"/>
  <c r="CX132" i="45"/>
  <c r="DF149" i="45" s="1"/>
  <c r="AD132" i="45"/>
  <c r="AL149" i="45" s="1"/>
  <c r="GY60" i="45"/>
  <c r="BY60" i="45"/>
  <c r="BF60" i="43"/>
  <c r="GY60" i="43"/>
  <c r="BF60" i="41"/>
  <c r="L60" i="41"/>
  <c r="L60" i="44"/>
  <c r="GY60" i="44"/>
  <c r="BF60" i="44"/>
  <c r="L60" i="45"/>
  <c r="AN60" i="45"/>
  <c r="BY60" i="44"/>
  <c r="CQ60" i="45"/>
  <c r="L60" i="43"/>
  <c r="CQ60" i="41"/>
  <c r="CQ60" i="43"/>
  <c r="AN60" i="43"/>
  <c r="BY60" i="41"/>
  <c r="BF60" i="45"/>
  <c r="BY60" i="43"/>
  <c r="AN60" i="41"/>
  <c r="AN60" i="44"/>
  <c r="CQ60" i="44"/>
  <c r="GY60" i="41"/>
  <c r="DG35" i="45"/>
  <c r="HL35" i="45" s="1"/>
  <c r="DG35" i="44"/>
  <c r="HL35" i="44" s="1"/>
  <c r="DG35" i="43"/>
  <c r="HL35" i="43" s="1"/>
  <c r="DG35" i="41"/>
  <c r="HL35" i="41" s="1"/>
  <c r="DO103" i="43"/>
  <c r="GN103" i="43" s="1"/>
  <c r="DO103" i="45"/>
  <c r="GN103" i="45" s="1"/>
  <c r="DO103" i="44"/>
  <c r="GN103" i="44" s="1"/>
  <c r="DO103" i="41"/>
  <c r="GN103" i="41" s="1"/>
  <c r="GR80" i="43"/>
  <c r="BH41" i="45"/>
  <c r="GX80" i="45"/>
  <c r="AG21" i="35"/>
  <c r="F167" i="45"/>
  <c r="S37" i="45"/>
  <c r="S37" i="44"/>
  <c r="S37" i="43"/>
  <c r="S37" i="41"/>
  <c r="GR46" i="45"/>
  <c r="DP89" i="45"/>
  <c r="GO89" i="45" s="1"/>
  <c r="DP89" i="44"/>
  <c r="GO89" i="44" s="1"/>
  <c r="DP89" i="41"/>
  <c r="GO89" i="41" s="1"/>
  <c r="DP89" i="43"/>
  <c r="GO89" i="43" s="1"/>
  <c r="L89" i="41"/>
  <c r="L89" i="45"/>
  <c r="L89" i="44"/>
  <c r="L89" i="43"/>
  <c r="DV16" i="12"/>
  <c r="DO16" i="12"/>
  <c r="DP16" i="12"/>
  <c r="DR16" i="12"/>
  <c r="DU16" i="12"/>
  <c r="GV16" i="12"/>
  <c r="DW16" i="12"/>
  <c r="DQ16" i="12"/>
  <c r="DM16" i="12"/>
  <c r="DL16" i="12"/>
  <c r="DS16" i="12"/>
  <c r="DT16" i="12"/>
  <c r="DN16" i="12"/>
  <c r="M89" i="41"/>
  <c r="M89" i="44"/>
  <c r="M89" i="43"/>
  <c r="M89" i="45"/>
  <c r="DU115" i="44"/>
  <c r="GT115" i="44" s="1"/>
  <c r="DU115" i="41"/>
  <c r="GT115" i="41" s="1"/>
  <c r="DU115" i="45"/>
  <c r="GT115" i="45" s="1"/>
  <c r="DU115" i="43"/>
  <c r="GT115" i="43" s="1"/>
  <c r="CB43" i="45"/>
  <c r="CS41" i="45"/>
  <c r="AL39" i="45"/>
  <c r="GR39" i="45"/>
  <c r="GW39" i="45"/>
  <c r="GX39" i="45"/>
  <c r="GV39" i="45"/>
  <c r="GU39" i="45"/>
  <c r="GY39" i="45"/>
  <c r="GZ39" i="45"/>
  <c r="GQ39" i="45"/>
  <c r="GP39" i="45"/>
  <c r="GT39" i="45"/>
  <c r="GO39" i="45"/>
  <c r="GS39" i="45"/>
  <c r="DY87" i="45"/>
  <c r="GX87" i="45" s="1"/>
  <c r="DY87" i="44"/>
  <c r="GX87" i="44" s="1"/>
  <c r="DY87" i="41"/>
  <c r="GX87" i="41" s="1"/>
  <c r="DY87" i="43"/>
  <c r="GX87" i="43" s="1"/>
  <c r="B87" i="45"/>
  <c r="B118" i="45" s="1"/>
  <c r="B87" i="41"/>
  <c r="B118" i="41" s="1"/>
  <c r="B87" i="44"/>
  <c r="B118" i="44" s="1"/>
  <c r="B87" i="43"/>
  <c r="B118" i="43" s="1"/>
  <c r="L87" i="45"/>
  <c r="L87" i="43"/>
  <c r="L87" i="44"/>
  <c r="L87" i="41"/>
  <c r="AY16" i="18"/>
  <c r="BC16" i="18" s="1"/>
  <c r="BL16" i="18" s="1"/>
  <c r="AR16" i="18"/>
  <c r="AV16" i="18" s="1"/>
  <c r="BI16" i="18"/>
  <c r="BH16" i="18"/>
  <c r="AQ16" i="18"/>
  <c r="AU16" i="18" s="1"/>
  <c r="AX16" i="18"/>
  <c r="BB16" i="18" s="1"/>
  <c r="BK16" i="18" s="1"/>
  <c r="BA16" i="18"/>
  <c r="BE16" i="18" s="1"/>
  <c r="BN16" i="18" s="1"/>
  <c r="BG16" i="18"/>
  <c r="AO16" i="18"/>
  <c r="AS16" i="18" s="1"/>
  <c r="BJ16" i="18"/>
  <c r="AZ16" i="18"/>
  <c r="BD16" i="18" s="1"/>
  <c r="BM16" i="18" s="1"/>
  <c r="AP16" i="18"/>
  <c r="AT16" i="18" s="1"/>
  <c r="N82" i="18"/>
  <c r="C93" i="18" s="1"/>
  <c r="C47" i="28" s="1"/>
  <c r="AA253" i="12"/>
  <c r="X253" i="12"/>
  <c r="AA254" i="12" s="1"/>
  <c r="GD30" i="41"/>
  <c r="GD33" i="41" s="1"/>
  <c r="GD30" i="43"/>
  <c r="GD33" i="43" s="1"/>
  <c r="GD30" i="45"/>
  <c r="GD30" i="44"/>
  <c r="GZ34" i="45"/>
  <c r="GO34" i="45"/>
  <c r="GY34" i="45"/>
  <c r="GU34" i="45"/>
  <c r="GX34" i="45"/>
  <c r="GW34" i="45"/>
  <c r="GP34" i="45"/>
  <c r="GV34" i="45"/>
  <c r="GS34" i="45"/>
  <c r="GQ34" i="45"/>
  <c r="GT34" i="45"/>
  <c r="GR34" i="45"/>
  <c r="AP8" i="18"/>
  <c r="AT8" i="18" s="1"/>
  <c r="AO8" i="18"/>
  <c r="AS8" i="18" s="1"/>
  <c r="AQ8" i="18"/>
  <c r="AU8" i="18" s="1"/>
  <c r="BH8" i="18"/>
  <c r="BJ8" i="18"/>
  <c r="BA8" i="18"/>
  <c r="BE8" i="18" s="1"/>
  <c r="BN8" i="18" s="1"/>
  <c r="AR8" i="18"/>
  <c r="AV8" i="18" s="1"/>
  <c r="AY8" i="18"/>
  <c r="BC8" i="18" s="1"/>
  <c r="BL8" i="18" s="1"/>
  <c r="BI8" i="18"/>
  <c r="BG8" i="18"/>
  <c r="AZ8" i="18"/>
  <c r="BD8" i="18" s="1"/>
  <c r="BM8" i="18" s="1"/>
  <c r="AX8" i="18"/>
  <c r="BB8" i="18" s="1"/>
  <c r="BK8" i="18" s="1"/>
  <c r="FW145" i="43"/>
  <c r="GC145" i="43" s="1"/>
  <c r="FW151" i="43" s="1"/>
  <c r="FZ145" i="43"/>
  <c r="K79" i="33"/>
  <c r="E50" i="35" s="1"/>
  <c r="GU33" i="43"/>
  <c r="GR33" i="43"/>
  <c r="DY113" i="44"/>
  <c r="GX113" i="44" s="1"/>
  <c r="DY113" i="41"/>
  <c r="GX113" i="41" s="1"/>
  <c r="DY113" i="43"/>
  <c r="GX113" i="43" s="1"/>
  <c r="DY113" i="45"/>
  <c r="GX113" i="45" s="1"/>
  <c r="P58" i="35"/>
  <c r="E67" i="35"/>
  <c r="F67" i="35" s="1"/>
  <c r="G67" i="35" s="1"/>
  <c r="H67" i="35" s="1"/>
  <c r="B19" i="28" s="1"/>
  <c r="E68" i="35"/>
  <c r="F68" i="35" s="1"/>
  <c r="G68" i="35" s="1"/>
  <c r="H68" i="35" s="1"/>
  <c r="B20" i="28" s="1"/>
  <c r="E69" i="35"/>
  <c r="F69" i="35" s="1"/>
  <c r="G69" i="35" s="1"/>
  <c r="H69" i="35" s="1"/>
  <c r="B21" i="28" s="1"/>
  <c r="DI43" i="45"/>
  <c r="HB43" i="45"/>
  <c r="AP26" i="43"/>
  <c r="N68" i="35"/>
  <c r="N67" i="35"/>
  <c r="N69" i="35"/>
  <c r="GD33" i="44"/>
  <c r="AQ39" i="43"/>
  <c r="AI39" i="43"/>
  <c r="AQ38" i="43"/>
  <c r="DH38" i="43"/>
  <c r="HM38" i="43" s="1"/>
  <c r="AK33" i="43"/>
  <c r="GP30" i="43"/>
  <c r="GX30" i="43"/>
  <c r="GU30" i="43"/>
  <c r="GW30" i="43"/>
  <c r="GY30" i="43"/>
  <c r="GV30" i="43"/>
  <c r="GQ30" i="43"/>
  <c r="GZ30" i="43"/>
  <c r="GO30" i="43"/>
  <c r="GU79" i="45"/>
  <c r="H7" i="28"/>
  <c r="D7" i="28"/>
  <c r="F174" i="45"/>
  <c r="AG28" i="35"/>
  <c r="G174" i="45"/>
  <c r="AK28" i="35" s="1"/>
  <c r="DJ52" i="43"/>
  <c r="DJ52" i="45"/>
  <c r="DJ52" i="41"/>
  <c r="DJ52" i="44"/>
  <c r="DP94" i="44"/>
  <c r="GO94" i="44" s="1"/>
  <c r="DP94" i="45"/>
  <c r="GO94" i="45" s="1"/>
  <c r="DP94" i="41"/>
  <c r="GO94" i="41" s="1"/>
  <c r="DP94" i="43"/>
  <c r="GO94" i="43" s="1"/>
  <c r="K84" i="44"/>
  <c r="K118" i="44" s="1"/>
  <c r="K84" i="41"/>
  <c r="K84" i="43"/>
  <c r="K118" i="43" s="1"/>
  <c r="K84" i="45"/>
  <c r="DW86" i="43"/>
  <c r="GV86" i="43" s="1"/>
  <c r="DW86" i="44"/>
  <c r="GV86" i="44" s="1"/>
  <c r="DW86" i="45"/>
  <c r="GV86" i="45" s="1"/>
  <c r="DW86" i="41"/>
  <c r="GV86" i="41" s="1"/>
  <c r="B94" i="45"/>
  <c r="B94" i="43"/>
  <c r="B94" i="41"/>
  <c r="B94" i="44"/>
  <c r="D110" i="41"/>
  <c r="D110" i="44"/>
  <c r="D110" i="43"/>
  <c r="D110" i="45"/>
  <c r="S23" i="44"/>
  <c r="S23" i="43"/>
  <c r="S23" i="45"/>
  <c r="S23" i="41"/>
  <c r="R44" i="44"/>
  <c r="R44" i="45"/>
  <c r="R44" i="43"/>
  <c r="R44" i="41"/>
  <c r="HB23" i="43"/>
  <c r="DI23" i="43"/>
  <c r="CX39" i="43"/>
  <c r="HC39" i="43" s="1"/>
  <c r="CX39" i="44"/>
  <c r="HC39" i="44" s="1"/>
  <c r="CX39" i="45"/>
  <c r="HC39" i="45" s="1"/>
  <c r="CX39" i="41"/>
  <c r="HC39" i="41" s="1"/>
  <c r="GY58" i="44"/>
  <c r="BF58" i="41"/>
  <c r="BY58" i="43"/>
  <c r="BF58" i="44"/>
  <c r="CQ58" i="44"/>
  <c r="L58" i="45"/>
  <c r="BF58" i="45"/>
  <c r="AN58" i="45"/>
  <c r="CQ58" i="41"/>
  <c r="CQ58" i="43"/>
  <c r="L58" i="44"/>
  <c r="L58" i="43"/>
  <c r="GY58" i="41"/>
  <c r="GY58" i="43"/>
  <c r="AN58" i="43"/>
  <c r="AN58" i="41"/>
  <c r="CQ58" i="45"/>
  <c r="BY58" i="45"/>
  <c r="BY58" i="41"/>
  <c r="BF58" i="43"/>
  <c r="L58" i="41"/>
  <c r="AN58" i="44"/>
  <c r="BY58" i="44"/>
  <c r="GY58" i="45"/>
  <c r="GV77" i="43"/>
  <c r="GR80" i="44"/>
  <c r="DX89" i="45"/>
  <c r="GW89" i="45" s="1"/>
  <c r="DX89" i="43"/>
  <c r="GW89" i="43" s="1"/>
  <c r="DX89" i="44"/>
  <c r="GW89" i="44" s="1"/>
  <c r="DX89" i="41"/>
  <c r="GW89" i="41" s="1"/>
  <c r="K89" i="45"/>
  <c r="K89" i="41"/>
  <c r="K89" i="44"/>
  <c r="K89" i="43"/>
  <c r="DY115" i="44"/>
  <c r="GX115" i="44" s="1"/>
  <c r="DY115" i="45"/>
  <c r="GX115" i="45" s="1"/>
  <c r="DY115" i="43"/>
  <c r="GX115" i="43" s="1"/>
  <c r="DY115" i="41"/>
  <c r="GX115" i="41" s="1"/>
  <c r="HD20" i="43"/>
  <c r="F172" i="44"/>
  <c r="F172" i="45"/>
  <c r="F172" i="41"/>
  <c r="G52" i="25"/>
  <c r="D62" i="25" s="1"/>
  <c r="B31" i="21"/>
  <c r="C64" i="35" s="1"/>
  <c r="G64" i="35" s="1"/>
  <c r="D70" i="25"/>
  <c r="D67" i="25"/>
  <c r="D69" i="25"/>
  <c r="D68" i="25"/>
  <c r="D71" i="25"/>
  <c r="D60" i="25"/>
  <c r="E13" i="28"/>
  <c r="DW106" i="41"/>
  <c r="GV106" i="41" s="1"/>
  <c r="DW106" i="44"/>
  <c r="GV106" i="44" s="1"/>
  <c r="DW106" i="43"/>
  <c r="GV106" i="43" s="1"/>
  <c r="DW106" i="45"/>
  <c r="GV106" i="45" s="1"/>
  <c r="J107" i="41"/>
  <c r="J107" i="45"/>
  <c r="J107" i="44"/>
  <c r="J107" i="43"/>
  <c r="I100" i="41"/>
  <c r="I100" i="44"/>
  <c r="I100" i="43"/>
  <c r="I100" i="45"/>
  <c r="I83" i="45"/>
  <c r="I83" i="41"/>
  <c r="I83" i="44"/>
  <c r="I83" i="43"/>
  <c r="I118" i="43" s="1"/>
  <c r="DR93" i="41"/>
  <c r="GQ93" i="41" s="1"/>
  <c r="DR93" i="44"/>
  <c r="GQ93" i="44" s="1"/>
  <c r="DR93" i="45"/>
  <c r="GQ93" i="45" s="1"/>
  <c r="DR93" i="43"/>
  <c r="GQ93" i="43" s="1"/>
  <c r="B101" i="41"/>
  <c r="B101" i="45"/>
  <c r="B101" i="44"/>
  <c r="B101" i="43"/>
  <c r="S53" i="45"/>
  <c r="S53" i="44"/>
  <c r="S53" i="41"/>
  <c r="G166" i="12"/>
  <c r="H166" i="12"/>
  <c r="E166" i="12"/>
  <c r="F166" i="12"/>
  <c r="AQ37" i="43"/>
  <c r="CB37" i="41"/>
  <c r="CT37" i="43"/>
  <c r="CB37" i="45"/>
  <c r="AQ37" i="44"/>
  <c r="AQ37" i="41"/>
  <c r="AQ37" i="45"/>
  <c r="CT37" i="41"/>
  <c r="CB37" i="44"/>
  <c r="CT37" i="44"/>
  <c r="CB37" i="43"/>
  <c r="BI37" i="44"/>
  <c r="BI37" i="41"/>
  <c r="BI37" i="43"/>
  <c r="DC23" i="44"/>
  <c r="HH23" i="44" s="1"/>
  <c r="DC23" i="43"/>
  <c r="HH23" i="43" s="1"/>
  <c r="DC23" i="41"/>
  <c r="HH23" i="41" s="1"/>
  <c r="DC23" i="45"/>
  <c r="HH23" i="45" s="1"/>
  <c r="CW58" i="45"/>
  <c r="CW58" i="44"/>
  <c r="CW58" i="43"/>
  <c r="CW58" i="41"/>
  <c r="HJ19" i="43"/>
  <c r="CZ40" i="41"/>
  <c r="HE40" i="41" s="1"/>
  <c r="CZ40" i="45"/>
  <c r="HE40" i="45" s="1"/>
  <c r="CZ40" i="44"/>
  <c r="HE40" i="44" s="1"/>
  <c r="CZ40" i="43"/>
  <c r="HE40" i="43" s="1"/>
  <c r="M33" i="41"/>
  <c r="CR33" i="45"/>
  <c r="BZ33" i="44"/>
  <c r="AO33" i="41"/>
  <c r="M33" i="44"/>
  <c r="CR33" i="44"/>
  <c r="BG33" i="45"/>
  <c r="BZ33" i="41"/>
  <c r="CR33" i="43"/>
  <c r="CR33" i="41"/>
  <c r="BG33" i="44"/>
  <c r="M33" i="45"/>
  <c r="M33" i="43"/>
  <c r="BG33" i="43"/>
  <c r="BZ33" i="45"/>
  <c r="AO33" i="44"/>
  <c r="BG33" i="41"/>
  <c r="BZ33" i="43"/>
  <c r="GZ33" i="41"/>
  <c r="CX38" i="45"/>
  <c r="HC38" i="45" s="1"/>
  <c r="CX38" i="41"/>
  <c r="HC38" i="41" s="1"/>
  <c r="CX38" i="44"/>
  <c r="HC38" i="44" s="1"/>
  <c r="DS109" i="41"/>
  <c r="GR109" i="41" s="1"/>
  <c r="DS109" i="43"/>
  <c r="GR109" i="43" s="1"/>
  <c r="DS109" i="44"/>
  <c r="GR109" i="44" s="1"/>
  <c r="DS109" i="45"/>
  <c r="GR109" i="45" s="1"/>
  <c r="GY49" i="44"/>
  <c r="GY49" i="45"/>
  <c r="CQ49" i="43"/>
  <c r="AN49" i="41"/>
  <c r="BY49" i="44"/>
  <c r="GY49" i="41"/>
  <c r="AN49" i="45"/>
  <c r="BF49" i="43"/>
  <c r="CQ49" i="44"/>
  <c r="CQ49" i="41"/>
  <c r="BY49" i="45"/>
  <c r="L49" i="44"/>
  <c r="BF49" i="45"/>
  <c r="L49" i="43"/>
  <c r="BY49" i="41"/>
  <c r="CQ49" i="45"/>
  <c r="BF49" i="44"/>
  <c r="BF49" i="41"/>
  <c r="AN49" i="43"/>
  <c r="AN49" i="44"/>
  <c r="L49" i="41"/>
  <c r="L49" i="45"/>
  <c r="DW81" i="45"/>
  <c r="GV81" i="45" s="1"/>
  <c r="DW81" i="43"/>
  <c r="GV81" i="43" s="1"/>
  <c r="DW81" i="44"/>
  <c r="DW81" i="41"/>
  <c r="GV81" i="41" s="1"/>
  <c r="DS112" i="43"/>
  <c r="GR112" i="43" s="1"/>
  <c r="DS112" i="41"/>
  <c r="GR112" i="41" s="1"/>
  <c r="DS112" i="44"/>
  <c r="GR112" i="44" s="1"/>
  <c r="DS112" i="45"/>
  <c r="GR112" i="45" s="1"/>
  <c r="CN58" i="43"/>
  <c r="GV58" i="45"/>
  <c r="AK58" i="44"/>
  <c r="CN58" i="44"/>
  <c r="CN58" i="45"/>
  <c r="BC58" i="44"/>
  <c r="I58" i="44"/>
  <c r="BV58" i="41"/>
  <c r="GV58" i="43"/>
  <c r="AK58" i="41"/>
  <c r="GV58" i="41"/>
  <c r="BV58" i="44"/>
  <c r="AK58" i="45"/>
  <c r="I58" i="45"/>
  <c r="GV58" i="44"/>
  <c r="BV58" i="45"/>
  <c r="AK58" i="43"/>
  <c r="BC58" i="43"/>
  <c r="I58" i="43"/>
  <c r="CN58" i="41"/>
  <c r="BC58" i="45"/>
  <c r="I58" i="41"/>
  <c r="BC58" i="41"/>
  <c r="BV58" i="43"/>
  <c r="Q39" i="27"/>
  <c r="P11" i="23"/>
  <c r="GO60" i="45"/>
  <c r="B60" i="44"/>
  <c r="CG60" i="41"/>
  <c r="AD60" i="43"/>
  <c r="CG60" i="44"/>
  <c r="CS60" i="44" s="1"/>
  <c r="BO60" i="45"/>
  <c r="CG60" i="43"/>
  <c r="AV60" i="44"/>
  <c r="BH60" i="44" s="1"/>
  <c r="GO60" i="43"/>
  <c r="BO60" i="41"/>
  <c r="AD60" i="45"/>
  <c r="AP60" i="45" s="1"/>
  <c r="B60" i="43"/>
  <c r="BO60" i="43"/>
  <c r="CA60" i="43" s="1"/>
  <c r="AD60" i="41"/>
  <c r="GO60" i="41"/>
  <c r="AV60" i="41"/>
  <c r="B60" i="45"/>
  <c r="CG60" i="45"/>
  <c r="CS60" i="45" s="1"/>
  <c r="B60" i="41"/>
  <c r="BO60" i="44"/>
  <c r="CA60" i="44" s="1"/>
  <c r="AV60" i="45"/>
  <c r="BH60" i="45" s="1"/>
  <c r="AD60" i="44"/>
  <c r="AV60" i="43"/>
  <c r="AP29" i="45"/>
  <c r="U37" i="41"/>
  <c r="U37" i="44"/>
  <c r="U37" i="43"/>
  <c r="U37" i="45"/>
  <c r="U16" i="12"/>
  <c r="AC16" i="12"/>
  <c r="AE16" i="12"/>
  <c r="GZ32" i="45" s="1"/>
  <c r="Z16" i="12"/>
  <c r="GS16" i="12"/>
  <c r="T16" i="12"/>
  <c r="GO32" i="45" s="1"/>
  <c r="AA16" i="12"/>
  <c r="Y16" i="12"/>
  <c r="W16" i="12"/>
  <c r="V16" i="12"/>
  <c r="AD16" i="12"/>
  <c r="X16" i="12"/>
  <c r="GS32" i="45" s="1"/>
  <c r="AB16" i="12"/>
  <c r="DP115" i="41"/>
  <c r="GO115" i="41" s="1"/>
  <c r="DP115" i="43"/>
  <c r="GO115" i="43" s="1"/>
  <c r="DP115" i="44"/>
  <c r="GO115" i="44" s="1"/>
  <c r="DP115" i="45"/>
  <c r="GO115" i="45" s="1"/>
  <c r="GD22" i="45"/>
  <c r="GD22" i="44"/>
  <c r="GD22" i="41"/>
  <c r="GD22" i="43"/>
  <c r="DV87" i="41"/>
  <c r="GU87" i="41" s="1"/>
  <c r="DV87" i="43"/>
  <c r="GU87" i="43" s="1"/>
  <c r="DV87" i="44"/>
  <c r="GU87" i="44" s="1"/>
  <c r="DV87" i="45"/>
  <c r="GU87" i="45" s="1"/>
  <c r="GC29" i="41"/>
  <c r="GC29" i="43"/>
  <c r="GC29" i="45"/>
  <c r="GC29" i="44"/>
  <c r="J82" i="18"/>
  <c r="C89" i="18" s="1"/>
  <c r="C43" i="28" s="1"/>
  <c r="H108" i="35"/>
  <c r="L108" i="35" s="1"/>
  <c r="AM39" i="43"/>
  <c r="DI38" i="43"/>
  <c r="HB38" i="43"/>
  <c r="GZ36" i="43"/>
  <c r="GQ36" i="43"/>
  <c r="GY36" i="43"/>
  <c r="GX36" i="43"/>
  <c r="GP36" i="43"/>
  <c r="GR36" i="43"/>
  <c r="GT36" i="43"/>
  <c r="GW36" i="43"/>
  <c r="GV36" i="43"/>
  <c r="GS36" i="43"/>
  <c r="H111" i="35"/>
  <c r="L111" i="35" s="1"/>
  <c r="B13" i="42"/>
  <c r="B15" i="47"/>
  <c r="K71" i="33"/>
  <c r="G49" i="35" s="1"/>
  <c r="D23" i="35"/>
  <c r="D174" i="43"/>
  <c r="N28" i="35" s="1"/>
  <c r="F46" i="35" s="1"/>
  <c r="D171" i="43"/>
  <c r="M68" i="33"/>
  <c r="M71" i="33" s="1"/>
  <c r="F48" i="35" s="1"/>
  <c r="D10" i="35"/>
  <c r="G10" i="35" s="1"/>
  <c r="C14" i="42" s="1"/>
  <c r="D14" i="42" s="1"/>
  <c r="D162" i="43"/>
  <c r="N16" i="35" s="1"/>
  <c r="F34" i="35" s="1"/>
  <c r="D161" i="43"/>
  <c r="N15" i="35" s="1"/>
  <c r="F33" i="35" s="1"/>
  <c r="D163" i="43"/>
  <c r="N17" i="35" s="1"/>
  <c r="F35" i="35" s="1"/>
  <c r="D164" i="43"/>
  <c r="N18" i="35" s="1"/>
  <c r="F36" i="35" s="1"/>
  <c r="D168" i="43"/>
  <c r="N22" i="35" s="1"/>
  <c r="D169" i="43"/>
  <c r="N23" i="35" s="1"/>
  <c r="L76" i="33"/>
  <c r="L79" i="33" s="1"/>
  <c r="F50" i="35" s="1"/>
  <c r="D165" i="43"/>
  <c r="N19" i="35" s="1"/>
  <c r="D166" i="43"/>
  <c r="N20" i="35" s="1"/>
  <c r="D167" i="43"/>
  <c r="N21" i="35" s="1"/>
  <c r="F39" i="35" s="1"/>
  <c r="D170" i="43"/>
  <c r="BL20" i="32"/>
  <c r="AR35" i="32" s="1"/>
  <c r="AO53" i="32" s="1"/>
  <c r="E86" i="44"/>
  <c r="E118" i="44" s="1"/>
  <c r="E86" i="41"/>
  <c r="E118" i="41" s="1"/>
  <c r="E86" i="45"/>
  <c r="E86" i="43"/>
  <c r="DQ90" i="41"/>
  <c r="GP90" i="41" s="1"/>
  <c r="DQ90" i="43"/>
  <c r="GP90" i="43" s="1"/>
  <c r="DQ90" i="45"/>
  <c r="GP90" i="45" s="1"/>
  <c r="DQ90" i="44"/>
  <c r="GP90" i="44" s="1"/>
  <c r="DJ26" i="41"/>
  <c r="DJ26" i="43"/>
  <c r="DJ26" i="45"/>
  <c r="DJ26" i="44"/>
  <c r="X40" i="43"/>
  <c r="X40" i="41"/>
  <c r="X40" i="44"/>
  <c r="B66" i="43"/>
  <c r="E71" i="43"/>
  <c r="G71" i="43" s="1"/>
  <c r="AZ11" i="12"/>
  <c r="BD11" i="12"/>
  <c r="AY11" i="12"/>
  <c r="AV11" i="12"/>
  <c r="AW11" i="12"/>
  <c r="BC11" i="12"/>
  <c r="BA11" i="12"/>
  <c r="BB11" i="12"/>
  <c r="AX11" i="12"/>
  <c r="BF11" i="12"/>
  <c r="BE11" i="12"/>
  <c r="AU11" i="12"/>
  <c r="GT11" i="12"/>
  <c r="GU11" i="12" s="1"/>
  <c r="O53" i="45"/>
  <c r="DI53" i="45" s="1"/>
  <c r="O53" i="44"/>
  <c r="DI53" i="44" s="1"/>
  <c r="O53" i="41"/>
  <c r="DI53" i="41" s="1"/>
  <c r="I94" i="44"/>
  <c r="I94" i="43"/>
  <c r="I94" i="41"/>
  <c r="I94" i="45"/>
  <c r="HG45" i="12"/>
  <c r="T21" i="41"/>
  <c r="T21" i="44"/>
  <c r="T21" i="43"/>
  <c r="T21" i="45"/>
  <c r="DA23" i="44"/>
  <c r="HF23" i="44" s="1"/>
  <c r="DA23" i="45"/>
  <c r="HF23" i="45" s="1"/>
  <c r="DA23" i="43"/>
  <c r="HF23" i="43" s="1"/>
  <c r="DA23" i="41"/>
  <c r="HF23" i="41" s="1"/>
  <c r="DE58" i="44"/>
  <c r="HJ58" i="44" s="1"/>
  <c r="DE58" i="43"/>
  <c r="HJ58" i="43" s="1"/>
  <c r="DE58" i="45"/>
  <c r="HJ58" i="45" s="1"/>
  <c r="DE58" i="41"/>
  <c r="HJ58" i="41" s="1"/>
  <c r="DO23" i="12"/>
  <c r="DL23" i="12"/>
  <c r="DW23" i="12"/>
  <c r="DT23" i="12"/>
  <c r="DS23" i="12"/>
  <c r="DV23" i="12"/>
  <c r="DU23" i="12"/>
  <c r="DN23" i="12"/>
  <c r="DR23" i="12"/>
  <c r="DM23" i="12"/>
  <c r="GV23" i="12"/>
  <c r="GX23" i="12" s="1"/>
  <c r="DP23" i="12"/>
  <c r="DQ23" i="12"/>
  <c r="Q28" i="43"/>
  <c r="Q28" i="45"/>
  <c r="Q28" i="44"/>
  <c r="Q28" i="41"/>
  <c r="DA40" i="41"/>
  <c r="HF40" i="41" s="1"/>
  <c r="DA40" i="44"/>
  <c r="HF40" i="44" s="1"/>
  <c r="DA40" i="43"/>
  <c r="HF40" i="43" s="1"/>
  <c r="DA40" i="45"/>
  <c r="HF40" i="45" s="1"/>
  <c r="BY33" i="43"/>
  <c r="CQ33" i="44"/>
  <c r="BY33" i="41"/>
  <c r="L33" i="43"/>
  <c r="BY33" i="44"/>
  <c r="CQ33" i="45"/>
  <c r="AN33" i="44"/>
  <c r="AN33" i="41"/>
  <c r="BF33" i="45"/>
  <c r="L33" i="44"/>
  <c r="L33" i="41"/>
  <c r="BF33" i="43"/>
  <c r="BY33" i="45"/>
  <c r="CQ33" i="41"/>
  <c r="BF33" i="41"/>
  <c r="L33" i="45"/>
  <c r="GY33" i="41"/>
  <c r="CQ33" i="43"/>
  <c r="BF33" i="44"/>
  <c r="GQ78" i="45"/>
  <c r="DQ113" i="44"/>
  <c r="GP113" i="44" s="1"/>
  <c r="DQ113" i="43"/>
  <c r="GP113" i="43" s="1"/>
  <c r="DQ113" i="41"/>
  <c r="GP113" i="41" s="1"/>
  <c r="DQ113" i="45"/>
  <c r="GP113" i="45" s="1"/>
  <c r="AV58" i="44"/>
  <c r="BH58" i="44" s="1"/>
  <c r="B58" i="45"/>
  <c r="GO58" i="43"/>
  <c r="CG58" i="43"/>
  <c r="CS58" i="43" s="1"/>
  <c r="BO58" i="45"/>
  <c r="B58" i="43"/>
  <c r="CG58" i="45"/>
  <c r="AD58" i="44"/>
  <c r="AP58" i="44" s="1"/>
  <c r="GO58" i="45"/>
  <c r="GO58" i="41"/>
  <c r="AD58" i="45"/>
  <c r="AV58" i="45"/>
  <c r="BO58" i="41"/>
  <c r="CG58" i="41"/>
  <c r="BO58" i="43"/>
  <c r="CA58" i="43" s="1"/>
  <c r="AD58" i="43"/>
  <c r="AP58" i="43" s="1"/>
  <c r="B58" i="41"/>
  <c r="CG58" i="44"/>
  <c r="CS58" i="44" s="1"/>
  <c r="AD58" i="41"/>
  <c r="GO58" i="44"/>
  <c r="BO58" i="44"/>
  <c r="AV58" i="43"/>
  <c r="BH58" i="43" s="1"/>
  <c r="B58" i="44"/>
  <c r="AV58" i="41"/>
  <c r="P12" i="41"/>
  <c r="L12" i="41"/>
  <c r="S12" i="41"/>
  <c r="I12" i="41"/>
  <c r="M12" i="41"/>
  <c r="N12" i="41"/>
  <c r="O12" i="41"/>
  <c r="H12" i="41"/>
  <c r="Q12" i="41"/>
  <c r="B124" i="41"/>
  <c r="J12" i="41"/>
  <c r="K12" i="41"/>
  <c r="R12" i="41"/>
  <c r="GX80" i="44"/>
  <c r="W37" i="45"/>
  <c r="W37" i="44"/>
  <c r="W37" i="41"/>
  <c r="W37" i="43"/>
  <c r="J118" i="44"/>
  <c r="GP38" i="45"/>
  <c r="GO38" i="45"/>
  <c r="GW38" i="45"/>
  <c r="I89" i="41"/>
  <c r="I118" i="41" s="1"/>
  <c r="I89" i="43"/>
  <c r="I89" i="45"/>
  <c r="I89" i="44"/>
  <c r="DW115" i="44"/>
  <c r="GV115" i="44" s="1"/>
  <c r="DW115" i="45"/>
  <c r="GV115" i="45" s="1"/>
  <c r="DW115" i="41"/>
  <c r="GV115" i="41" s="1"/>
  <c r="DW115" i="43"/>
  <c r="GV115" i="43" s="1"/>
  <c r="AZ14" i="12"/>
  <c r="AU14" i="12"/>
  <c r="BB14" i="12"/>
  <c r="BF14" i="12"/>
  <c r="BA14" i="12"/>
  <c r="AV14" i="12"/>
  <c r="AW14" i="12"/>
  <c r="BC14" i="12"/>
  <c r="GT14" i="12"/>
  <c r="AX14" i="12"/>
  <c r="BD14" i="12"/>
  <c r="AY14" i="12"/>
  <c r="BE14" i="12"/>
  <c r="GP46" i="45"/>
  <c r="S16" i="48"/>
  <c r="E20" i="1"/>
  <c r="E22" i="1" s="1"/>
  <c r="J20" i="1" s="1"/>
  <c r="AH33" i="43"/>
  <c r="I45" i="35"/>
  <c r="N45" i="35" s="1"/>
  <c r="F164" i="45"/>
  <c r="AG18" i="35"/>
  <c r="DX104" i="43"/>
  <c r="GW104" i="43" s="1"/>
  <c r="DX104" i="44"/>
  <c r="GW104" i="44" s="1"/>
  <c r="DX104" i="41"/>
  <c r="GW104" i="41" s="1"/>
  <c r="DX104" i="45"/>
  <c r="GW104" i="45" s="1"/>
  <c r="DO104" i="41"/>
  <c r="GN104" i="41" s="1"/>
  <c r="DO104" i="44"/>
  <c r="GN104" i="44" s="1"/>
  <c r="DO104" i="45"/>
  <c r="GN104" i="45" s="1"/>
  <c r="DO104" i="43"/>
  <c r="GN104" i="43" s="1"/>
  <c r="DS91" i="43"/>
  <c r="GR91" i="43" s="1"/>
  <c r="DS91" i="41"/>
  <c r="GR91" i="41" s="1"/>
  <c r="DS91" i="45"/>
  <c r="GR91" i="45" s="1"/>
  <c r="DS91" i="44"/>
  <c r="GR91" i="44" s="1"/>
  <c r="GX27" i="41"/>
  <c r="GP27" i="41"/>
  <c r="GS27" i="41"/>
  <c r="GQ27" i="41"/>
  <c r="GW27" i="41"/>
  <c r="GT27" i="41"/>
  <c r="GZ27" i="41"/>
  <c r="GV27" i="41"/>
  <c r="GU27" i="41"/>
  <c r="GY27" i="41"/>
  <c r="GR27" i="41"/>
  <c r="GO27" i="41"/>
  <c r="GS57" i="41"/>
  <c r="GV57" i="41"/>
  <c r="GW57" i="41"/>
  <c r="GQ57" i="41"/>
  <c r="GZ57" i="41"/>
  <c r="GY57" i="41"/>
  <c r="GU57" i="41"/>
  <c r="GP57" i="41"/>
  <c r="GT57" i="41"/>
  <c r="GX57" i="41"/>
  <c r="GR57" i="41"/>
  <c r="GO57" i="41"/>
  <c r="B116" i="45"/>
  <c r="B116" i="43"/>
  <c r="B116" i="44"/>
  <c r="B116" i="41"/>
  <c r="K104" i="44"/>
  <c r="K104" i="41"/>
  <c r="K104" i="45"/>
  <c r="K104" i="43"/>
  <c r="GY27" i="44"/>
  <c r="GZ27" i="44"/>
  <c r="GW27" i="44"/>
  <c r="GQ27" i="44"/>
  <c r="GU27" i="44"/>
  <c r="GV27" i="44"/>
  <c r="GX27" i="44"/>
  <c r="GP27" i="44"/>
  <c r="GS27" i="44"/>
  <c r="GO27" i="44"/>
  <c r="GT27" i="44"/>
  <c r="GR27" i="44"/>
  <c r="L37" i="32"/>
  <c r="H55" i="32"/>
  <c r="C76" i="41"/>
  <c r="C118" i="41" s="1"/>
  <c r="C76" i="45"/>
  <c r="C118" i="45" s="1"/>
  <c r="C76" i="43"/>
  <c r="C76" i="44"/>
  <c r="DV10" i="12"/>
  <c r="DS10" i="12"/>
  <c r="DM10" i="12"/>
  <c r="DQ10" i="12"/>
  <c r="DR10" i="12"/>
  <c r="DT10" i="12"/>
  <c r="DO10" i="12"/>
  <c r="DU10" i="12"/>
  <c r="GV10" i="12"/>
  <c r="GX10" i="12" s="1"/>
  <c r="DP10" i="12"/>
  <c r="DW10" i="12"/>
  <c r="DN10" i="12"/>
  <c r="DL10" i="12"/>
  <c r="E111" i="44"/>
  <c r="E111" i="41"/>
  <c r="E111" i="45"/>
  <c r="E111" i="43"/>
  <c r="DO90" i="43"/>
  <c r="GN90" i="43" s="1"/>
  <c r="DO90" i="44"/>
  <c r="GN90" i="44" s="1"/>
  <c r="DO90" i="41"/>
  <c r="GN90" i="41" s="1"/>
  <c r="DO90" i="45"/>
  <c r="GN90" i="45" s="1"/>
  <c r="GZ57" i="43"/>
  <c r="GO57" i="43"/>
  <c r="GR57" i="43"/>
  <c r="GQ57" i="43"/>
  <c r="GT57" i="43"/>
  <c r="GW57" i="43"/>
  <c r="GV57" i="43"/>
  <c r="GS57" i="43"/>
  <c r="GX57" i="43"/>
  <c r="GU57" i="43"/>
  <c r="GP57" i="43"/>
  <c r="GY57" i="43"/>
  <c r="GX26" i="44"/>
  <c r="GQ26" i="44"/>
  <c r="GY26" i="44"/>
  <c r="GS26" i="44"/>
  <c r="GP26" i="44"/>
  <c r="GO26" i="44"/>
  <c r="GU26" i="44"/>
  <c r="GW26" i="44"/>
  <c r="GV26" i="44"/>
  <c r="GT26" i="44"/>
  <c r="GZ26" i="44"/>
  <c r="GR26" i="44"/>
  <c r="GV36" i="45"/>
  <c r="GQ36" i="45"/>
  <c r="GT36" i="45"/>
  <c r="GW36" i="45"/>
  <c r="GZ36" i="45"/>
  <c r="GR36" i="45"/>
  <c r="GS36" i="45"/>
  <c r="GU36" i="45"/>
  <c r="AQ22" i="44"/>
  <c r="CT22" i="43"/>
  <c r="AQ22" i="41"/>
  <c r="CT22" i="44"/>
  <c r="BI22" i="43"/>
  <c r="BI22" i="44"/>
  <c r="AQ22" i="43"/>
  <c r="CB22" i="45"/>
  <c r="CB22" i="41"/>
  <c r="AQ22" i="45"/>
  <c r="CB22" i="44"/>
  <c r="CB22" i="43"/>
  <c r="BI22" i="41"/>
  <c r="BI22" i="45"/>
  <c r="CT22" i="41"/>
  <c r="CT30" i="45"/>
  <c r="CT29" i="45"/>
  <c r="CT19" i="44"/>
  <c r="CT52" i="45"/>
  <c r="CT35" i="45"/>
  <c r="CT54" i="45"/>
  <c r="CT45" i="45"/>
  <c r="CB19" i="41"/>
  <c r="AQ19" i="44"/>
  <c r="CT31" i="45"/>
  <c r="CT55" i="45"/>
  <c r="CT43" i="45"/>
  <c r="CB19" i="43"/>
  <c r="CT32" i="45"/>
  <c r="CT36" i="45"/>
  <c r="CT53" i="45"/>
  <c r="CT19" i="43"/>
  <c r="CT34" i="45"/>
  <c r="CT26" i="45"/>
  <c r="CT44" i="45"/>
  <c r="CT37" i="45"/>
  <c r="CT51" i="45"/>
  <c r="CT28" i="45"/>
  <c r="BI19" i="44"/>
  <c r="CT56" i="45"/>
  <c r="AQ19" i="41"/>
  <c r="CT59" i="45"/>
  <c r="CT27" i="45"/>
  <c r="AQ19" i="43"/>
  <c r="CT58" i="45"/>
  <c r="CT42" i="45"/>
  <c r="AQ19" i="45"/>
  <c r="BI19" i="45"/>
  <c r="CT23" i="45"/>
  <c r="CT19" i="41"/>
  <c r="CT57" i="45"/>
  <c r="CT20" i="45"/>
  <c r="CT33" i="45"/>
  <c r="CT60" i="45"/>
  <c r="CT39" i="45"/>
  <c r="BI19" i="41"/>
  <c r="CT48" i="45"/>
  <c r="CB19" i="45"/>
  <c r="CT49" i="45"/>
  <c r="CT50" i="45"/>
  <c r="CT19" i="45"/>
  <c r="CT61" i="45" s="1"/>
  <c r="G164" i="45" s="1"/>
  <c r="AK18" i="35" s="1"/>
  <c r="CT24" i="45"/>
  <c r="BI19" i="43"/>
  <c r="CT22" i="45"/>
  <c r="CB19" i="44"/>
  <c r="CT25" i="45"/>
  <c r="CT38" i="45"/>
  <c r="CT47" i="45"/>
  <c r="CT21" i="45"/>
  <c r="CT34" i="44"/>
  <c r="AQ34" i="41"/>
  <c r="CB34" i="43"/>
  <c r="CB34" i="45"/>
  <c r="BI34" i="41"/>
  <c r="CB34" i="41"/>
  <c r="BI34" i="45"/>
  <c r="BI34" i="43"/>
  <c r="AQ34" i="45"/>
  <c r="AQ34" i="44"/>
  <c r="CT34" i="41"/>
  <c r="CB34" i="44"/>
  <c r="BI34" i="44"/>
  <c r="AQ34" i="43"/>
  <c r="AQ20" i="44"/>
  <c r="CT20" i="44"/>
  <c r="CB20" i="45"/>
  <c r="AQ20" i="43"/>
  <c r="BI20" i="45"/>
  <c r="AQ20" i="45"/>
  <c r="BI20" i="43"/>
  <c r="CT20" i="41"/>
  <c r="AQ20" i="41"/>
  <c r="CB20" i="41"/>
  <c r="CB20" i="44"/>
  <c r="BI20" i="41"/>
  <c r="CB20" i="43"/>
  <c r="BI20" i="44"/>
  <c r="CT20" i="43"/>
  <c r="BF20" i="32"/>
  <c r="AL35" i="32" s="1"/>
  <c r="AK53" i="32" s="1"/>
  <c r="CT25" i="44"/>
  <c r="BI25" i="43"/>
  <c r="BI25" i="45"/>
  <c r="AQ25" i="45"/>
  <c r="AQ25" i="44"/>
  <c r="CT25" i="43"/>
  <c r="CB25" i="45"/>
  <c r="CB25" i="44"/>
  <c r="CB25" i="41"/>
  <c r="BI25" i="41"/>
  <c r="AQ25" i="41"/>
  <c r="CB25" i="43"/>
  <c r="BI25" i="44"/>
  <c r="AQ25" i="43"/>
  <c r="CT25" i="41"/>
  <c r="O69" i="33"/>
  <c r="O71" i="33" s="1"/>
  <c r="F49" i="35" s="1"/>
  <c r="N77" i="33"/>
  <c r="N79" i="33" s="1"/>
  <c r="F51" i="35" s="1"/>
  <c r="D175" i="44"/>
  <c r="X29" i="35" s="1"/>
  <c r="M110" i="43"/>
  <c r="M110" i="44"/>
  <c r="M110" i="45"/>
  <c r="M110" i="41"/>
  <c r="FE12" i="45"/>
  <c r="GP12" i="45" s="1"/>
  <c r="FC12" i="45"/>
  <c r="CB45" i="43"/>
  <c r="AQ45" i="44"/>
  <c r="CB45" i="44"/>
  <c r="BI45" i="44"/>
  <c r="CT45" i="43"/>
  <c r="BI45" i="45"/>
  <c r="BI45" i="43"/>
  <c r="CT45" i="41"/>
  <c r="CT45" i="44"/>
  <c r="CB45" i="41"/>
  <c r="AQ45" i="41"/>
  <c r="AQ45" i="45"/>
  <c r="BI45" i="41"/>
  <c r="AQ45" i="43"/>
  <c r="CB45" i="45"/>
  <c r="FE26" i="45"/>
  <c r="FD26" i="45"/>
  <c r="F97" i="41"/>
  <c r="F97" i="43"/>
  <c r="F97" i="45"/>
  <c r="F97" i="44"/>
  <c r="DJ31" i="41"/>
  <c r="DJ31" i="44"/>
  <c r="DJ31" i="45"/>
  <c r="DJ31" i="43"/>
  <c r="H97" i="45"/>
  <c r="H97" i="43"/>
  <c r="H97" i="44"/>
  <c r="H97" i="41"/>
  <c r="DJ39" i="43"/>
  <c r="DJ39" i="41"/>
  <c r="DJ39" i="45"/>
  <c r="DJ39" i="44"/>
  <c r="I109" i="41"/>
  <c r="I109" i="45"/>
  <c r="I109" i="43"/>
  <c r="I109" i="44"/>
  <c r="DX84" i="45"/>
  <c r="GW84" i="45" s="1"/>
  <c r="DX84" i="41"/>
  <c r="GW84" i="41" s="1"/>
  <c r="DX84" i="43"/>
  <c r="GW84" i="43" s="1"/>
  <c r="DX84" i="44"/>
  <c r="GW84" i="44" s="1"/>
  <c r="FW38" i="12"/>
  <c r="DP92" i="44"/>
  <c r="GO92" i="44" s="1"/>
  <c r="DP92" i="41"/>
  <c r="GO92" i="41" s="1"/>
  <c r="DP92" i="43"/>
  <c r="GO92" i="43" s="1"/>
  <c r="DP92" i="45"/>
  <c r="GO92" i="45" s="1"/>
  <c r="AQ35" i="41"/>
  <c r="AQ35" i="45"/>
  <c r="BI35" i="41"/>
  <c r="CB35" i="44"/>
  <c r="CT35" i="41"/>
  <c r="AQ35" i="43"/>
  <c r="BI35" i="44"/>
  <c r="CT35" i="43"/>
  <c r="BI35" i="43"/>
  <c r="BI35" i="45"/>
  <c r="CB35" i="45"/>
  <c r="CT35" i="44"/>
  <c r="AQ35" i="44"/>
  <c r="CB35" i="41"/>
  <c r="C101" i="44"/>
  <c r="C101" i="41"/>
  <c r="C101" i="43"/>
  <c r="C101" i="45"/>
  <c r="DS87" i="41"/>
  <c r="GR87" i="41" s="1"/>
  <c r="DS87" i="45"/>
  <c r="GR87" i="45" s="1"/>
  <c r="DS87" i="43"/>
  <c r="GR87" i="43" s="1"/>
  <c r="DS87" i="44"/>
  <c r="GR87" i="44" s="1"/>
  <c r="D106" i="41"/>
  <c r="D106" i="44"/>
  <c r="D106" i="43"/>
  <c r="D106" i="45"/>
  <c r="DQ85" i="41"/>
  <c r="GP85" i="41" s="1"/>
  <c r="DQ85" i="43"/>
  <c r="GP85" i="43" s="1"/>
  <c r="DQ85" i="44"/>
  <c r="GP85" i="44" s="1"/>
  <c r="DQ85" i="45"/>
  <c r="GP85" i="45" s="1"/>
  <c r="DQ15" i="12"/>
  <c r="DN15" i="12"/>
  <c r="DM15" i="12"/>
  <c r="DO15" i="12"/>
  <c r="DW15" i="12"/>
  <c r="DP15" i="12"/>
  <c r="DU15" i="12"/>
  <c r="DR15" i="12"/>
  <c r="DV15" i="12"/>
  <c r="GV15" i="12"/>
  <c r="GX15" i="12" s="1"/>
  <c r="DT15" i="12"/>
  <c r="DL15" i="12"/>
  <c r="DS15" i="12"/>
  <c r="D101" i="44"/>
  <c r="D101" i="45"/>
  <c r="D101" i="41"/>
  <c r="D101" i="43"/>
  <c r="D184" i="12"/>
  <c r="N21" i="12"/>
  <c r="Q21" i="12" s="1"/>
  <c r="DZ106" i="41"/>
  <c r="GY106" i="41" s="1"/>
  <c r="DZ106" i="44"/>
  <c r="GY106" i="44" s="1"/>
  <c r="DZ106" i="43"/>
  <c r="GY106" i="43" s="1"/>
  <c r="DZ106" i="45"/>
  <c r="GY106" i="45" s="1"/>
  <c r="Y23" i="41"/>
  <c r="Y23" i="43"/>
  <c r="Y23" i="44"/>
  <c r="Y23" i="45"/>
  <c r="GS35" i="12"/>
  <c r="GU35" i="12" s="1"/>
  <c r="T35" i="12"/>
  <c r="X35" i="12"/>
  <c r="V35" i="12"/>
  <c r="AE35" i="12"/>
  <c r="AB35" i="12"/>
  <c r="Z35" i="12"/>
  <c r="Y35" i="12"/>
  <c r="AC35" i="12"/>
  <c r="AD35" i="12"/>
  <c r="AA35" i="12"/>
  <c r="U35" i="12"/>
  <c r="W35" i="12"/>
  <c r="HC19" i="41"/>
  <c r="DB19" i="44"/>
  <c r="DB19" i="41"/>
  <c r="DB19" i="43"/>
  <c r="DB19" i="45"/>
  <c r="GZ45" i="12"/>
  <c r="CT28" i="41"/>
  <c r="CB28" i="43"/>
  <c r="CT28" i="44"/>
  <c r="AQ28" i="41"/>
  <c r="CB28" i="44"/>
  <c r="AQ28" i="45"/>
  <c r="AQ28" i="43"/>
  <c r="AQ28" i="44"/>
  <c r="CB28" i="45"/>
  <c r="CB28" i="41"/>
  <c r="BI28" i="44"/>
  <c r="BI28" i="41"/>
  <c r="CT28" i="43"/>
  <c r="D168" i="12"/>
  <c r="N5" i="12"/>
  <c r="Q5" i="12" s="1"/>
  <c r="Q44" i="41"/>
  <c r="Q44" i="45"/>
  <c r="Q44" i="43"/>
  <c r="Q44" i="44"/>
  <c r="DE23" i="41"/>
  <c r="HJ23" i="41" s="1"/>
  <c r="DE23" i="43"/>
  <c r="HJ23" i="43" s="1"/>
  <c r="DE23" i="44"/>
  <c r="HJ23" i="44" s="1"/>
  <c r="DE23" i="45"/>
  <c r="HJ23" i="45" s="1"/>
  <c r="AP50" i="43"/>
  <c r="CS50" i="43"/>
  <c r="B132" i="41"/>
  <c r="B65" i="41"/>
  <c r="P28" i="44"/>
  <c r="P28" i="45"/>
  <c r="P28" i="43"/>
  <c r="P28" i="41"/>
  <c r="O28" i="43"/>
  <c r="DI28" i="43" s="1"/>
  <c r="O28" i="44"/>
  <c r="DI28" i="44" s="1"/>
  <c r="O28" i="41"/>
  <c r="DI28" i="41" s="1"/>
  <c r="O28" i="45"/>
  <c r="DI28" i="45" s="1"/>
  <c r="DH39" i="44"/>
  <c r="HM39" i="44" s="1"/>
  <c r="DH39" i="45"/>
  <c r="HM39" i="45" s="1"/>
  <c r="DH39" i="43"/>
  <c r="HM39" i="43" s="1"/>
  <c r="DH39" i="41"/>
  <c r="HM39" i="41" s="1"/>
  <c r="DD40" i="45"/>
  <c r="HI40" i="45" s="1"/>
  <c r="DD40" i="44"/>
  <c r="HI40" i="44" s="1"/>
  <c r="DD40" i="43"/>
  <c r="HI40" i="43" s="1"/>
  <c r="DD40" i="41"/>
  <c r="HI40" i="41" s="1"/>
  <c r="DB56" i="41"/>
  <c r="HG56" i="41" s="1"/>
  <c r="DB56" i="43"/>
  <c r="HG56" i="43" s="1"/>
  <c r="DB56" i="45"/>
  <c r="HG56" i="45" s="1"/>
  <c r="DB56" i="44"/>
  <c r="HG56" i="44" s="1"/>
  <c r="S22" i="44"/>
  <c r="S22" i="41"/>
  <c r="S22" i="45"/>
  <c r="S22" i="43"/>
  <c r="CH33" i="45"/>
  <c r="C33" i="44"/>
  <c r="BP33" i="41"/>
  <c r="BP33" i="45"/>
  <c r="CH33" i="44"/>
  <c r="AE33" i="41"/>
  <c r="CH33" i="41"/>
  <c r="CH33" i="43"/>
  <c r="C33" i="45"/>
  <c r="AW33" i="44"/>
  <c r="BP33" i="43"/>
  <c r="AW33" i="45"/>
  <c r="C33" i="43"/>
  <c r="C33" i="41"/>
  <c r="AW33" i="43"/>
  <c r="BP33" i="44"/>
  <c r="GP33" i="41"/>
  <c r="AW33" i="41"/>
  <c r="AE33" i="44"/>
  <c r="CW38" i="44"/>
  <c r="CW38" i="41"/>
  <c r="CW38" i="45"/>
  <c r="AH24" i="45"/>
  <c r="BS24" i="44"/>
  <c r="BS24" i="43"/>
  <c r="AZ24" i="45"/>
  <c r="F24" i="43"/>
  <c r="F24" i="44"/>
  <c r="CK24" i="45"/>
  <c r="AH24" i="43"/>
  <c r="F24" i="45"/>
  <c r="AZ24" i="44"/>
  <c r="F24" i="41"/>
  <c r="AH24" i="41"/>
  <c r="AZ24" i="41"/>
  <c r="CK24" i="41"/>
  <c r="AH24" i="44"/>
  <c r="AZ24" i="43"/>
  <c r="CK24" i="43"/>
  <c r="CK24" i="44"/>
  <c r="BS24" i="41"/>
  <c r="GS24" i="44"/>
  <c r="GS24" i="41"/>
  <c r="BS24" i="45"/>
  <c r="GS24" i="45"/>
  <c r="GS24" i="43"/>
  <c r="AP27" i="43"/>
  <c r="BQ39" i="44"/>
  <c r="D39" i="45"/>
  <c r="D39" i="44"/>
  <c r="AX39" i="45"/>
  <c r="D39" i="43"/>
  <c r="CI39" i="41"/>
  <c r="D39" i="41"/>
  <c r="GQ39" i="44"/>
  <c r="BQ39" i="41"/>
  <c r="CI39" i="44"/>
  <c r="AX39" i="43"/>
  <c r="AX39" i="41"/>
  <c r="CI39" i="43"/>
  <c r="BQ39" i="45"/>
  <c r="AF39" i="44"/>
  <c r="AX39" i="44"/>
  <c r="CI39" i="45"/>
  <c r="BQ39" i="43"/>
  <c r="AF39" i="41"/>
  <c r="GW24" i="44"/>
  <c r="DX113" i="43"/>
  <c r="GW113" i="43" s="1"/>
  <c r="DX113" i="44"/>
  <c r="GW113" i="44" s="1"/>
  <c r="DX113" i="45"/>
  <c r="GW113" i="45" s="1"/>
  <c r="DX113" i="41"/>
  <c r="GW113" i="41" s="1"/>
  <c r="W57" i="44"/>
  <c r="W57" i="43"/>
  <c r="W57" i="41"/>
  <c r="W57" i="45"/>
  <c r="DV81" i="44"/>
  <c r="GU81" i="44" s="1"/>
  <c r="DV81" i="41"/>
  <c r="GU81" i="41" s="1"/>
  <c r="DV81" i="43"/>
  <c r="GU81" i="43" s="1"/>
  <c r="DV81" i="45"/>
  <c r="GU81" i="45" s="1"/>
  <c r="Y56" i="45"/>
  <c r="Y56" i="44"/>
  <c r="Y56" i="43"/>
  <c r="Y56" i="41"/>
  <c r="DT112" i="45"/>
  <c r="GS112" i="45" s="1"/>
  <c r="DT112" i="43"/>
  <c r="GS112" i="43" s="1"/>
  <c r="DT112" i="44"/>
  <c r="GS112" i="44" s="1"/>
  <c r="DT112" i="41"/>
  <c r="GS112" i="41" s="1"/>
  <c r="GT58" i="44"/>
  <c r="G58" i="44"/>
  <c r="BA58" i="43"/>
  <c r="CL58" i="45"/>
  <c r="AI58" i="45"/>
  <c r="G58" i="41"/>
  <c r="BA58" i="44"/>
  <c r="CL58" i="41"/>
  <c r="BT58" i="43"/>
  <c r="CL58" i="43"/>
  <c r="G58" i="45"/>
  <c r="CL58" i="44"/>
  <c r="GT58" i="43"/>
  <c r="GT58" i="45"/>
  <c r="BT58" i="45"/>
  <c r="AI58" i="43"/>
  <c r="G58" i="43"/>
  <c r="BA58" i="45"/>
  <c r="GT58" i="41"/>
  <c r="AI58" i="44"/>
  <c r="BT58" i="41"/>
  <c r="AI58" i="41"/>
  <c r="BT58" i="44"/>
  <c r="BA58" i="41"/>
  <c r="GV77" i="41"/>
  <c r="E253" i="12"/>
  <c r="E30" i="28" s="1"/>
  <c r="CX35" i="43"/>
  <c r="HC35" i="43" s="1"/>
  <c r="CX35" i="45"/>
  <c r="HC35" i="45" s="1"/>
  <c r="CX35" i="44"/>
  <c r="HC35" i="44" s="1"/>
  <c r="CX35" i="41"/>
  <c r="HC35" i="41" s="1"/>
  <c r="CS29" i="45"/>
  <c r="DU103" i="43"/>
  <c r="GT103" i="43" s="1"/>
  <c r="DU103" i="41"/>
  <c r="GT103" i="41" s="1"/>
  <c r="DU103" i="44"/>
  <c r="GT103" i="44" s="1"/>
  <c r="DU103" i="45"/>
  <c r="GT103" i="45" s="1"/>
  <c r="BH29" i="44"/>
  <c r="GR80" i="45"/>
  <c r="HM20" i="43"/>
  <c r="CA41" i="44"/>
  <c r="GX80" i="43"/>
  <c r="V37" i="43"/>
  <c r="V37" i="45"/>
  <c r="V37" i="44"/>
  <c r="V37" i="41"/>
  <c r="CA34" i="45"/>
  <c r="GQ46" i="45"/>
  <c r="AG33" i="45"/>
  <c r="GZ33" i="45"/>
  <c r="GU33" i="45"/>
  <c r="GY33" i="45"/>
  <c r="GT33" i="45"/>
  <c r="GR33" i="45"/>
  <c r="GX33" i="45"/>
  <c r="GW33" i="45"/>
  <c r="GP33" i="45"/>
  <c r="GQ33" i="45"/>
  <c r="GO33" i="45"/>
  <c r="GV33" i="45"/>
  <c r="DO89" i="41"/>
  <c r="GN89" i="41" s="1"/>
  <c r="DO89" i="44"/>
  <c r="GN89" i="44" s="1"/>
  <c r="DO89" i="45"/>
  <c r="GN89" i="45" s="1"/>
  <c r="DO89" i="43"/>
  <c r="GN89" i="43" s="1"/>
  <c r="DZ89" i="43"/>
  <c r="GY89" i="43" s="1"/>
  <c r="DZ89" i="44"/>
  <c r="GY89" i="44" s="1"/>
  <c r="DZ89" i="41"/>
  <c r="GY89" i="41" s="1"/>
  <c r="DZ89" i="45"/>
  <c r="GY89" i="45" s="1"/>
  <c r="G89" i="44"/>
  <c r="G89" i="45"/>
  <c r="G118" i="45" s="1"/>
  <c r="G89" i="43"/>
  <c r="G118" i="43" s="1"/>
  <c r="G89" i="41"/>
  <c r="AE22" i="12"/>
  <c r="GZ38" i="45" s="1"/>
  <c r="GS22" i="12"/>
  <c r="GU22" i="12" s="1"/>
  <c r="U22" i="12"/>
  <c r="W22" i="12"/>
  <c r="Z22" i="12"/>
  <c r="AC22" i="12"/>
  <c r="GX38" i="45" s="1"/>
  <c r="X22" i="12"/>
  <c r="V22" i="12"/>
  <c r="T22" i="12"/>
  <c r="AA22" i="12"/>
  <c r="AD22" i="12"/>
  <c r="AB22" i="12"/>
  <c r="Y22" i="12"/>
  <c r="GT38" i="45" s="1"/>
  <c r="N12" i="43"/>
  <c r="O12" i="43"/>
  <c r="I12" i="43"/>
  <c r="K12" i="43"/>
  <c r="J12" i="43"/>
  <c r="H12" i="43"/>
  <c r="P12" i="43"/>
  <c r="Q12" i="43"/>
  <c r="R12" i="43"/>
  <c r="L12" i="43"/>
  <c r="B124" i="43"/>
  <c r="M12" i="43"/>
  <c r="S12" i="43"/>
  <c r="G111" i="35"/>
  <c r="DX115" i="44"/>
  <c r="GW115" i="44" s="1"/>
  <c r="DX115" i="41"/>
  <c r="GW115" i="41" s="1"/>
  <c r="DX115" i="45"/>
  <c r="GW115" i="45" s="1"/>
  <c r="DX115" i="43"/>
  <c r="GW115" i="43" s="1"/>
  <c r="AM39" i="45"/>
  <c r="BI32" i="45"/>
  <c r="DQ87" i="43"/>
  <c r="GP87" i="43" s="1"/>
  <c r="DQ87" i="44"/>
  <c r="GP87" i="44" s="1"/>
  <c r="DQ87" i="41"/>
  <c r="GP87" i="41" s="1"/>
  <c r="DQ87" i="45"/>
  <c r="GP87" i="45" s="1"/>
  <c r="M87" i="44"/>
  <c r="M118" i="44" s="1"/>
  <c r="M87" i="45"/>
  <c r="M87" i="43"/>
  <c r="M87" i="41"/>
  <c r="J87" i="43"/>
  <c r="J87" i="44"/>
  <c r="J87" i="41"/>
  <c r="J87" i="45"/>
  <c r="FY71" i="45"/>
  <c r="G71" i="45"/>
  <c r="I106" i="35"/>
  <c r="N253" i="12"/>
  <c r="Y253" i="12"/>
  <c r="D53" i="32"/>
  <c r="F35" i="32"/>
  <c r="GG33" i="41"/>
  <c r="CX145" i="43"/>
  <c r="DD145" i="43" s="1"/>
  <c r="CX151" i="43" s="1"/>
  <c r="C165" i="43" s="1"/>
  <c r="DA145" i="43"/>
  <c r="C15" i="35"/>
  <c r="F161" i="41"/>
  <c r="GS33" i="43"/>
  <c r="GO33" i="43"/>
  <c r="B115" i="44"/>
  <c r="B115" i="45"/>
  <c r="B115" i="41"/>
  <c r="B115" i="43"/>
  <c r="GO145" i="43"/>
  <c r="GU145" i="43" s="1"/>
  <c r="GO151" i="43" s="1"/>
  <c r="GR145" i="43"/>
  <c r="M28" i="35"/>
  <c r="F174" i="43"/>
  <c r="G174" i="43"/>
  <c r="Q28" i="35" s="1"/>
  <c r="M22" i="35"/>
  <c r="F168" i="43"/>
  <c r="GR54" i="43"/>
  <c r="GW54" i="43"/>
  <c r="GU54" i="43"/>
  <c r="GX54" i="43"/>
  <c r="GO54" i="43"/>
  <c r="GQ54" i="43"/>
  <c r="GZ54" i="43"/>
  <c r="GP54" i="43"/>
  <c r="BH50" i="43"/>
  <c r="BU49" i="43"/>
  <c r="GW48" i="43"/>
  <c r="GO48" i="43"/>
  <c r="GX48" i="43"/>
  <c r="GZ48" i="43"/>
  <c r="GP48" i="43"/>
  <c r="GS48" i="43"/>
  <c r="GR48" i="43"/>
  <c r="GU48" i="43"/>
  <c r="GV48" i="43"/>
  <c r="GT40" i="43"/>
  <c r="AF39" i="43"/>
  <c r="DB38" i="43"/>
  <c r="HG38" i="43" s="1"/>
  <c r="AF33" i="43"/>
  <c r="CA27" i="43"/>
  <c r="DK61" i="43"/>
  <c r="GU79" i="41"/>
  <c r="CS40" i="45"/>
  <c r="C29" i="35"/>
  <c r="F165" i="45"/>
  <c r="AG19" i="35"/>
  <c r="AD127" i="41" l="1"/>
  <c r="AV127" i="41"/>
  <c r="BO127" i="41"/>
  <c r="B127" i="41"/>
  <c r="CG127" i="41"/>
  <c r="CX127" i="41"/>
  <c r="CO127" i="45"/>
  <c r="BD127" i="45"/>
  <c r="DF127" i="45"/>
  <c r="BW127" i="45"/>
  <c r="J127" i="45"/>
  <c r="AL127" i="45"/>
  <c r="AF127" i="44"/>
  <c r="D127" i="44"/>
  <c r="CZ127" i="44"/>
  <c r="CI127" i="44"/>
  <c r="AX127" i="44"/>
  <c r="BQ127" i="44"/>
  <c r="BF127" i="45"/>
  <c r="DH127" i="45"/>
  <c r="L127" i="45"/>
  <c r="CQ127" i="45"/>
  <c r="AN127" i="45"/>
  <c r="BY127" i="45"/>
  <c r="AD127" i="45"/>
  <c r="CG127" i="45"/>
  <c r="B127" i="45"/>
  <c r="CX127" i="45"/>
  <c r="AV127" i="45"/>
  <c r="BO127" i="45"/>
  <c r="DD127" i="41"/>
  <c r="AJ127" i="41"/>
  <c r="BB127" i="41"/>
  <c r="BU127" i="41"/>
  <c r="CM127" i="41"/>
  <c r="H127" i="41"/>
  <c r="BU127" i="43"/>
  <c r="DD127" i="43"/>
  <c r="H127" i="43"/>
  <c r="BB127" i="43"/>
  <c r="AJ127" i="43"/>
  <c r="CM127" i="43"/>
  <c r="BQ127" i="45"/>
  <c r="AF127" i="45"/>
  <c r="CI127" i="45"/>
  <c r="D127" i="45"/>
  <c r="AX127" i="45"/>
  <c r="CZ127" i="45"/>
  <c r="J127" i="43"/>
  <c r="BD127" i="43"/>
  <c r="BW127" i="43"/>
  <c r="CO127" i="43"/>
  <c r="DF127" i="43"/>
  <c r="AL127" i="43"/>
  <c r="AF127" i="43"/>
  <c r="CI127" i="43"/>
  <c r="D127" i="43"/>
  <c r="AX127" i="43"/>
  <c r="BQ127" i="43"/>
  <c r="CZ127" i="43"/>
  <c r="AZ127" i="43"/>
  <c r="CK127" i="43"/>
  <c r="AH127" i="43"/>
  <c r="DB127" i="43"/>
  <c r="BS127" i="43"/>
  <c r="F127" i="43"/>
  <c r="AY127" i="45"/>
  <c r="CJ127" i="45"/>
  <c r="AG127" i="45"/>
  <c r="DA127" i="45"/>
  <c r="E127" i="45"/>
  <c r="BR127" i="45"/>
  <c r="BR127" i="41"/>
  <c r="AY127" i="41"/>
  <c r="AG127" i="41"/>
  <c r="E127" i="41"/>
  <c r="CJ127" i="41"/>
  <c r="DA127" i="41"/>
  <c r="BS127" i="45"/>
  <c r="DB127" i="45"/>
  <c r="F127" i="45"/>
  <c r="AH127" i="45"/>
  <c r="CK127" i="45"/>
  <c r="AZ127" i="45"/>
  <c r="W22" i="35"/>
  <c r="E40" i="35" s="1"/>
  <c r="F168" i="44"/>
  <c r="BR127" i="44"/>
  <c r="AY127" i="44"/>
  <c r="AG127" i="44"/>
  <c r="CJ127" i="44"/>
  <c r="E127" i="44"/>
  <c r="DA127" i="44"/>
  <c r="AM127" i="43"/>
  <c r="BX127" i="43"/>
  <c r="DG127" i="43"/>
  <c r="K127" i="43"/>
  <c r="BE127" i="43"/>
  <c r="CP127" i="43"/>
  <c r="CZ127" i="41"/>
  <c r="CI127" i="41"/>
  <c r="AX127" i="41"/>
  <c r="BQ127" i="41"/>
  <c r="D127" i="41"/>
  <c r="AF127" i="41"/>
  <c r="DB127" i="44"/>
  <c r="AZ127" i="44"/>
  <c r="CK127" i="44"/>
  <c r="AH127" i="44"/>
  <c r="BS127" i="44"/>
  <c r="F127" i="44"/>
  <c r="BT127" i="43"/>
  <c r="DC127" i="43"/>
  <c r="CL127" i="43"/>
  <c r="G127" i="43"/>
  <c r="AI127" i="43"/>
  <c r="BA127" i="43"/>
  <c r="AH127" i="41"/>
  <c r="AZ127" i="41"/>
  <c r="CK127" i="41"/>
  <c r="DB127" i="41"/>
  <c r="BS127" i="41"/>
  <c r="F127" i="41"/>
  <c r="L48" i="35"/>
  <c r="K48" i="35"/>
  <c r="DC127" i="45"/>
  <c r="BA127" i="45"/>
  <c r="CL127" i="45"/>
  <c r="BT127" i="45"/>
  <c r="AI127" i="45"/>
  <c r="G127" i="45"/>
  <c r="I127" i="43"/>
  <c r="BV127" i="43"/>
  <c r="AK127" i="43"/>
  <c r="CN127" i="43"/>
  <c r="BC127" i="43"/>
  <c r="DE127" i="43"/>
  <c r="CP127" i="44"/>
  <c r="DG127" i="44"/>
  <c r="BX127" i="44"/>
  <c r="AM127" i="44"/>
  <c r="BE127" i="44"/>
  <c r="K127" i="44"/>
  <c r="CG127" i="43"/>
  <c r="AD127" i="43"/>
  <c r="BO127" i="43"/>
  <c r="B127" i="43"/>
  <c r="AV127" i="43"/>
  <c r="CX127" i="43"/>
  <c r="DE127" i="41"/>
  <c r="I127" i="41"/>
  <c r="BV127" i="41"/>
  <c r="AK127" i="41"/>
  <c r="CN127" i="41"/>
  <c r="BC127" i="41"/>
  <c r="AD127" i="44"/>
  <c r="AV127" i="44"/>
  <c r="BO127" i="44"/>
  <c r="CX127" i="44"/>
  <c r="B127" i="44"/>
  <c r="CG127" i="44"/>
  <c r="BW127" i="41"/>
  <c r="J127" i="41"/>
  <c r="DF127" i="41"/>
  <c r="AL127" i="41"/>
  <c r="CO127" i="41"/>
  <c r="BD127" i="41"/>
  <c r="GE124" i="45"/>
  <c r="AN124" i="45"/>
  <c r="C124" i="45"/>
  <c r="GO124" i="45"/>
  <c r="BQ124" i="45"/>
  <c r="BU124" i="45"/>
  <c r="FH124" i="45"/>
  <c r="FF124" i="45"/>
  <c r="BS124" i="45"/>
  <c r="E124" i="45"/>
  <c r="DV124" i="45"/>
  <c r="GV124" i="45"/>
  <c r="AX124" i="45"/>
  <c r="G124" i="45"/>
  <c r="BY124" i="45"/>
  <c r="FY124" i="45"/>
  <c r="FX124" i="45"/>
  <c r="DZ124" i="45"/>
  <c r="DQ124" i="45"/>
  <c r="GG124" i="45"/>
  <c r="AV124" i="45"/>
  <c r="DO124" i="45"/>
  <c r="DT124" i="45"/>
  <c r="DU124" i="45"/>
  <c r="GT124" i="45"/>
  <c r="GA124" i="45"/>
  <c r="CL124" i="45"/>
  <c r="D124" i="45"/>
  <c r="DC124" i="45"/>
  <c r="DH124" i="45"/>
  <c r="AZ124" i="45"/>
  <c r="CZ124" i="45"/>
  <c r="CY124" i="45"/>
  <c r="BX124" i="45"/>
  <c r="AK124" i="45"/>
  <c r="AF124" i="45"/>
  <c r="DW124" i="45"/>
  <c r="CR124" i="45"/>
  <c r="FE124" i="45"/>
  <c r="FN124" i="45"/>
  <c r="GD124" i="45"/>
  <c r="DX124" i="45"/>
  <c r="DB124" i="45"/>
  <c r="CG124" i="45"/>
  <c r="F124" i="45"/>
  <c r="CX124" i="45"/>
  <c r="GY124" i="45"/>
  <c r="FL124" i="45"/>
  <c r="K124" i="45"/>
  <c r="GX124" i="45"/>
  <c r="GB124" i="45"/>
  <c r="BV124" i="45"/>
  <c r="CQ124" i="45"/>
  <c r="BO124" i="45"/>
  <c r="BC124" i="45"/>
  <c r="AG124" i="45"/>
  <c r="AD124" i="45"/>
  <c r="L124" i="45"/>
  <c r="FJ124" i="45"/>
  <c r="DP124" i="45"/>
  <c r="AL124" i="45"/>
  <c r="BG124" i="45"/>
  <c r="GQ124" i="45"/>
  <c r="GS124" i="45"/>
  <c r="FD124" i="45"/>
  <c r="AH124" i="45"/>
  <c r="BR124" i="45"/>
  <c r="CN124" i="45"/>
  <c r="FW124" i="45"/>
  <c r="BT124" i="45"/>
  <c r="AI124" i="45"/>
  <c r="FI124" i="45"/>
  <c r="DS124" i="45"/>
  <c r="DE124" i="45"/>
  <c r="BW124" i="45"/>
  <c r="DY124" i="45"/>
  <c r="CJ124" i="45"/>
  <c r="AW124" i="45"/>
  <c r="GW124" i="45"/>
  <c r="FC124" i="45"/>
  <c r="GC124" i="45"/>
  <c r="GU124" i="45"/>
  <c r="I124" i="45"/>
  <c r="CM124" i="45"/>
  <c r="CO124" i="45"/>
  <c r="DD124" i="45"/>
  <c r="GP124" i="45"/>
  <c r="DI124" i="45"/>
  <c r="CH124" i="45"/>
  <c r="FZ124" i="45"/>
  <c r="DR124" i="45"/>
  <c r="AM124" i="45"/>
  <c r="FG124" i="45"/>
  <c r="BA124" i="45"/>
  <c r="BF124" i="45"/>
  <c r="FK124" i="45"/>
  <c r="CK124" i="45"/>
  <c r="BD124" i="45"/>
  <c r="DG124" i="45"/>
  <c r="H124" i="45"/>
  <c r="GF124" i="45"/>
  <c r="AE124" i="45"/>
  <c r="M124" i="45"/>
  <c r="DF124" i="45"/>
  <c r="BP124" i="45"/>
  <c r="CI124" i="45"/>
  <c r="AO124" i="45"/>
  <c r="AJ124" i="45"/>
  <c r="GH124" i="45"/>
  <c r="BE124" i="45"/>
  <c r="CP124" i="45"/>
  <c r="BB124" i="45"/>
  <c r="GR124" i="45"/>
  <c r="FM124" i="45"/>
  <c r="AY124" i="45"/>
  <c r="BZ124" i="45"/>
  <c r="DA124" i="45"/>
  <c r="J124" i="45"/>
  <c r="GZ124" i="45"/>
  <c r="F165" i="43"/>
  <c r="M19" i="35"/>
  <c r="BY122" i="43"/>
  <c r="BF122" i="43"/>
  <c r="DY122" i="43"/>
  <c r="AN122" i="43"/>
  <c r="L122" i="43"/>
  <c r="GG122" i="43" s="1"/>
  <c r="CQ122" i="43"/>
  <c r="DH122" i="43"/>
  <c r="BV51" i="41"/>
  <c r="BV51" i="44"/>
  <c r="AK51" i="45"/>
  <c r="CN51" i="41"/>
  <c r="BV51" i="45"/>
  <c r="CN51" i="44"/>
  <c r="I51" i="43"/>
  <c r="BC51" i="44"/>
  <c r="CN51" i="43"/>
  <c r="AK51" i="43"/>
  <c r="BC51" i="43"/>
  <c r="I51" i="44"/>
  <c r="AK51" i="44"/>
  <c r="GV51" i="41"/>
  <c r="GV51" i="43"/>
  <c r="BC51" i="41"/>
  <c r="BC51" i="45"/>
  <c r="CN51" i="45"/>
  <c r="AK51" i="41"/>
  <c r="GV51" i="44"/>
  <c r="I51" i="45"/>
  <c r="BV51" i="43"/>
  <c r="GV51" i="45"/>
  <c r="I51" i="41"/>
  <c r="R30" i="44"/>
  <c r="R30" i="41"/>
  <c r="R61" i="41" s="1"/>
  <c r="R30" i="45"/>
  <c r="R30" i="43"/>
  <c r="Z27" i="41"/>
  <c r="Z27" i="44"/>
  <c r="Z27" i="43"/>
  <c r="Z27" i="45"/>
  <c r="GT32" i="44"/>
  <c r="BT32" i="43"/>
  <c r="G32" i="44"/>
  <c r="BT32" i="44"/>
  <c r="AI32" i="44"/>
  <c r="G32" i="43"/>
  <c r="G32" i="41"/>
  <c r="BT32" i="45"/>
  <c r="AI32" i="43"/>
  <c r="GT32" i="43"/>
  <c r="CL32" i="44"/>
  <c r="G32" i="45"/>
  <c r="AI32" i="41"/>
  <c r="BT32" i="41"/>
  <c r="BA32" i="41"/>
  <c r="AI32" i="45"/>
  <c r="CL32" i="43"/>
  <c r="GT32" i="41"/>
  <c r="BA32" i="44"/>
  <c r="CL32" i="45"/>
  <c r="CL32" i="41"/>
  <c r="BA32" i="43"/>
  <c r="BA32" i="45"/>
  <c r="HB40" i="45"/>
  <c r="DI40" i="45"/>
  <c r="G43" i="45"/>
  <c r="BA43" i="43"/>
  <c r="BT43" i="41"/>
  <c r="BA43" i="41"/>
  <c r="AI43" i="45"/>
  <c r="BA43" i="45"/>
  <c r="G43" i="43"/>
  <c r="CL43" i="45"/>
  <c r="CL43" i="43"/>
  <c r="CL43" i="44"/>
  <c r="AI43" i="43"/>
  <c r="G43" i="44"/>
  <c r="BT43" i="43"/>
  <c r="AI43" i="41"/>
  <c r="G43" i="41"/>
  <c r="BA43" i="44"/>
  <c r="AI43" i="44"/>
  <c r="CL43" i="41"/>
  <c r="GT43" i="43"/>
  <c r="BT43" i="44"/>
  <c r="GT43" i="44"/>
  <c r="GT43" i="41"/>
  <c r="BT43" i="45"/>
  <c r="HE19" i="43"/>
  <c r="H178" i="12"/>
  <c r="E178" i="12"/>
  <c r="F178" i="12"/>
  <c r="G178" i="12"/>
  <c r="DC30" i="43"/>
  <c r="HH30" i="43" s="1"/>
  <c r="DC30" i="45"/>
  <c r="HH30" i="45" s="1"/>
  <c r="DC30" i="41"/>
  <c r="HH30" i="41" s="1"/>
  <c r="DC30" i="44"/>
  <c r="HH30" i="44" s="1"/>
  <c r="X33" i="45"/>
  <c r="X33" i="41"/>
  <c r="X33" i="44"/>
  <c r="X33" i="43"/>
  <c r="HH19" i="43"/>
  <c r="R32" i="41"/>
  <c r="R32" i="43"/>
  <c r="R32" i="45"/>
  <c r="R32" i="44"/>
  <c r="BY126" i="41"/>
  <c r="CP126" i="41"/>
  <c r="DZ126" i="41"/>
  <c r="BG126" i="41"/>
  <c r="AI126" i="41"/>
  <c r="DR126" i="41"/>
  <c r="CN126" i="41"/>
  <c r="FF126" i="41"/>
  <c r="FL126" i="41"/>
  <c r="AY126" i="41"/>
  <c r="DV126" i="41"/>
  <c r="DB126" i="41"/>
  <c r="DF126" i="41"/>
  <c r="FI126" i="41"/>
  <c r="C126" i="41"/>
  <c r="CX126" i="41"/>
  <c r="BS126" i="41"/>
  <c r="BP126" i="41"/>
  <c r="CK126" i="41"/>
  <c r="DE126" i="41"/>
  <c r="CR126" i="41"/>
  <c r="DG126" i="41"/>
  <c r="AO126" i="41"/>
  <c r="BU126" i="41"/>
  <c r="DD126" i="41"/>
  <c r="FK126" i="41"/>
  <c r="CJ126" i="41"/>
  <c r="B126" i="41"/>
  <c r="CY126" i="41"/>
  <c r="CL126" i="41"/>
  <c r="BC126" i="41"/>
  <c r="I126" i="41"/>
  <c r="DC126" i="41"/>
  <c r="CM126" i="41"/>
  <c r="DW126" i="41"/>
  <c r="AN126" i="41"/>
  <c r="G126" i="41"/>
  <c r="FJ126" i="41"/>
  <c r="DA126" i="41"/>
  <c r="BR126" i="41"/>
  <c r="H126" i="41"/>
  <c r="CG126" i="41"/>
  <c r="BX126" i="41"/>
  <c r="BE126" i="41"/>
  <c r="DX126" i="41"/>
  <c r="BB126" i="41"/>
  <c r="AD126" i="41"/>
  <c r="K126" i="41"/>
  <c r="AH126" i="41"/>
  <c r="CI126" i="41"/>
  <c r="BO126" i="41"/>
  <c r="FD126" i="41"/>
  <c r="E126" i="41"/>
  <c r="FM126" i="41"/>
  <c r="BQ126" i="41"/>
  <c r="DO126" i="41"/>
  <c r="AV126" i="41"/>
  <c r="M126" i="41"/>
  <c r="AJ126" i="41"/>
  <c r="AG126" i="41"/>
  <c r="DY126" i="41"/>
  <c r="CO126" i="41"/>
  <c r="CZ126" i="41"/>
  <c r="BA126" i="41"/>
  <c r="DS126" i="41"/>
  <c r="DP126" i="41"/>
  <c r="BV126" i="41"/>
  <c r="FN126" i="41"/>
  <c r="BZ126" i="41"/>
  <c r="CQ126" i="41"/>
  <c r="FG126" i="41"/>
  <c r="J126" i="41"/>
  <c r="AW126" i="41"/>
  <c r="BT126" i="41"/>
  <c r="DI126" i="41"/>
  <c r="D126" i="41"/>
  <c r="CH126" i="41"/>
  <c r="FE126" i="41"/>
  <c r="FC126" i="41"/>
  <c r="DU126" i="41"/>
  <c r="AL126" i="41"/>
  <c r="DT126" i="41"/>
  <c r="BW126" i="41"/>
  <c r="FH126" i="41"/>
  <c r="F126" i="41"/>
  <c r="DH126" i="41"/>
  <c r="BF126" i="41"/>
  <c r="AF126" i="41"/>
  <c r="AM126" i="41"/>
  <c r="L126" i="41"/>
  <c r="AE126" i="41"/>
  <c r="DQ126" i="41"/>
  <c r="BD126" i="41"/>
  <c r="AZ126" i="41"/>
  <c r="AX126" i="41"/>
  <c r="AK126" i="41"/>
  <c r="HI19" i="45"/>
  <c r="DI21" i="44"/>
  <c r="AY122" i="45"/>
  <c r="DR122" i="45"/>
  <c r="AG122" i="45"/>
  <c r="CJ122" i="45"/>
  <c r="E122" i="45"/>
  <c r="FZ122" i="45" s="1"/>
  <c r="BR122" i="45"/>
  <c r="DA122" i="45"/>
  <c r="GT43" i="45"/>
  <c r="AW36" i="41"/>
  <c r="BP36" i="44"/>
  <c r="C36" i="43"/>
  <c r="AE36" i="44"/>
  <c r="AE36" i="43"/>
  <c r="AW36" i="43"/>
  <c r="C36" i="41"/>
  <c r="CH36" i="43"/>
  <c r="AW36" i="44"/>
  <c r="AE36" i="45"/>
  <c r="BP36" i="45"/>
  <c r="CH36" i="44"/>
  <c r="AE36" i="41"/>
  <c r="CH36" i="41"/>
  <c r="GP36" i="44"/>
  <c r="BP36" i="41"/>
  <c r="C36" i="45"/>
  <c r="C36" i="44"/>
  <c r="CH36" i="45"/>
  <c r="AW36" i="45"/>
  <c r="GP36" i="41"/>
  <c r="BP36" i="43"/>
  <c r="GR81" i="41"/>
  <c r="DS118" i="41"/>
  <c r="BF127" i="41"/>
  <c r="BY127" i="41"/>
  <c r="DH127" i="41"/>
  <c r="L127" i="41"/>
  <c r="CQ127" i="41"/>
  <c r="AN127" i="41"/>
  <c r="R52" i="43"/>
  <c r="R52" i="44"/>
  <c r="R52" i="41"/>
  <c r="R52" i="45"/>
  <c r="CM38" i="43"/>
  <c r="AJ38" i="41"/>
  <c r="GU38" i="41"/>
  <c r="BU38" i="41"/>
  <c r="BB38" i="41"/>
  <c r="AJ38" i="45"/>
  <c r="CM38" i="45"/>
  <c r="CM38" i="44"/>
  <c r="H38" i="41"/>
  <c r="CM38" i="41"/>
  <c r="AJ38" i="44"/>
  <c r="BB38" i="43"/>
  <c r="H38" i="43"/>
  <c r="GU38" i="44"/>
  <c r="GU38" i="43"/>
  <c r="BU38" i="45"/>
  <c r="BB38" i="44"/>
  <c r="BU38" i="43"/>
  <c r="H38" i="44"/>
  <c r="H38" i="45"/>
  <c r="BU38" i="44"/>
  <c r="AJ38" i="43"/>
  <c r="BB38" i="45"/>
  <c r="CG51" i="41"/>
  <c r="BO51" i="44"/>
  <c r="CG51" i="44"/>
  <c r="AD51" i="45"/>
  <c r="AD51" i="43"/>
  <c r="AV51" i="43"/>
  <c r="B51" i="41"/>
  <c r="CG51" i="43"/>
  <c r="CS51" i="43" s="1"/>
  <c r="BO51" i="43"/>
  <c r="B51" i="43"/>
  <c r="AV51" i="45"/>
  <c r="CG51" i="45"/>
  <c r="BO51" i="41"/>
  <c r="BO51" i="45"/>
  <c r="AD51" i="41"/>
  <c r="AP51" i="41" s="1"/>
  <c r="B51" i="44"/>
  <c r="AV51" i="41"/>
  <c r="GO51" i="45"/>
  <c r="GO51" i="43"/>
  <c r="GO51" i="41"/>
  <c r="AV51" i="44"/>
  <c r="B51" i="45"/>
  <c r="AD51" i="44"/>
  <c r="GO51" i="44"/>
  <c r="CB61" i="43"/>
  <c r="G163" i="43" s="1"/>
  <c r="Q17" i="35" s="1"/>
  <c r="BP127" i="41"/>
  <c r="AW127" i="41"/>
  <c r="CY127" i="41"/>
  <c r="CH127" i="41"/>
  <c r="AE127" i="41"/>
  <c r="C127" i="41"/>
  <c r="BD122" i="41"/>
  <c r="AL122" i="41"/>
  <c r="CO122" i="41"/>
  <c r="DW122" i="41"/>
  <c r="J122" i="41"/>
  <c r="GE122" i="41" s="1"/>
  <c r="DF122" i="41"/>
  <c r="BW122" i="41"/>
  <c r="CN32" i="45"/>
  <c r="I32" i="45"/>
  <c r="CN32" i="44"/>
  <c r="BV32" i="45"/>
  <c r="CN32" i="43"/>
  <c r="GV32" i="41"/>
  <c r="AK32" i="41"/>
  <c r="I32" i="43"/>
  <c r="BV32" i="43"/>
  <c r="GV32" i="43"/>
  <c r="I32" i="44"/>
  <c r="BC32" i="44"/>
  <c r="AK32" i="43"/>
  <c r="BC32" i="41"/>
  <c r="I32" i="41"/>
  <c r="AK32" i="45"/>
  <c r="AK32" i="44"/>
  <c r="BV32" i="41"/>
  <c r="CN32" i="41"/>
  <c r="BC32" i="43"/>
  <c r="GV32" i="44"/>
  <c r="BV32" i="44"/>
  <c r="BC32" i="45"/>
  <c r="N68" i="33"/>
  <c r="N71" i="33" s="1"/>
  <c r="E49" i="35" s="1"/>
  <c r="H49" i="35" s="1"/>
  <c r="M76" i="33"/>
  <c r="M79" i="33" s="1"/>
  <c r="E51" i="35" s="1"/>
  <c r="H51" i="35" s="1"/>
  <c r="C175" i="43"/>
  <c r="N106" i="35"/>
  <c r="C106" i="35"/>
  <c r="M118" i="43"/>
  <c r="BF124" i="43"/>
  <c r="GP124" i="43"/>
  <c r="DG124" i="43"/>
  <c r="DH124" i="43"/>
  <c r="CH124" i="43"/>
  <c r="FL124" i="43"/>
  <c r="H124" i="43"/>
  <c r="CZ124" i="43"/>
  <c r="BE124" i="43"/>
  <c r="BS124" i="43"/>
  <c r="AI124" i="43"/>
  <c r="AZ124" i="43"/>
  <c r="AW124" i="43"/>
  <c r="FM124" i="43"/>
  <c r="GH124" i="43"/>
  <c r="CL124" i="43"/>
  <c r="CN124" i="43"/>
  <c r="DT124" i="43"/>
  <c r="AG124" i="43"/>
  <c r="K124" i="43"/>
  <c r="AM124" i="43"/>
  <c r="FX124" i="43"/>
  <c r="FN124" i="43"/>
  <c r="G124" i="43"/>
  <c r="AX124" i="43"/>
  <c r="FK124" i="43"/>
  <c r="BU124" i="43"/>
  <c r="BG124" i="43"/>
  <c r="FC124" i="43"/>
  <c r="M124" i="43"/>
  <c r="GG124" i="43"/>
  <c r="GQ124" i="43"/>
  <c r="BC124" i="43"/>
  <c r="AF124" i="43"/>
  <c r="BO124" i="43"/>
  <c r="GV124" i="43"/>
  <c r="BT124" i="43"/>
  <c r="DD124" i="43"/>
  <c r="BZ124" i="43"/>
  <c r="BV124" i="43"/>
  <c r="FG124" i="43"/>
  <c r="CM124" i="43"/>
  <c r="CK124" i="43"/>
  <c r="DS124" i="43"/>
  <c r="GO124" i="43"/>
  <c r="DV124" i="43"/>
  <c r="BX124" i="43"/>
  <c r="BQ124" i="43"/>
  <c r="GY124" i="43"/>
  <c r="GX124" i="43"/>
  <c r="DB124" i="43"/>
  <c r="FI124" i="43"/>
  <c r="BP124" i="43"/>
  <c r="CO124" i="43"/>
  <c r="BY124" i="43"/>
  <c r="GU124" i="43"/>
  <c r="CX124" i="43"/>
  <c r="D124" i="43"/>
  <c r="DQ124" i="43"/>
  <c r="F124" i="43"/>
  <c r="DP124" i="43"/>
  <c r="CR124" i="43"/>
  <c r="FE124" i="43"/>
  <c r="DW124" i="43"/>
  <c r="GA124" i="43"/>
  <c r="GW124" i="43"/>
  <c r="CG124" i="43"/>
  <c r="E124" i="43"/>
  <c r="DR124" i="43"/>
  <c r="CP124" i="43"/>
  <c r="AK124" i="43"/>
  <c r="DU124" i="43"/>
  <c r="BD124" i="43"/>
  <c r="AY124" i="43"/>
  <c r="AO124" i="43"/>
  <c r="CQ124" i="43"/>
  <c r="AH124" i="43"/>
  <c r="FW124" i="43"/>
  <c r="DC124" i="43"/>
  <c r="DY124" i="43"/>
  <c r="AD124" i="43"/>
  <c r="GD124" i="43"/>
  <c r="CY124" i="43"/>
  <c r="J124" i="43"/>
  <c r="L124" i="43"/>
  <c r="FJ124" i="43"/>
  <c r="DX124" i="43"/>
  <c r="CI124" i="43"/>
  <c r="DI124" i="43"/>
  <c r="GZ124" i="43"/>
  <c r="FF124" i="43"/>
  <c r="BR124" i="43"/>
  <c r="GE124" i="43"/>
  <c r="DA124" i="43"/>
  <c r="DO124" i="43"/>
  <c r="DF124" i="43"/>
  <c r="DZ124" i="43"/>
  <c r="I124" i="43"/>
  <c r="GF124" i="43"/>
  <c r="GC124" i="43"/>
  <c r="BW124" i="43"/>
  <c r="BB124" i="43"/>
  <c r="C124" i="43"/>
  <c r="GT124" i="43"/>
  <c r="DE124" i="43"/>
  <c r="BA124" i="43"/>
  <c r="AJ124" i="43"/>
  <c r="CJ124" i="43"/>
  <c r="GR124" i="43"/>
  <c r="FD124" i="43"/>
  <c r="AV124" i="43"/>
  <c r="GS124" i="43"/>
  <c r="AL124" i="43"/>
  <c r="AE124" i="43"/>
  <c r="AN124" i="43"/>
  <c r="GB124" i="43"/>
  <c r="FZ124" i="43"/>
  <c r="FH124" i="43"/>
  <c r="FY124" i="43"/>
  <c r="DP122" i="43"/>
  <c r="C122" i="43"/>
  <c r="FX122" i="43" s="1"/>
  <c r="BP122" i="43"/>
  <c r="AW122" i="43"/>
  <c r="CH122" i="43"/>
  <c r="CY122" i="43"/>
  <c r="AE122" i="43"/>
  <c r="D38" i="41"/>
  <c r="AX38" i="43"/>
  <c r="AF38" i="45"/>
  <c r="CI38" i="43"/>
  <c r="D38" i="45"/>
  <c r="AX38" i="41"/>
  <c r="BQ38" i="44"/>
  <c r="GQ38" i="41"/>
  <c r="BQ38" i="45"/>
  <c r="BQ38" i="43"/>
  <c r="D38" i="44"/>
  <c r="AF38" i="41"/>
  <c r="D38" i="43"/>
  <c r="GQ38" i="43"/>
  <c r="GQ38" i="44"/>
  <c r="AF38" i="44"/>
  <c r="CI38" i="45"/>
  <c r="CI38" i="41"/>
  <c r="BQ38" i="41"/>
  <c r="AX38" i="44"/>
  <c r="CI38" i="44"/>
  <c r="AX38" i="45"/>
  <c r="AF38" i="43"/>
  <c r="DI38" i="41"/>
  <c r="HB38" i="41"/>
  <c r="AY51" i="41"/>
  <c r="AY51" i="45"/>
  <c r="CJ51" i="41"/>
  <c r="BR51" i="43"/>
  <c r="GR51" i="44"/>
  <c r="CJ51" i="44"/>
  <c r="E51" i="44"/>
  <c r="CJ51" i="43"/>
  <c r="AG51" i="43"/>
  <c r="E51" i="41"/>
  <c r="GR51" i="45"/>
  <c r="GR51" i="41"/>
  <c r="AG51" i="44"/>
  <c r="CJ51" i="45"/>
  <c r="AG51" i="45"/>
  <c r="AY51" i="44"/>
  <c r="E51" i="45"/>
  <c r="BR51" i="45"/>
  <c r="AY51" i="43"/>
  <c r="AG51" i="41"/>
  <c r="BR51" i="41"/>
  <c r="E51" i="43"/>
  <c r="GR51" i="43"/>
  <c r="BR51" i="44"/>
  <c r="BG51" i="45"/>
  <c r="BZ51" i="45"/>
  <c r="BG51" i="44"/>
  <c r="BZ51" i="44"/>
  <c r="GZ51" i="45"/>
  <c r="M51" i="41"/>
  <c r="CR51" i="41"/>
  <c r="GZ51" i="43"/>
  <c r="BZ51" i="41"/>
  <c r="M51" i="43"/>
  <c r="GZ51" i="44"/>
  <c r="CR51" i="45"/>
  <c r="BZ51" i="43"/>
  <c r="GZ51" i="41"/>
  <c r="CR51" i="44"/>
  <c r="BG51" i="41"/>
  <c r="AO51" i="44"/>
  <c r="AO51" i="43"/>
  <c r="M51" i="44"/>
  <c r="CR51" i="43"/>
  <c r="AO51" i="41"/>
  <c r="BG51" i="43"/>
  <c r="M51" i="45"/>
  <c r="AO51" i="45"/>
  <c r="BI61" i="43"/>
  <c r="AQ61" i="45"/>
  <c r="BI61" i="44"/>
  <c r="CB61" i="41"/>
  <c r="G163" i="41" s="1"/>
  <c r="G17" i="35" s="1"/>
  <c r="C118" i="44"/>
  <c r="S30" i="45"/>
  <c r="S30" i="44"/>
  <c r="S61" i="44" s="1"/>
  <c r="S30" i="41"/>
  <c r="S30" i="43"/>
  <c r="Z30" i="41"/>
  <c r="Z30" i="44"/>
  <c r="Z30" i="45"/>
  <c r="Z30" i="43"/>
  <c r="DF127" i="44"/>
  <c r="BD127" i="44"/>
  <c r="AL127" i="44"/>
  <c r="BW127" i="44"/>
  <c r="J127" i="44"/>
  <c r="CO127" i="44"/>
  <c r="DR122" i="41"/>
  <c r="CJ122" i="41"/>
  <c r="BR122" i="41"/>
  <c r="E122" i="41"/>
  <c r="FZ122" i="41" s="1"/>
  <c r="DA122" i="41"/>
  <c r="AY122" i="41"/>
  <c r="AG122" i="41"/>
  <c r="CH122" i="41"/>
  <c r="DP122" i="41"/>
  <c r="AW122" i="41"/>
  <c r="BP122" i="41"/>
  <c r="AE122" i="41"/>
  <c r="CY122" i="41"/>
  <c r="C122" i="41"/>
  <c r="FX122" i="41" s="1"/>
  <c r="BH58" i="45"/>
  <c r="O27" i="43"/>
  <c r="DI27" i="43" s="1"/>
  <c r="O27" i="41"/>
  <c r="DI27" i="41" s="1"/>
  <c r="O27" i="45"/>
  <c r="DI27" i="45" s="1"/>
  <c r="O27" i="44"/>
  <c r="DI27" i="44" s="1"/>
  <c r="P27" i="41"/>
  <c r="P61" i="41" s="1"/>
  <c r="P27" i="44"/>
  <c r="P27" i="43"/>
  <c r="P27" i="45"/>
  <c r="GQ32" i="41"/>
  <c r="BQ32" i="44"/>
  <c r="CI32" i="45"/>
  <c r="AX32" i="41"/>
  <c r="D32" i="43"/>
  <c r="D32" i="41"/>
  <c r="BQ32" i="45"/>
  <c r="BQ32" i="43"/>
  <c r="AX32" i="44"/>
  <c r="AF32" i="41"/>
  <c r="AX32" i="43"/>
  <c r="CI32" i="41"/>
  <c r="CI32" i="43"/>
  <c r="D32" i="44"/>
  <c r="D32" i="45"/>
  <c r="AF32" i="43"/>
  <c r="AF32" i="45"/>
  <c r="BQ32" i="41"/>
  <c r="CI32" i="44"/>
  <c r="AF32" i="44"/>
  <c r="GQ32" i="44"/>
  <c r="GQ32" i="43"/>
  <c r="AX32" i="45"/>
  <c r="GX32" i="41"/>
  <c r="BE32" i="41"/>
  <c r="BE32" i="43"/>
  <c r="BX32" i="43"/>
  <c r="K32" i="45"/>
  <c r="CP32" i="44"/>
  <c r="CP32" i="41"/>
  <c r="AM32" i="44"/>
  <c r="K32" i="41"/>
  <c r="GX32" i="43"/>
  <c r="AM32" i="41"/>
  <c r="BX32" i="44"/>
  <c r="AM32" i="43"/>
  <c r="BE32" i="44"/>
  <c r="BX32" i="45"/>
  <c r="K32" i="43"/>
  <c r="BX32" i="41"/>
  <c r="GX32" i="44"/>
  <c r="CP32" i="43"/>
  <c r="AM32" i="45"/>
  <c r="K32" i="44"/>
  <c r="CP32" i="45"/>
  <c r="BE32" i="45"/>
  <c r="BH60" i="43"/>
  <c r="CS60" i="43"/>
  <c r="P42" i="27"/>
  <c r="P43" i="27" s="1"/>
  <c r="P48" i="27" s="1"/>
  <c r="P49" i="27" s="1"/>
  <c r="L30" i="23" s="1"/>
  <c r="O63" i="35" s="1"/>
  <c r="S63" i="35" s="1"/>
  <c r="P52" i="27"/>
  <c r="L31" i="23" s="1"/>
  <c r="O64" i="35" s="1"/>
  <c r="S64" i="35" s="1"/>
  <c r="HB58" i="43"/>
  <c r="DI58" i="43"/>
  <c r="Z26" i="35"/>
  <c r="V26" i="35" s="1"/>
  <c r="I172" i="44"/>
  <c r="AC26" i="35" s="1"/>
  <c r="J172" i="44"/>
  <c r="AD26" i="35" s="1"/>
  <c r="J167" i="45"/>
  <c r="AN21" i="35" s="1"/>
  <c r="I167" i="45"/>
  <c r="AM21" i="35" s="1"/>
  <c r="AJ21" i="35"/>
  <c r="AF21" i="35" s="1"/>
  <c r="GP81" i="43"/>
  <c r="CA33" i="41"/>
  <c r="CA33" i="45"/>
  <c r="DI40" i="43"/>
  <c r="HB40" i="43"/>
  <c r="AH43" i="41"/>
  <c r="GS43" i="43"/>
  <c r="F43" i="43"/>
  <c r="CK43" i="44"/>
  <c r="CK43" i="45"/>
  <c r="AZ43" i="41"/>
  <c r="BS43" i="44"/>
  <c r="CK43" i="43"/>
  <c r="BS43" i="41"/>
  <c r="AH43" i="45"/>
  <c r="GS43" i="44"/>
  <c r="AZ43" i="43"/>
  <c r="F43" i="41"/>
  <c r="BS43" i="43"/>
  <c r="CK43" i="41"/>
  <c r="F43" i="45"/>
  <c r="F43" i="44"/>
  <c r="AZ43" i="44"/>
  <c r="AZ43" i="45"/>
  <c r="AH43" i="44"/>
  <c r="AH43" i="43"/>
  <c r="GS43" i="41"/>
  <c r="BS43" i="45"/>
  <c r="HE19" i="41"/>
  <c r="CM48" i="45"/>
  <c r="H48" i="44"/>
  <c r="H48" i="41"/>
  <c r="AJ48" i="44"/>
  <c r="BB48" i="43"/>
  <c r="BU48" i="41"/>
  <c r="CM48" i="44"/>
  <c r="BB48" i="45"/>
  <c r="BU48" i="44"/>
  <c r="AJ48" i="43"/>
  <c r="CM48" i="41"/>
  <c r="H48" i="43"/>
  <c r="AJ48" i="41"/>
  <c r="BB48" i="44"/>
  <c r="BU48" i="43"/>
  <c r="H48" i="45"/>
  <c r="AJ48" i="45"/>
  <c r="BU48" i="45"/>
  <c r="GU48" i="45"/>
  <c r="BB48" i="41"/>
  <c r="GU48" i="41"/>
  <c r="GU48" i="44"/>
  <c r="CM48" i="43"/>
  <c r="DV102" i="41"/>
  <c r="GU102" i="41" s="1"/>
  <c r="DV102" i="44"/>
  <c r="GU102" i="44" s="1"/>
  <c r="DV102" i="45"/>
  <c r="GU102" i="45" s="1"/>
  <c r="DV102" i="43"/>
  <c r="GU102" i="43" s="1"/>
  <c r="DS102" i="41"/>
  <c r="GR102" i="41" s="1"/>
  <c r="DS102" i="45"/>
  <c r="GR102" i="45" s="1"/>
  <c r="DS102" i="44"/>
  <c r="GR102" i="44" s="1"/>
  <c r="DS102" i="43"/>
  <c r="GR102" i="43" s="1"/>
  <c r="P68" i="35"/>
  <c r="Q68" i="35" s="1"/>
  <c r="R68" i="35" s="1"/>
  <c r="C20" i="28" s="1"/>
  <c r="DD30" i="43"/>
  <c r="HI30" i="43" s="1"/>
  <c r="DD30" i="44"/>
  <c r="HI30" i="44" s="1"/>
  <c r="DD30" i="45"/>
  <c r="HI30" i="45" s="1"/>
  <c r="DD30" i="41"/>
  <c r="HI30" i="41" s="1"/>
  <c r="DG30" i="44"/>
  <c r="HL30" i="44" s="1"/>
  <c r="DG30" i="43"/>
  <c r="HL30" i="43" s="1"/>
  <c r="DG30" i="41"/>
  <c r="HL30" i="41" s="1"/>
  <c r="DG30" i="45"/>
  <c r="HL30" i="45" s="1"/>
  <c r="GY81" i="45"/>
  <c r="GO76" i="44"/>
  <c r="DO111" i="44"/>
  <c r="GN111" i="44" s="1"/>
  <c r="DO111" i="45"/>
  <c r="GN111" i="45" s="1"/>
  <c r="DO111" i="43"/>
  <c r="GN111" i="43" s="1"/>
  <c r="DO111" i="41"/>
  <c r="GN111" i="41" s="1"/>
  <c r="G118" i="41"/>
  <c r="BO132" i="43"/>
  <c r="BW149" i="43" s="1"/>
  <c r="AV132" i="43"/>
  <c r="BD149" i="43" s="1"/>
  <c r="AD132" i="43"/>
  <c r="AL149" i="43" s="1"/>
  <c r="FC132" i="43"/>
  <c r="FK149" i="43" s="1"/>
  <c r="ER132" i="43"/>
  <c r="EZ149" i="43" s="1"/>
  <c r="DO132" i="43"/>
  <c r="DW149" i="43" s="1"/>
  <c r="CX132" i="43"/>
  <c r="DF149" i="43" s="1"/>
  <c r="CG132" i="43"/>
  <c r="CO149" i="43" s="1"/>
  <c r="EG132" i="43"/>
  <c r="EO149" i="43" s="1"/>
  <c r="J149" i="43"/>
  <c r="Y33" i="44"/>
  <c r="Y33" i="45"/>
  <c r="Y33" i="41"/>
  <c r="Y33" i="43"/>
  <c r="F163" i="43"/>
  <c r="M17" i="35"/>
  <c r="E35" i="35" s="1"/>
  <c r="HH19" i="44"/>
  <c r="DY97" i="45"/>
  <c r="GX97" i="45" s="1"/>
  <c r="DY97" i="44"/>
  <c r="GX97" i="44" s="1"/>
  <c r="DY97" i="41"/>
  <c r="GX97" i="41" s="1"/>
  <c r="DY97" i="43"/>
  <c r="GX97" i="43" s="1"/>
  <c r="F164" i="43"/>
  <c r="M18" i="35"/>
  <c r="E36" i="35" s="1"/>
  <c r="GT87" i="44"/>
  <c r="W32" i="41"/>
  <c r="W32" i="43"/>
  <c r="W32" i="45"/>
  <c r="W32" i="44"/>
  <c r="GW81" i="44"/>
  <c r="I164" i="41"/>
  <c r="I18" i="35" s="1"/>
  <c r="F18" i="35"/>
  <c r="J164" i="41"/>
  <c r="J18" i="35" s="1"/>
  <c r="DI56" i="43"/>
  <c r="HB56" i="43"/>
  <c r="GN76" i="43"/>
  <c r="DO118" i="43"/>
  <c r="DZ94" i="43"/>
  <c r="GY94" i="43" s="1"/>
  <c r="DZ94" i="44"/>
  <c r="GY94" i="44" s="1"/>
  <c r="DZ94" i="45"/>
  <c r="GY94" i="45" s="1"/>
  <c r="DZ94" i="41"/>
  <c r="GY94" i="41" s="1"/>
  <c r="DJ61" i="41"/>
  <c r="G165" i="41" s="1"/>
  <c r="G19" i="35" s="1"/>
  <c r="DY107" i="44"/>
  <c r="GX107" i="44" s="1"/>
  <c r="DY107" i="43"/>
  <c r="GX107" i="43" s="1"/>
  <c r="DY107" i="45"/>
  <c r="GX107" i="45" s="1"/>
  <c r="DY107" i="41"/>
  <c r="GX107" i="41" s="1"/>
  <c r="D25" i="35"/>
  <c r="C70" i="15"/>
  <c r="C69" i="15"/>
  <c r="C62" i="15"/>
  <c r="C68" i="15"/>
  <c r="B30" i="13"/>
  <c r="B63" i="35" s="1"/>
  <c r="F63" i="35" s="1"/>
  <c r="BC30" i="43"/>
  <c r="AK30" i="45"/>
  <c r="GV30" i="41"/>
  <c r="BV30" i="43"/>
  <c r="BV30" i="44"/>
  <c r="CN30" i="45"/>
  <c r="BC30" i="45"/>
  <c r="BV30" i="41"/>
  <c r="I30" i="45"/>
  <c r="AK30" i="43"/>
  <c r="CN30" i="41"/>
  <c r="I30" i="44"/>
  <c r="AK30" i="44"/>
  <c r="AK30" i="41"/>
  <c r="BC30" i="44"/>
  <c r="GV30" i="44"/>
  <c r="GV30" i="45"/>
  <c r="BC30" i="41"/>
  <c r="BV30" i="45"/>
  <c r="CN30" i="44"/>
  <c r="I30" i="41"/>
  <c r="I30" i="43"/>
  <c r="CN30" i="43"/>
  <c r="CJ53" i="44"/>
  <c r="AG53" i="45"/>
  <c r="AG53" i="43"/>
  <c r="CJ53" i="41"/>
  <c r="E53" i="44"/>
  <c r="AY53" i="45"/>
  <c r="AY53" i="44"/>
  <c r="BR53" i="43"/>
  <c r="CJ53" i="45"/>
  <c r="AY53" i="43"/>
  <c r="BR53" i="44"/>
  <c r="BR53" i="45"/>
  <c r="AY53" i="41"/>
  <c r="GR53" i="45"/>
  <c r="E53" i="41"/>
  <c r="AG53" i="44"/>
  <c r="BR53" i="41"/>
  <c r="E53" i="45"/>
  <c r="GR53" i="44"/>
  <c r="AG53" i="41"/>
  <c r="GR53" i="41"/>
  <c r="E53" i="43"/>
  <c r="CJ53" i="43"/>
  <c r="BE53" i="44"/>
  <c r="AM53" i="43"/>
  <c r="K53" i="41"/>
  <c r="AM53" i="45"/>
  <c r="CP53" i="41"/>
  <c r="BX53" i="41"/>
  <c r="BE53" i="45"/>
  <c r="K53" i="45"/>
  <c r="BE53" i="43"/>
  <c r="BE53" i="41"/>
  <c r="CP53" i="45"/>
  <c r="BX53" i="44"/>
  <c r="AM53" i="44"/>
  <c r="GX53" i="45"/>
  <c r="GX53" i="44"/>
  <c r="BX53" i="43"/>
  <c r="K53" i="44"/>
  <c r="AM53" i="41"/>
  <c r="BX53" i="45"/>
  <c r="CP53" i="44"/>
  <c r="GX53" i="41"/>
  <c r="CP53" i="43"/>
  <c r="K53" i="43"/>
  <c r="AG19" i="41"/>
  <c r="BR19" i="44"/>
  <c r="BR19" i="45"/>
  <c r="CJ19" i="41"/>
  <c r="CJ19" i="45"/>
  <c r="AY19" i="45"/>
  <c r="AG19" i="43"/>
  <c r="E19" i="41"/>
  <c r="E19" i="45"/>
  <c r="E19" i="43"/>
  <c r="AY19" i="43"/>
  <c r="BR19" i="41"/>
  <c r="BR19" i="43"/>
  <c r="GR19" i="44"/>
  <c r="AY19" i="41"/>
  <c r="AY19" i="44"/>
  <c r="AG19" i="45"/>
  <c r="CJ19" i="43"/>
  <c r="GR19" i="41"/>
  <c r="AG19" i="44"/>
  <c r="GR19" i="43"/>
  <c r="CJ19" i="44"/>
  <c r="E19" i="44"/>
  <c r="BT19" i="45"/>
  <c r="BT19" i="44"/>
  <c r="G19" i="43"/>
  <c r="AI19" i="41"/>
  <c r="BA19" i="44"/>
  <c r="BA19" i="43"/>
  <c r="CL19" i="43"/>
  <c r="GT19" i="41"/>
  <c r="CL19" i="44"/>
  <c r="CL19" i="41"/>
  <c r="AI19" i="44"/>
  <c r="BT19" i="43"/>
  <c r="CL19" i="45"/>
  <c r="BA19" i="45"/>
  <c r="G19" i="44"/>
  <c r="BA19" i="41"/>
  <c r="AI19" i="45"/>
  <c r="GT19" i="44"/>
  <c r="BT19" i="41"/>
  <c r="G19" i="45"/>
  <c r="G19" i="41"/>
  <c r="AI19" i="43"/>
  <c r="GT19" i="43"/>
  <c r="DI21" i="43"/>
  <c r="BH20" i="44"/>
  <c r="DF122" i="45"/>
  <c r="DW122" i="45"/>
  <c r="BD122" i="45"/>
  <c r="J122" i="45"/>
  <c r="GE122" i="45" s="1"/>
  <c r="BW122" i="45"/>
  <c r="CO122" i="45"/>
  <c r="AL122" i="45"/>
  <c r="AJ54" i="41"/>
  <c r="BU54" i="44"/>
  <c r="GU54" i="41"/>
  <c r="BB54" i="41"/>
  <c r="AJ54" i="43"/>
  <c r="H54" i="43"/>
  <c r="CM54" i="44"/>
  <c r="CM54" i="45"/>
  <c r="BB54" i="44"/>
  <c r="H54" i="41"/>
  <c r="BU54" i="43"/>
  <c r="CM54" i="41"/>
  <c r="BU54" i="45"/>
  <c r="H54" i="44"/>
  <c r="BU54" i="41"/>
  <c r="BB54" i="45"/>
  <c r="AJ54" i="45"/>
  <c r="BB54" i="43"/>
  <c r="AJ54" i="44"/>
  <c r="GU54" i="45"/>
  <c r="H54" i="45"/>
  <c r="GU54" i="44"/>
  <c r="CM54" i="43"/>
  <c r="CL54" i="41"/>
  <c r="BA54" i="41"/>
  <c r="BT54" i="43"/>
  <c r="CL54" i="45"/>
  <c r="G54" i="41"/>
  <c r="G54" i="45"/>
  <c r="G54" i="43"/>
  <c r="GT54" i="41"/>
  <c r="AI54" i="43"/>
  <c r="BT54" i="45"/>
  <c r="G54" i="44"/>
  <c r="CL54" i="44"/>
  <c r="BA54" i="43"/>
  <c r="AI54" i="41"/>
  <c r="AI54" i="45"/>
  <c r="AI54" i="44"/>
  <c r="BA54" i="44"/>
  <c r="BA54" i="45"/>
  <c r="GT54" i="44"/>
  <c r="GT54" i="45"/>
  <c r="BT54" i="44"/>
  <c r="BT54" i="41"/>
  <c r="CL54" i="43"/>
  <c r="BD6" i="18"/>
  <c r="AZ29" i="18"/>
  <c r="FX65" i="44" s="1"/>
  <c r="FX132" i="44" s="1"/>
  <c r="GF149" i="44" s="1"/>
  <c r="BE36" i="41"/>
  <c r="CP36" i="41"/>
  <c r="K36" i="41"/>
  <c r="K36" i="43"/>
  <c r="K36" i="44"/>
  <c r="AM36" i="43"/>
  <c r="BE36" i="43"/>
  <c r="CP36" i="43"/>
  <c r="AM36" i="41"/>
  <c r="BE36" i="44"/>
  <c r="AM36" i="44"/>
  <c r="BX36" i="45"/>
  <c r="GX36" i="44"/>
  <c r="CP36" i="44"/>
  <c r="BX36" i="41"/>
  <c r="K36" i="45"/>
  <c r="AM36" i="45"/>
  <c r="BX36" i="44"/>
  <c r="CP36" i="45"/>
  <c r="GX36" i="41"/>
  <c r="BE36" i="45"/>
  <c r="BX36" i="43"/>
  <c r="H118" i="44"/>
  <c r="DH32" i="45"/>
  <c r="HM32" i="45" s="1"/>
  <c r="DH32" i="41"/>
  <c r="HM32" i="41" s="1"/>
  <c r="DH32" i="43"/>
  <c r="HM32" i="43" s="1"/>
  <c r="DH32" i="44"/>
  <c r="HM32" i="44" s="1"/>
  <c r="CX32" i="44"/>
  <c r="HC32" i="44" s="1"/>
  <c r="CX32" i="43"/>
  <c r="HC32" i="43" s="1"/>
  <c r="CX32" i="41"/>
  <c r="HC32" i="41" s="1"/>
  <c r="CX32" i="45"/>
  <c r="HC32" i="45" s="1"/>
  <c r="BH39" i="41"/>
  <c r="S52" i="41"/>
  <c r="S52" i="44"/>
  <c r="S52" i="45"/>
  <c r="S52" i="43"/>
  <c r="GR19" i="45"/>
  <c r="W20" i="35"/>
  <c r="B16" i="35"/>
  <c r="CP126" i="45"/>
  <c r="CY126" i="45"/>
  <c r="H126" i="45"/>
  <c r="L126" i="45"/>
  <c r="DZ126" i="45"/>
  <c r="FM126" i="45"/>
  <c r="D126" i="45"/>
  <c r="BU126" i="45"/>
  <c r="CG126" i="45"/>
  <c r="CZ126" i="45"/>
  <c r="BG126" i="45"/>
  <c r="BV126" i="45"/>
  <c r="CH126" i="45"/>
  <c r="M126" i="45"/>
  <c r="FC126" i="45"/>
  <c r="AV126" i="45"/>
  <c r="DC126" i="45"/>
  <c r="DH126" i="45"/>
  <c r="FF126" i="45"/>
  <c r="DW126" i="45"/>
  <c r="DV126" i="45"/>
  <c r="AX126" i="45"/>
  <c r="E126" i="45"/>
  <c r="DS126" i="45"/>
  <c r="CL126" i="45"/>
  <c r="CR126" i="45"/>
  <c r="DF126" i="45"/>
  <c r="DR126" i="45"/>
  <c r="AY126" i="45"/>
  <c r="BP126" i="45"/>
  <c r="AF126" i="45"/>
  <c r="FG126" i="45"/>
  <c r="B126" i="45"/>
  <c r="CM126" i="45"/>
  <c r="BY126" i="45"/>
  <c r="DG126" i="45"/>
  <c r="K126" i="45"/>
  <c r="BX126" i="45"/>
  <c r="CI126" i="45"/>
  <c r="FN126" i="45"/>
  <c r="AO126" i="45"/>
  <c r="AL126" i="45"/>
  <c r="DB126" i="45"/>
  <c r="AE126" i="45"/>
  <c r="FE126" i="45"/>
  <c r="AJ126" i="45"/>
  <c r="BO126" i="45"/>
  <c r="BA126" i="45"/>
  <c r="BS126" i="45"/>
  <c r="CK126" i="45"/>
  <c r="CJ126" i="45"/>
  <c r="BR126" i="45"/>
  <c r="CX126" i="45"/>
  <c r="DX126" i="45"/>
  <c r="BE126" i="45"/>
  <c r="BF126" i="45"/>
  <c r="DU126" i="45"/>
  <c r="F126" i="45"/>
  <c r="AW126" i="45"/>
  <c r="AG126" i="45"/>
  <c r="FD126" i="45"/>
  <c r="AZ126" i="45"/>
  <c r="BQ126" i="45"/>
  <c r="AK126" i="45"/>
  <c r="FI126" i="45"/>
  <c r="DI126" i="45"/>
  <c r="BD126" i="45"/>
  <c r="DQ126" i="45"/>
  <c r="DP126" i="45"/>
  <c r="AI126" i="45"/>
  <c r="FK126" i="45"/>
  <c r="AH126" i="45"/>
  <c r="BC126" i="45"/>
  <c r="C126" i="45"/>
  <c r="DT126" i="45"/>
  <c r="BB126" i="45"/>
  <c r="BW126" i="45"/>
  <c r="J126" i="45"/>
  <c r="DD126" i="45"/>
  <c r="AN126" i="45"/>
  <c r="DY126" i="45"/>
  <c r="FJ126" i="45"/>
  <c r="G126" i="45"/>
  <c r="FH126" i="45"/>
  <c r="DA126" i="45"/>
  <c r="AD126" i="45"/>
  <c r="AM126" i="45"/>
  <c r="CQ126" i="45"/>
  <c r="CO126" i="45"/>
  <c r="CN126" i="45"/>
  <c r="BZ126" i="45"/>
  <c r="FL126" i="45"/>
  <c r="DE126" i="45"/>
  <c r="I126" i="45"/>
  <c r="DO126" i="45"/>
  <c r="BT126" i="45"/>
  <c r="M118" i="45"/>
  <c r="AH122" i="43"/>
  <c r="AZ122" i="43"/>
  <c r="F122" i="43"/>
  <c r="GA122" i="43" s="1"/>
  <c r="DB122" i="43"/>
  <c r="DS122" i="43"/>
  <c r="CK122" i="43"/>
  <c r="BS122" i="43"/>
  <c r="CN122" i="43"/>
  <c r="BC122" i="43"/>
  <c r="I122" i="43"/>
  <c r="GD122" i="43" s="1"/>
  <c r="AK122" i="43"/>
  <c r="BV122" i="43"/>
  <c r="DV122" i="43"/>
  <c r="DE122" i="43"/>
  <c r="AH38" i="45"/>
  <c r="GS38" i="43"/>
  <c r="F38" i="43"/>
  <c r="BS38" i="43"/>
  <c r="F38" i="44"/>
  <c r="AZ38" i="43"/>
  <c r="AH38" i="41"/>
  <c r="CK38" i="41"/>
  <c r="AZ38" i="41"/>
  <c r="CK38" i="44"/>
  <c r="GS38" i="41"/>
  <c r="CK38" i="45"/>
  <c r="AH38" i="44"/>
  <c r="AZ38" i="44"/>
  <c r="BS38" i="41"/>
  <c r="BS38" i="44"/>
  <c r="CK38" i="43"/>
  <c r="F38" i="41"/>
  <c r="BS38" i="45"/>
  <c r="F38" i="45"/>
  <c r="GS38" i="44"/>
  <c r="AH38" i="43"/>
  <c r="AZ38" i="45"/>
  <c r="DI38" i="44"/>
  <c r="HB38" i="44"/>
  <c r="T5" i="12"/>
  <c r="V5" i="12"/>
  <c r="AA5" i="12"/>
  <c r="Y5" i="12"/>
  <c r="Z5" i="12"/>
  <c r="AC5" i="12"/>
  <c r="AD5" i="12"/>
  <c r="X5" i="12"/>
  <c r="W5" i="12"/>
  <c r="AE5" i="12"/>
  <c r="U5" i="12"/>
  <c r="GS5" i="12"/>
  <c r="GU5" i="12" s="1"/>
  <c r="AB5" i="12"/>
  <c r="HG19" i="45"/>
  <c r="GP51" i="41"/>
  <c r="BP51" i="45"/>
  <c r="AW51" i="41"/>
  <c r="BP51" i="44"/>
  <c r="CH51" i="45"/>
  <c r="C51" i="43"/>
  <c r="CH51" i="43"/>
  <c r="AE51" i="41"/>
  <c r="C51" i="41"/>
  <c r="AW51" i="43"/>
  <c r="AW51" i="45"/>
  <c r="AE51" i="44"/>
  <c r="GP51" i="44"/>
  <c r="AW51" i="44"/>
  <c r="C51" i="44"/>
  <c r="AE51" i="45"/>
  <c r="GP51" i="43"/>
  <c r="GP51" i="45"/>
  <c r="CH51" i="41"/>
  <c r="AE51" i="43"/>
  <c r="C51" i="45"/>
  <c r="BP51" i="41"/>
  <c r="BP51" i="43"/>
  <c r="CH51" i="44"/>
  <c r="AX51" i="45"/>
  <c r="AF51" i="41"/>
  <c r="CI51" i="43"/>
  <c r="AF51" i="44"/>
  <c r="GQ51" i="41"/>
  <c r="AX51" i="41"/>
  <c r="GQ51" i="43"/>
  <c r="CI51" i="44"/>
  <c r="AF51" i="43"/>
  <c r="CI51" i="45"/>
  <c r="CI51" i="41"/>
  <c r="AX51" i="43"/>
  <c r="BQ51" i="41"/>
  <c r="BQ51" i="45"/>
  <c r="AX51" i="44"/>
  <c r="D51" i="44"/>
  <c r="GQ51" i="44"/>
  <c r="D51" i="43"/>
  <c r="GQ51" i="45"/>
  <c r="D51" i="41"/>
  <c r="D51" i="45"/>
  <c r="BQ51" i="43"/>
  <c r="BQ51" i="44"/>
  <c r="AF51" i="45"/>
  <c r="C118" i="43"/>
  <c r="AJ18" i="35"/>
  <c r="AF18" i="35" s="1"/>
  <c r="I164" i="45"/>
  <c r="AM18" i="35" s="1"/>
  <c r="J164" i="45"/>
  <c r="AN18" i="35" s="1"/>
  <c r="X30" i="45"/>
  <c r="X30" i="44"/>
  <c r="X30" i="41"/>
  <c r="X30" i="43"/>
  <c r="V30" i="41"/>
  <c r="V30" i="44"/>
  <c r="V30" i="45"/>
  <c r="V30" i="43"/>
  <c r="AX122" i="41"/>
  <c r="AF122" i="41"/>
  <c r="CI122" i="41"/>
  <c r="DQ122" i="41"/>
  <c r="D122" i="41"/>
  <c r="FY122" i="41" s="1"/>
  <c r="BQ122" i="41"/>
  <c r="CZ122" i="41"/>
  <c r="BG122" i="41"/>
  <c r="M122" i="41"/>
  <c r="GH122" i="41" s="1"/>
  <c r="BZ122" i="41"/>
  <c r="AO122" i="41"/>
  <c r="DI122" i="41"/>
  <c r="CR122" i="41"/>
  <c r="DZ122" i="41"/>
  <c r="AP58" i="41"/>
  <c r="AP58" i="45"/>
  <c r="Y27" i="45"/>
  <c r="Y61" i="45" s="1"/>
  <c r="Y27" i="43"/>
  <c r="Y61" i="43" s="1"/>
  <c r="Y27" i="41"/>
  <c r="Y61" i="41" s="1"/>
  <c r="Y27" i="44"/>
  <c r="S27" i="45"/>
  <c r="S61" i="45" s="1"/>
  <c r="S27" i="44"/>
  <c r="S27" i="43"/>
  <c r="S27" i="41"/>
  <c r="GO36" i="43"/>
  <c r="AY32" i="44"/>
  <c r="AY32" i="41"/>
  <c r="GR32" i="43"/>
  <c r="CJ32" i="45"/>
  <c r="AG32" i="43"/>
  <c r="E32" i="45"/>
  <c r="CJ32" i="43"/>
  <c r="BR32" i="41"/>
  <c r="BR32" i="43"/>
  <c r="AY32" i="43"/>
  <c r="GR32" i="41"/>
  <c r="CJ32" i="44"/>
  <c r="AG32" i="44"/>
  <c r="BR32" i="45"/>
  <c r="GR32" i="44"/>
  <c r="AG32" i="41"/>
  <c r="E32" i="44"/>
  <c r="E32" i="43"/>
  <c r="BR32" i="44"/>
  <c r="E32" i="41"/>
  <c r="CJ32" i="41"/>
  <c r="AG32" i="45"/>
  <c r="AY32" i="45"/>
  <c r="GP32" i="43"/>
  <c r="BP32" i="41"/>
  <c r="BP32" i="45"/>
  <c r="AE32" i="41"/>
  <c r="C32" i="44"/>
  <c r="C32" i="41"/>
  <c r="CH32" i="45"/>
  <c r="AW32" i="44"/>
  <c r="BP32" i="43"/>
  <c r="CH32" i="43"/>
  <c r="C32" i="43"/>
  <c r="CH32" i="44"/>
  <c r="AE32" i="45"/>
  <c r="CH32" i="41"/>
  <c r="AE32" i="44"/>
  <c r="BP32" i="44"/>
  <c r="C32" i="45"/>
  <c r="GP32" i="41"/>
  <c r="AW32" i="43"/>
  <c r="GP32" i="44"/>
  <c r="AW32" i="41"/>
  <c r="AE32" i="43"/>
  <c r="AW32" i="45"/>
  <c r="AP60" i="44"/>
  <c r="AP60" i="41"/>
  <c r="CA60" i="45"/>
  <c r="HB58" i="44"/>
  <c r="DI58" i="44"/>
  <c r="K118" i="41"/>
  <c r="GP81" i="45"/>
  <c r="CA33" i="44"/>
  <c r="DI40" i="41"/>
  <c r="HB40" i="41"/>
  <c r="I43" i="44"/>
  <c r="AK43" i="41"/>
  <c r="AK43" i="44"/>
  <c r="BV43" i="44"/>
  <c r="BC43" i="45"/>
  <c r="BV43" i="41"/>
  <c r="I43" i="41"/>
  <c r="BC43" i="44"/>
  <c r="BV43" i="43"/>
  <c r="BC43" i="41"/>
  <c r="GV43" i="44"/>
  <c r="GV43" i="43"/>
  <c r="AK43" i="43"/>
  <c r="CN43" i="44"/>
  <c r="I43" i="43"/>
  <c r="I43" i="45"/>
  <c r="CN43" i="41"/>
  <c r="CN43" i="43"/>
  <c r="CN43" i="45"/>
  <c r="BC43" i="43"/>
  <c r="AK43" i="45"/>
  <c r="BV43" i="45"/>
  <c r="GV43" i="41"/>
  <c r="E43" i="41"/>
  <c r="BR43" i="43"/>
  <c r="BR43" i="44"/>
  <c r="E43" i="45"/>
  <c r="AG43" i="41"/>
  <c r="CJ43" i="45"/>
  <c r="AY43" i="41"/>
  <c r="GR43" i="43"/>
  <c r="AY43" i="43"/>
  <c r="E43" i="43"/>
  <c r="CJ43" i="44"/>
  <c r="CJ43" i="43"/>
  <c r="AG43" i="44"/>
  <c r="AG43" i="43"/>
  <c r="AY43" i="45"/>
  <c r="AG43" i="45"/>
  <c r="CJ43" i="41"/>
  <c r="E43" i="44"/>
  <c r="GR43" i="44"/>
  <c r="AY43" i="44"/>
  <c r="BR43" i="41"/>
  <c r="GR43" i="41"/>
  <c r="BR43" i="45"/>
  <c r="HE19" i="45"/>
  <c r="M48" i="43"/>
  <c r="BZ48" i="41"/>
  <c r="CR48" i="44"/>
  <c r="BZ48" i="43"/>
  <c r="AO48" i="41"/>
  <c r="BG48" i="41"/>
  <c r="GZ48" i="44"/>
  <c r="GZ48" i="41"/>
  <c r="CR48" i="45"/>
  <c r="BG48" i="45"/>
  <c r="BZ48" i="45"/>
  <c r="BZ48" i="44"/>
  <c r="AO48" i="43"/>
  <c r="GZ48" i="45"/>
  <c r="BG48" i="44"/>
  <c r="AO48" i="45"/>
  <c r="M48" i="41"/>
  <c r="CR48" i="41"/>
  <c r="M48" i="44"/>
  <c r="AO48" i="44"/>
  <c r="M48" i="45"/>
  <c r="BG48" i="43"/>
  <c r="CR48" i="43"/>
  <c r="Y15" i="12"/>
  <c r="AC15" i="12"/>
  <c r="W15" i="12"/>
  <c r="AA15" i="12"/>
  <c r="Z15" i="12"/>
  <c r="GS15" i="12"/>
  <c r="GU15" i="12" s="1"/>
  <c r="AB15" i="12"/>
  <c r="V15" i="12"/>
  <c r="X15" i="12"/>
  <c r="AD15" i="12"/>
  <c r="U15" i="12"/>
  <c r="AE15" i="12"/>
  <c r="T15" i="12"/>
  <c r="DQ102" i="41"/>
  <c r="GP102" i="41" s="1"/>
  <c r="DQ102" i="45"/>
  <c r="GP102" i="45" s="1"/>
  <c r="DQ102" i="43"/>
  <c r="GP102" i="43" s="1"/>
  <c r="DQ102" i="44"/>
  <c r="GP102" i="44" s="1"/>
  <c r="FE28" i="45"/>
  <c r="DA30" i="45"/>
  <c r="HF30" i="45" s="1"/>
  <c r="DA30" i="43"/>
  <c r="HF30" i="43" s="1"/>
  <c r="DA30" i="41"/>
  <c r="HF30" i="41" s="1"/>
  <c r="DA30" i="44"/>
  <c r="HF30" i="44" s="1"/>
  <c r="CY30" i="45"/>
  <c r="CY30" i="43"/>
  <c r="CY30" i="44"/>
  <c r="CY30" i="41"/>
  <c r="GY81" i="41"/>
  <c r="GO76" i="41"/>
  <c r="DU111" i="44"/>
  <c r="GT111" i="44" s="1"/>
  <c r="DU111" i="43"/>
  <c r="GT111" i="43" s="1"/>
  <c r="DU111" i="45"/>
  <c r="GT111" i="45" s="1"/>
  <c r="DU111" i="41"/>
  <c r="GT111" i="41" s="1"/>
  <c r="DP97" i="41"/>
  <c r="GO97" i="41" s="1"/>
  <c r="DP97" i="45"/>
  <c r="GO97" i="45" s="1"/>
  <c r="DP97" i="44"/>
  <c r="GO97" i="44" s="1"/>
  <c r="DP97" i="43"/>
  <c r="GO97" i="43" s="1"/>
  <c r="DU145" i="43"/>
  <c r="DO151" i="43" s="1"/>
  <c r="C166" i="43" s="1"/>
  <c r="GQ32" i="45"/>
  <c r="Z33" i="41"/>
  <c r="Z33" i="45"/>
  <c r="Z33" i="44"/>
  <c r="Z33" i="43"/>
  <c r="HH19" i="45"/>
  <c r="DV97" i="44"/>
  <c r="GU97" i="44" s="1"/>
  <c r="DV97" i="41"/>
  <c r="GU97" i="41" s="1"/>
  <c r="DV97" i="43"/>
  <c r="GU97" i="43" s="1"/>
  <c r="DV97" i="45"/>
  <c r="GU97" i="45" s="1"/>
  <c r="GT87" i="41"/>
  <c r="X32" i="45"/>
  <c r="X32" i="44"/>
  <c r="X32" i="41"/>
  <c r="X32" i="43"/>
  <c r="GW81" i="45"/>
  <c r="HB56" i="45"/>
  <c r="DI56" i="45"/>
  <c r="HI19" i="44"/>
  <c r="DX94" i="44"/>
  <c r="GW94" i="44" s="1"/>
  <c r="DX94" i="41"/>
  <c r="GW94" i="41" s="1"/>
  <c r="DX94" i="43"/>
  <c r="GW94" i="43" s="1"/>
  <c r="DX94" i="45"/>
  <c r="GW94" i="45" s="1"/>
  <c r="DU94" i="41"/>
  <c r="GT94" i="41" s="1"/>
  <c r="DU94" i="43"/>
  <c r="GT94" i="43" s="1"/>
  <c r="DU94" i="45"/>
  <c r="GT94" i="45" s="1"/>
  <c r="DU94" i="44"/>
  <c r="GT94" i="44" s="1"/>
  <c r="DP107" i="45"/>
  <c r="GO107" i="45" s="1"/>
  <c r="DP107" i="43"/>
  <c r="GO107" i="43" s="1"/>
  <c r="DP107" i="41"/>
  <c r="GO107" i="41" s="1"/>
  <c r="DP107" i="44"/>
  <c r="GO107" i="44" s="1"/>
  <c r="S254" i="12"/>
  <c r="AF30" i="45"/>
  <c r="BQ30" i="43"/>
  <c r="AX30" i="41"/>
  <c r="GQ30" i="44"/>
  <c r="AX30" i="43"/>
  <c r="AX30" i="45"/>
  <c r="D30" i="44"/>
  <c r="CI30" i="41"/>
  <c r="D30" i="41"/>
  <c r="CI30" i="45"/>
  <c r="GQ30" i="41"/>
  <c r="BQ30" i="45"/>
  <c r="AF30" i="43"/>
  <c r="D30" i="45"/>
  <c r="BQ30" i="41"/>
  <c r="AF30" i="41"/>
  <c r="CI30" i="44"/>
  <c r="GQ30" i="45"/>
  <c r="AF30" i="44"/>
  <c r="BQ30" i="44"/>
  <c r="AX30" i="44"/>
  <c r="D30" i="43"/>
  <c r="CI30" i="43"/>
  <c r="B30" i="45"/>
  <c r="AV30" i="43"/>
  <c r="CG30" i="44"/>
  <c r="CS30" i="44" s="1"/>
  <c r="AV30" i="41"/>
  <c r="BH30" i="41" s="1"/>
  <c r="AD30" i="45"/>
  <c r="AP30" i="45" s="1"/>
  <c r="GO30" i="44"/>
  <c r="AD30" i="43"/>
  <c r="AV30" i="45"/>
  <c r="BH30" i="45" s="1"/>
  <c r="CG30" i="45"/>
  <c r="CS30" i="45" s="1"/>
  <c r="B30" i="44"/>
  <c r="BO30" i="41"/>
  <c r="B30" i="41"/>
  <c r="AD30" i="44"/>
  <c r="AP30" i="44" s="1"/>
  <c r="BO30" i="43"/>
  <c r="CA30" i="43" s="1"/>
  <c r="GO30" i="41"/>
  <c r="CG30" i="41"/>
  <c r="CS30" i="41" s="1"/>
  <c r="AD30" i="41"/>
  <c r="AV30" i="44"/>
  <c r="BH30" i="44" s="1"/>
  <c r="GO30" i="45"/>
  <c r="BO30" i="44"/>
  <c r="CA30" i="44" s="1"/>
  <c r="BO30" i="45"/>
  <c r="CA30" i="45" s="1"/>
  <c r="B30" i="43"/>
  <c r="CG30" i="43"/>
  <c r="AD53" i="43"/>
  <c r="AD53" i="41"/>
  <c r="AD53" i="44"/>
  <c r="BO53" i="43"/>
  <c r="CG53" i="41"/>
  <c r="BO53" i="41"/>
  <c r="CA53" i="41" s="1"/>
  <c r="AD53" i="45"/>
  <c r="AP53" i="45" s="1"/>
  <c r="CG53" i="45"/>
  <c r="CS53" i="45" s="1"/>
  <c r="GO53" i="45"/>
  <c r="B53" i="44"/>
  <c r="AV53" i="43"/>
  <c r="AV53" i="41"/>
  <c r="B53" i="41"/>
  <c r="AV53" i="44"/>
  <c r="BH53" i="44" s="1"/>
  <c r="CG53" i="44"/>
  <c r="CS53" i="44" s="1"/>
  <c r="BO53" i="45"/>
  <c r="CA53" i="45" s="1"/>
  <c r="AV53" i="45"/>
  <c r="BH53" i="45" s="1"/>
  <c r="B53" i="45"/>
  <c r="GO53" i="44"/>
  <c r="BO53" i="44"/>
  <c r="CA53" i="44" s="1"/>
  <c r="GO53" i="41"/>
  <c r="B53" i="43"/>
  <c r="CG53" i="43"/>
  <c r="CS53" i="43" s="1"/>
  <c r="BT53" i="41"/>
  <c r="BT53" i="43"/>
  <c r="BA53" i="43"/>
  <c r="BA53" i="41"/>
  <c r="AI53" i="41"/>
  <c r="GT53" i="45"/>
  <c r="CL53" i="41"/>
  <c r="AI53" i="43"/>
  <c r="G53" i="45"/>
  <c r="CL53" i="45"/>
  <c r="BT53" i="45"/>
  <c r="AI53" i="44"/>
  <c r="CL53" i="44"/>
  <c r="BT53" i="44"/>
  <c r="BA53" i="44"/>
  <c r="BA53" i="45"/>
  <c r="AI53" i="45"/>
  <c r="G53" i="44"/>
  <c r="GT53" i="44"/>
  <c r="G53" i="41"/>
  <c r="G53" i="43"/>
  <c r="CL53" i="43"/>
  <c r="GT53" i="41"/>
  <c r="AE19" i="45"/>
  <c r="GP19" i="43"/>
  <c r="AW19" i="45"/>
  <c r="BP19" i="41"/>
  <c r="AE19" i="43"/>
  <c r="GP19" i="41"/>
  <c r="BP19" i="43"/>
  <c r="CH19" i="45"/>
  <c r="CH19" i="44"/>
  <c r="CH19" i="41"/>
  <c r="C19" i="44"/>
  <c r="C19" i="43"/>
  <c r="C19" i="45"/>
  <c r="BP19" i="44"/>
  <c r="AE19" i="41"/>
  <c r="BP19" i="45"/>
  <c r="AW19" i="43"/>
  <c r="AW19" i="41"/>
  <c r="AE19" i="44"/>
  <c r="CH19" i="43"/>
  <c r="GP19" i="44"/>
  <c r="C19" i="41"/>
  <c r="AW19" i="44"/>
  <c r="DI21" i="45"/>
  <c r="O61" i="45"/>
  <c r="CS20" i="45"/>
  <c r="CS20" i="41"/>
  <c r="C122" i="45"/>
  <c r="FX122" i="45" s="1"/>
  <c r="CH122" i="45"/>
  <c r="CY122" i="45"/>
  <c r="AE122" i="45"/>
  <c r="BP122" i="45"/>
  <c r="DP122" i="45"/>
  <c r="AW122" i="45"/>
  <c r="F28" i="35"/>
  <c r="J174" i="41"/>
  <c r="J28" i="35" s="1"/>
  <c r="I174" i="41"/>
  <c r="I28" i="35" s="1"/>
  <c r="CS49" i="41"/>
  <c r="CA49" i="45"/>
  <c r="FK146" i="41"/>
  <c r="GO131" i="41"/>
  <c r="GW146" i="41" s="1"/>
  <c r="BH24" i="41"/>
  <c r="C54" i="44"/>
  <c r="AW54" i="44"/>
  <c r="AE54" i="44"/>
  <c r="BP54" i="44"/>
  <c r="BP54" i="45"/>
  <c r="C54" i="45"/>
  <c r="AE54" i="43"/>
  <c r="AE54" i="41"/>
  <c r="CH54" i="44"/>
  <c r="AW54" i="45"/>
  <c r="AW54" i="43"/>
  <c r="CH54" i="45"/>
  <c r="CH54" i="41"/>
  <c r="AE54" i="45"/>
  <c r="C54" i="43"/>
  <c r="BP54" i="43"/>
  <c r="AW54" i="41"/>
  <c r="GP54" i="41"/>
  <c r="BP54" i="41"/>
  <c r="GP54" i="44"/>
  <c r="GP54" i="45"/>
  <c r="C54" i="41"/>
  <c r="CH54" i="43"/>
  <c r="BB6" i="18"/>
  <c r="AX29" i="18"/>
  <c r="FX65" i="41" s="1"/>
  <c r="FX132" i="41" s="1"/>
  <c r="GF149" i="41" s="1"/>
  <c r="AQ29" i="18"/>
  <c r="FY65" i="44" s="1"/>
  <c r="FY132" i="44" s="1"/>
  <c r="GG149" i="44" s="1"/>
  <c r="AU6" i="18"/>
  <c r="AU29" i="18" s="1"/>
  <c r="P26" i="35"/>
  <c r="L26" i="35" s="1"/>
  <c r="J172" i="43"/>
  <c r="T26" i="35" s="1"/>
  <c r="I172" i="43"/>
  <c r="S26" i="35" s="1"/>
  <c r="N108" i="35"/>
  <c r="C108" i="35"/>
  <c r="O40" i="26"/>
  <c r="F40" i="26"/>
  <c r="F42" i="26" s="1"/>
  <c r="F43" i="26" s="1"/>
  <c r="F48" i="26" s="1"/>
  <c r="F49" i="26" s="1"/>
  <c r="C61" i="26" s="1"/>
  <c r="K40" i="26"/>
  <c r="J40" i="26"/>
  <c r="L40" i="26"/>
  <c r="I40" i="26"/>
  <c r="BV36" i="44"/>
  <c r="CN36" i="44"/>
  <c r="I36" i="41"/>
  <c r="BC36" i="43"/>
  <c r="I36" i="43"/>
  <c r="AK36" i="41"/>
  <c r="CN36" i="43"/>
  <c r="AK36" i="43"/>
  <c r="I36" i="44"/>
  <c r="BV36" i="45"/>
  <c r="BC36" i="45"/>
  <c r="BC36" i="44"/>
  <c r="BV36" i="41"/>
  <c r="BC36" i="41"/>
  <c r="CN36" i="41"/>
  <c r="CN36" i="45"/>
  <c r="AK36" i="45"/>
  <c r="AK36" i="44"/>
  <c r="GV36" i="44"/>
  <c r="I36" i="45"/>
  <c r="BV36" i="43"/>
  <c r="GV36" i="41"/>
  <c r="H118" i="45"/>
  <c r="DB32" i="45"/>
  <c r="HG32" i="45" s="1"/>
  <c r="DB32" i="41"/>
  <c r="HG32" i="41" s="1"/>
  <c r="DB32" i="44"/>
  <c r="HG32" i="44" s="1"/>
  <c r="DB32" i="43"/>
  <c r="HG32" i="43" s="1"/>
  <c r="DC32" i="45"/>
  <c r="HH32" i="45" s="1"/>
  <c r="DC32" i="41"/>
  <c r="HH32" i="41" s="1"/>
  <c r="DC32" i="43"/>
  <c r="HH32" i="43" s="1"/>
  <c r="DC32" i="44"/>
  <c r="HH32" i="44" s="1"/>
  <c r="CA39" i="43"/>
  <c r="AP39" i="41"/>
  <c r="P52" i="45"/>
  <c r="P52" i="43"/>
  <c r="P52" i="44"/>
  <c r="P52" i="41"/>
  <c r="Q52" i="45"/>
  <c r="Q52" i="41"/>
  <c r="Q52" i="44"/>
  <c r="Q52" i="43"/>
  <c r="W23" i="35"/>
  <c r="O40" i="25"/>
  <c r="I40" i="25"/>
  <c r="I42" i="25" s="1"/>
  <c r="I43" i="25" s="1"/>
  <c r="I48" i="25" s="1"/>
  <c r="I49" i="25" s="1"/>
  <c r="C64" i="25" s="1"/>
  <c r="J40" i="25"/>
  <c r="F40" i="25"/>
  <c r="F42" i="25" s="1"/>
  <c r="F43" i="25" s="1"/>
  <c r="F48" i="25" s="1"/>
  <c r="F49" i="25" s="1"/>
  <c r="C61" i="25" s="1"/>
  <c r="K40" i="25"/>
  <c r="L40" i="25"/>
  <c r="B42" i="25"/>
  <c r="BZ127" i="44"/>
  <c r="DI127" i="44"/>
  <c r="AO127" i="44"/>
  <c r="CR127" i="44"/>
  <c r="BG127" i="44"/>
  <c r="M127" i="44"/>
  <c r="BB122" i="43"/>
  <c r="H122" i="43"/>
  <c r="GC122" i="43" s="1"/>
  <c r="AJ122" i="43"/>
  <c r="DD122" i="43"/>
  <c r="DU122" i="43"/>
  <c r="BU122" i="43"/>
  <c r="CM122" i="43"/>
  <c r="AH51" i="45"/>
  <c r="BS51" i="41"/>
  <c r="CK51" i="45"/>
  <c r="CK51" i="44"/>
  <c r="BS51" i="44"/>
  <c r="GS51" i="43"/>
  <c r="F51" i="44"/>
  <c r="F51" i="45"/>
  <c r="AZ51" i="43"/>
  <c r="AZ51" i="41"/>
  <c r="AZ51" i="45"/>
  <c r="CK51" i="41"/>
  <c r="F51" i="41"/>
  <c r="BS51" i="43"/>
  <c r="AH51" i="44"/>
  <c r="GS51" i="44"/>
  <c r="F51" i="43"/>
  <c r="BS51" i="45"/>
  <c r="AH51" i="41"/>
  <c r="GS51" i="41"/>
  <c r="GS51" i="45"/>
  <c r="AH51" i="43"/>
  <c r="AZ51" i="44"/>
  <c r="CK51" i="43"/>
  <c r="DR111" i="45"/>
  <c r="GQ111" i="45" s="1"/>
  <c r="DR111" i="44"/>
  <c r="GQ111" i="44" s="1"/>
  <c r="DR111" i="41"/>
  <c r="GQ111" i="41" s="1"/>
  <c r="DR111" i="43"/>
  <c r="GQ111" i="43" s="1"/>
  <c r="CH127" i="45"/>
  <c r="AE127" i="45"/>
  <c r="BP127" i="45"/>
  <c r="C127" i="45"/>
  <c r="AW127" i="45"/>
  <c r="CY127" i="45"/>
  <c r="O30" i="45"/>
  <c r="O30" i="44"/>
  <c r="O30" i="41"/>
  <c r="O30" i="43"/>
  <c r="X27" i="41"/>
  <c r="X61" i="41" s="1"/>
  <c r="X27" i="43"/>
  <c r="X27" i="44"/>
  <c r="X61" i="44" s="1"/>
  <c r="X27" i="45"/>
  <c r="AI48" i="45"/>
  <c r="BA48" i="41"/>
  <c r="G48" i="44"/>
  <c r="BT48" i="41"/>
  <c r="BA48" i="45"/>
  <c r="BA48" i="44"/>
  <c r="AI48" i="43"/>
  <c r="BT48" i="45"/>
  <c r="BT48" i="44"/>
  <c r="G48" i="41"/>
  <c r="AI48" i="44"/>
  <c r="G48" i="43"/>
  <c r="BA48" i="43"/>
  <c r="CL48" i="44"/>
  <c r="BT48" i="43"/>
  <c r="CL48" i="41"/>
  <c r="CL48" i="45"/>
  <c r="G48" i="45"/>
  <c r="GT48" i="44"/>
  <c r="AI48" i="41"/>
  <c r="GT48" i="45"/>
  <c r="GT48" i="41"/>
  <c r="CL48" i="43"/>
  <c r="I167" i="41"/>
  <c r="I21" i="35" s="1"/>
  <c r="F21" i="35"/>
  <c r="J167" i="41"/>
  <c r="J21" i="35" s="1"/>
  <c r="K77" i="35"/>
  <c r="L77" i="35"/>
  <c r="GS76" i="44"/>
  <c r="DQ97" i="45"/>
  <c r="GP97" i="45" s="1"/>
  <c r="DQ97" i="41"/>
  <c r="GP97" i="41" s="1"/>
  <c r="DQ97" i="43"/>
  <c r="GP97" i="43" s="1"/>
  <c r="DQ97" i="44"/>
  <c r="GP97" i="44" s="1"/>
  <c r="C258" i="12"/>
  <c r="C33" i="28" s="1"/>
  <c r="B258" i="12"/>
  <c r="B33" i="28" s="1"/>
  <c r="D258" i="12"/>
  <c r="D33" i="28" s="1"/>
  <c r="E258" i="12"/>
  <c r="E33" i="28" s="1"/>
  <c r="GT87" i="43"/>
  <c r="DR94" i="41"/>
  <c r="DR94" i="44"/>
  <c r="GQ94" i="44" s="1"/>
  <c r="DR94" i="45"/>
  <c r="GQ94" i="45" s="1"/>
  <c r="DR94" i="43"/>
  <c r="GQ94" i="43" s="1"/>
  <c r="B71" i="26"/>
  <c r="B60" i="26"/>
  <c r="B61" i="26"/>
  <c r="B29" i="24"/>
  <c r="D62" i="35" s="1"/>
  <c r="H62" i="35" s="1"/>
  <c r="B67" i="26"/>
  <c r="I46" i="35"/>
  <c r="N46" i="35" s="1"/>
  <c r="N33" i="26"/>
  <c r="J33" i="26"/>
  <c r="K33" i="26"/>
  <c r="M33" i="26"/>
  <c r="I33" i="26"/>
  <c r="AC19" i="12"/>
  <c r="W19" i="12"/>
  <c r="X19" i="12"/>
  <c r="U19" i="12"/>
  <c r="T19" i="12"/>
  <c r="GS19" i="12"/>
  <c r="GU19" i="12" s="1"/>
  <c r="V19" i="12"/>
  <c r="AD19" i="12"/>
  <c r="AB19" i="12"/>
  <c r="AE19" i="12"/>
  <c r="Z19" i="12"/>
  <c r="AA19" i="12"/>
  <c r="Y19" i="12"/>
  <c r="CY32" i="44"/>
  <c r="HD32" i="44" s="1"/>
  <c r="CY32" i="45"/>
  <c r="HD32" i="45" s="1"/>
  <c r="CY32" i="43"/>
  <c r="HD32" i="43" s="1"/>
  <c r="CY32" i="41"/>
  <c r="HD32" i="41" s="1"/>
  <c r="O52" i="41"/>
  <c r="O52" i="45"/>
  <c r="O52" i="43"/>
  <c r="O52" i="44"/>
  <c r="GN12" i="41"/>
  <c r="FF12" i="41"/>
  <c r="J33" i="25"/>
  <c r="K33" i="25"/>
  <c r="N33" i="25"/>
  <c r="M33" i="25"/>
  <c r="I33" i="25"/>
  <c r="HG19" i="41"/>
  <c r="T30" i="45"/>
  <c r="T30" i="41"/>
  <c r="T30" i="44"/>
  <c r="T30" i="43"/>
  <c r="R27" i="44"/>
  <c r="R61" i="44" s="1"/>
  <c r="R27" i="43"/>
  <c r="R61" i="43" s="1"/>
  <c r="R27" i="41"/>
  <c r="R27" i="45"/>
  <c r="AP60" i="43"/>
  <c r="AX48" i="44"/>
  <c r="CI48" i="45"/>
  <c r="AF48" i="41"/>
  <c r="AX48" i="43"/>
  <c r="AF48" i="44"/>
  <c r="BQ48" i="41"/>
  <c r="CI48" i="44"/>
  <c r="BQ48" i="44"/>
  <c r="AX48" i="41"/>
  <c r="BQ48" i="43"/>
  <c r="D48" i="43"/>
  <c r="AF48" i="43"/>
  <c r="GQ48" i="44"/>
  <c r="D48" i="45"/>
  <c r="D48" i="44"/>
  <c r="BQ48" i="45"/>
  <c r="AX48" i="45"/>
  <c r="GQ48" i="45"/>
  <c r="CI48" i="41"/>
  <c r="D48" i="41"/>
  <c r="AF48" i="45"/>
  <c r="GQ48" i="41"/>
  <c r="CI48" i="43"/>
  <c r="DB30" i="41"/>
  <c r="HG30" i="41" s="1"/>
  <c r="DB30" i="45"/>
  <c r="HG30" i="45" s="1"/>
  <c r="DB30" i="44"/>
  <c r="HG30" i="44" s="1"/>
  <c r="DB30" i="43"/>
  <c r="HG30" i="43" s="1"/>
  <c r="B260" i="12"/>
  <c r="B35" i="28" s="1"/>
  <c r="C260" i="12"/>
  <c r="C35" i="28" s="1"/>
  <c r="E260" i="12"/>
  <c r="E35" i="28" s="1"/>
  <c r="D260" i="12"/>
  <c r="D35" i="28" s="1"/>
  <c r="P42" i="26"/>
  <c r="P43" i="26" s="1"/>
  <c r="P48" i="26" s="1"/>
  <c r="P49" i="26" s="1"/>
  <c r="L30" i="24" s="1"/>
  <c r="N63" i="35" s="1"/>
  <c r="R63" i="35" s="1"/>
  <c r="P52" i="26"/>
  <c r="L31" i="24" s="1"/>
  <c r="N64" i="35" s="1"/>
  <c r="R64" i="35" s="1"/>
  <c r="DY94" i="44"/>
  <c r="GX94" i="44" s="1"/>
  <c r="DY94" i="41"/>
  <c r="DY94" i="43"/>
  <c r="GX94" i="43" s="1"/>
  <c r="DY94" i="45"/>
  <c r="GW30" i="45"/>
  <c r="GW30" i="41"/>
  <c r="CO30" i="44"/>
  <c r="BD30" i="45"/>
  <c r="AL30" i="45"/>
  <c r="BW30" i="43"/>
  <c r="BW30" i="44"/>
  <c r="GW30" i="44"/>
  <c r="J30" i="45"/>
  <c r="BD30" i="44"/>
  <c r="J30" i="44"/>
  <c r="CO30" i="45"/>
  <c r="BW30" i="41"/>
  <c r="BD30" i="43"/>
  <c r="J30" i="41"/>
  <c r="BW30" i="45"/>
  <c r="AL30" i="44"/>
  <c r="BD30" i="41"/>
  <c r="AL30" i="41"/>
  <c r="AL30" i="43"/>
  <c r="CO30" i="41"/>
  <c r="CO30" i="43"/>
  <c r="J30" i="43"/>
  <c r="J16" i="23"/>
  <c r="B39" i="27"/>
  <c r="GC33" i="41"/>
  <c r="FK146" i="45"/>
  <c r="GO131" i="45"/>
  <c r="GW146" i="45" s="1"/>
  <c r="BH20" i="45"/>
  <c r="CM122" i="45"/>
  <c r="BU122" i="45"/>
  <c r="BB122" i="45"/>
  <c r="H122" i="45"/>
  <c r="GC122" i="45" s="1"/>
  <c r="DU122" i="45"/>
  <c r="AJ122" i="45"/>
  <c r="DD122" i="45"/>
  <c r="AV6" i="18"/>
  <c r="AV29" i="18" s="1"/>
  <c r="AR29" i="18"/>
  <c r="FY65" i="45" s="1"/>
  <c r="FY132" i="45" s="1"/>
  <c r="GG149" i="45" s="1"/>
  <c r="E171" i="45" s="1"/>
  <c r="CW32" i="41"/>
  <c r="CW32" i="45"/>
  <c r="CW32" i="44"/>
  <c r="CW32" i="43"/>
  <c r="GO12" i="43"/>
  <c r="FF12" i="43"/>
  <c r="E38" i="43"/>
  <c r="GR38" i="41"/>
  <c r="AG38" i="44"/>
  <c r="AY38" i="41"/>
  <c r="AY38" i="43"/>
  <c r="BR38" i="41"/>
  <c r="AG38" i="41"/>
  <c r="CJ38" i="44"/>
  <c r="BR38" i="45"/>
  <c r="GR38" i="44"/>
  <c r="CJ38" i="45"/>
  <c r="AY38" i="44"/>
  <c r="GR38" i="43"/>
  <c r="AG38" i="45"/>
  <c r="CJ38" i="43"/>
  <c r="E38" i="44"/>
  <c r="BR38" i="44"/>
  <c r="E38" i="41"/>
  <c r="BR38" i="43"/>
  <c r="CJ38" i="41"/>
  <c r="E38" i="45"/>
  <c r="AG38" i="43"/>
  <c r="AY38" i="45"/>
  <c r="BZ126" i="43"/>
  <c r="AH126" i="43"/>
  <c r="FI126" i="43"/>
  <c r="FG126" i="43"/>
  <c r="DC126" i="43"/>
  <c r="BU126" i="43"/>
  <c r="FJ126" i="43"/>
  <c r="BE126" i="43"/>
  <c r="AD126" i="43"/>
  <c r="DZ126" i="43"/>
  <c r="AO126" i="43"/>
  <c r="FH126" i="43"/>
  <c r="FC126" i="43"/>
  <c r="CH126" i="43"/>
  <c r="AX126" i="43"/>
  <c r="BO126" i="43"/>
  <c r="C126" i="43"/>
  <c r="DR126" i="43"/>
  <c r="CO126" i="43"/>
  <c r="H126" i="43"/>
  <c r="DQ126" i="43"/>
  <c r="DP126" i="43"/>
  <c r="BC126" i="43"/>
  <c r="DX126" i="43"/>
  <c r="DU126" i="43"/>
  <c r="CJ126" i="43"/>
  <c r="AZ126" i="43"/>
  <c r="BB126" i="43"/>
  <c r="E126" i="43"/>
  <c r="DT126" i="43"/>
  <c r="CX126" i="43"/>
  <c r="D126" i="43"/>
  <c r="DH126" i="43"/>
  <c r="K126" i="43"/>
  <c r="AK126" i="43"/>
  <c r="AM126" i="43"/>
  <c r="AL126" i="43"/>
  <c r="FK126" i="43"/>
  <c r="G126" i="43"/>
  <c r="AE126" i="43"/>
  <c r="DF126" i="43"/>
  <c r="BV126" i="43"/>
  <c r="FD126" i="43"/>
  <c r="CL126" i="43"/>
  <c r="CY126" i="43"/>
  <c r="BF126" i="43"/>
  <c r="M126" i="43"/>
  <c r="BP126" i="43"/>
  <c r="CZ126" i="43"/>
  <c r="FL126" i="43"/>
  <c r="DY126" i="43"/>
  <c r="CR126" i="43"/>
  <c r="DE126" i="43"/>
  <c r="CG126" i="43"/>
  <c r="DB126" i="43"/>
  <c r="F126" i="43"/>
  <c r="DV126" i="43"/>
  <c r="BT126" i="43"/>
  <c r="AN126" i="43"/>
  <c r="DA126" i="43"/>
  <c r="I126" i="43"/>
  <c r="AW126" i="43"/>
  <c r="B126" i="43"/>
  <c r="CI126" i="43"/>
  <c r="CM126" i="43"/>
  <c r="DO126" i="43"/>
  <c r="CP126" i="43"/>
  <c r="FF126" i="43"/>
  <c r="CK126" i="43"/>
  <c r="J126" i="43"/>
  <c r="FM126" i="43"/>
  <c r="BA126" i="43"/>
  <c r="AG126" i="43"/>
  <c r="AF126" i="43"/>
  <c r="DG126" i="43"/>
  <c r="FN126" i="43"/>
  <c r="BY126" i="43"/>
  <c r="CN126" i="43"/>
  <c r="BW126" i="43"/>
  <c r="BR126" i="43"/>
  <c r="BS126" i="43"/>
  <c r="BD126" i="43"/>
  <c r="AY126" i="43"/>
  <c r="DS126" i="43"/>
  <c r="BQ126" i="43"/>
  <c r="CQ126" i="43"/>
  <c r="AJ126" i="43"/>
  <c r="DI126" i="43"/>
  <c r="DD126" i="43"/>
  <c r="AI126" i="43"/>
  <c r="FE126" i="43"/>
  <c r="L126" i="43"/>
  <c r="AV126" i="43"/>
  <c r="BG126" i="43"/>
  <c r="BX126" i="43"/>
  <c r="DW126" i="43"/>
  <c r="CS60" i="41"/>
  <c r="L118" i="44"/>
  <c r="BH33" i="41"/>
  <c r="AF43" i="44"/>
  <c r="D43" i="41"/>
  <c r="AX43" i="44"/>
  <c r="AX43" i="45"/>
  <c r="CI43" i="43"/>
  <c r="CI43" i="45"/>
  <c r="CI43" i="44"/>
  <c r="AF43" i="41"/>
  <c r="D43" i="43"/>
  <c r="BQ43" i="41"/>
  <c r="AX43" i="41"/>
  <c r="AF43" i="45"/>
  <c r="BQ43" i="43"/>
  <c r="CI43" i="41"/>
  <c r="AF43" i="43"/>
  <c r="AX43" i="43"/>
  <c r="D43" i="44"/>
  <c r="BQ43" i="44"/>
  <c r="D43" i="45"/>
  <c r="GQ43" i="44"/>
  <c r="GQ43" i="43"/>
  <c r="GQ43" i="41"/>
  <c r="BQ43" i="45"/>
  <c r="HL19" i="45"/>
  <c r="DY102" i="41"/>
  <c r="GX102" i="41" s="1"/>
  <c r="DY102" i="45"/>
  <c r="GX102" i="45" s="1"/>
  <c r="DY102" i="44"/>
  <c r="GX102" i="44" s="1"/>
  <c r="DY102" i="43"/>
  <c r="GX102" i="43" s="1"/>
  <c r="CW30" i="43"/>
  <c r="CW30" i="41"/>
  <c r="CW30" i="45"/>
  <c r="CW30" i="44"/>
  <c r="U33" i="44"/>
  <c r="U33" i="43"/>
  <c r="U33" i="45"/>
  <c r="U33" i="41"/>
  <c r="Q32" i="45"/>
  <c r="Q32" i="41"/>
  <c r="Q32" i="44"/>
  <c r="Q32" i="43"/>
  <c r="DW107" i="44"/>
  <c r="GV107" i="44" s="1"/>
  <c r="DW107" i="41"/>
  <c r="GV107" i="41" s="1"/>
  <c r="DW107" i="43"/>
  <c r="GV107" i="43" s="1"/>
  <c r="DW107" i="45"/>
  <c r="GV107" i="45" s="1"/>
  <c r="U74" i="35"/>
  <c r="V74" i="35" s="1"/>
  <c r="U78" i="35"/>
  <c r="V78" i="35" s="1"/>
  <c r="W78" i="35" s="1"/>
  <c r="O39" i="27"/>
  <c r="U79" i="35"/>
  <c r="V79" i="35" s="1"/>
  <c r="W79" i="35" s="1"/>
  <c r="U77" i="35"/>
  <c r="V77" i="35" s="1"/>
  <c r="B42" i="27"/>
  <c r="U80" i="35"/>
  <c r="V80" i="35" s="1"/>
  <c r="W80" i="35" s="1"/>
  <c r="D15" i="28"/>
  <c r="L39" i="27"/>
  <c r="I39" i="27"/>
  <c r="U81" i="35"/>
  <c r="V81" i="35" s="1"/>
  <c r="W81" i="35" s="1"/>
  <c r="J39" i="27"/>
  <c r="J52" i="27" s="1"/>
  <c r="D65" i="27" s="1"/>
  <c r="K39" i="27"/>
  <c r="K52" i="27" s="1"/>
  <c r="D66" i="27" s="1"/>
  <c r="B52" i="27"/>
  <c r="D19" i="41"/>
  <c r="AF19" i="44"/>
  <c r="AX19" i="45"/>
  <c r="BQ19" i="43"/>
  <c r="D19" i="45"/>
  <c r="AF19" i="45"/>
  <c r="AF19" i="43"/>
  <c r="BQ19" i="41"/>
  <c r="D19" i="44"/>
  <c r="GQ19" i="44"/>
  <c r="BQ19" i="45"/>
  <c r="CI19" i="44"/>
  <c r="CI19" i="45"/>
  <c r="BQ19" i="44"/>
  <c r="D19" i="43"/>
  <c r="AF19" i="41"/>
  <c r="GQ19" i="43"/>
  <c r="GQ19" i="41"/>
  <c r="AX19" i="43"/>
  <c r="CI19" i="41"/>
  <c r="AX19" i="41"/>
  <c r="CI19" i="43"/>
  <c r="AX19" i="44"/>
  <c r="AP24" i="41"/>
  <c r="AZ54" i="41"/>
  <c r="GS54" i="41"/>
  <c r="AZ54" i="43"/>
  <c r="CK54" i="41"/>
  <c r="BS54" i="41"/>
  <c r="F54" i="41"/>
  <c r="F54" i="44"/>
  <c r="BS54" i="43"/>
  <c r="CK54" i="45"/>
  <c r="BS54" i="44"/>
  <c r="BS54" i="45"/>
  <c r="AH54" i="45"/>
  <c r="AH54" i="43"/>
  <c r="AZ54" i="45"/>
  <c r="AH54" i="44"/>
  <c r="AZ54" i="44"/>
  <c r="AH54" i="41"/>
  <c r="CK54" i="44"/>
  <c r="F54" i="43"/>
  <c r="F54" i="45"/>
  <c r="GS54" i="45"/>
  <c r="GS54" i="44"/>
  <c r="CK54" i="43"/>
  <c r="BI29" i="18"/>
  <c r="C111" i="35"/>
  <c r="N111" i="35"/>
  <c r="P61" i="44"/>
  <c r="T52" i="41"/>
  <c r="T52" i="43"/>
  <c r="T52" i="45"/>
  <c r="T52" i="44"/>
  <c r="W16" i="35"/>
  <c r="F162" i="44"/>
  <c r="GT54" i="43"/>
  <c r="CG122" i="43"/>
  <c r="DO122" i="43"/>
  <c r="B122" i="43"/>
  <c r="FW122" i="43" s="1"/>
  <c r="CX122" i="43"/>
  <c r="BO122" i="43"/>
  <c r="AV122" i="43"/>
  <c r="AD122" i="43"/>
  <c r="BY38" i="44"/>
  <c r="BF38" i="44"/>
  <c r="AN38" i="45"/>
  <c r="CQ38" i="45"/>
  <c r="AN38" i="44"/>
  <c r="L38" i="44"/>
  <c r="CQ38" i="43"/>
  <c r="BY38" i="41"/>
  <c r="CQ38" i="41"/>
  <c r="L38" i="41"/>
  <c r="AN38" i="41"/>
  <c r="GY38" i="43"/>
  <c r="L38" i="45"/>
  <c r="GY38" i="44"/>
  <c r="CQ38" i="44"/>
  <c r="BF38" i="43"/>
  <c r="GY38" i="41"/>
  <c r="BF38" i="41"/>
  <c r="BY38" i="45"/>
  <c r="L38" i="43"/>
  <c r="BY38" i="43"/>
  <c r="BF38" i="45"/>
  <c r="AN38" i="43"/>
  <c r="BP38" i="43"/>
  <c r="C38" i="45"/>
  <c r="GP38" i="44"/>
  <c r="CH38" i="45"/>
  <c r="AW38" i="43"/>
  <c r="BP38" i="44"/>
  <c r="AE38" i="41"/>
  <c r="CH38" i="41"/>
  <c r="BP38" i="41"/>
  <c r="AW38" i="41"/>
  <c r="GP38" i="43"/>
  <c r="C38" i="43"/>
  <c r="BP38" i="45"/>
  <c r="CH38" i="43"/>
  <c r="C38" i="41"/>
  <c r="AE38" i="44"/>
  <c r="C38" i="44"/>
  <c r="AW38" i="44"/>
  <c r="AE38" i="45"/>
  <c r="CH38" i="44"/>
  <c r="GP38" i="41"/>
  <c r="AE38" i="43"/>
  <c r="AW38" i="45"/>
  <c r="BA51" i="45"/>
  <c r="GT51" i="43"/>
  <c r="AI51" i="43"/>
  <c r="BT51" i="43"/>
  <c r="G51" i="45"/>
  <c r="GT51" i="41"/>
  <c r="BT51" i="41"/>
  <c r="CL51" i="41"/>
  <c r="BA51" i="43"/>
  <c r="BT51" i="44"/>
  <c r="G51" i="43"/>
  <c r="G51" i="44"/>
  <c r="CL51" i="44"/>
  <c r="BT51" i="45"/>
  <c r="BA51" i="41"/>
  <c r="AI51" i="45"/>
  <c r="CL51" i="43"/>
  <c r="G51" i="41"/>
  <c r="CL51" i="45"/>
  <c r="GT51" i="44"/>
  <c r="BA51" i="44"/>
  <c r="AI51" i="41"/>
  <c r="GT51" i="45"/>
  <c r="AI51" i="44"/>
  <c r="AA21" i="12"/>
  <c r="T21" i="12"/>
  <c r="U21" i="12"/>
  <c r="AD21" i="12"/>
  <c r="AB21" i="12"/>
  <c r="Z21" i="12"/>
  <c r="X21" i="12"/>
  <c r="V21" i="12"/>
  <c r="GS21" i="12"/>
  <c r="GU21" i="12" s="1"/>
  <c r="AC21" i="12"/>
  <c r="W21" i="12"/>
  <c r="Y21" i="12"/>
  <c r="AE21" i="12"/>
  <c r="CB61" i="45"/>
  <c r="G163" i="45" s="1"/>
  <c r="AK17" i="35" s="1"/>
  <c r="CT61" i="41"/>
  <c r="G164" i="41" s="1"/>
  <c r="G18" i="35" s="1"/>
  <c r="CT61" i="44"/>
  <c r="G164" i="44" s="1"/>
  <c r="AA18" i="35" s="1"/>
  <c r="T16" i="48"/>
  <c r="Q30" i="44"/>
  <c r="Q30" i="45"/>
  <c r="Q30" i="41"/>
  <c r="Q30" i="43"/>
  <c r="DV122" i="41"/>
  <c r="I122" i="41"/>
  <c r="GD122" i="41" s="1"/>
  <c r="DE122" i="41"/>
  <c r="CN122" i="41"/>
  <c r="AK122" i="41"/>
  <c r="BC122" i="41"/>
  <c r="BV122" i="41"/>
  <c r="CS58" i="45"/>
  <c r="U27" i="41"/>
  <c r="U27" i="43"/>
  <c r="U27" i="44"/>
  <c r="U27" i="45"/>
  <c r="GW32" i="43"/>
  <c r="J32" i="44"/>
  <c r="AL32" i="41"/>
  <c r="J32" i="41"/>
  <c r="J32" i="45"/>
  <c r="AL32" i="43"/>
  <c r="CO32" i="44"/>
  <c r="CO32" i="45"/>
  <c r="GW32" i="41"/>
  <c r="CO32" i="43"/>
  <c r="J32" i="43"/>
  <c r="BW32" i="44"/>
  <c r="BW32" i="45"/>
  <c r="GW32" i="44"/>
  <c r="BW32" i="41"/>
  <c r="BD32" i="43"/>
  <c r="AL32" i="45"/>
  <c r="BD32" i="41"/>
  <c r="BW32" i="43"/>
  <c r="BD32" i="44"/>
  <c r="AL32" i="44"/>
  <c r="CO32" i="41"/>
  <c r="BD32" i="45"/>
  <c r="GU16" i="12"/>
  <c r="CA60" i="41"/>
  <c r="I118" i="44"/>
  <c r="AJ28" i="35"/>
  <c r="AF28" i="35" s="1"/>
  <c r="I174" i="45"/>
  <c r="AM28" i="35" s="1"/>
  <c r="J174" i="45"/>
  <c r="AN28" i="35" s="1"/>
  <c r="H50" i="35"/>
  <c r="L118" i="43"/>
  <c r="GX16" i="12"/>
  <c r="C39" i="26"/>
  <c r="G11" i="24"/>
  <c r="CS33" i="41"/>
  <c r="K43" i="41"/>
  <c r="K43" i="43"/>
  <c r="BX43" i="44"/>
  <c r="CP43" i="43"/>
  <c r="K43" i="45"/>
  <c r="BE43" i="43"/>
  <c r="BE43" i="45"/>
  <c r="CP43" i="44"/>
  <c r="AM43" i="45"/>
  <c r="BX43" i="43"/>
  <c r="BE43" i="44"/>
  <c r="CP43" i="41"/>
  <c r="AM43" i="43"/>
  <c r="CP43" i="45"/>
  <c r="BX43" i="41"/>
  <c r="AM43" i="41"/>
  <c r="K43" i="44"/>
  <c r="GX43" i="44"/>
  <c r="BE43" i="41"/>
  <c r="GX43" i="43"/>
  <c r="AM43" i="44"/>
  <c r="BX43" i="45"/>
  <c r="GX43" i="41"/>
  <c r="BZ43" i="44"/>
  <c r="AO43" i="41"/>
  <c r="M43" i="44"/>
  <c r="BG43" i="41"/>
  <c r="CR43" i="45"/>
  <c r="BG43" i="44"/>
  <c r="AO43" i="43"/>
  <c r="AO43" i="44"/>
  <c r="M43" i="41"/>
  <c r="AO43" i="45"/>
  <c r="CR43" i="44"/>
  <c r="M43" i="43"/>
  <c r="M43" i="45"/>
  <c r="CR43" i="43"/>
  <c r="GZ43" i="43"/>
  <c r="BZ43" i="41"/>
  <c r="GZ43" i="44"/>
  <c r="BG43" i="45"/>
  <c r="BG43" i="43"/>
  <c r="BZ43" i="43"/>
  <c r="GZ43" i="41"/>
  <c r="CR43" i="41"/>
  <c r="BZ43" i="45"/>
  <c r="HK23" i="41"/>
  <c r="HL19" i="41"/>
  <c r="BE48" i="41"/>
  <c r="BX48" i="41"/>
  <c r="GX48" i="41"/>
  <c r="BE48" i="45"/>
  <c r="AM48" i="45"/>
  <c r="K48" i="45"/>
  <c r="AM48" i="44"/>
  <c r="BX48" i="45"/>
  <c r="GX48" i="45"/>
  <c r="BX48" i="44"/>
  <c r="K48" i="43"/>
  <c r="CP48" i="45"/>
  <c r="BX48" i="43"/>
  <c r="K48" i="41"/>
  <c r="AM48" i="41"/>
  <c r="BE48" i="43"/>
  <c r="K48" i="44"/>
  <c r="AM48" i="43"/>
  <c r="CP48" i="41"/>
  <c r="GX48" i="44"/>
  <c r="CP48" i="44"/>
  <c r="BE48" i="44"/>
  <c r="CP48" i="43"/>
  <c r="BW48" i="44"/>
  <c r="AL48" i="44"/>
  <c r="BD48" i="41"/>
  <c r="CO48" i="44"/>
  <c r="CO48" i="45"/>
  <c r="AL48" i="43"/>
  <c r="J48" i="44"/>
  <c r="AL48" i="41"/>
  <c r="BW48" i="41"/>
  <c r="CO48" i="41"/>
  <c r="BW48" i="45"/>
  <c r="J48" i="41"/>
  <c r="J48" i="45"/>
  <c r="J48" i="43"/>
  <c r="AL48" i="45"/>
  <c r="BD48" i="44"/>
  <c r="GW48" i="41"/>
  <c r="BW48" i="43"/>
  <c r="GW48" i="45"/>
  <c r="BD48" i="43"/>
  <c r="BD48" i="45"/>
  <c r="GW48" i="44"/>
  <c r="CO48" i="43"/>
  <c r="DW102" i="41"/>
  <c r="GV102" i="41" s="1"/>
  <c r="DW102" i="45"/>
  <c r="GV102" i="45" s="1"/>
  <c r="DW102" i="43"/>
  <c r="GV102" i="43" s="1"/>
  <c r="DW102" i="44"/>
  <c r="GV102" i="44" s="1"/>
  <c r="DP102" i="44"/>
  <c r="GO102" i="44" s="1"/>
  <c r="DP102" i="41"/>
  <c r="GO102" i="41" s="1"/>
  <c r="DP102" i="45"/>
  <c r="GO102" i="45" s="1"/>
  <c r="DP102" i="43"/>
  <c r="GO102" i="43" s="1"/>
  <c r="DE30" i="43"/>
  <c r="HJ30" i="43" s="1"/>
  <c r="DE30" i="45"/>
  <c r="DE30" i="44"/>
  <c r="HJ30" i="44" s="1"/>
  <c r="DE30" i="41"/>
  <c r="HJ30" i="41" s="1"/>
  <c r="EH39" i="12"/>
  <c r="EM39" i="12"/>
  <c r="EO39" i="12"/>
  <c r="EJ39" i="12"/>
  <c r="GW39" i="12"/>
  <c r="GX39" i="12" s="1"/>
  <c r="EP39" i="12"/>
  <c r="EI39" i="12"/>
  <c r="EN39" i="12"/>
  <c r="EK39" i="12"/>
  <c r="EE39" i="12"/>
  <c r="EF39" i="12"/>
  <c r="EG39" i="12"/>
  <c r="EL39" i="12"/>
  <c r="DT111" i="44"/>
  <c r="GS111" i="44" s="1"/>
  <c r="DT111" i="45"/>
  <c r="GS111" i="45" s="1"/>
  <c r="DT111" i="41"/>
  <c r="GS111" i="41" s="1"/>
  <c r="DT111" i="43"/>
  <c r="GS111" i="43" s="1"/>
  <c r="GS76" i="45"/>
  <c r="R33" i="45"/>
  <c r="R33" i="41"/>
  <c r="R33" i="44"/>
  <c r="R33" i="43"/>
  <c r="DU97" i="44"/>
  <c r="GT97" i="44" s="1"/>
  <c r="DU97" i="43"/>
  <c r="GT97" i="43" s="1"/>
  <c r="DU97" i="41"/>
  <c r="GT97" i="41" s="1"/>
  <c r="DU97" i="45"/>
  <c r="GT97" i="45" s="1"/>
  <c r="C39" i="15"/>
  <c r="G11" i="13"/>
  <c r="S32" i="41"/>
  <c r="S61" i="41" s="1"/>
  <c r="S32" i="44"/>
  <c r="S32" i="43"/>
  <c r="S32" i="45"/>
  <c r="Y32" i="45"/>
  <c r="Y32" i="44"/>
  <c r="Y32" i="43"/>
  <c r="Y32" i="41"/>
  <c r="B60" i="15"/>
  <c r="B61" i="15"/>
  <c r="B71" i="15"/>
  <c r="B67" i="15"/>
  <c r="B29" i="13"/>
  <c r="B62" i="35" s="1"/>
  <c r="F62" i="35" s="1"/>
  <c r="GN76" i="45"/>
  <c r="DW94" i="41"/>
  <c r="DW94" i="45"/>
  <c r="DW94" i="43"/>
  <c r="DW94" i="44"/>
  <c r="GV94" i="44" s="1"/>
  <c r="DJ61" i="43"/>
  <c r="G165" i="43" s="1"/>
  <c r="Q19" i="35" s="1"/>
  <c r="DX107" i="43"/>
  <c r="GW107" i="43" s="1"/>
  <c r="DX107" i="45"/>
  <c r="GW107" i="45" s="1"/>
  <c r="DX107" i="41"/>
  <c r="GW107" i="41" s="1"/>
  <c r="DX107" i="44"/>
  <c r="GW107" i="44" s="1"/>
  <c r="DS107" i="41"/>
  <c r="GR107" i="41" s="1"/>
  <c r="DS107" i="45"/>
  <c r="GR107" i="45" s="1"/>
  <c r="DS107" i="44"/>
  <c r="GR107" i="44" s="1"/>
  <c r="DS107" i="43"/>
  <c r="GR107" i="43" s="1"/>
  <c r="I165" i="41"/>
  <c r="I19" i="35" s="1"/>
  <c r="F19" i="35"/>
  <c r="J165" i="41"/>
  <c r="J19" i="35" s="1"/>
  <c r="AW30" i="43"/>
  <c r="AE30" i="43"/>
  <c r="BP30" i="43"/>
  <c r="GP30" i="44"/>
  <c r="C30" i="41"/>
  <c r="BP30" i="45"/>
  <c r="C30" i="44"/>
  <c r="BP30" i="41"/>
  <c r="AE30" i="41"/>
  <c r="AW30" i="45"/>
  <c r="GP30" i="45"/>
  <c r="AE30" i="45"/>
  <c r="AW30" i="41"/>
  <c r="CH30" i="44"/>
  <c r="CH30" i="45"/>
  <c r="AW30" i="44"/>
  <c r="GP30" i="41"/>
  <c r="BP30" i="44"/>
  <c r="CH30" i="41"/>
  <c r="C30" i="45"/>
  <c r="AE30" i="44"/>
  <c r="CH30" i="43"/>
  <c r="C30" i="43"/>
  <c r="GX30" i="41"/>
  <c r="GX30" i="45"/>
  <c r="BX30" i="45"/>
  <c r="AM30" i="44"/>
  <c r="BE30" i="43"/>
  <c r="CP30" i="44"/>
  <c r="BX30" i="44"/>
  <c r="K30" i="45"/>
  <c r="BX30" i="41"/>
  <c r="K30" i="41"/>
  <c r="BE30" i="41"/>
  <c r="BE30" i="44"/>
  <c r="CP30" i="45"/>
  <c r="AM30" i="43"/>
  <c r="BE30" i="45"/>
  <c r="AM30" i="41"/>
  <c r="BX30" i="43"/>
  <c r="CP30" i="41"/>
  <c r="AM30" i="45"/>
  <c r="GX30" i="44"/>
  <c r="K30" i="43"/>
  <c r="K30" i="44"/>
  <c r="CP30" i="43"/>
  <c r="I53" i="41"/>
  <c r="BC53" i="45"/>
  <c r="BV53" i="45"/>
  <c r="GV53" i="45"/>
  <c r="BV53" i="44"/>
  <c r="BC53" i="44"/>
  <c r="CN53" i="41"/>
  <c r="AK53" i="43"/>
  <c r="AK53" i="41"/>
  <c r="AK53" i="45"/>
  <c r="BV53" i="43"/>
  <c r="BV53" i="41"/>
  <c r="I53" i="44"/>
  <c r="BC53" i="41"/>
  <c r="AK53" i="44"/>
  <c r="CN53" i="45"/>
  <c r="BC53" i="43"/>
  <c r="GV53" i="44"/>
  <c r="I53" i="45"/>
  <c r="CN53" i="44"/>
  <c r="I53" i="43"/>
  <c r="GV53" i="41"/>
  <c r="CN53" i="43"/>
  <c r="HF19" i="45"/>
  <c r="CO19" i="41"/>
  <c r="BD19" i="44"/>
  <c r="J19" i="41"/>
  <c r="BD19" i="45"/>
  <c r="BW19" i="41"/>
  <c r="J19" i="44"/>
  <c r="GW19" i="44"/>
  <c r="J19" i="43"/>
  <c r="GW19" i="41"/>
  <c r="BW19" i="45"/>
  <c r="GW19" i="43"/>
  <c r="CO19" i="45"/>
  <c r="CO19" i="43"/>
  <c r="CO19" i="44"/>
  <c r="BD19" i="43"/>
  <c r="AL19" i="41"/>
  <c r="AL19" i="44"/>
  <c r="AL19" i="45"/>
  <c r="BW19" i="43"/>
  <c r="AL19" i="43"/>
  <c r="BW19" i="44"/>
  <c r="J19" i="45"/>
  <c r="BD19" i="41"/>
  <c r="BO19" i="43"/>
  <c r="AV19" i="44"/>
  <c r="B19" i="41"/>
  <c r="AD19" i="44"/>
  <c r="AV19" i="41"/>
  <c r="BO19" i="41"/>
  <c r="CG19" i="45"/>
  <c r="AD19" i="41"/>
  <c r="AV19" i="43"/>
  <c r="AD19" i="45"/>
  <c r="B19" i="44"/>
  <c r="AD19" i="43"/>
  <c r="BO19" i="45"/>
  <c r="BO19" i="44"/>
  <c r="CG19" i="44"/>
  <c r="AV19" i="45"/>
  <c r="CG19" i="43"/>
  <c r="GO19" i="43"/>
  <c r="GO19" i="41"/>
  <c r="GO19" i="44"/>
  <c r="B19" i="43"/>
  <c r="B19" i="45"/>
  <c r="CG19" i="41"/>
  <c r="GC33" i="43"/>
  <c r="CA20" i="43"/>
  <c r="BH20" i="43"/>
  <c r="CI122" i="45"/>
  <c r="D122" i="45"/>
  <c r="FY122" i="45" s="1"/>
  <c r="BQ122" i="45"/>
  <c r="CZ122" i="45"/>
  <c r="DQ122" i="45"/>
  <c r="AX122" i="45"/>
  <c r="AF122" i="45"/>
  <c r="CP122" i="45"/>
  <c r="AM122" i="45"/>
  <c r="BX122" i="45"/>
  <c r="BE122" i="45"/>
  <c r="DX122" i="45"/>
  <c r="K122" i="45"/>
  <c r="GF122" i="45" s="1"/>
  <c r="DG122" i="45"/>
  <c r="GR43" i="45"/>
  <c r="BH49" i="45"/>
  <c r="AP24" i="44"/>
  <c r="BH24" i="44"/>
  <c r="CS24" i="44"/>
  <c r="M54" i="45"/>
  <c r="BZ54" i="45"/>
  <c r="AO54" i="45"/>
  <c r="CR54" i="45"/>
  <c r="BZ54" i="41"/>
  <c r="AO54" i="41"/>
  <c r="BZ54" i="43"/>
  <c r="GZ54" i="41"/>
  <c r="M54" i="44"/>
  <c r="BG54" i="41"/>
  <c r="AO54" i="44"/>
  <c r="CR54" i="41"/>
  <c r="M54" i="43"/>
  <c r="M54" i="41"/>
  <c r="BG54" i="44"/>
  <c r="BZ54" i="44"/>
  <c r="CR54" i="44"/>
  <c r="BG54" i="43"/>
  <c r="BG54" i="45"/>
  <c r="GZ54" i="44"/>
  <c r="GZ54" i="45"/>
  <c r="AO54" i="43"/>
  <c r="CR54" i="43"/>
  <c r="AD54" i="41"/>
  <c r="BO54" i="41"/>
  <c r="AD54" i="43"/>
  <c r="CG54" i="45"/>
  <c r="CS54" i="45" s="1"/>
  <c r="AD54" i="45"/>
  <c r="AP54" i="45" s="1"/>
  <c r="BO54" i="43"/>
  <c r="CG54" i="41"/>
  <c r="GO54" i="41"/>
  <c r="BO54" i="45"/>
  <c r="B54" i="45"/>
  <c r="AV54" i="44"/>
  <c r="BH54" i="44" s="1"/>
  <c r="B54" i="41"/>
  <c r="AV54" i="43"/>
  <c r="BH54" i="43" s="1"/>
  <c r="CG54" i="44"/>
  <c r="CS54" i="44" s="1"/>
  <c r="B54" i="43"/>
  <c r="AD54" i="44"/>
  <c r="AP54" i="44" s="1"/>
  <c r="B54" i="44"/>
  <c r="BO54" i="44"/>
  <c r="CA54" i="44" s="1"/>
  <c r="AV54" i="41"/>
  <c r="GO54" i="45"/>
  <c r="AV54" i="45"/>
  <c r="BH54" i="45" s="1"/>
  <c r="GO54" i="44"/>
  <c r="CG54" i="43"/>
  <c r="CS54" i="43" s="1"/>
  <c r="AT6" i="18"/>
  <c r="AT29" i="18" s="1"/>
  <c r="FZ71" i="43" s="1"/>
  <c r="GB71" i="43" s="1"/>
  <c r="AP29" i="18"/>
  <c r="FY65" i="43" s="1"/>
  <c r="FY132" i="43" s="1"/>
  <c r="GG149" i="43" s="1"/>
  <c r="C105" i="35"/>
  <c r="N105" i="35"/>
  <c r="C107" i="35"/>
  <c r="N107" i="35"/>
  <c r="EC78" i="41"/>
  <c r="EB118" i="41"/>
  <c r="CI36" i="44"/>
  <c r="BQ36" i="44"/>
  <c r="D36" i="41"/>
  <c r="AF36" i="43"/>
  <c r="AF36" i="41"/>
  <c r="AX36" i="43"/>
  <c r="D36" i="43"/>
  <c r="AF36" i="44"/>
  <c r="AF36" i="45"/>
  <c r="D36" i="45"/>
  <c r="AX36" i="45"/>
  <c r="AX36" i="41"/>
  <c r="D36" i="44"/>
  <c r="CI36" i="43"/>
  <c r="BQ36" i="41"/>
  <c r="BQ36" i="45"/>
  <c r="CI36" i="45"/>
  <c r="GQ36" i="44"/>
  <c r="AX36" i="44"/>
  <c r="CI36" i="41"/>
  <c r="BQ36" i="43"/>
  <c r="GQ36" i="41"/>
  <c r="CL36" i="44"/>
  <c r="AI36" i="45"/>
  <c r="G36" i="43"/>
  <c r="G36" i="44"/>
  <c r="AI36" i="43"/>
  <c r="AI36" i="44"/>
  <c r="BT36" i="45"/>
  <c r="BT36" i="41"/>
  <c r="BA36" i="45"/>
  <c r="CL36" i="43"/>
  <c r="BA36" i="44"/>
  <c r="BA36" i="41"/>
  <c r="BT36" i="44"/>
  <c r="BA36" i="43"/>
  <c r="CL36" i="45"/>
  <c r="AI36" i="41"/>
  <c r="CL36" i="41"/>
  <c r="G36" i="41"/>
  <c r="G36" i="45"/>
  <c r="GT36" i="41"/>
  <c r="GT36" i="44"/>
  <c r="BT36" i="43"/>
  <c r="DD32" i="43"/>
  <c r="HI32" i="43" s="1"/>
  <c r="DD32" i="44"/>
  <c r="HI32" i="44" s="1"/>
  <c r="DD32" i="45"/>
  <c r="HI32" i="45" s="1"/>
  <c r="DD32" i="41"/>
  <c r="HI32" i="41" s="1"/>
  <c r="BH39" i="44"/>
  <c r="CS39" i="41"/>
  <c r="P61" i="43"/>
  <c r="Y52" i="44"/>
  <c r="Y52" i="45"/>
  <c r="Y52" i="41"/>
  <c r="Y52" i="43"/>
  <c r="GO19" i="45"/>
  <c r="W18" i="35"/>
  <c r="F164" i="44"/>
  <c r="W29" i="35"/>
  <c r="M21" i="35"/>
  <c r="F167" i="43"/>
  <c r="F161" i="43"/>
  <c r="I168" i="45"/>
  <c r="AM22" i="35" s="1"/>
  <c r="AJ22" i="35"/>
  <c r="AF22" i="35" s="1"/>
  <c r="J168" i="45"/>
  <c r="AN22" i="35" s="1"/>
  <c r="P22" i="35"/>
  <c r="L22" i="35" s="1"/>
  <c r="J168" i="43"/>
  <c r="T22" i="35" s="1"/>
  <c r="I168" i="43"/>
  <c r="S22" i="35" s="1"/>
  <c r="CP38" i="44"/>
  <c r="K38" i="41"/>
  <c r="K38" i="45"/>
  <c r="BE38" i="41"/>
  <c r="BE38" i="43"/>
  <c r="GX38" i="41"/>
  <c r="BX38" i="44"/>
  <c r="BX38" i="41"/>
  <c r="BX38" i="45"/>
  <c r="CP38" i="41"/>
  <c r="GX38" i="43"/>
  <c r="GX38" i="44"/>
  <c r="AM38" i="44"/>
  <c r="AM38" i="45"/>
  <c r="BX38" i="43"/>
  <c r="CP38" i="43"/>
  <c r="K38" i="43"/>
  <c r="K38" i="44"/>
  <c r="AM38" i="41"/>
  <c r="CP38" i="45"/>
  <c r="BE38" i="44"/>
  <c r="BE38" i="45"/>
  <c r="AM38" i="43"/>
  <c r="HG19" i="43"/>
  <c r="DG124" i="41"/>
  <c r="DW124" i="41"/>
  <c r="CR124" i="41"/>
  <c r="G124" i="41"/>
  <c r="AN124" i="41"/>
  <c r="GO124" i="41"/>
  <c r="BR124" i="41"/>
  <c r="AH124" i="41"/>
  <c r="AE124" i="41"/>
  <c r="FG124" i="41"/>
  <c r="AX124" i="41"/>
  <c r="DT124" i="41"/>
  <c r="F124" i="41"/>
  <c r="BE124" i="41"/>
  <c r="FX124" i="41"/>
  <c r="BD124" i="41"/>
  <c r="CJ124" i="41"/>
  <c r="AY124" i="41"/>
  <c r="DX124" i="41"/>
  <c r="DB124" i="41"/>
  <c r="E124" i="41"/>
  <c r="DI124" i="41"/>
  <c r="DU124" i="41"/>
  <c r="GS124" i="41"/>
  <c r="GV124" i="41"/>
  <c r="GE124" i="41"/>
  <c r="BW124" i="41"/>
  <c r="DZ124" i="41"/>
  <c r="FI124" i="41"/>
  <c r="J124" i="41"/>
  <c r="GU124" i="41"/>
  <c r="BG124" i="41"/>
  <c r="GB124" i="41"/>
  <c r="DH124" i="41"/>
  <c r="AW124" i="41"/>
  <c r="CL124" i="41"/>
  <c r="CO124" i="41"/>
  <c r="FN124" i="41"/>
  <c r="FL124" i="41"/>
  <c r="AK124" i="41"/>
  <c r="CG124" i="41"/>
  <c r="BU124" i="41"/>
  <c r="AD124" i="41"/>
  <c r="BZ124" i="41"/>
  <c r="DY124" i="41"/>
  <c r="BC124" i="41"/>
  <c r="AO124" i="41"/>
  <c r="CX124" i="41"/>
  <c r="CY124" i="41"/>
  <c r="C124" i="41"/>
  <c r="GA124" i="41"/>
  <c r="CI124" i="41"/>
  <c r="GC124" i="41"/>
  <c r="DE124" i="41"/>
  <c r="FJ124" i="41"/>
  <c r="AJ124" i="41"/>
  <c r="DD124" i="41"/>
  <c r="BV124" i="41"/>
  <c r="DF124" i="41"/>
  <c r="AF124" i="41"/>
  <c r="DQ124" i="41"/>
  <c r="GZ124" i="41"/>
  <c r="AV124" i="41"/>
  <c r="K124" i="41"/>
  <c r="BX124" i="41"/>
  <c r="DC124" i="41"/>
  <c r="CN124" i="41"/>
  <c r="BS124" i="41"/>
  <c r="AG124" i="41"/>
  <c r="DS124" i="41"/>
  <c r="GW124" i="41"/>
  <c r="DV124" i="41"/>
  <c r="GG124" i="41"/>
  <c r="D124" i="41"/>
  <c r="GH124" i="41"/>
  <c r="CZ124" i="41"/>
  <c r="DA124" i="41"/>
  <c r="CH124" i="41"/>
  <c r="FD124" i="41"/>
  <c r="FZ124" i="41"/>
  <c r="FW124" i="41"/>
  <c r="AM124" i="41"/>
  <c r="FE124" i="41"/>
  <c r="L124" i="41"/>
  <c r="BO124" i="41"/>
  <c r="CK124" i="41"/>
  <c r="GF124" i="41"/>
  <c r="M124" i="41"/>
  <c r="GR124" i="41"/>
  <c r="GQ124" i="41"/>
  <c r="AL124" i="41"/>
  <c r="CP124" i="41"/>
  <c r="DP124" i="41"/>
  <c r="I124" i="41"/>
  <c r="BA124" i="41"/>
  <c r="BP124" i="41"/>
  <c r="H124" i="41"/>
  <c r="AZ124" i="41"/>
  <c r="GD124" i="41"/>
  <c r="FC124" i="41"/>
  <c r="GY124" i="41"/>
  <c r="AI124" i="41"/>
  <c r="BF124" i="41"/>
  <c r="DR124" i="41"/>
  <c r="GT124" i="41"/>
  <c r="CM124" i="41"/>
  <c r="DO124" i="41"/>
  <c r="BB124" i="41"/>
  <c r="FK124" i="41"/>
  <c r="FH124" i="41"/>
  <c r="FM124" i="41"/>
  <c r="GX124" i="41"/>
  <c r="FY124" i="41"/>
  <c r="BY124" i="41"/>
  <c r="BQ124" i="41"/>
  <c r="BT124" i="41"/>
  <c r="FF124" i="41"/>
  <c r="CQ124" i="41"/>
  <c r="GP124" i="41"/>
  <c r="DU102" i="45"/>
  <c r="GT102" i="45" s="1"/>
  <c r="DU102" i="43"/>
  <c r="GT102" i="43" s="1"/>
  <c r="DU102" i="44"/>
  <c r="GT102" i="44" s="1"/>
  <c r="DU102" i="41"/>
  <c r="GT102" i="41" s="1"/>
  <c r="GO76" i="43"/>
  <c r="DP118" i="43"/>
  <c r="GT32" i="45"/>
  <c r="O33" i="44"/>
  <c r="O33" i="43"/>
  <c r="O33" i="41"/>
  <c r="O33" i="45"/>
  <c r="GW81" i="41"/>
  <c r="DT107" i="41"/>
  <c r="GS107" i="41" s="1"/>
  <c r="DT107" i="44"/>
  <c r="GS107" i="44" s="1"/>
  <c r="DT107" i="45"/>
  <c r="GS107" i="45" s="1"/>
  <c r="DT107" i="43"/>
  <c r="GS107" i="43" s="1"/>
  <c r="CJ30" i="44"/>
  <c r="CJ30" i="41"/>
  <c r="CJ30" i="45"/>
  <c r="AY30" i="43"/>
  <c r="E30" i="45"/>
  <c r="AY30" i="44"/>
  <c r="BR30" i="44"/>
  <c r="BR30" i="45"/>
  <c r="E30" i="41"/>
  <c r="E30" i="44"/>
  <c r="AG30" i="41"/>
  <c r="AG30" i="43"/>
  <c r="BR30" i="43"/>
  <c r="AY30" i="41"/>
  <c r="GR30" i="45"/>
  <c r="AY30" i="45"/>
  <c r="GR30" i="44"/>
  <c r="AG30" i="44"/>
  <c r="BR30" i="41"/>
  <c r="AG30" i="45"/>
  <c r="GR30" i="41"/>
  <c r="CJ30" i="43"/>
  <c r="E30" i="43"/>
  <c r="F53" i="41"/>
  <c r="AZ53" i="45"/>
  <c r="CK53" i="44"/>
  <c r="F53" i="44"/>
  <c r="AZ53" i="43"/>
  <c r="AZ53" i="44"/>
  <c r="BS53" i="43"/>
  <c r="AH53" i="43"/>
  <c r="GS53" i="45"/>
  <c r="CK53" i="41"/>
  <c r="BS53" i="44"/>
  <c r="AH53" i="44"/>
  <c r="CK53" i="45"/>
  <c r="BS53" i="45"/>
  <c r="AZ53" i="41"/>
  <c r="BS53" i="41"/>
  <c r="F53" i="45"/>
  <c r="GS53" i="44"/>
  <c r="AH53" i="41"/>
  <c r="AH53" i="45"/>
  <c r="F53" i="43"/>
  <c r="CK53" i="43"/>
  <c r="GS53" i="41"/>
  <c r="BY19" i="45"/>
  <c r="AN19" i="41"/>
  <c r="AN19" i="45"/>
  <c r="L19" i="44"/>
  <c r="BF19" i="43"/>
  <c r="L19" i="45"/>
  <c r="BF19" i="41"/>
  <c r="BY19" i="44"/>
  <c r="BY19" i="43"/>
  <c r="BY19" i="41"/>
  <c r="GY19" i="44"/>
  <c r="L19" i="41"/>
  <c r="CQ19" i="43"/>
  <c r="CQ19" i="44"/>
  <c r="AN19" i="43"/>
  <c r="BF19" i="45"/>
  <c r="GY19" i="43"/>
  <c r="BF19" i="44"/>
  <c r="AN19" i="44"/>
  <c r="CQ19" i="41"/>
  <c r="GY19" i="41"/>
  <c r="CQ19" i="45"/>
  <c r="L19" i="43"/>
  <c r="FH126" i="44"/>
  <c r="AY126" i="44"/>
  <c r="CZ126" i="44"/>
  <c r="DC126" i="44"/>
  <c r="E126" i="44"/>
  <c r="BQ126" i="44"/>
  <c r="BY126" i="44"/>
  <c r="AK126" i="44"/>
  <c r="AL126" i="44"/>
  <c r="BS126" i="44"/>
  <c r="BV126" i="44"/>
  <c r="AD126" i="44"/>
  <c r="CP126" i="44"/>
  <c r="FK126" i="44"/>
  <c r="BB126" i="44"/>
  <c r="BE126" i="44"/>
  <c r="DF126" i="44"/>
  <c r="H126" i="44"/>
  <c r="DV126" i="44"/>
  <c r="CK126" i="44"/>
  <c r="CL126" i="44"/>
  <c r="K126" i="44"/>
  <c r="DW126" i="44"/>
  <c r="DS126" i="44"/>
  <c r="AW126" i="44"/>
  <c r="CX126" i="44"/>
  <c r="FN126" i="44"/>
  <c r="C126" i="44"/>
  <c r="BO126" i="44"/>
  <c r="DI126" i="44"/>
  <c r="AG126" i="44"/>
  <c r="FD126" i="44"/>
  <c r="FE126" i="44"/>
  <c r="DR126" i="44"/>
  <c r="AJ126" i="44"/>
  <c r="BZ126" i="44"/>
  <c r="CO126" i="44"/>
  <c r="FJ126" i="44"/>
  <c r="BA126" i="44"/>
  <c r="BD126" i="44"/>
  <c r="DE126" i="44"/>
  <c r="G126" i="44"/>
  <c r="DT126" i="44"/>
  <c r="CI126" i="44"/>
  <c r="AO126" i="44"/>
  <c r="DY126" i="44"/>
  <c r="J126" i="44"/>
  <c r="CH126" i="44"/>
  <c r="FL126" i="44"/>
  <c r="BF126" i="44"/>
  <c r="I126" i="44"/>
  <c r="CM126" i="44"/>
  <c r="BT126" i="44"/>
  <c r="AF126" i="44"/>
  <c r="FG126" i="44"/>
  <c r="CY126" i="44"/>
  <c r="D126" i="44"/>
  <c r="BW126" i="44"/>
  <c r="FF126" i="44"/>
  <c r="L126" i="44"/>
  <c r="AV126" i="44"/>
  <c r="FM126" i="44"/>
  <c r="BG126" i="44"/>
  <c r="AE126" i="44"/>
  <c r="FC126" i="44"/>
  <c r="DQ126" i="44"/>
  <c r="CR126" i="44"/>
  <c r="B126" i="44"/>
  <c r="DH126" i="44"/>
  <c r="DZ126" i="44"/>
  <c r="CJ126" i="44"/>
  <c r="DP126" i="44"/>
  <c r="DB126" i="44"/>
  <c r="AI126" i="44"/>
  <c r="BX126" i="44"/>
  <c r="DG126" i="44"/>
  <c r="DD126" i="44"/>
  <c r="AM126" i="44"/>
  <c r="M126" i="44"/>
  <c r="CQ126" i="44"/>
  <c r="FI126" i="44"/>
  <c r="F126" i="44"/>
  <c r="AN126" i="44"/>
  <c r="CN126" i="44"/>
  <c r="DA126" i="44"/>
  <c r="CG126" i="44"/>
  <c r="BU126" i="44"/>
  <c r="BC126" i="44"/>
  <c r="DX126" i="44"/>
  <c r="DU126" i="44"/>
  <c r="BR126" i="44"/>
  <c r="AH126" i="44"/>
  <c r="DO126" i="44"/>
  <c r="AX126" i="44"/>
  <c r="AZ126" i="44"/>
  <c r="BP126" i="44"/>
  <c r="FW65" i="43"/>
  <c r="FW132" i="43" s="1"/>
  <c r="GE149" i="43" s="1"/>
  <c r="GN65" i="43"/>
  <c r="GO132" i="43" s="1"/>
  <c r="GW149" i="43" s="1"/>
  <c r="EC78" i="43"/>
  <c r="EB118" i="43"/>
  <c r="CZ32" i="41"/>
  <c r="HE32" i="41" s="1"/>
  <c r="CZ32" i="45"/>
  <c r="HE32" i="45" s="1"/>
  <c r="CZ32" i="43"/>
  <c r="HE32" i="43" s="1"/>
  <c r="CZ32" i="44"/>
  <c r="HE32" i="44" s="1"/>
  <c r="F161" i="44"/>
  <c r="W15" i="35"/>
  <c r="E33" i="35" s="1"/>
  <c r="F22" i="35"/>
  <c r="I168" i="41"/>
  <c r="I22" i="35" s="1"/>
  <c r="J168" i="41"/>
  <c r="J22" i="35" s="1"/>
  <c r="AJ19" i="35"/>
  <c r="AF19" i="35" s="1"/>
  <c r="J165" i="45"/>
  <c r="AN19" i="35" s="1"/>
  <c r="I165" i="45"/>
  <c r="AM19" i="35" s="1"/>
  <c r="B173" i="41"/>
  <c r="B170" i="41"/>
  <c r="DX122" i="43"/>
  <c r="DG122" i="43"/>
  <c r="CP122" i="43"/>
  <c r="K122" i="43"/>
  <c r="GF122" i="43" s="1"/>
  <c r="BE122" i="43"/>
  <c r="AM122" i="43"/>
  <c r="BX122" i="43"/>
  <c r="BY51" i="45"/>
  <c r="BF51" i="41"/>
  <c r="CQ51" i="41"/>
  <c r="GY51" i="43"/>
  <c r="CQ51" i="44"/>
  <c r="BF51" i="43"/>
  <c r="L51" i="43"/>
  <c r="L51" i="45"/>
  <c r="BF51" i="44"/>
  <c r="AN51" i="43"/>
  <c r="L51" i="44"/>
  <c r="AN51" i="41"/>
  <c r="BY51" i="41"/>
  <c r="BY51" i="43"/>
  <c r="CQ51" i="43"/>
  <c r="L51" i="41"/>
  <c r="GY51" i="41"/>
  <c r="AN51" i="44"/>
  <c r="BF51" i="45"/>
  <c r="GY51" i="44"/>
  <c r="GY51" i="45"/>
  <c r="AN51" i="45"/>
  <c r="CQ51" i="45"/>
  <c r="BY51" i="44"/>
  <c r="GU38" i="45"/>
  <c r="T27" i="44"/>
  <c r="T61" i="44" s="1"/>
  <c r="T27" i="45"/>
  <c r="T61" i="45" s="1"/>
  <c r="T27" i="43"/>
  <c r="T61" i="43" s="1"/>
  <c r="T27" i="41"/>
  <c r="T61" i="41" s="1"/>
  <c r="BP43" i="44"/>
  <c r="C43" i="43"/>
  <c r="C43" i="41"/>
  <c r="C43" i="44"/>
  <c r="AE43" i="45"/>
  <c r="AW43" i="44"/>
  <c r="AW43" i="41"/>
  <c r="AE43" i="41"/>
  <c r="AW43" i="45"/>
  <c r="CH43" i="41"/>
  <c r="C43" i="45"/>
  <c r="AE43" i="43"/>
  <c r="GP43" i="43"/>
  <c r="CH43" i="45"/>
  <c r="GP43" i="44"/>
  <c r="AE43" i="44"/>
  <c r="BP43" i="41"/>
  <c r="BP43" i="43"/>
  <c r="AW43" i="43"/>
  <c r="CH43" i="44"/>
  <c r="CH43" i="43"/>
  <c r="BP43" i="45"/>
  <c r="GP43" i="41"/>
  <c r="HK23" i="45"/>
  <c r="HE19" i="44"/>
  <c r="BB145" i="43"/>
  <c r="AV151" i="43" s="1"/>
  <c r="C162" i="43" s="1"/>
  <c r="DS111" i="41"/>
  <c r="GR111" i="41" s="1"/>
  <c r="DS111" i="44"/>
  <c r="GR111" i="44" s="1"/>
  <c r="DS111" i="43"/>
  <c r="GR111" i="43" s="1"/>
  <c r="DS111" i="45"/>
  <c r="GR111" i="45" s="1"/>
  <c r="T33" i="41"/>
  <c r="T33" i="45"/>
  <c r="T33" i="43"/>
  <c r="T33" i="44"/>
  <c r="HI19" i="43"/>
  <c r="EJ17" i="12"/>
  <c r="EO17" i="12"/>
  <c r="EH17" i="12"/>
  <c r="EG17" i="12"/>
  <c r="EP17" i="12"/>
  <c r="GW17" i="12"/>
  <c r="GX17" i="12" s="1"/>
  <c r="EK17" i="12"/>
  <c r="EN17" i="12"/>
  <c r="EL17" i="12"/>
  <c r="EM17" i="12"/>
  <c r="EI17" i="12"/>
  <c r="EF17" i="12"/>
  <c r="EE17" i="12"/>
  <c r="DU107" i="44"/>
  <c r="GT107" i="44" s="1"/>
  <c r="DU107" i="41"/>
  <c r="GT107" i="41" s="1"/>
  <c r="DU107" i="45"/>
  <c r="GT107" i="45" s="1"/>
  <c r="DU107" i="43"/>
  <c r="GT107" i="43" s="1"/>
  <c r="GU53" i="45"/>
  <c r="H53" i="45"/>
  <c r="AJ53" i="45"/>
  <c r="H53" i="44"/>
  <c r="BB53" i="44"/>
  <c r="AJ53" i="41"/>
  <c r="H53" i="41"/>
  <c r="BB53" i="45"/>
  <c r="BB53" i="43"/>
  <c r="BU53" i="45"/>
  <c r="BB53" i="41"/>
  <c r="BU53" i="41"/>
  <c r="CM53" i="44"/>
  <c r="CM53" i="41"/>
  <c r="BU53" i="43"/>
  <c r="CM53" i="45"/>
  <c r="BU53" i="44"/>
  <c r="AJ53" i="44"/>
  <c r="GU53" i="44"/>
  <c r="AJ53" i="43"/>
  <c r="H53" i="43"/>
  <c r="CM53" i="43"/>
  <c r="GU53" i="41"/>
  <c r="AP20" i="44"/>
  <c r="E46" i="35"/>
  <c r="GN65" i="45"/>
  <c r="GO132" i="45" s="1"/>
  <c r="GW149" i="45" s="1"/>
  <c r="FW65" i="45"/>
  <c r="FW132" i="45" s="1"/>
  <c r="GE149" i="45" s="1"/>
  <c r="EC78" i="44"/>
  <c r="EB118" i="44"/>
  <c r="CG36" i="44"/>
  <c r="CS36" i="44" s="1"/>
  <c r="AD36" i="43"/>
  <c r="AV36" i="43"/>
  <c r="BH36" i="43" s="1"/>
  <c r="CG36" i="41"/>
  <c r="CG36" i="45"/>
  <c r="AD36" i="41"/>
  <c r="BO36" i="45"/>
  <c r="B36" i="44"/>
  <c r="AV36" i="41"/>
  <c r="AD36" i="45"/>
  <c r="AP36" i="45" s="1"/>
  <c r="BO36" i="41"/>
  <c r="GO36" i="44"/>
  <c r="AV36" i="45"/>
  <c r="BO36" i="44"/>
  <c r="CA36" i="44" s="1"/>
  <c r="CG36" i="43"/>
  <c r="AV36" i="44"/>
  <c r="BH36" i="44" s="1"/>
  <c r="B36" i="45"/>
  <c r="B36" i="43"/>
  <c r="AD36" i="44"/>
  <c r="AP36" i="44" s="1"/>
  <c r="B36" i="41"/>
  <c r="GO36" i="41"/>
  <c r="BO36" i="43"/>
  <c r="CA36" i="43" s="1"/>
  <c r="H182" i="12"/>
  <c r="G182" i="12"/>
  <c r="F182" i="12"/>
  <c r="E182" i="12"/>
  <c r="Z52" i="44"/>
  <c r="Z52" i="43"/>
  <c r="Z61" i="43" s="1"/>
  <c r="Z52" i="41"/>
  <c r="Z52" i="45"/>
  <c r="EG36" i="12"/>
  <c r="EJ36" i="12"/>
  <c r="EO36" i="12"/>
  <c r="EF36" i="12"/>
  <c r="GW36" i="12"/>
  <c r="GX36" i="12" s="1"/>
  <c r="EM36" i="12"/>
  <c r="EE36" i="12"/>
  <c r="EN36" i="12"/>
  <c r="EH36" i="12"/>
  <c r="EI36" i="12"/>
  <c r="EP36" i="12"/>
  <c r="EK36" i="12"/>
  <c r="EL36" i="12"/>
  <c r="DW122" i="43"/>
  <c r="J122" i="43"/>
  <c r="GE122" i="43" s="1"/>
  <c r="DF122" i="43"/>
  <c r="CO122" i="43"/>
  <c r="BW122" i="43"/>
  <c r="AL122" i="43"/>
  <c r="BD122" i="43"/>
  <c r="HG19" i="44"/>
  <c r="W30" i="45"/>
  <c r="W30" i="44"/>
  <c r="W30" i="41"/>
  <c r="W30" i="43"/>
  <c r="V27" i="44"/>
  <c r="V27" i="41"/>
  <c r="V61" i="41" s="1"/>
  <c r="V27" i="45"/>
  <c r="V27" i="43"/>
  <c r="N25" i="35"/>
  <c r="CG43" i="41"/>
  <c r="B43" i="44"/>
  <c r="CG43" i="45"/>
  <c r="CS43" i="45" s="1"/>
  <c r="AD43" i="45"/>
  <c r="AP43" i="45" s="1"/>
  <c r="BO43" i="41"/>
  <c r="BO43" i="43"/>
  <c r="CA43" i="43" s="1"/>
  <c r="B43" i="43"/>
  <c r="CG43" i="44"/>
  <c r="BO43" i="44"/>
  <c r="AV43" i="41"/>
  <c r="AD43" i="44"/>
  <c r="AP43" i="44" s="1"/>
  <c r="CG43" i="43"/>
  <c r="CS43" i="43" s="1"/>
  <c r="GO43" i="43"/>
  <c r="B43" i="41"/>
  <c r="AV43" i="45"/>
  <c r="AD43" i="41"/>
  <c r="AV43" i="43"/>
  <c r="BH43" i="43" s="1"/>
  <c r="B43" i="45"/>
  <c r="AV43" i="44"/>
  <c r="BH43" i="44" s="1"/>
  <c r="GO43" i="44"/>
  <c r="AD43" i="43"/>
  <c r="AP43" i="43" s="1"/>
  <c r="GO43" i="41"/>
  <c r="BO43" i="45"/>
  <c r="GE11" i="45"/>
  <c r="GE11" i="41"/>
  <c r="GE11" i="44"/>
  <c r="GE33" i="44" s="1"/>
  <c r="GE11" i="43"/>
  <c r="GE33" i="43" s="1"/>
  <c r="AH48" i="45"/>
  <c r="AH48" i="41"/>
  <c r="F48" i="41"/>
  <c r="AZ48" i="43"/>
  <c r="AZ48" i="45"/>
  <c r="BS48" i="41"/>
  <c r="BS48" i="44"/>
  <c r="CK48" i="44"/>
  <c r="F48" i="43"/>
  <c r="BS48" i="45"/>
  <c r="AH48" i="44"/>
  <c r="BS48" i="43"/>
  <c r="AZ48" i="41"/>
  <c r="AZ48" i="44"/>
  <c r="AH48" i="43"/>
  <c r="CK48" i="41"/>
  <c r="F48" i="44"/>
  <c r="CK48" i="45"/>
  <c r="F48" i="45"/>
  <c r="GS48" i="45"/>
  <c r="GS48" i="44"/>
  <c r="GS48" i="41"/>
  <c r="CK48" i="43"/>
  <c r="V33" i="41"/>
  <c r="V33" i="44"/>
  <c r="V61" i="44" s="1"/>
  <c r="V33" i="45"/>
  <c r="V33" i="43"/>
  <c r="T11" i="24"/>
  <c r="HI19" i="41"/>
  <c r="DV107" i="44"/>
  <c r="GU107" i="44" s="1"/>
  <c r="DV107" i="43"/>
  <c r="GU107" i="43" s="1"/>
  <c r="DV107" i="41"/>
  <c r="GU107" i="41" s="1"/>
  <c r="DV107" i="45"/>
  <c r="GU107" i="45" s="1"/>
  <c r="GU30" i="45"/>
  <c r="AJ30" i="43"/>
  <c r="BB30" i="45"/>
  <c r="BB30" i="43"/>
  <c r="GU30" i="41"/>
  <c r="BB30" i="44"/>
  <c r="GU30" i="44"/>
  <c r="BU30" i="44"/>
  <c r="H30" i="44"/>
  <c r="AJ30" i="41"/>
  <c r="CM30" i="45"/>
  <c r="CM30" i="44"/>
  <c r="BU30" i="45"/>
  <c r="H30" i="45"/>
  <c r="AJ30" i="45"/>
  <c r="AJ30" i="44"/>
  <c r="BB30" i="41"/>
  <c r="H30" i="41"/>
  <c r="BU30" i="41"/>
  <c r="CM30" i="41"/>
  <c r="BU30" i="43"/>
  <c r="CM30" i="43"/>
  <c r="H30" i="43"/>
  <c r="HF19" i="43"/>
  <c r="CA20" i="44"/>
  <c r="F122" i="45"/>
  <c r="GA122" i="45" s="1"/>
  <c r="DB122" i="45"/>
  <c r="AH122" i="45"/>
  <c r="BS122" i="45"/>
  <c r="AZ122" i="45"/>
  <c r="DS122" i="45"/>
  <c r="CK122" i="45"/>
  <c r="GS43" i="45"/>
  <c r="CP54" i="45"/>
  <c r="AM54" i="45"/>
  <c r="BX54" i="43"/>
  <c r="K54" i="44"/>
  <c r="BE54" i="44"/>
  <c r="BE54" i="45"/>
  <c r="CP54" i="41"/>
  <c r="K54" i="43"/>
  <c r="K54" i="41"/>
  <c r="BX54" i="44"/>
  <c r="AM54" i="41"/>
  <c r="CP54" i="44"/>
  <c r="BX54" i="45"/>
  <c r="BE54" i="43"/>
  <c r="BX54" i="41"/>
  <c r="AM54" i="43"/>
  <c r="BE54" i="41"/>
  <c r="AM54" i="44"/>
  <c r="GX54" i="41"/>
  <c r="K54" i="45"/>
  <c r="GX54" i="45"/>
  <c r="GX54" i="44"/>
  <c r="CP54" i="43"/>
  <c r="AS6" i="18"/>
  <c r="AS29" i="18" s="1"/>
  <c r="AO29" i="18"/>
  <c r="FY65" i="41" s="1"/>
  <c r="FY132" i="41" s="1"/>
  <c r="GG149" i="41" s="1"/>
  <c r="EB118" i="45"/>
  <c r="AJ36" i="44"/>
  <c r="H36" i="44"/>
  <c r="CM36" i="44"/>
  <c r="AJ36" i="45"/>
  <c r="BB36" i="45"/>
  <c r="H36" i="45"/>
  <c r="CM36" i="43"/>
  <c r="AJ36" i="41"/>
  <c r="GU36" i="44"/>
  <c r="BB36" i="43"/>
  <c r="BU36" i="45"/>
  <c r="BB36" i="44"/>
  <c r="CM36" i="45"/>
  <c r="BU36" i="44"/>
  <c r="H36" i="43"/>
  <c r="BB36" i="41"/>
  <c r="CM36" i="41"/>
  <c r="BU36" i="41"/>
  <c r="H36" i="41"/>
  <c r="AJ36" i="43"/>
  <c r="GU36" i="41"/>
  <c r="BU36" i="43"/>
  <c r="I41" i="35"/>
  <c r="N41" i="35" s="1"/>
  <c r="J174" i="43"/>
  <c r="T28" i="35" s="1"/>
  <c r="I174" i="43"/>
  <c r="S28" i="35" s="1"/>
  <c r="P28" i="35"/>
  <c r="L28" i="35" s="1"/>
  <c r="BG122" i="43"/>
  <c r="CR122" i="43"/>
  <c r="DZ122" i="43"/>
  <c r="DI122" i="43"/>
  <c r="AO122" i="43"/>
  <c r="M122" i="43"/>
  <c r="GH122" i="43" s="1"/>
  <c r="BZ122" i="43"/>
  <c r="D122" i="43"/>
  <c r="FY122" i="43" s="1"/>
  <c r="CI122" i="43"/>
  <c r="AF122" i="43"/>
  <c r="DQ122" i="43"/>
  <c r="BQ122" i="43"/>
  <c r="AX122" i="43"/>
  <c r="CZ122" i="43"/>
  <c r="I38" i="45"/>
  <c r="CN38" i="45"/>
  <c r="I38" i="44"/>
  <c r="I38" i="43"/>
  <c r="AK38" i="41"/>
  <c r="BV38" i="43"/>
  <c r="GV38" i="43"/>
  <c r="CN38" i="41"/>
  <c r="CN38" i="43"/>
  <c r="BC38" i="44"/>
  <c r="GV38" i="44"/>
  <c r="BV38" i="45"/>
  <c r="GV38" i="41"/>
  <c r="AK38" i="45"/>
  <c r="BC38" i="41"/>
  <c r="BV38" i="41"/>
  <c r="CN38" i="44"/>
  <c r="BV38" i="44"/>
  <c r="BC38" i="43"/>
  <c r="I38" i="41"/>
  <c r="AK38" i="44"/>
  <c r="AK38" i="43"/>
  <c r="BC38" i="45"/>
  <c r="DY118" i="43"/>
  <c r="CX132" i="41"/>
  <c r="DF149" i="41" s="1"/>
  <c r="ER132" i="41"/>
  <c r="EZ149" i="41" s="1"/>
  <c r="CG132" i="41"/>
  <c r="CO149" i="41" s="1"/>
  <c r="DO132" i="41"/>
  <c r="DW149" i="41" s="1"/>
  <c r="J149" i="41"/>
  <c r="AV132" i="41"/>
  <c r="BD149" i="41" s="1"/>
  <c r="AD132" i="41"/>
  <c r="AL149" i="41" s="1"/>
  <c r="EG132" i="41"/>
  <c r="BO132" i="41"/>
  <c r="BW149" i="41" s="1"/>
  <c r="FC132" i="41"/>
  <c r="FK149" i="41" s="1"/>
  <c r="H51" i="43"/>
  <c r="BU51" i="43"/>
  <c r="GU51" i="45"/>
  <c r="BB51" i="43"/>
  <c r="H51" i="44"/>
  <c r="CM51" i="45"/>
  <c r="GU51" i="44"/>
  <c r="BU51" i="45"/>
  <c r="CM51" i="43"/>
  <c r="GU51" i="43"/>
  <c r="BU51" i="41"/>
  <c r="BB51" i="44"/>
  <c r="AJ51" i="43"/>
  <c r="AJ51" i="44"/>
  <c r="BB51" i="45"/>
  <c r="CM51" i="41"/>
  <c r="CM51" i="44"/>
  <c r="H51" i="45"/>
  <c r="BB51" i="41"/>
  <c r="AJ51" i="45"/>
  <c r="H51" i="41"/>
  <c r="AJ51" i="41"/>
  <c r="GU51" i="41"/>
  <c r="BU51" i="44"/>
  <c r="H184" i="12"/>
  <c r="F184" i="12"/>
  <c r="E184" i="12"/>
  <c r="G184" i="12"/>
  <c r="CB61" i="44"/>
  <c r="G163" i="44" s="1"/>
  <c r="AA17" i="35" s="1"/>
  <c r="AQ61" i="41"/>
  <c r="P30" i="44"/>
  <c r="P30" i="41"/>
  <c r="P30" i="45"/>
  <c r="P30" i="43"/>
  <c r="GV38" i="45"/>
  <c r="GS38" i="45"/>
  <c r="DY118" i="44"/>
  <c r="H122" i="41"/>
  <c r="GC122" i="41" s="1"/>
  <c r="CM122" i="41"/>
  <c r="DU122" i="41"/>
  <c r="DD122" i="41"/>
  <c r="AJ122" i="41"/>
  <c r="BB122" i="41"/>
  <c r="BU122" i="41"/>
  <c r="CS58" i="41"/>
  <c r="W27" i="41"/>
  <c r="W27" i="43"/>
  <c r="W27" i="45"/>
  <c r="W27" i="44"/>
  <c r="N24" i="35"/>
  <c r="GS32" i="43"/>
  <c r="BS32" i="41"/>
  <c r="F32" i="44"/>
  <c r="AH32" i="43"/>
  <c r="AZ32" i="41"/>
  <c r="F32" i="43"/>
  <c r="BS32" i="43"/>
  <c r="GS32" i="41"/>
  <c r="AH32" i="45"/>
  <c r="GS32" i="44"/>
  <c r="CK32" i="41"/>
  <c r="BS32" i="45"/>
  <c r="BS32" i="44"/>
  <c r="CK32" i="44"/>
  <c r="AH32" i="41"/>
  <c r="CK32" i="43"/>
  <c r="AZ32" i="43"/>
  <c r="F32" i="45"/>
  <c r="F32" i="41"/>
  <c r="AZ32" i="44"/>
  <c r="CK32" i="45"/>
  <c r="AH32" i="44"/>
  <c r="AZ32" i="45"/>
  <c r="GU32" i="43"/>
  <c r="H32" i="44"/>
  <c r="BB32" i="43"/>
  <c r="CM32" i="44"/>
  <c r="CM32" i="45"/>
  <c r="AJ32" i="41"/>
  <c r="BB32" i="44"/>
  <c r="AJ32" i="45"/>
  <c r="CM32" i="43"/>
  <c r="H32" i="45"/>
  <c r="GU32" i="44"/>
  <c r="BU32" i="44"/>
  <c r="BU32" i="45"/>
  <c r="H32" i="41"/>
  <c r="BU32" i="41"/>
  <c r="GU32" i="41"/>
  <c r="AJ32" i="44"/>
  <c r="H32" i="43"/>
  <c r="BU32" i="43"/>
  <c r="BB32" i="41"/>
  <c r="AJ32" i="43"/>
  <c r="CM32" i="41"/>
  <c r="BB32" i="45"/>
  <c r="GV81" i="44"/>
  <c r="I172" i="41"/>
  <c r="I26" i="35" s="1"/>
  <c r="F26" i="35"/>
  <c r="J172" i="41"/>
  <c r="J26" i="35" s="1"/>
  <c r="O69" i="35"/>
  <c r="P69" i="35" s="1"/>
  <c r="Q69" i="35" s="1"/>
  <c r="R69" i="35" s="1"/>
  <c r="C21" i="28" s="1"/>
  <c r="O68" i="35"/>
  <c r="O67" i="35"/>
  <c r="GP81" i="41"/>
  <c r="CO43" i="41"/>
  <c r="BD43" i="45"/>
  <c r="BD43" i="43"/>
  <c r="BD43" i="41"/>
  <c r="GW43" i="44"/>
  <c r="AL43" i="41"/>
  <c r="J43" i="45"/>
  <c r="J43" i="41"/>
  <c r="CO43" i="45"/>
  <c r="CO43" i="44"/>
  <c r="J43" i="44"/>
  <c r="CO43" i="43"/>
  <c r="J43" i="43"/>
  <c r="AL43" i="44"/>
  <c r="AL43" i="45"/>
  <c r="GW43" i="43"/>
  <c r="BD43" i="44"/>
  <c r="BW43" i="43"/>
  <c r="AL43" i="43"/>
  <c r="BW43" i="44"/>
  <c r="BW43" i="41"/>
  <c r="GW43" i="41"/>
  <c r="BW43" i="45"/>
  <c r="HL19" i="44"/>
  <c r="GP48" i="45"/>
  <c r="C48" i="41"/>
  <c r="C48" i="44"/>
  <c r="BP48" i="43"/>
  <c r="C48" i="45"/>
  <c r="BP48" i="41"/>
  <c r="AE48" i="44"/>
  <c r="C48" i="43"/>
  <c r="BP48" i="45"/>
  <c r="AW48" i="45"/>
  <c r="AE48" i="41"/>
  <c r="AW48" i="41"/>
  <c r="GP48" i="41"/>
  <c r="CH48" i="44"/>
  <c r="AE48" i="43"/>
  <c r="AW48" i="43"/>
  <c r="AW48" i="44"/>
  <c r="CH48" i="41"/>
  <c r="CH48" i="45"/>
  <c r="AE48" i="45"/>
  <c r="BP48" i="44"/>
  <c r="GP48" i="44"/>
  <c r="CH48" i="43"/>
  <c r="BO48" i="44"/>
  <c r="CA48" i="44" s="1"/>
  <c r="AV48" i="41"/>
  <c r="AV48" i="45"/>
  <c r="AD48" i="44"/>
  <c r="BO48" i="43"/>
  <c r="B48" i="41"/>
  <c r="CG48" i="44"/>
  <c r="CS48" i="44" s="1"/>
  <c r="AV48" i="43"/>
  <c r="BH48" i="43" s="1"/>
  <c r="BO48" i="41"/>
  <c r="CA48" i="41" s="1"/>
  <c r="AD48" i="43"/>
  <c r="BO48" i="45"/>
  <c r="AV48" i="44"/>
  <c r="B48" i="44"/>
  <c r="B48" i="43"/>
  <c r="CG48" i="45"/>
  <c r="B48" i="45"/>
  <c r="AD48" i="45"/>
  <c r="AP48" i="45" s="1"/>
  <c r="CG48" i="41"/>
  <c r="GO48" i="45"/>
  <c r="AD48" i="41"/>
  <c r="GO48" i="41"/>
  <c r="GO48" i="44"/>
  <c r="CG48" i="43"/>
  <c r="CS48" i="43" s="1"/>
  <c r="DO102" i="44"/>
  <c r="GN102" i="44" s="1"/>
  <c r="DO102" i="41"/>
  <c r="GN102" i="41" s="1"/>
  <c r="DO102" i="43"/>
  <c r="GN102" i="43" s="1"/>
  <c r="DO102" i="45"/>
  <c r="GN102" i="45" s="1"/>
  <c r="DF30" i="41"/>
  <c r="HK30" i="41" s="1"/>
  <c r="DF30" i="44"/>
  <c r="HK30" i="44" s="1"/>
  <c r="DF30" i="45"/>
  <c r="HK30" i="45" s="1"/>
  <c r="DF30" i="43"/>
  <c r="HK30" i="43" s="1"/>
  <c r="GY81" i="43"/>
  <c r="DZ118" i="43"/>
  <c r="DP111" i="45"/>
  <c r="GO111" i="45" s="1"/>
  <c r="DP111" i="43"/>
  <c r="GO111" i="43" s="1"/>
  <c r="DP111" i="41"/>
  <c r="GO111" i="41" s="1"/>
  <c r="DP111" i="44"/>
  <c r="GO111" i="44" s="1"/>
  <c r="DV111" i="44"/>
  <c r="GU111" i="44" s="1"/>
  <c r="DV111" i="41"/>
  <c r="GU111" i="41" s="1"/>
  <c r="DV111" i="43"/>
  <c r="GU111" i="43" s="1"/>
  <c r="DV111" i="45"/>
  <c r="GU111" i="45" s="1"/>
  <c r="GR53" i="43"/>
  <c r="GX32" i="45"/>
  <c r="S33" i="44"/>
  <c r="S33" i="43"/>
  <c r="S33" i="45"/>
  <c r="S33" i="41"/>
  <c r="W33" i="41"/>
  <c r="W33" i="44"/>
  <c r="W33" i="43"/>
  <c r="W33" i="45"/>
  <c r="DT97" i="45"/>
  <c r="GS97" i="45" s="1"/>
  <c r="DT97" i="41"/>
  <c r="GS97" i="41" s="1"/>
  <c r="DT97" i="44"/>
  <c r="GS97" i="44" s="1"/>
  <c r="DT97" i="43"/>
  <c r="GS97" i="43" s="1"/>
  <c r="GX14" i="12"/>
  <c r="U32" i="41"/>
  <c r="U32" i="43"/>
  <c r="U32" i="45"/>
  <c r="U32" i="44"/>
  <c r="V32" i="44"/>
  <c r="V32" i="43"/>
  <c r="V32" i="45"/>
  <c r="V32" i="41"/>
  <c r="HB56" i="44"/>
  <c r="DI56" i="44"/>
  <c r="GN76" i="41"/>
  <c r="DV94" i="45"/>
  <c r="DV94" i="44"/>
  <c r="GU94" i="44" s="1"/>
  <c r="DV94" i="43"/>
  <c r="GU94" i="43" s="1"/>
  <c r="DV94" i="41"/>
  <c r="DJ61" i="45"/>
  <c r="G165" i="45" s="1"/>
  <c r="AK19" i="35" s="1"/>
  <c r="DQ107" i="45"/>
  <c r="GP107" i="45" s="1"/>
  <c r="DQ107" i="44"/>
  <c r="GP107" i="44" s="1"/>
  <c r="DQ107" i="41"/>
  <c r="GP107" i="41" s="1"/>
  <c r="DQ107" i="43"/>
  <c r="GP107" i="43" s="1"/>
  <c r="DR107" i="44"/>
  <c r="GQ107" i="44" s="1"/>
  <c r="DR107" i="43"/>
  <c r="GQ107" i="43" s="1"/>
  <c r="DR107" i="45"/>
  <c r="GQ107" i="45" s="1"/>
  <c r="DR107" i="41"/>
  <c r="GQ107" i="41" s="1"/>
  <c r="F37" i="35"/>
  <c r="BF30" i="43"/>
  <c r="CQ30" i="44"/>
  <c r="BY30" i="44"/>
  <c r="L30" i="45"/>
  <c r="AN30" i="41"/>
  <c r="CQ30" i="45"/>
  <c r="CQ30" i="41"/>
  <c r="GY30" i="44"/>
  <c r="BF30" i="41"/>
  <c r="BY30" i="43"/>
  <c r="BY30" i="41"/>
  <c r="L30" i="44"/>
  <c r="BY30" i="45"/>
  <c r="L30" i="41"/>
  <c r="AN30" i="45"/>
  <c r="BF30" i="45"/>
  <c r="GY30" i="45"/>
  <c r="BF30" i="44"/>
  <c r="AN30" i="43"/>
  <c r="AN30" i="44"/>
  <c r="GY30" i="41"/>
  <c r="CQ30" i="43"/>
  <c r="L30" i="43"/>
  <c r="GY53" i="45"/>
  <c r="BF53" i="41"/>
  <c r="L53" i="45"/>
  <c r="AN53" i="45"/>
  <c r="AN53" i="43"/>
  <c r="AN53" i="44"/>
  <c r="BY53" i="41"/>
  <c r="BY53" i="45"/>
  <c r="L53" i="44"/>
  <c r="CQ53" i="41"/>
  <c r="BF53" i="44"/>
  <c r="GY53" i="44"/>
  <c r="CQ53" i="44"/>
  <c r="L53" i="41"/>
  <c r="BY53" i="44"/>
  <c r="AN53" i="41"/>
  <c r="BF53" i="45"/>
  <c r="BY53" i="43"/>
  <c r="CQ53" i="45"/>
  <c r="BF53" i="43"/>
  <c r="GY53" i="41"/>
  <c r="CQ53" i="43"/>
  <c r="L53" i="43"/>
  <c r="BP53" i="44"/>
  <c r="AW53" i="43"/>
  <c r="CH53" i="45"/>
  <c r="AE53" i="43"/>
  <c r="AW53" i="44"/>
  <c r="AE53" i="44"/>
  <c r="BP53" i="41"/>
  <c r="CH53" i="41"/>
  <c r="BP53" i="43"/>
  <c r="GP53" i="45"/>
  <c r="CH53" i="44"/>
  <c r="AE53" i="41"/>
  <c r="BP53" i="45"/>
  <c r="C53" i="41"/>
  <c r="C53" i="45"/>
  <c r="C53" i="44"/>
  <c r="GP53" i="44"/>
  <c r="AE53" i="45"/>
  <c r="AW53" i="41"/>
  <c r="AW53" i="45"/>
  <c r="C53" i="43"/>
  <c r="GP53" i="41"/>
  <c r="CH53" i="43"/>
  <c r="HF19" i="44"/>
  <c r="M19" i="45"/>
  <c r="CR19" i="44"/>
  <c r="CR19" i="41"/>
  <c r="GZ19" i="44"/>
  <c r="BZ19" i="41"/>
  <c r="BZ19" i="45"/>
  <c r="GZ19" i="41"/>
  <c r="AO19" i="41"/>
  <c r="M19" i="44"/>
  <c r="AO19" i="43"/>
  <c r="BG19" i="41"/>
  <c r="AO19" i="45"/>
  <c r="BZ19" i="43"/>
  <c r="BG19" i="45"/>
  <c r="BG19" i="44"/>
  <c r="BZ19" i="44"/>
  <c r="AO19" i="44"/>
  <c r="CR19" i="43"/>
  <c r="CR19" i="45"/>
  <c r="BG19" i="43"/>
  <c r="M19" i="41"/>
  <c r="M19" i="43"/>
  <c r="GZ19" i="43"/>
  <c r="BV19" i="41"/>
  <c r="BC19" i="45"/>
  <c r="BV19" i="44"/>
  <c r="BV19" i="43"/>
  <c r="I19" i="41"/>
  <c r="BC19" i="44"/>
  <c r="CN19" i="43"/>
  <c r="AK19" i="41"/>
  <c r="CN19" i="44"/>
  <c r="CN19" i="45"/>
  <c r="I19" i="43"/>
  <c r="AK19" i="45"/>
  <c r="AK19" i="44"/>
  <c r="BV19" i="45"/>
  <c r="AK19" i="43"/>
  <c r="GV19" i="44"/>
  <c r="CN19" i="41"/>
  <c r="GV19" i="41"/>
  <c r="I19" i="44"/>
  <c r="BC19" i="43"/>
  <c r="GV19" i="43"/>
  <c r="BC19" i="41"/>
  <c r="I19" i="45"/>
  <c r="AJ16" i="35"/>
  <c r="AF16" i="35" s="1"/>
  <c r="I162" i="45"/>
  <c r="AM16" i="35" s="1"/>
  <c r="J162" i="45"/>
  <c r="AN16" i="35" s="1"/>
  <c r="CS20" i="44"/>
  <c r="CA20" i="45"/>
  <c r="BO122" i="45"/>
  <c r="AV122" i="45"/>
  <c r="CG122" i="45"/>
  <c r="DO122" i="45"/>
  <c r="B122" i="45"/>
  <c r="FW122" i="45" s="1"/>
  <c r="AD122" i="45"/>
  <c r="CX122" i="45"/>
  <c r="CA49" i="43"/>
  <c r="GW43" i="45"/>
  <c r="Q17" i="48"/>
  <c r="G52" i="35"/>
  <c r="K16" i="47"/>
  <c r="BH49" i="41"/>
  <c r="AP24" i="45"/>
  <c r="CA24" i="44"/>
  <c r="J54" i="43"/>
  <c r="CO54" i="41"/>
  <c r="BW54" i="41"/>
  <c r="J54" i="45"/>
  <c r="BW54" i="45"/>
  <c r="AL54" i="41"/>
  <c r="BW54" i="44"/>
  <c r="AL54" i="43"/>
  <c r="GW54" i="41"/>
  <c r="AL54" i="44"/>
  <c r="J54" i="41"/>
  <c r="BD54" i="44"/>
  <c r="CO54" i="45"/>
  <c r="BD54" i="41"/>
  <c r="AL54" i="45"/>
  <c r="BW54" i="43"/>
  <c r="CO54" i="44"/>
  <c r="BD54" i="43"/>
  <c r="BD54" i="45"/>
  <c r="J54" i="44"/>
  <c r="GW54" i="44"/>
  <c r="GW54" i="45"/>
  <c r="CO54" i="43"/>
  <c r="D54" i="43"/>
  <c r="GQ54" i="41"/>
  <c r="AX54" i="41"/>
  <c r="AF54" i="43"/>
  <c r="BQ54" i="41"/>
  <c r="CI54" i="41"/>
  <c r="AX54" i="43"/>
  <c r="D54" i="41"/>
  <c r="D54" i="44"/>
  <c r="AF54" i="41"/>
  <c r="D54" i="45"/>
  <c r="AF54" i="45"/>
  <c r="AX54" i="44"/>
  <c r="BQ54" i="45"/>
  <c r="AF54" i="44"/>
  <c r="BQ54" i="44"/>
  <c r="CI54" i="44"/>
  <c r="GQ54" i="45"/>
  <c r="BQ54" i="43"/>
  <c r="GQ54" i="44"/>
  <c r="CI54" i="45"/>
  <c r="AX54" i="45"/>
  <c r="CI54" i="43"/>
  <c r="BE6" i="18"/>
  <c r="BA29" i="18"/>
  <c r="FX65" i="45" s="1"/>
  <c r="FX132" i="45" s="1"/>
  <c r="GF149" i="45" s="1"/>
  <c r="N101" i="35"/>
  <c r="C101" i="35"/>
  <c r="BS36" i="44"/>
  <c r="CK36" i="44"/>
  <c r="AZ36" i="43"/>
  <c r="AH36" i="41"/>
  <c r="CK36" i="43"/>
  <c r="AZ36" i="41"/>
  <c r="F36" i="44"/>
  <c r="AH36" i="45"/>
  <c r="AZ36" i="44"/>
  <c r="F36" i="45"/>
  <c r="AZ36" i="45"/>
  <c r="CK36" i="41"/>
  <c r="CK36" i="45"/>
  <c r="F36" i="41"/>
  <c r="F36" i="43"/>
  <c r="AH36" i="43"/>
  <c r="BS36" i="41"/>
  <c r="GS36" i="44"/>
  <c r="BS36" i="45"/>
  <c r="GS36" i="41"/>
  <c r="AH36" i="44"/>
  <c r="BS36" i="43"/>
  <c r="BD36" i="45"/>
  <c r="AL36" i="44"/>
  <c r="BW36" i="44"/>
  <c r="BD36" i="44"/>
  <c r="CO36" i="44"/>
  <c r="J36" i="45"/>
  <c r="CO36" i="41"/>
  <c r="J36" i="43"/>
  <c r="BW36" i="41"/>
  <c r="CO36" i="43"/>
  <c r="AL36" i="45"/>
  <c r="J36" i="44"/>
  <c r="J36" i="41"/>
  <c r="AL36" i="43"/>
  <c r="BD36" i="43"/>
  <c r="BD36" i="41"/>
  <c r="AL36" i="41"/>
  <c r="CO36" i="45"/>
  <c r="BW36" i="45"/>
  <c r="GW36" i="41"/>
  <c r="GW36" i="44"/>
  <c r="BW36" i="43"/>
  <c r="DF32" i="43"/>
  <c r="HK32" i="43" s="1"/>
  <c r="DF32" i="45"/>
  <c r="HK32" i="45" s="1"/>
  <c r="DF32" i="44"/>
  <c r="HK32" i="44" s="1"/>
  <c r="DF32" i="41"/>
  <c r="HK32" i="41" s="1"/>
  <c r="GE27" i="44"/>
  <c r="GE27" i="45"/>
  <c r="GE27" i="43"/>
  <c r="GE27" i="41"/>
  <c r="CA39" i="44"/>
  <c r="AP39" i="44"/>
  <c r="P61" i="45"/>
  <c r="W52" i="41"/>
  <c r="W52" i="43"/>
  <c r="W52" i="44"/>
  <c r="W52" i="45"/>
  <c r="GQ19" i="45"/>
  <c r="GV19" i="45"/>
  <c r="F165" i="44"/>
  <c r="W19" i="35"/>
  <c r="E168" i="12"/>
  <c r="H168" i="12"/>
  <c r="F168" i="12"/>
  <c r="G168" i="12"/>
  <c r="DS122" i="41"/>
  <c r="CK122" i="41"/>
  <c r="AH122" i="41"/>
  <c r="BS122" i="41"/>
  <c r="F122" i="41"/>
  <c r="GA122" i="41" s="1"/>
  <c r="DB122" i="41"/>
  <c r="AZ122" i="41"/>
  <c r="HB58" i="45"/>
  <c r="DI58" i="45"/>
  <c r="H43" i="41"/>
  <c r="AJ43" i="45"/>
  <c r="H43" i="45"/>
  <c r="BU43" i="41"/>
  <c r="CM43" i="44"/>
  <c r="AJ43" i="44"/>
  <c r="BB43" i="45"/>
  <c r="BB43" i="44"/>
  <c r="GU43" i="44"/>
  <c r="AJ43" i="41"/>
  <c r="BB43" i="43"/>
  <c r="H43" i="43"/>
  <c r="GU43" i="43"/>
  <c r="AJ43" i="43"/>
  <c r="CM43" i="43"/>
  <c r="BU43" i="44"/>
  <c r="BU43" i="43"/>
  <c r="H43" i="44"/>
  <c r="CM43" i="41"/>
  <c r="CM43" i="45"/>
  <c r="BB43" i="41"/>
  <c r="BU43" i="45"/>
  <c r="GU43" i="41"/>
  <c r="HK23" i="44"/>
  <c r="DQ111" i="41"/>
  <c r="GP111" i="41" s="1"/>
  <c r="DQ111" i="43"/>
  <c r="GP111" i="43" s="1"/>
  <c r="DQ111" i="44"/>
  <c r="GP111" i="44" s="1"/>
  <c r="DQ111" i="45"/>
  <c r="GP111" i="45" s="1"/>
  <c r="DS94" i="44"/>
  <c r="GR94" i="44" s="1"/>
  <c r="DS94" i="43"/>
  <c r="GR94" i="43" s="1"/>
  <c r="DS94" i="41"/>
  <c r="GR94" i="41" s="1"/>
  <c r="DS94" i="45"/>
  <c r="GR94" i="45" s="1"/>
  <c r="BA30" i="45"/>
  <c r="GT30" i="44"/>
  <c r="AI30" i="43"/>
  <c r="G30" i="45"/>
  <c r="CL30" i="45"/>
  <c r="GT30" i="41"/>
  <c r="BT30" i="43"/>
  <c r="CL30" i="44"/>
  <c r="BA30" i="41"/>
  <c r="BA30" i="44"/>
  <c r="AI30" i="45"/>
  <c r="CL30" i="41"/>
  <c r="BT30" i="44"/>
  <c r="G30" i="41"/>
  <c r="BA30" i="43"/>
  <c r="AI30" i="44"/>
  <c r="GT30" i="45"/>
  <c r="BT30" i="41"/>
  <c r="BT30" i="45"/>
  <c r="G30" i="44"/>
  <c r="AI30" i="41"/>
  <c r="CL30" i="43"/>
  <c r="G30" i="43"/>
  <c r="AF53" i="43"/>
  <c r="CI53" i="41"/>
  <c r="AF53" i="45"/>
  <c r="CI53" i="45"/>
  <c r="BQ53" i="45"/>
  <c r="BQ53" i="43"/>
  <c r="D53" i="41"/>
  <c r="AX53" i="45"/>
  <c r="D53" i="44"/>
  <c r="BQ53" i="44"/>
  <c r="AF53" i="41"/>
  <c r="AX53" i="44"/>
  <c r="AX53" i="43"/>
  <c r="D53" i="45"/>
  <c r="GQ53" i="44"/>
  <c r="AX53" i="41"/>
  <c r="BQ53" i="41"/>
  <c r="AF53" i="44"/>
  <c r="CI53" i="44"/>
  <c r="GQ53" i="45"/>
  <c r="GQ53" i="41"/>
  <c r="CI53" i="43"/>
  <c r="D53" i="43"/>
  <c r="GC33" i="44"/>
  <c r="M122" i="45"/>
  <c r="GH122" i="45" s="1"/>
  <c r="CR122" i="45"/>
  <c r="BZ122" i="45"/>
  <c r="DZ122" i="45"/>
  <c r="DI122" i="45"/>
  <c r="AO122" i="45"/>
  <c r="BG122" i="45"/>
  <c r="I163" i="41"/>
  <c r="I17" i="35" s="1"/>
  <c r="F17" i="35"/>
  <c r="J163" i="41"/>
  <c r="J17" i="35" s="1"/>
  <c r="BF54" i="44"/>
  <c r="BY54" i="43"/>
  <c r="BF54" i="45"/>
  <c r="AN54" i="41"/>
  <c r="CQ54" i="41"/>
  <c r="BY54" i="44"/>
  <c r="CQ54" i="44"/>
  <c r="AN54" i="43"/>
  <c r="BY54" i="45"/>
  <c r="BY54" i="41"/>
  <c r="GY54" i="41"/>
  <c r="AN54" i="44"/>
  <c r="L54" i="43"/>
  <c r="CQ54" i="45"/>
  <c r="L54" i="44"/>
  <c r="L54" i="45"/>
  <c r="L54" i="41"/>
  <c r="AN54" i="45"/>
  <c r="BF54" i="41"/>
  <c r="BF54" i="43"/>
  <c r="GY54" i="45"/>
  <c r="GY54" i="44"/>
  <c r="CQ54" i="43"/>
  <c r="BC6" i="18"/>
  <c r="AY29" i="18"/>
  <c r="FX65" i="43" s="1"/>
  <c r="FX132" i="43" s="1"/>
  <c r="GF149" i="43" s="1"/>
  <c r="N102" i="35"/>
  <c r="C102" i="35"/>
  <c r="E41" i="35"/>
  <c r="BT38" i="45"/>
  <c r="GT38" i="41"/>
  <c r="AI38" i="41"/>
  <c r="G38" i="41"/>
  <c r="BT38" i="43"/>
  <c r="G38" i="45"/>
  <c r="BA38" i="41"/>
  <c r="CL38" i="41"/>
  <c r="CL38" i="43"/>
  <c r="CL38" i="45"/>
  <c r="BT38" i="41"/>
  <c r="BA38" i="43"/>
  <c r="G38" i="44"/>
  <c r="CL38" i="44"/>
  <c r="GT38" i="44"/>
  <c r="G38" i="43"/>
  <c r="BT38" i="44"/>
  <c r="BA38" i="44"/>
  <c r="GT38" i="43"/>
  <c r="AI38" i="45"/>
  <c r="BA38" i="45"/>
  <c r="AI38" i="44"/>
  <c r="AI38" i="43"/>
  <c r="AQ61" i="43"/>
  <c r="AM122" i="41"/>
  <c r="DG122" i="41"/>
  <c r="BX122" i="41"/>
  <c r="BE122" i="41"/>
  <c r="K122" i="41"/>
  <c r="GF122" i="41" s="1"/>
  <c r="DX122" i="41"/>
  <c r="CP122" i="41"/>
  <c r="DZ102" i="45"/>
  <c r="GY102" i="45" s="1"/>
  <c r="DZ102" i="41"/>
  <c r="GY102" i="41" s="1"/>
  <c r="DZ102" i="44"/>
  <c r="GY102" i="44" s="1"/>
  <c r="DZ102" i="43"/>
  <c r="GY102" i="43" s="1"/>
  <c r="CX30" i="41"/>
  <c r="CX30" i="44"/>
  <c r="CX30" i="45"/>
  <c r="CX30" i="43"/>
  <c r="GO76" i="45"/>
  <c r="GQ53" i="43"/>
  <c r="G118" i="44"/>
  <c r="GS76" i="41"/>
  <c r="P33" i="43"/>
  <c r="P33" i="44"/>
  <c r="P33" i="45"/>
  <c r="P33" i="41"/>
  <c r="DR97" i="45"/>
  <c r="GQ97" i="45" s="1"/>
  <c r="DR97" i="41"/>
  <c r="GQ97" i="41" s="1"/>
  <c r="DR97" i="43"/>
  <c r="GQ97" i="43" s="1"/>
  <c r="DR97" i="44"/>
  <c r="GQ97" i="44" s="1"/>
  <c r="P32" i="41"/>
  <c r="P32" i="44"/>
  <c r="P32" i="43"/>
  <c r="P32" i="45"/>
  <c r="BS30" i="45"/>
  <c r="AH30" i="44"/>
  <c r="BS30" i="44"/>
  <c r="AZ30" i="45"/>
  <c r="F30" i="44"/>
  <c r="AZ30" i="44"/>
  <c r="GS30" i="45"/>
  <c r="AH30" i="43"/>
  <c r="F30" i="41"/>
  <c r="CK30" i="45"/>
  <c r="CK30" i="41"/>
  <c r="AZ30" i="41"/>
  <c r="GS30" i="44"/>
  <c r="AH30" i="41"/>
  <c r="GS30" i="41"/>
  <c r="AZ30" i="43"/>
  <c r="CK30" i="44"/>
  <c r="BS30" i="41"/>
  <c r="AH30" i="45"/>
  <c r="BS30" i="43"/>
  <c r="F30" i="45"/>
  <c r="CK30" i="43"/>
  <c r="F30" i="43"/>
  <c r="CM19" i="41"/>
  <c r="BU19" i="43"/>
  <c r="CM19" i="45"/>
  <c r="BU19" i="45"/>
  <c r="AJ19" i="44"/>
  <c r="H19" i="41"/>
  <c r="BB19" i="45"/>
  <c r="H19" i="45"/>
  <c r="CM19" i="43"/>
  <c r="BB19" i="44"/>
  <c r="H19" i="44"/>
  <c r="AJ19" i="41"/>
  <c r="GU19" i="43"/>
  <c r="GU19" i="44"/>
  <c r="CM19" i="44"/>
  <c r="BU19" i="44"/>
  <c r="AJ19" i="43"/>
  <c r="BB19" i="41"/>
  <c r="H19" i="43"/>
  <c r="BB19" i="43"/>
  <c r="AJ19" i="45"/>
  <c r="BU19" i="41"/>
  <c r="GU19" i="41"/>
  <c r="AP20" i="45"/>
  <c r="DH122" i="45"/>
  <c r="BY122" i="45"/>
  <c r="BF122" i="45"/>
  <c r="CQ122" i="45"/>
  <c r="DY122" i="45"/>
  <c r="L122" i="45"/>
  <c r="GG122" i="45" s="1"/>
  <c r="AN122" i="45"/>
  <c r="AP49" i="41"/>
  <c r="GV54" i="41"/>
  <c r="CN54" i="44"/>
  <c r="I54" i="43"/>
  <c r="BC54" i="41"/>
  <c r="I54" i="41"/>
  <c r="AK54" i="43"/>
  <c r="BC54" i="44"/>
  <c r="I54" i="44"/>
  <c r="AK54" i="45"/>
  <c r="BC54" i="43"/>
  <c r="BV54" i="44"/>
  <c r="AK54" i="41"/>
  <c r="CN54" i="41"/>
  <c r="AK54" i="44"/>
  <c r="BV54" i="43"/>
  <c r="BV54" i="45"/>
  <c r="BV54" i="41"/>
  <c r="BC54" i="45"/>
  <c r="GV54" i="45"/>
  <c r="CN54" i="45"/>
  <c r="GV54" i="44"/>
  <c r="I54" i="45"/>
  <c r="CN54" i="43"/>
  <c r="AH24" i="35"/>
  <c r="DE32" i="43"/>
  <c r="HJ32" i="43" s="1"/>
  <c r="DE32" i="45"/>
  <c r="HJ32" i="45" s="1"/>
  <c r="DE32" i="44"/>
  <c r="HJ32" i="44" s="1"/>
  <c r="DE32" i="41"/>
  <c r="HJ32" i="41" s="1"/>
  <c r="HQ131" i="41"/>
  <c r="HY146" i="41" s="1"/>
  <c r="EO146" i="41"/>
  <c r="X52" i="44"/>
  <c r="X52" i="43"/>
  <c r="X52" i="41"/>
  <c r="X52" i="45"/>
  <c r="F163" i="44"/>
  <c r="W17" i="35"/>
  <c r="AL38" i="45"/>
  <c r="BD38" i="43"/>
  <c r="GW38" i="44"/>
  <c r="J38" i="41"/>
  <c r="AL38" i="41"/>
  <c r="GW38" i="43"/>
  <c r="J38" i="45"/>
  <c r="BD38" i="41"/>
  <c r="CO38" i="44"/>
  <c r="BW38" i="45"/>
  <c r="GW38" i="41"/>
  <c r="CO38" i="45"/>
  <c r="BW38" i="43"/>
  <c r="AL38" i="44"/>
  <c r="CO38" i="41"/>
  <c r="BW38" i="41"/>
  <c r="BD38" i="44"/>
  <c r="BW38" i="44"/>
  <c r="J38" i="44"/>
  <c r="CO38" i="43"/>
  <c r="J38" i="43"/>
  <c r="BD38" i="45"/>
  <c r="AL38" i="43"/>
  <c r="BX51" i="45"/>
  <c r="AM51" i="41"/>
  <c r="CP51" i="43"/>
  <c r="AM51" i="44"/>
  <c r="CP51" i="45"/>
  <c r="GX51" i="43"/>
  <c r="BE51" i="41"/>
  <c r="BX51" i="43"/>
  <c r="CP51" i="44"/>
  <c r="AM51" i="43"/>
  <c r="K51" i="45"/>
  <c r="BE51" i="43"/>
  <c r="GX51" i="45"/>
  <c r="K51" i="44"/>
  <c r="CP51" i="41"/>
  <c r="K51" i="43"/>
  <c r="K51" i="41"/>
  <c r="AM51" i="45"/>
  <c r="BE51" i="44"/>
  <c r="BX51" i="44"/>
  <c r="BE51" i="45"/>
  <c r="GX51" i="41"/>
  <c r="GX51" i="44"/>
  <c r="BX51" i="41"/>
  <c r="GN12" i="45"/>
  <c r="FF12" i="45"/>
  <c r="G7" i="28"/>
  <c r="F7" i="28"/>
  <c r="J23" i="1"/>
  <c r="C6" i="20"/>
  <c r="GR38" i="45"/>
  <c r="AD122" i="41"/>
  <c r="CG122" i="41"/>
  <c r="B122" i="41"/>
  <c r="FW122" i="41" s="1"/>
  <c r="BO122" i="41"/>
  <c r="DO122" i="41"/>
  <c r="CX122" i="41"/>
  <c r="AV122" i="41"/>
  <c r="BH58" i="41"/>
  <c r="GO32" i="41"/>
  <c r="BO32" i="44"/>
  <c r="CG32" i="43"/>
  <c r="BO32" i="45"/>
  <c r="CG32" i="44"/>
  <c r="B32" i="41"/>
  <c r="B32" i="44"/>
  <c r="AD32" i="41"/>
  <c r="AP32" i="41" s="1"/>
  <c r="B32" i="43"/>
  <c r="CG32" i="41"/>
  <c r="CS32" i="41" s="1"/>
  <c r="GO32" i="43"/>
  <c r="AV32" i="44"/>
  <c r="AD32" i="43"/>
  <c r="AP32" i="43" s="1"/>
  <c r="B32" i="45"/>
  <c r="AV32" i="41"/>
  <c r="BH32" i="41" s="1"/>
  <c r="GO32" i="44"/>
  <c r="CG32" i="45"/>
  <c r="AV32" i="43"/>
  <c r="BH32" i="43" s="1"/>
  <c r="AD32" i="45"/>
  <c r="BO32" i="43"/>
  <c r="BO32" i="41"/>
  <c r="AD32" i="44"/>
  <c r="AV32" i="45"/>
  <c r="BH32" i="45" s="1"/>
  <c r="B261" i="12"/>
  <c r="B36" i="28" s="1"/>
  <c r="D261" i="12"/>
  <c r="D36" i="28" s="1"/>
  <c r="E261" i="12"/>
  <c r="E36" i="28" s="1"/>
  <c r="C261" i="12"/>
  <c r="C36" i="28" s="1"/>
  <c r="BH33" i="45"/>
  <c r="HK23" i="43"/>
  <c r="L48" i="45"/>
  <c r="AN48" i="44"/>
  <c r="CQ48" i="44"/>
  <c r="BY48" i="41"/>
  <c r="L48" i="44"/>
  <c r="BY48" i="44"/>
  <c r="GY48" i="41"/>
  <c r="BF48" i="41"/>
  <c r="AN48" i="45"/>
  <c r="BY48" i="43"/>
  <c r="AN48" i="43"/>
  <c r="BF48" i="45"/>
  <c r="BY48" i="45"/>
  <c r="CQ48" i="41"/>
  <c r="AN48" i="41"/>
  <c r="L48" i="43"/>
  <c r="BF48" i="44"/>
  <c r="GY48" i="45"/>
  <c r="CQ48" i="45"/>
  <c r="L48" i="41"/>
  <c r="BF48" i="43"/>
  <c r="GY48" i="44"/>
  <c r="CQ48" i="43"/>
  <c r="CZ30" i="43"/>
  <c r="HE30" i="43" s="1"/>
  <c r="CZ30" i="44"/>
  <c r="HE30" i="44" s="1"/>
  <c r="CZ30" i="41"/>
  <c r="HE30" i="41" s="1"/>
  <c r="CZ30" i="45"/>
  <c r="HE30" i="45" s="1"/>
  <c r="DY111" i="41"/>
  <c r="GX111" i="41" s="1"/>
  <c r="DY111" i="43"/>
  <c r="GX111" i="43" s="1"/>
  <c r="DY111" i="45"/>
  <c r="GX111" i="45" s="1"/>
  <c r="DY111" i="44"/>
  <c r="GX111" i="44" s="1"/>
  <c r="DS97" i="45"/>
  <c r="GR97" i="45" s="1"/>
  <c r="DS97" i="44"/>
  <c r="GR97" i="44" s="1"/>
  <c r="DS97" i="43"/>
  <c r="GR97" i="43" s="1"/>
  <c r="DS97" i="41"/>
  <c r="GR97" i="41" s="1"/>
  <c r="GS76" i="43"/>
  <c r="DW97" i="43"/>
  <c r="GV97" i="43" s="1"/>
  <c r="DW97" i="41"/>
  <c r="GV97" i="41" s="1"/>
  <c r="DW97" i="45"/>
  <c r="GV97" i="45" s="1"/>
  <c r="DW97" i="44"/>
  <c r="GV97" i="44" s="1"/>
  <c r="Q39" i="15"/>
  <c r="P11" i="13"/>
  <c r="P39" i="15" s="1"/>
  <c r="Z32" i="44"/>
  <c r="Z61" i="44" s="1"/>
  <c r="Z32" i="43"/>
  <c r="Z32" i="45"/>
  <c r="Z32" i="41"/>
  <c r="Z61" i="41" s="1"/>
  <c r="X25" i="35"/>
  <c r="DT94" i="43"/>
  <c r="GS94" i="43" s="1"/>
  <c r="DT94" i="45"/>
  <c r="GS94" i="45" s="1"/>
  <c r="DT94" i="44"/>
  <c r="GS94" i="44" s="1"/>
  <c r="DT94" i="41"/>
  <c r="GS94" i="41" s="1"/>
  <c r="GZ30" i="45"/>
  <c r="M30" i="45"/>
  <c r="M30" i="41"/>
  <c r="BG30" i="41"/>
  <c r="GZ30" i="41"/>
  <c r="AO30" i="44"/>
  <c r="AO30" i="41"/>
  <c r="CR30" i="45"/>
  <c r="BZ30" i="41"/>
  <c r="GZ30" i="44"/>
  <c r="BG30" i="44"/>
  <c r="BG30" i="43"/>
  <c r="BZ30" i="45"/>
  <c r="BG30" i="45"/>
  <c r="M30" i="44"/>
  <c r="AO30" i="43"/>
  <c r="BZ30" i="43"/>
  <c r="BZ30" i="44"/>
  <c r="CR30" i="44"/>
  <c r="CR30" i="41"/>
  <c r="AO30" i="45"/>
  <c r="M30" i="43"/>
  <c r="CR30" i="43"/>
  <c r="I122" i="45"/>
  <c r="GD122" i="45" s="1"/>
  <c r="DV122" i="45"/>
  <c r="DE122" i="45"/>
  <c r="CN122" i="45"/>
  <c r="AK122" i="45"/>
  <c r="BV122" i="45"/>
  <c r="BC122" i="45"/>
  <c r="R20" i="48"/>
  <c r="CS24" i="41"/>
  <c r="CQ36" i="41"/>
  <c r="AN36" i="45"/>
  <c r="L36" i="44"/>
  <c r="AN36" i="44"/>
  <c r="BF36" i="45"/>
  <c r="CQ36" i="44"/>
  <c r="BF36" i="41"/>
  <c r="BY36" i="41"/>
  <c r="BY36" i="44"/>
  <c r="BY36" i="45"/>
  <c r="AN36" i="41"/>
  <c r="BF36" i="44"/>
  <c r="AN36" i="43"/>
  <c r="BF36" i="43"/>
  <c r="CQ36" i="43"/>
  <c r="L36" i="41"/>
  <c r="GY36" i="44"/>
  <c r="CQ36" i="45"/>
  <c r="L36" i="43"/>
  <c r="L36" i="45"/>
  <c r="BY36" i="43"/>
  <c r="GY36" i="41"/>
  <c r="DA32" i="44"/>
  <c r="HF32" i="44" s="1"/>
  <c r="DA32" i="43"/>
  <c r="HF32" i="43" s="1"/>
  <c r="DA32" i="45"/>
  <c r="HF32" i="45" s="1"/>
  <c r="DA32" i="41"/>
  <c r="HF32" i="41" s="1"/>
  <c r="V52" i="45"/>
  <c r="V52" i="41"/>
  <c r="V52" i="44"/>
  <c r="V52" i="43"/>
  <c r="G174" i="44"/>
  <c r="AA28" i="35" s="1"/>
  <c r="F174" i="44"/>
  <c r="W28" i="35"/>
  <c r="GT48" i="43"/>
  <c r="GS54" i="43"/>
  <c r="J161" i="41"/>
  <c r="J15" i="35" s="1"/>
  <c r="I161" i="41"/>
  <c r="I15" i="35" s="1"/>
  <c r="F15" i="35"/>
  <c r="M118" i="41"/>
  <c r="AI122" i="43"/>
  <c r="CL122" i="43"/>
  <c r="DT122" i="43"/>
  <c r="BT122" i="43"/>
  <c r="BA122" i="43"/>
  <c r="G122" i="43"/>
  <c r="GB122" i="43" s="1"/>
  <c r="DC122" i="43"/>
  <c r="AG122" i="43"/>
  <c r="BR122" i="43"/>
  <c r="E122" i="43"/>
  <c r="FZ122" i="43" s="1"/>
  <c r="DR122" i="43"/>
  <c r="CJ122" i="43"/>
  <c r="AY122" i="43"/>
  <c r="DA122" i="43"/>
  <c r="AV38" i="41"/>
  <c r="BO38" i="44"/>
  <c r="CA38" i="44" s="1"/>
  <c r="B38" i="41"/>
  <c r="BO38" i="45"/>
  <c r="CA38" i="45" s="1"/>
  <c r="GO38" i="44"/>
  <c r="AD38" i="45"/>
  <c r="BO38" i="43"/>
  <c r="CA38" i="43" s="1"/>
  <c r="B38" i="43"/>
  <c r="GO38" i="41"/>
  <c r="BO38" i="41"/>
  <c r="B38" i="45"/>
  <c r="CG38" i="45"/>
  <c r="CS38" i="45" s="1"/>
  <c r="CG38" i="41"/>
  <c r="CS38" i="41" s="1"/>
  <c r="B38" i="44"/>
  <c r="CG38" i="43"/>
  <c r="CS38" i="43" s="1"/>
  <c r="AD38" i="44"/>
  <c r="AV38" i="44"/>
  <c r="AV38" i="43"/>
  <c r="BH38" i="43" s="1"/>
  <c r="CG38" i="44"/>
  <c r="CS38" i="44" s="1"/>
  <c r="AD38" i="41"/>
  <c r="AP38" i="41" s="1"/>
  <c r="GO38" i="43"/>
  <c r="AD38" i="43"/>
  <c r="AP38" i="43" s="1"/>
  <c r="AV38" i="45"/>
  <c r="BH38" i="45" s="1"/>
  <c r="CR38" i="43"/>
  <c r="BZ38" i="44"/>
  <c r="BG38" i="41"/>
  <c r="M38" i="45"/>
  <c r="GZ38" i="44"/>
  <c r="M38" i="44"/>
  <c r="CR38" i="44"/>
  <c r="M38" i="43"/>
  <c r="BZ38" i="41"/>
  <c r="CR38" i="45"/>
  <c r="BZ38" i="43"/>
  <c r="AO38" i="45"/>
  <c r="BG38" i="43"/>
  <c r="M38" i="41"/>
  <c r="BZ38" i="45"/>
  <c r="AO38" i="44"/>
  <c r="CR38" i="41"/>
  <c r="AO38" i="41"/>
  <c r="BG38" i="44"/>
  <c r="GZ38" i="43"/>
  <c r="GZ38" i="41"/>
  <c r="BG38" i="45"/>
  <c r="AO38" i="43"/>
  <c r="DI38" i="45"/>
  <c r="HB38" i="45"/>
  <c r="AL51" i="41"/>
  <c r="BD51" i="45"/>
  <c r="BW51" i="41"/>
  <c r="AL51" i="45"/>
  <c r="AL51" i="43"/>
  <c r="GW51" i="44"/>
  <c r="J51" i="43"/>
  <c r="AL51" i="44"/>
  <c r="J51" i="41"/>
  <c r="BD51" i="43"/>
  <c r="BW51" i="43"/>
  <c r="GW51" i="45"/>
  <c r="BW51" i="44"/>
  <c r="CO51" i="44"/>
  <c r="GW51" i="43"/>
  <c r="J51" i="44"/>
  <c r="BD51" i="41"/>
  <c r="CO51" i="45"/>
  <c r="CO51" i="43"/>
  <c r="J51" i="45"/>
  <c r="BD51" i="44"/>
  <c r="CO51" i="41"/>
  <c r="BW51" i="45"/>
  <c r="GW51" i="41"/>
  <c r="BI61" i="41"/>
  <c r="BI61" i="45"/>
  <c r="CT61" i="43"/>
  <c r="G164" i="43" s="1"/>
  <c r="Q18" i="35" s="1"/>
  <c r="AQ61" i="44"/>
  <c r="GP36" i="45"/>
  <c r="GX36" i="45"/>
  <c r="Y30" i="45"/>
  <c r="Y30" i="44"/>
  <c r="Y61" i="44" s="1"/>
  <c r="Y30" i="41"/>
  <c r="Y30" i="43"/>
  <c r="U30" i="41"/>
  <c r="U30" i="44"/>
  <c r="U30" i="45"/>
  <c r="U30" i="43"/>
  <c r="GQ38" i="45"/>
  <c r="GY38" i="45"/>
  <c r="L122" i="41"/>
  <c r="GG122" i="41" s="1"/>
  <c r="BF122" i="41"/>
  <c r="CQ122" i="41"/>
  <c r="DH122" i="41"/>
  <c r="BY122" i="41"/>
  <c r="DY122" i="41"/>
  <c r="AN122" i="41"/>
  <c r="DT122" i="41"/>
  <c r="DC122" i="41"/>
  <c r="BA122" i="41"/>
  <c r="AI122" i="41"/>
  <c r="BT122" i="41"/>
  <c r="G122" i="41"/>
  <c r="GB122" i="41" s="1"/>
  <c r="CL122" i="41"/>
  <c r="CA58" i="44"/>
  <c r="CA58" i="41"/>
  <c r="CA58" i="45"/>
  <c r="Q27" i="43"/>
  <c r="Q27" i="41"/>
  <c r="Q27" i="45"/>
  <c r="Q27" i="44"/>
  <c r="Q61" i="44" s="1"/>
  <c r="F41" i="35"/>
  <c r="GU36" i="43"/>
  <c r="BY32" i="45"/>
  <c r="BF32" i="44"/>
  <c r="BY32" i="43"/>
  <c r="L32" i="44"/>
  <c r="L32" i="41"/>
  <c r="GY32" i="43"/>
  <c r="CQ32" i="45"/>
  <c r="GY32" i="44"/>
  <c r="AN32" i="41"/>
  <c r="CQ32" i="44"/>
  <c r="L32" i="45"/>
  <c r="CQ32" i="43"/>
  <c r="GY32" i="41"/>
  <c r="AN32" i="45"/>
  <c r="AN32" i="43"/>
  <c r="CQ32" i="41"/>
  <c r="BF32" i="41"/>
  <c r="BY32" i="41"/>
  <c r="L32" i="43"/>
  <c r="BF32" i="43"/>
  <c r="AN32" i="44"/>
  <c r="BY32" i="44"/>
  <c r="BF32" i="45"/>
  <c r="GZ32" i="43"/>
  <c r="BG32" i="44"/>
  <c r="BZ32" i="45"/>
  <c r="AO32" i="45"/>
  <c r="AO32" i="43"/>
  <c r="AO32" i="44"/>
  <c r="CR32" i="45"/>
  <c r="CR32" i="43"/>
  <c r="BZ32" i="43"/>
  <c r="AO32" i="41"/>
  <c r="BZ32" i="44"/>
  <c r="BG32" i="41"/>
  <c r="GZ32" i="44"/>
  <c r="M32" i="45"/>
  <c r="CR32" i="41"/>
  <c r="CR32" i="44"/>
  <c r="BZ32" i="41"/>
  <c r="M32" i="41"/>
  <c r="M32" i="43"/>
  <c r="BG32" i="43"/>
  <c r="GZ32" i="41"/>
  <c r="M32" i="44"/>
  <c r="BG32" i="45"/>
  <c r="BH60" i="41"/>
  <c r="HB58" i="41"/>
  <c r="DI58" i="41"/>
  <c r="I118" i="45"/>
  <c r="AJ26" i="35"/>
  <c r="AF26" i="35" s="1"/>
  <c r="J172" i="45"/>
  <c r="AN26" i="35" s="1"/>
  <c r="I172" i="45"/>
  <c r="AM26" i="35" s="1"/>
  <c r="K118" i="45"/>
  <c r="GS30" i="43"/>
  <c r="GP81" i="44"/>
  <c r="AP33" i="41"/>
  <c r="HB40" i="44"/>
  <c r="DI40" i="44"/>
  <c r="BF43" i="45"/>
  <c r="BF43" i="41"/>
  <c r="BY43" i="44"/>
  <c r="CQ43" i="45"/>
  <c r="L43" i="44"/>
  <c r="GY43" i="44"/>
  <c r="BF43" i="43"/>
  <c r="AN43" i="41"/>
  <c r="BY43" i="41"/>
  <c r="GY43" i="43"/>
  <c r="L43" i="41"/>
  <c r="CQ43" i="43"/>
  <c r="L43" i="45"/>
  <c r="BY43" i="43"/>
  <c r="L43" i="43"/>
  <c r="AN43" i="43"/>
  <c r="BF43" i="44"/>
  <c r="AN43" i="45"/>
  <c r="CQ43" i="44"/>
  <c r="AN43" i="44"/>
  <c r="CQ43" i="41"/>
  <c r="GY43" i="41"/>
  <c r="BY43" i="45"/>
  <c r="HL19" i="43"/>
  <c r="AY48" i="45"/>
  <c r="CJ48" i="41"/>
  <c r="GR48" i="41"/>
  <c r="E48" i="41"/>
  <c r="BR48" i="43"/>
  <c r="GR48" i="45"/>
  <c r="BR48" i="41"/>
  <c r="CJ48" i="44"/>
  <c r="GR48" i="44"/>
  <c r="BR48" i="44"/>
  <c r="AY48" i="44"/>
  <c r="AY48" i="43"/>
  <c r="BR48" i="45"/>
  <c r="AG48" i="45"/>
  <c r="AG48" i="44"/>
  <c r="E48" i="45"/>
  <c r="CJ48" i="45"/>
  <c r="AG48" i="43"/>
  <c r="E48" i="44"/>
  <c r="AY48" i="41"/>
  <c r="AG48" i="41"/>
  <c r="E48" i="43"/>
  <c r="CJ48" i="43"/>
  <c r="I48" i="41"/>
  <c r="BC48" i="45"/>
  <c r="BC48" i="44"/>
  <c r="AK48" i="45"/>
  <c r="AK48" i="44"/>
  <c r="AK48" i="43"/>
  <c r="AK48" i="41"/>
  <c r="BC48" i="41"/>
  <c r="BV48" i="41"/>
  <c r="I48" i="44"/>
  <c r="BV48" i="43"/>
  <c r="BV48" i="44"/>
  <c r="BC48" i="43"/>
  <c r="BV48" i="45"/>
  <c r="CN48" i="41"/>
  <c r="CN48" i="44"/>
  <c r="I48" i="45"/>
  <c r="GV48" i="44"/>
  <c r="CN48" i="45"/>
  <c r="GV48" i="41"/>
  <c r="GV48" i="45"/>
  <c r="I48" i="43"/>
  <c r="CN48" i="43"/>
  <c r="DR102" i="44"/>
  <c r="GQ102" i="44" s="1"/>
  <c r="DR102" i="45"/>
  <c r="GQ102" i="45" s="1"/>
  <c r="DR102" i="43"/>
  <c r="GQ102" i="43" s="1"/>
  <c r="DR102" i="41"/>
  <c r="GQ102" i="41" s="1"/>
  <c r="DT102" i="44"/>
  <c r="GS102" i="44" s="1"/>
  <c r="DT102" i="45"/>
  <c r="GS102" i="45" s="1"/>
  <c r="DT102" i="43"/>
  <c r="GS102" i="43" s="1"/>
  <c r="DT102" i="41"/>
  <c r="GS102" i="41" s="1"/>
  <c r="P67" i="35"/>
  <c r="Q67" i="35" s="1"/>
  <c r="R67" i="35" s="1"/>
  <c r="C19" i="28" s="1"/>
  <c r="DH30" i="43"/>
  <c r="DH30" i="45"/>
  <c r="DH30" i="44"/>
  <c r="DH30" i="41"/>
  <c r="GY81" i="44"/>
  <c r="DX111" i="43"/>
  <c r="GW111" i="43" s="1"/>
  <c r="DX111" i="44"/>
  <c r="GW111" i="44" s="1"/>
  <c r="DX111" i="45"/>
  <c r="GW111" i="45" s="1"/>
  <c r="DX111" i="41"/>
  <c r="GW111" i="41" s="1"/>
  <c r="DW111" i="44"/>
  <c r="GV111" i="44" s="1"/>
  <c r="DW111" i="41"/>
  <c r="GV111" i="41" s="1"/>
  <c r="DW111" i="45"/>
  <c r="GV111" i="45" s="1"/>
  <c r="DW111" i="43"/>
  <c r="GV111" i="43" s="1"/>
  <c r="GS53" i="43"/>
  <c r="GY32" i="45"/>
  <c r="GV32" i="45"/>
  <c r="Q33" i="41"/>
  <c r="Q33" i="43"/>
  <c r="Q33" i="44"/>
  <c r="Q33" i="45"/>
  <c r="HH19" i="41"/>
  <c r="DO97" i="41"/>
  <c r="GN97" i="41" s="1"/>
  <c r="DO97" i="45"/>
  <c r="GN97" i="45" s="1"/>
  <c r="DO97" i="44"/>
  <c r="GN97" i="44" s="1"/>
  <c r="DO97" i="43"/>
  <c r="GN97" i="43" s="1"/>
  <c r="DX97" i="41"/>
  <c r="GW97" i="41" s="1"/>
  <c r="DX97" i="45"/>
  <c r="GW97" i="45" s="1"/>
  <c r="DX97" i="44"/>
  <c r="GW97" i="44" s="1"/>
  <c r="DX97" i="43"/>
  <c r="GW97" i="43" s="1"/>
  <c r="J163" i="45"/>
  <c r="AN17" i="35" s="1"/>
  <c r="I163" i="45"/>
  <c r="AM17" i="35" s="1"/>
  <c r="AJ17" i="35"/>
  <c r="AF17" i="35" s="1"/>
  <c r="GT87" i="45"/>
  <c r="T32" i="41"/>
  <c r="T32" i="45"/>
  <c r="T32" i="44"/>
  <c r="T32" i="43"/>
  <c r="O32" i="44"/>
  <c r="O32" i="43"/>
  <c r="O32" i="45"/>
  <c r="O32" i="41"/>
  <c r="GW81" i="43"/>
  <c r="HB56" i="41"/>
  <c r="DI56" i="41"/>
  <c r="R61" i="45"/>
  <c r="GN76" i="44"/>
  <c r="DQ94" i="41"/>
  <c r="GP94" i="41" s="1"/>
  <c r="DQ94" i="45"/>
  <c r="GP94" i="45" s="1"/>
  <c r="DQ94" i="43"/>
  <c r="GP94" i="43" s="1"/>
  <c r="DQ94" i="44"/>
  <c r="GP94" i="44" s="1"/>
  <c r="DJ61" i="44"/>
  <c r="G165" i="44" s="1"/>
  <c r="AA19" i="35" s="1"/>
  <c r="DO107" i="41"/>
  <c r="GN107" i="41" s="1"/>
  <c r="DO107" i="43"/>
  <c r="GN107" i="43" s="1"/>
  <c r="DO107" i="45"/>
  <c r="GN107" i="45" s="1"/>
  <c r="DO107" i="44"/>
  <c r="GN107" i="44" s="1"/>
  <c r="D24" i="35"/>
  <c r="GU14" i="12"/>
  <c r="BW53" i="41"/>
  <c r="BW53" i="43"/>
  <c r="AL53" i="45"/>
  <c r="AL53" i="41"/>
  <c r="BD53" i="41"/>
  <c r="CO53" i="41"/>
  <c r="AL53" i="44"/>
  <c r="BW53" i="45"/>
  <c r="AL53" i="43"/>
  <c r="GW53" i="45"/>
  <c r="J53" i="41"/>
  <c r="CO53" i="44"/>
  <c r="BW53" i="44"/>
  <c r="BD53" i="45"/>
  <c r="J53" i="45"/>
  <c r="BD53" i="43"/>
  <c r="BD53" i="44"/>
  <c r="GW53" i="44"/>
  <c r="CO53" i="45"/>
  <c r="J53" i="44"/>
  <c r="CO53" i="43"/>
  <c r="GW53" i="41"/>
  <c r="J53" i="43"/>
  <c r="BZ53" i="44"/>
  <c r="GZ53" i="45"/>
  <c r="M53" i="41"/>
  <c r="AO53" i="43"/>
  <c r="M53" i="45"/>
  <c r="AO53" i="45"/>
  <c r="BG53" i="43"/>
  <c r="M53" i="44"/>
  <c r="AO53" i="44"/>
  <c r="BZ53" i="41"/>
  <c r="AO53" i="41"/>
  <c r="BG53" i="41"/>
  <c r="CR53" i="45"/>
  <c r="BG53" i="44"/>
  <c r="CR53" i="41"/>
  <c r="CR53" i="44"/>
  <c r="BG53" i="45"/>
  <c r="BZ53" i="45"/>
  <c r="GZ53" i="44"/>
  <c r="BZ53" i="43"/>
  <c r="CR53" i="43"/>
  <c r="M53" i="43"/>
  <c r="GZ53" i="41"/>
  <c r="HF19" i="41"/>
  <c r="BE19" i="43"/>
  <c r="BE19" i="41"/>
  <c r="BE19" i="45"/>
  <c r="GX19" i="44"/>
  <c r="K19" i="41"/>
  <c r="CP19" i="43"/>
  <c r="BX19" i="44"/>
  <c r="GX19" i="41"/>
  <c r="AM19" i="45"/>
  <c r="K19" i="44"/>
  <c r="K19" i="45"/>
  <c r="BX19" i="45"/>
  <c r="CP19" i="41"/>
  <c r="BX19" i="41"/>
  <c r="K19" i="43"/>
  <c r="BX19" i="43"/>
  <c r="AM19" i="43"/>
  <c r="AM19" i="44"/>
  <c r="BE19" i="44"/>
  <c r="GX19" i="43"/>
  <c r="CP19" i="45"/>
  <c r="AM19" i="41"/>
  <c r="CP19" i="44"/>
  <c r="CK19" i="44"/>
  <c r="BS19" i="43"/>
  <c r="AZ19" i="41"/>
  <c r="F19" i="45"/>
  <c r="CK19" i="41"/>
  <c r="AZ19" i="44"/>
  <c r="CK19" i="43"/>
  <c r="BS19" i="41"/>
  <c r="F19" i="43"/>
  <c r="GS19" i="44"/>
  <c r="AH19" i="41"/>
  <c r="F19" i="41"/>
  <c r="AH19" i="43"/>
  <c r="AH19" i="45"/>
  <c r="F19" i="44"/>
  <c r="AZ19" i="43"/>
  <c r="AH19" i="44"/>
  <c r="BS19" i="44"/>
  <c r="GS19" i="43"/>
  <c r="BS19" i="45"/>
  <c r="CK19" i="45"/>
  <c r="GS19" i="41"/>
  <c r="AZ19" i="45"/>
  <c r="DI21" i="41"/>
  <c r="GN12" i="44"/>
  <c r="FF12" i="44"/>
  <c r="CS20" i="43"/>
  <c r="Z61" i="45"/>
  <c r="AI122" i="45"/>
  <c r="DT122" i="45"/>
  <c r="BA122" i="45"/>
  <c r="DC122" i="45"/>
  <c r="BT122" i="45"/>
  <c r="G122" i="45"/>
  <c r="GB122" i="45" s="1"/>
  <c r="CL122" i="45"/>
  <c r="AJ15" i="35"/>
  <c r="AF15" i="35" s="1"/>
  <c r="J161" i="45"/>
  <c r="AN15" i="35" s="1"/>
  <c r="I161" i="45"/>
  <c r="AM15" i="35" s="1"/>
  <c r="GU43" i="45"/>
  <c r="CA49" i="41"/>
  <c r="CA24" i="45"/>
  <c r="S61" i="43"/>
  <c r="BR54" i="44"/>
  <c r="AG54" i="44"/>
  <c r="GR54" i="41"/>
  <c r="CJ54" i="44"/>
  <c r="E54" i="43"/>
  <c r="AG54" i="45"/>
  <c r="CJ54" i="45"/>
  <c r="CJ54" i="41"/>
  <c r="AG54" i="43"/>
  <c r="E54" i="45"/>
  <c r="BR54" i="43"/>
  <c r="AY54" i="44"/>
  <c r="AY54" i="43"/>
  <c r="AY54" i="41"/>
  <c r="BR54" i="45"/>
  <c r="BR54" i="41"/>
  <c r="E54" i="41"/>
  <c r="AG54" i="41"/>
  <c r="AY54" i="45"/>
  <c r="E54" i="44"/>
  <c r="GR54" i="44"/>
  <c r="GR54" i="45"/>
  <c r="CJ54" i="43"/>
  <c r="BG29" i="18"/>
  <c r="BG36" i="43"/>
  <c r="BG36" i="41"/>
  <c r="BG36" i="45"/>
  <c r="AO36" i="44"/>
  <c r="BZ36" i="45"/>
  <c r="AO36" i="41"/>
  <c r="M36" i="41"/>
  <c r="CR36" i="43"/>
  <c r="AO36" i="45"/>
  <c r="BG36" i="44"/>
  <c r="BZ36" i="41"/>
  <c r="AO36" i="43"/>
  <c r="CR36" i="41"/>
  <c r="GZ36" i="44"/>
  <c r="CR36" i="44"/>
  <c r="GZ36" i="41"/>
  <c r="CR36" i="45"/>
  <c r="M36" i="43"/>
  <c r="M36" i="44"/>
  <c r="M36" i="45"/>
  <c r="BZ36" i="44"/>
  <c r="BZ36" i="43"/>
  <c r="E36" i="45"/>
  <c r="CJ36" i="41"/>
  <c r="BR36" i="44"/>
  <c r="E36" i="43"/>
  <c r="AY36" i="43"/>
  <c r="AG36" i="43"/>
  <c r="E36" i="41"/>
  <c r="CJ36" i="43"/>
  <c r="E36" i="44"/>
  <c r="AY36" i="44"/>
  <c r="AG36" i="45"/>
  <c r="AG36" i="44"/>
  <c r="CJ36" i="45"/>
  <c r="GR36" i="44"/>
  <c r="AY36" i="41"/>
  <c r="AG36" i="41"/>
  <c r="CJ36" i="44"/>
  <c r="AY36" i="45"/>
  <c r="GR36" i="41"/>
  <c r="BR36" i="41"/>
  <c r="BR36" i="45"/>
  <c r="BR36" i="43"/>
  <c r="DG32" i="43"/>
  <c r="HL32" i="43" s="1"/>
  <c r="DG32" i="44"/>
  <c r="HL32" i="44" s="1"/>
  <c r="DG32" i="41"/>
  <c r="HL32" i="41" s="1"/>
  <c r="DG32" i="45"/>
  <c r="HL32" i="45" s="1"/>
  <c r="CA39" i="41"/>
  <c r="U52" i="41"/>
  <c r="U52" i="45"/>
  <c r="U52" i="43"/>
  <c r="U52" i="44"/>
  <c r="E118" i="43"/>
  <c r="GY19" i="45"/>
  <c r="W21" i="35"/>
  <c r="F167" i="44"/>
  <c r="P42" i="15" l="1"/>
  <c r="P43" i="15" s="1"/>
  <c r="P48" i="15" s="1"/>
  <c r="P49" i="15" s="1"/>
  <c r="L30" i="13" s="1"/>
  <c r="L63" i="35" s="1"/>
  <c r="P63" i="35" s="1"/>
  <c r="P52" i="15"/>
  <c r="L31" i="13" s="1"/>
  <c r="L64" i="35" s="1"/>
  <c r="P64" i="35" s="1"/>
  <c r="GZ61" i="43"/>
  <c r="DY127" i="43"/>
  <c r="GX118" i="43"/>
  <c r="GY127" i="43" s="1"/>
  <c r="GO61" i="41"/>
  <c r="BW61" i="45"/>
  <c r="BW121" i="45" s="1"/>
  <c r="DA55" i="41"/>
  <c r="HF55" i="41" s="1"/>
  <c r="DA55" i="43"/>
  <c r="HF55" i="43" s="1"/>
  <c r="DA55" i="45"/>
  <c r="HF55" i="45" s="1"/>
  <c r="DA55" i="44"/>
  <c r="HF55" i="44" s="1"/>
  <c r="T77" i="35"/>
  <c r="AA91" i="35"/>
  <c r="F63" i="27"/>
  <c r="B35" i="41"/>
  <c r="AD35" i="41"/>
  <c r="GO35" i="45"/>
  <c r="AD35" i="45"/>
  <c r="AP35" i="45" s="1"/>
  <c r="BO35" i="44"/>
  <c r="B35" i="44"/>
  <c r="CG35" i="41"/>
  <c r="CS35" i="41" s="1"/>
  <c r="AV35" i="44"/>
  <c r="CG35" i="44"/>
  <c r="AV35" i="43"/>
  <c r="BH35" i="43" s="1"/>
  <c r="B35" i="43"/>
  <c r="BO35" i="41"/>
  <c r="AD35" i="43"/>
  <c r="AP35" i="43" s="1"/>
  <c r="AV35" i="45"/>
  <c r="BH35" i="45" s="1"/>
  <c r="CG35" i="43"/>
  <c r="CS35" i="43" s="1"/>
  <c r="B35" i="45"/>
  <c r="CG35" i="45"/>
  <c r="CS35" i="45" s="1"/>
  <c r="GO35" i="43"/>
  <c r="GO35" i="41"/>
  <c r="BO35" i="45"/>
  <c r="CA35" i="45" s="1"/>
  <c r="AV35" i="41"/>
  <c r="BH35" i="41" s="1"/>
  <c r="AD35" i="44"/>
  <c r="AP35" i="44" s="1"/>
  <c r="GO35" i="44"/>
  <c r="BO35" i="43"/>
  <c r="GR61" i="41"/>
  <c r="DO127" i="43"/>
  <c r="GN118" i="43"/>
  <c r="GO127" i="43" s="1"/>
  <c r="GA127" i="41"/>
  <c r="FG127" i="41"/>
  <c r="AR61" i="44"/>
  <c r="G161" i="44"/>
  <c r="AA15" i="35" s="1"/>
  <c r="AI127" i="44"/>
  <c r="AI128" i="44" s="1"/>
  <c r="AI125" i="44" s="1"/>
  <c r="DC127" i="44"/>
  <c r="BA127" i="44"/>
  <c r="BA128" i="44" s="1"/>
  <c r="BA125" i="44" s="1"/>
  <c r="G127" i="44"/>
  <c r="BT127" i="44"/>
  <c r="CL127" i="44"/>
  <c r="DW118" i="44"/>
  <c r="AP19" i="45"/>
  <c r="CK61" i="45"/>
  <c r="CK121" i="45" s="1"/>
  <c r="CK128" i="45" s="1"/>
  <c r="DO118" i="44"/>
  <c r="HM30" i="44"/>
  <c r="DH61" i="44"/>
  <c r="HM61" i="44" s="1"/>
  <c r="DT118" i="43"/>
  <c r="CA32" i="44"/>
  <c r="HC30" i="45"/>
  <c r="CA48" i="45"/>
  <c r="BH48" i="45"/>
  <c r="W61" i="41"/>
  <c r="V61" i="43"/>
  <c r="CW52" i="45"/>
  <c r="CW52" i="44"/>
  <c r="CW52" i="43"/>
  <c r="CW52" i="41"/>
  <c r="AP36" i="41"/>
  <c r="CX33" i="45"/>
  <c r="HC33" i="45" s="1"/>
  <c r="CX33" i="44"/>
  <c r="HC33" i="44" s="1"/>
  <c r="CX33" i="41"/>
  <c r="HC33" i="41" s="1"/>
  <c r="CX33" i="43"/>
  <c r="HC33" i="43" s="1"/>
  <c r="CY33" i="45"/>
  <c r="HD33" i="45" s="1"/>
  <c r="CY33" i="41"/>
  <c r="HD33" i="41" s="1"/>
  <c r="CY33" i="44"/>
  <c r="HD33" i="44" s="1"/>
  <c r="CY33" i="43"/>
  <c r="HD33" i="43" s="1"/>
  <c r="J161" i="44"/>
  <c r="AD15" i="35" s="1"/>
  <c r="Z15" i="35"/>
  <c r="V15" i="35" s="1"/>
  <c r="I161" i="44"/>
  <c r="AC15" i="35" s="1"/>
  <c r="BF128" i="44"/>
  <c r="P21" i="35"/>
  <c r="L21" i="35" s="1"/>
  <c r="J167" i="43"/>
  <c r="T21" i="35" s="1"/>
  <c r="I167" i="43"/>
  <c r="S21" i="35" s="1"/>
  <c r="EC118" i="41"/>
  <c r="G166" i="41"/>
  <c r="CS54" i="41"/>
  <c r="CA19" i="45"/>
  <c r="BH19" i="41"/>
  <c r="GV94" i="43"/>
  <c r="DW118" i="43"/>
  <c r="DC55" i="44"/>
  <c r="HH55" i="44" s="1"/>
  <c r="DC55" i="41"/>
  <c r="HH55" i="41" s="1"/>
  <c r="DC55" i="43"/>
  <c r="HH55" i="43" s="1"/>
  <c r="DC55" i="45"/>
  <c r="HH55" i="45" s="1"/>
  <c r="CZ55" i="44"/>
  <c r="HE55" i="44" s="1"/>
  <c r="CZ55" i="43"/>
  <c r="HE55" i="43" s="1"/>
  <c r="CZ55" i="45"/>
  <c r="HE55" i="45" s="1"/>
  <c r="CZ55" i="41"/>
  <c r="HE55" i="41" s="1"/>
  <c r="DS118" i="43"/>
  <c r="M37" i="45"/>
  <c r="CR37" i="45"/>
  <c r="M37" i="43"/>
  <c r="BZ37" i="44"/>
  <c r="BZ37" i="43"/>
  <c r="BZ37" i="41"/>
  <c r="BG37" i="41"/>
  <c r="GZ37" i="44"/>
  <c r="AO37" i="43"/>
  <c r="CR37" i="44"/>
  <c r="AO37" i="41"/>
  <c r="BZ37" i="45"/>
  <c r="M37" i="44"/>
  <c r="BG37" i="44"/>
  <c r="GZ37" i="41"/>
  <c r="AO37" i="44"/>
  <c r="GZ37" i="45"/>
  <c r="M37" i="41"/>
  <c r="CR37" i="41"/>
  <c r="CR37" i="43"/>
  <c r="AO37" i="45"/>
  <c r="BG37" i="45"/>
  <c r="BG37" i="43"/>
  <c r="GZ37" i="43"/>
  <c r="CO37" i="45"/>
  <c r="BW37" i="45"/>
  <c r="J37" i="44"/>
  <c r="J37" i="45"/>
  <c r="BD37" i="44"/>
  <c r="BW37" i="43"/>
  <c r="CO37" i="43"/>
  <c r="BD37" i="41"/>
  <c r="CO37" i="41"/>
  <c r="J37" i="43"/>
  <c r="AL37" i="41"/>
  <c r="AL37" i="44"/>
  <c r="BW37" i="44"/>
  <c r="AL37" i="45"/>
  <c r="AL37" i="43"/>
  <c r="GW37" i="44"/>
  <c r="BW37" i="41"/>
  <c r="CO37" i="44"/>
  <c r="GW37" i="45"/>
  <c r="J37" i="41"/>
  <c r="BD37" i="45"/>
  <c r="BD61" i="45" s="1"/>
  <c r="BD121" i="45" s="1"/>
  <c r="BD128" i="45" s="1"/>
  <c r="GW37" i="41"/>
  <c r="GW61" i="41" s="1"/>
  <c r="BD37" i="43"/>
  <c r="GW37" i="43"/>
  <c r="HB32" i="44"/>
  <c r="DI32" i="44"/>
  <c r="FK12" i="41"/>
  <c r="FI12" i="41"/>
  <c r="FQ12" i="41"/>
  <c r="FT12" i="41"/>
  <c r="FN12" i="41"/>
  <c r="FR12" i="41"/>
  <c r="FO12" i="41"/>
  <c r="FS12" i="41"/>
  <c r="FP12" i="41"/>
  <c r="FM12" i="41"/>
  <c r="GQ12" i="41"/>
  <c r="FL12" i="41"/>
  <c r="FJ12" i="41"/>
  <c r="BQ35" i="45"/>
  <c r="BQ35" i="44"/>
  <c r="CI35" i="45"/>
  <c r="GQ35" i="45"/>
  <c r="D35" i="43"/>
  <c r="AX35" i="44"/>
  <c r="AX35" i="45"/>
  <c r="AF35" i="43"/>
  <c r="AX35" i="43"/>
  <c r="CI35" i="41"/>
  <c r="D35" i="45"/>
  <c r="AF35" i="41"/>
  <c r="CI35" i="44"/>
  <c r="D35" i="44"/>
  <c r="CI35" i="43"/>
  <c r="AX35" i="41"/>
  <c r="AF35" i="44"/>
  <c r="BQ35" i="41"/>
  <c r="GQ35" i="41"/>
  <c r="GQ35" i="44"/>
  <c r="GQ35" i="43"/>
  <c r="D35" i="41"/>
  <c r="AF35" i="45"/>
  <c r="BQ35" i="43"/>
  <c r="DT118" i="44"/>
  <c r="FN127" i="44"/>
  <c r="GH127" i="44"/>
  <c r="B28" i="35"/>
  <c r="C61" i="44"/>
  <c r="AW61" i="45"/>
  <c r="AW121" i="45" s="1"/>
  <c r="AW128" i="45" s="1"/>
  <c r="AP53" i="43"/>
  <c r="AO31" i="43"/>
  <c r="M31" i="43"/>
  <c r="AO31" i="44"/>
  <c r="BG31" i="45"/>
  <c r="M31" i="45"/>
  <c r="BG31" i="44"/>
  <c r="BG31" i="41"/>
  <c r="BZ31" i="43"/>
  <c r="M31" i="44"/>
  <c r="AO31" i="45"/>
  <c r="BZ31" i="44"/>
  <c r="GZ31" i="43"/>
  <c r="BG31" i="43"/>
  <c r="BZ31" i="41"/>
  <c r="BZ61" i="41" s="1"/>
  <c r="BZ121" i="41" s="1"/>
  <c r="CR31" i="45"/>
  <c r="CR31" i="44"/>
  <c r="GZ31" i="45"/>
  <c r="AO31" i="41"/>
  <c r="M31" i="41"/>
  <c r="BZ31" i="45"/>
  <c r="GZ31" i="41"/>
  <c r="CR31" i="41"/>
  <c r="CR61" i="41" s="1"/>
  <c r="CR121" i="41" s="1"/>
  <c r="CR128" i="41" s="1"/>
  <c r="CR31" i="43"/>
  <c r="GZ31" i="44"/>
  <c r="BC31" i="45"/>
  <c r="CN31" i="44"/>
  <c r="I31" i="43"/>
  <c r="I31" i="41"/>
  <c r="AK31" i="41"/>
  <c r="CN31" i="41"/>
  <c r="I31" i="44"/>
  <c r="I61" i="44" s="1"/>
  <c r="BV31" i="45"/>
  <c r="BV31" i="43"/>
  <c r="GV31" i="43"/>
  <c r="AK31" i="45"/>
  <c r="I31" i="45"/>
  <c r="AK31" i="44"/>
  <c r="GV31" i="41"/>
  <c r="BC31" i="43"/>
  <c r="BC31" i="41"/>
  <c r="BC31" i="44"/>
  <c r="BV31" i="44"/>
  <c r="GV31" i="45"/>
  <c r="AK31" i="43"/>
  <c r="BV31" i="41"/>
  <c r="CN31" i="45"/>
  <c r="CN31" i="43"/>
  <c r="GV31" i="44"/>
  <c r="AM127" i="41"/>
  <c r="CP127" i="41"/>
  <c r="K127" i="41"/>
  <c r="BE127" i="41"/>
  <c r="DG127" i="41"/>
  <c r="BX127" i="41"/>
  <c r="BX128" i="41" s="1"/>
  <c r="AG21" i="43"/>
  <c r="AG61" i="43" s="1"/>
  <c r="AG121" i="43" s="1"/>
  <c r="CJ21" i="45"/>
  <c r="E21" i="45"/>
  <c r="BR21" i="45"/>
  <c r="CJ21" i="41"/>
  <c r="AG21" i="41"/>
  <c r="AY21" i="43"/>
  <c r="AG21" i="45"/>
  <c r="AG61" i="45" s="1"/>
  <c r="AG121" i="45" s="1"/>
  <c r="AG128" i="45" s="1"/>
  <c r="CJ21" i="43"/>
  <c r="CJ61" i="43" s="1"/>
  <c r="CJ121" i="43" s="1"/>
  <c r="CJ128" i="43" s="1"/>
  <c r="AY21" i="44"/>
  <c r="GR21" i="41"/>
  <c r="CJ21" i="44"/>
  <c r="E21" i="41"/>
  <c r="BR21" i="44"/>
  <c r="AY21" i="41"/>
  <c r="AY61" i="41" s="1"/>
  <c r="AY121" i="41" s="1"/>
  <c r="AY128" i="41" s="1"/>
  <c r="GR21" i="44"/>
  <c r="GR61" i="44" s="1"/>
  <c r="GR121" i="44" s="1"/>
  <c r="AY21" i="45"/>
  <c r="AY61" i="45" s="1"/>
  <c r="AY121" i="45" s="1"/>
  <c r="AY128" i="45" s="1"/>
  <c r="GR21" i="43"/>
  <c r="E21" i="44"/>
  <c r="BR21" i="43"/>
  <c r="E21" i="43"/>
  <c r="BR21" i="41"/>
  <c r="AG21" i="44"/>
  <c r="GR21" i="45"/>
  <c r="GR61" i="45" s="1"/>
  <c r="BO21" i="45"/>
  <c r="CA21" i="45" s="1"/>
  <c r="B21" i="43"/>
  <c r="B21" i="45"/>
  <c r="AD21" i="43"/>
  <c r="AP21" i="43" s="1"/>
  <c r="AV21" i="41"/>
  <c r="BO21" i="44"/>
  <c r="AD21" i="44"/>
  <c r="B21" i="44"/>
  <c r="B61" i="44" s="1"/>
  <c r="CG21" i="44"/>
  <c r="CS21" i="44" s="1"/>
  <c r="AV21" i="43"/>
  <c r="BH21" i="43" s="1"/>
  <c r="BO21" i="43"/>
  <c r="CA21" i="43" s="1"/>
  <c r="CG21" i="43"/>
  <c r="CS21" i="43" s="1"/>
  <c r="CG21" i="45"/>
  <c r="CG21" i="41"/>
  <c r="CS21" i="41" s="1"/>
  <c r="BO21" i="41"/>
  <c r="CA21" i="41" s="1"/>
  <c r="AD21" i="41"/>
  <c r="AP21" i="41" s="1"/>
  <c r="AV21" i="44"/>
  <c r="BH21" i="44" s="1"/>
  <c r="AD21" i="45"/>
  <c r="GO21" i="43"/>
  <c r="GO61" i="43" s="1"/>
  <c r="B21" i="41"/>
  <c r="GO21" i="44"/>
  <c r="AV21" i="45"/>
  <c r="GO21" i="41"/>
  <c r="GO21" i="45"/>
  <c r="AO127" i="45"/>
  <c r="AO128" i="45" s="1"/>
  <c r="CR127" i="45"/>
  <c r="BG127" i="45"/>
  <c r="M127" i="45"/>
  <c r="BZ127" i="45"/>
  <c r="DI127" i="45"/>
  <c r="B18" i="35"/>
  <c r="C36" i="35" s="1"/>
  <c r="DU118" i="44"/>
  <c r="DQ118" i="43"/>
  <c r="CA51" i="44"/>
  <c r="GG127" i="41"/>
  <c r="FM127" i="41"/>
  <c r="FK127" i="41"/>
  <c r="GE127" i="41"/>
  <c r="FY127" i="45"/>
  <c r="FE127" i="45"/>
  <c r="GC127" i="43"/>
  <c r="FI127" i="43"/>
  <c r="BE61" i="44"/>
  <c r="BE121" i="44" s="1"/>
  <c r="BE128" i="44" s="1"/>
  <c r="K61" i="45"/>
  <c r="HM30" i="45"/>
  <c r="AP38" i="45"/>
  <c r="CS32" i="45"/>
  <c r="Z17" i="35"/>
  <c r="V17" i="35" s="1"/>
  <c r="I163" i="44"/>
  <c r="AC17" i="35" s="1"/>
  <c r="J163" i="44"/>
  <c r="AD17" i="35" s="1"/>
  <c r="DT118" i="41"/>
  <c r="HC30" i="44"/>
  <c r="P102" i="35"/>
  <c r="A102" i="35" s="1"/>
  <c r="Q18" i="48"/>
  <c r="I6" i="34"/>
  <c r="I7" i="34"/>
  <c r="J19" i="47"/>
  <c r="I8" i="34"/>
  <c r="CN61" i="44"/>
  <c r="CN121" i="44" s="1"/>
  <c r="BZ61" i="44"/>
  <c r="BZ121" i="44" s="1"/>
  <c r="BZ128" i="44" s="1"/>
  <c r="DA61" i="44"/>
  <c r="HF61" i="44" s="1"/>
  <c r="CS48" i="41"/>
  <c r="AP48" i="43"/>
  <c r="BH48" i="41"/>
  <c r="H44" i="35"/>
  <c r="B26" i="35"/>
  <c r="C44" i="35" s="1"/>
  <c r="AR61" i="41"/>
  <c r="G161" i="41"/>
  <c r="G15" i="35" s="1"/>
  <c r="CA43" i="41"/>
  <c r="V61" i="45"/>
  <c r="DE52" i="45"/>
  <c r="HJ52" i="45" s="1"/>
  <c r="DE52" i="44"/>
  <c r="HJ52" i="44" s="1"/>
  <c r="DE52" i="43"/>
  <c r="HJ52" i="43" s="1"/>
  <c r="DE52" i="41"/>
  <c r="HJ52" i="41" s="1"/>
  <c r="BH36" i="45"/>
  <c r="CS36" i="45"/>
  <c r="DA33" i="41"/>
  <c r="HF33" i="41" s="1"/>
  <c r="DA33" i="45"/>
  <c r="HF33" i="45" s="1"/>
  <c r="DA33" i="44"/>
  <c r="HF33" i="44" s="1"/>
  <c r="DA33" i="43"/>
  <c r="CZ33" i="44"/>
  <c r="HE33" i="44" s="1"/>
  <c r="CZ33" i="41"/>
  <c r="HE33" i="41" s="1"/>
  <c r="CZ33" i="45"/>
  <c r="CZ33" i="43"/>
  <c r="BY61" i="44"/>
  <c r="BY121" i="44" s="1"/>
  <c r="BY128" i="44" s="1"/>
  <c r="E39" i="35"/>
  <c r="CA54" i="43"/>
  <c r="AP19" i="43"/>
  <c r="AP19" i="44"/>
  <c r="AD61" i="44"/>
  <c r="AD121" i="44" s="1"/>
  <c r="AD128" i="44" s="1"/>
  <c r="BW61" i="43"/>
  <c r="BW121" i="43" s="1"/>
  <c r="GV94" i="45"/>
  <c r="DW118" i="45"/>
  <c r="DF55" i="43"/>
  <c r="HK55" i="43" s="1"/>
  <c r="DF55" i="41"/>
  <c r="HK55" i="41" s="1"/>
  <c r="DF55" i="45"/>
  <c r="HK55" i="45" s="1"/>
  <c r="DF55" i="44"/>
  <c r="HK55" i="44" s="1"/>
  <c r="AI37" i="43"/>
  <c r="BA37" i="41"/>
  <c r="CL37" i="41"/>
  <c r="G37" i="45"/>
  <c r="GT37" i="44"/>
  <c r="BT37" i="45"/>
  <c r="AI37" i="41"/>
  <c r="BA37" i="44"/>
  <c r="AI37" i="44"/>
  <c r="G37" i="44"/>
  <c r="BT37" i="44"/>
  <c r="CL37" i="43"/>
  <c r="CL37" i="45"/>
  <c r="GT37" i="41"/>
  <c r="BT37" i="43"/>
  <c r="GT37" i="45"/>
  <c r="CL37" i="44"/>
  <c r="AI37" i="45"/>
  <c r="G37" i="41"/>
  <c r="BT37" i="41"/>
  <c r="G37" i="43"/>
  <c r="BA37" i="43"/>
  <c r="BA37" i="45"/>
  <c r="GT37" i="43"/>
  <c r="BY37" i="45"/>
  <c r="BY37" i="44"/>
  <c r="L37" i="41"/>
  <c r="L37" i="43"/>
  <c r="AN37" i="41"/>
  <c r="AN37" i="43"/>
  <c r="CQ37" i="41"/>
  <c r="CQ37" i="43"/>
  <c r="BF37" i="41"/>
  <c r="AN37" i="44"/>
  <c r="BF37" i="44"/>
  <c r="BY37" i="41"/>
  <c r="AN37" i="45"/>
  <c r="BY37" i="43"/>
  <c r="CQ37" i="45"/>
  <c r="CQ37" i="44"/>
  <c r="GY37" i="41"/>
  <c r="GY37" i="45"/>
  <c r="L37" i="44"/>
  <c r="L37" i="45"/>
  <c r="GY37" i="44"/>
  <c r="BF37" i="43"/>
  <c r="BF37" i="45"/>
  <c r="GY37" i="43"/>
  <c r="HB30" i="44"/>
  <c r="DI30" i="44"/>
  <c r="DG61" i="45"/>
  <c r="HL61" i="45" s="1"/>
  <c r="DI32" i="45"/>
  <c r="HB32" i="45"/>
  <c r="X61" i="43"/>
  <c r="FX127" i="45"/>
  <c r="FD127" i="45"/>
  <c r="BK6" i="18"/>
  <c r="BK29" i="18" s="1"/>
  <c r="BB29" i="18"/>
  <c r="FX66" i="41" s="1"/>
  <c r="CS30" i="43"/>
  <c r="AP30" i="43"/>
  <c r="DX118" i="45"/>
  <c r="HD30" i="41"/>
  <c r="AW31" i="45"/>
  <c r="AW31" i="44"/>
  <c r="C31" i="43"/>
  <c r="GP31" i="45"/>
  <c r="AE31" i="41"/>
  <c r="GP31" i="41"/>
  <c r="GP61" i="41" s="1"/>
  <c r="GP121" i="41" s="1"/>
  <c r="AE31" i="43"/>
  <c r="AW31" i="41"/>
  <c r="CH31" i="43"/>
  <c r="BP31" i="43"/>
  <c r="AE31" i="44"/>
  <c r="GP31" i="43"/>
  <c r="BP31" i="41"/>
  <c r="AE31" i="45"/>
  <c r="CH31" i="41"/>
  <c r="C31" i="41"/>
  <c r="CH31" i="44"/>
  <c r="BP31" i="45"/>
  <c r="AW31" i="43"/>
  <c r="C31" i="44"/>
  <c r="C31" i="45"/>
  <c r="CH31" i="45"/>
  <c r="BP31" i="44"/>
  <c r="GP31" i="44"/>
  <c r="AG31" i="41"/>
  <c r="AY31" i="43"/>
  <c r="E31" i="41"/>
  <c r="BR31" i="44"/>
  <c r="GR31" i="45"/>
  <c r="AY31" i="45"/>
  <c r="GR31" i="41"/>
  <c r="CJ31" i="43"/>
  <c r="BR31" i="41"/>
  <c r="CJ31" i="44"/>
  <c r="AG31" i="44"/>
  <c r="AY31" i="41"/>
  <c r="AY31" i="44"/>
  <c r="AY61" i="44" s="1"/>
  <c r="AY121" i="44" s="1"/>
  <c r="AY128" i="44" s="1"/>
  <c r="GR31" i="43"/>
  <c r="GR61" i="43" s="1"/>
  <c r="E31" i="44"/>
  <c r="CJ31" i="41"/>
  <c r="E31" i="43"/>
  <c r="BR31" i="45"/>
  <c r="AG31" i="45"/>
  <c r="E31" i="45"/>
  <c r="E61" i="45" s="1"/>
  <c r="AG31" i="43"/>
  <c r="CJ31" i="45"/>
  <c r="CJ61" i="45" s="1"/>
  <c r="CJ121" i="45" s="1"/>
  <c r="CJ128" i="45" s="1"/>
  <c r="BR31" i="43"/>
  <c r="GR31" i="44"/>
  <c r="AE127" i="43"/>
  <c r="BP127" i="43"/>
  <c r="CH127" i="43"/>
  <c r="CY127" i="43"/>
  <c r="AW127" i="43"/>
  <c r="C127" i="43"/>
  <c r="GS21" i="41"/>
  <c r="AZ21" i="41"/>
  <c r="BS21" i="45"/>
  <c r="BS61" i="45" s="1"/>
  <c r="BS121" i="45" s="1"/>
  <c r="BS128" i="45" s="1"/>
  <c r="AH21" i="41"/>
  <c r="AH61" i="41" s="1"/>
  <c r="AH121" i="41" s="1"/>
  <c r="AH128" i="41" s="1"/>
  <c r="AH21" i="45"/>
  <c r="AH21" i="43"/>
  <c r="AH61" i="43" s="1"/>
  <c r="AH121" i="43" s="1"/>
  <c r="AH128" i="43" s="1"/>
  <c r="F21" i="45"/>
  <c r="F61" i="45" s="1"/>
  <c r="GS21" i="43"/>
  <c r="GS61" i="43" s="1"/>
  <c r="GS21" i="44"/>
  <c r="CK21" i="44"/>
  <c r="CK61" i="44" s="1"/>
  <c r="CK121" i="44" s="1"/>
  <c r="CK128" i="44" s="1"/>
  <c r="AZ21" i="45"/>
  <c r="AH21" i="44"/>
  <c r="F21" i="44"/>
  <c r="BS21" i="44"/>
  <c r="BS61" i="44" s="1"/>
  <c r="BS121" i="44" s="1"/>
  <c r="BS128" i="44" s="1"/>
  <c r="CK21" i="43"/>
  <c r="CK61" i="43" s="1"/>
  <c r="CK121" i="43" s="1"/>
  <c r="CK128" i="43" s="1"/>
  <c r="F21" i="41"/>
  <c r="F61" i="41" s="1"/>
  <c r="AZ21" i="44"/>
  <c r="BS21" i="41"/>
  <c r="F21" i="43"/>
  <c r="CK21" i="45"/>
  <c r="BS21" i="43"/>
  <c r="CK21" i="41"/>
  <c r="CK61" i="41" s="1"/>
  <c r="CK121" i="41" s="1"/>
  <c r="CK128" i="41" s="1"/>
  <c r="AZ21" i="43"/>
  <c r="AZ61" i="43" s="1"/>
  <c r="AZ121" i="43" s="1"/>
  <c r="AZ128" i="43" s="1"/>
  <c r="GS21" i="45"/>
  <c r="GS61" i="45" s="1"/>
  <c r="AG61" i="44"/>
  <c r="AG121" i="44" s="1"/>
  <c r="AG128" i="44" s="1"/>
  <c r="DZ118" i="45"/>
  <c r="BH51" i="41"/>
  <c r="CA51" i="43"/>
  <c r="CS51" i="41"/>
  <c r="GD127" i="43"/>
  <c r="FJ127" i="43"/>
  <c r="FF127" i="41"/>
  <c r="FZ127" i="41"/>
  <c r="FY127" i="44"/>
  <c r="FE127" i="44"/>
  <c r="FR12" i="44"/>
  <c r="FT12" i="44"/>
  <c r="FQ12" i="44"/>
  <c r="FS12" i="44"/>
  <c r="FP12" i="44"/>
  <c r="FN12" i="44"/>
  <c r="FO12" i="44"/>
  <c r="FM12" i="44"/>
  <c r="FI12" i="44"/>
  <c r="FL12" i="44"/>
  <c r="FJ12" i="44"/>
  <c r="FK12" i="44"/>
  <c r="GQ12" i="44"/>
  <c r="BX127" i="45"/>
  <c r="BX128" i="45" s="1"/>
  <c r="BE127" i="45"/>
  <c r="BE128" i="45" s="1"/>
  <c r="CP127" i="45"/>
  <c r="CP128" i="45" s="1"/>
  <c r="DG127" i="45"/>
  <c r="AM127" i="45"/>
  <c r="K127" i="45"/>
  <c r="GZ61" i="41"/>
  <c r="GU94" i="41"/>
  <c r="DV118" i="41"/>
  <c r="DY127" i="44"/>
  <c r="GX118" i="44"/>
  <c r="GY127" i="44" s="1"/>
  <c r="DD52" i="45"/>
  <c r="HI52" i="45" s="1"/>
  <c r="DD52" i="44"/>
  <c r="HI52" i="44" s="1"/>
  <c r="DD52" i="41"/>
  <c r="HI52" i="41" s="1"/>
  <c r="DD52" i="43"/>
  <c r="HI52" i="43" s="1"/>
  <c r="CS36" i="41"/>
  <c r="DP127" i="43"/>
  <c r="GO118" i="43"/>
  <c r="GP127" i="43" s="1"/>
  <c r="GV94" i="41"/>
  <c r="DW118" i="41"/>
  <c r="AN127" i="43"/>
  <c r="BY127" i="43"/>
  <c r="DH127" i="43"/>
  <c r="CQ127" i="43"/>
  <c r="L127" i="43"/>
  <c r="BF127" i="43"/>
  <c r="GX94" i="45"/>
  <c r="DY118" i="45"/>
  <c r="AI35" i="44"/>
  <c r="CL35" i="45"/>
  <c r="G35" i="43"/>
  <c r="BA35" i="44"/>
  <c r="BA61" i="44" s="1"/>
  <c r="BA121" i="44" s="1"/>
  <c r="BA35" i="41"/>
  <c r="AI35" i="43"/>
  <c r="BT35" i="44"/>
  <c r="AI35" i="41"/>
  <c r="BA35" i="45"/>
  <c r="CL35" i="43"/>
  <c r="GT35" i="45"/>
  <c r="G35" i="45"/>
  <c r="AI35" i="45"/>
  <c r="AI61" i="45" s="1"/>
  <c r="AI121" i="45" s="1"/>
  <c r="AI128" i="45" s="1"/>
  <c r="AI125" i="45" s="1"/>
  <c r="G35" i="41"/>
  <c r="BT35" i="41"/>
  <c r="CL35" i="41"/>
  <c r="G35" i="44"/>
  <c r="GT35" i="43"/>
  <c r="GT35" i="41"/>
  <c r="BT35" i="45"/>
  <c r="CL35" i="44"/>
  <c r="BA35" i="43"/>
  <c r="GT35" i="44"/>
  <c r="BT35" i="43"/>
  <c r="BE31" i="43"/>
  <c r="K31" i="41"/>
  <c r="AM31" i="43"/>
  <c r="GX31" i="43"/>
  <c r="BX31" i="41"/>
  <c r="BX31" i="43"/>
  <c r="BE31" i="44"/>
  <c r="CP31" i="44"/>
  <c r="K31" i="45"/>
  <c r="AM31" i="45"/>
  <c r="BE31" i="41"/>
  <c r="CP31" i="45"/>
  <c r="CP31" i="43"/>
  <c r="CP31" i="41"/>
  <c r="CP61" i="41" s="1"/>
  <c r="CP121" i="41" s="1"/>
  <c r="CP128" i="41" s="1"/>
  <c r="BE31" i="45"/>
  <c r="BX31" i="44"/>
  <c r="GX31" i="41"/>
  <c r="BX31" i="45"/>
  <c r="AM31" i="44"/>
  <c r="K31" i="43"/>
  <c r="K61" i="43" s="1"/>
  <c r="K31" i="44"/>
  <c r="GX31" i="45"/>
  <c r="AM31" i="41"/>
  <c r="GX31" i="44"/>
  <c r="BT127" i="41"/>
  <c r="G127" i="41"/>
  <c r="BA127" i="41"/>
  <c r="BA128" i="41" s="1"/>
  <c r="BA125" i="41" s="1"/>
  <c r="AI127" i="41"/>
  <c r="CL127" i="41"/>
  <c r="CL128" i="41" s="1"/>
  <c r="CL125" i="41" s="1"/>
  <c r="DC127" i="41"/>
  <c r="FC127" i="43"/>
  <c r="FW127" i="43"/>
  <c r="GB127" i="43"/>
  <c r="FH127" i="43"/>
  <c r="CX52" i="43"/>
  <c r="HC52" i="43" s="1"/>
  <c r="CX52" i="44"/>
  <c r="HC52" i="44" s="1"/>
  <c r="CX52" i="45"/>
  <c r="HC52" i="45" s="1"/>
  <c r="CX52" i="41"/>
  <c r="HC52" i="41" s="1"/>
  <c r="CQ61" i="44"/>
  <c r="CQ121" i="44" s="1"/>
  <c r="CQ128" i="44" s="1"/>
  <c r="AD37" i="41"/>
  <c r="BO37" i="45"/>
  <c r="AV37" i="44"/>
  <c r="AD37" i="44"/>
  <c r="AP37" i="44" s="1"/>
  <c r="CG37" i="43"/>
  <c r="CS37" i="43" s="1"/>
  <c r="B37" i="41"/>
  <c r="CG37" i="44"/>
  <c r="B37" i="45"/>
  <c r="BO37" i="43"/>
  <c r="AD37" i="43"/>
  <c r="B37" i="44"/>
  <c r="AV37" i="41"/>
  <c r="B37" i="43"/>
  <c r="BO37" i="41"/>
  <c r="CA37" i="41" s="1"/>
  <c r="BO37" i="44"/>
  <c r="CG37" i="45"/>
  <c r="CS37" i="45" s="1"/>
  <c r="CG37" i="41"/>
  <c r="AD37" i="45"/>
  <c r="GO37" i="41"/>
  <c r="GO37" i="45"/>
  <c r="GO37" i="44"/>
  <c r="AV37" i="43"/>
  <c r="BH37" i="43" s="1"/>
  <c r="AV37" i="45"/>
  <c r="GO37" i="43"/>
  <c r="CH35" i="41"/>
  <c r="AW35" i="45"/>
  <c r="CH35" i="43"/>
  <c r="C35" i="41"/>
  <c r="BP35" i="45"/>
  <c r="GP35" i="45"/>
  <c r="AE35" i="41"/>
  <c r="CH35" i="45"/>
  <c r="AW35" i="41"/>
  <c r="AE35" i="43"/>
  <c r="AW35" i="43"/>
  <c r="C35" i="44"/>
  <c r="AE35" i="45"/>
  <c r="AE35" i="44"/>
  <c r="C35" i="43"/>
  <c r="C61" i="43" s="1"/>
  <c r="CH35" i="44"/>
  <c r="BP35" i="41"/>
  <c r="GP35" i="41"/>
  <c r="GP35" i="44"/>
  <c r="C35" i="45"/>
  <c r="GP35" i="43"/>
  <c r="AW35" i="44"/>
  <c r="AW61" i="44" s="1"/>
  <c r="AW121" i="44" s="1"/>
  <c r="BP35" i="44"/>
  <c r="BP35" i="43"/>
  <c r="BB127" i="44"/>
  <c r="CM127" i="44"/>
  <c r="H127" i="44"/>
  <c r="AJ127" i="44"/>
  <c r="DD127" i="44"/>
  <c r="BU127" i="44"/>
  <c r="I163" i="43"/>
  <c r="S17" i="35" s="1"/>
  <c r="J163" i="43"/>
  <c r="T17" i="35" s="1"/>
  <c r="P17" i="35"/>
  <c r="L17" i="35" s="1"/>
  <c r="I35" i="35"/>
  <c r="N35" i="35" s="1"/>
  <c r="AP51" i="44"/>
  <c r="E37" i="35"/>
  <c r="FC127" i="44"/>
  <c r="FW127" i="44"/>
  <c r="GA127" i="43"/>
  <c r="FG127" i="43"/>
  <c r="Q61" i="41"/>
  <c r="I174" i="44"/>
  <c r="AC28" i="35" s="1"/>
  <c r="J174" i="44"/>
  <c r="AD28" i="35" s="1"/>
  <c r="Z28" i="35"/>
  <c r="V28" i="35" s="1"/>
  <c r="EC118" i="45"/>
  <c r="G166" i="45"/>
  <c r="DH52" i="44"/>
  <c r="HM52" i="44" s="1"/>
  <c r="DH52" i="43"/>
  <c r="HM52" i="43" s="1"/>
  <c r="DH52" i="45"/>
  <c r="HM52" i="45" s="1"/>
  <c r="DH52" i="41"/>
  <c r="HM52" i="41" s="1"/>
  <c r="DF33" i="44"/>
  <c r="HK33" i="44" s="1"/>
  <c r="DF33" i="41"/>
  <c r="HK33" i="41" s="1"/>
  <c r="DF33" i="45"/>
  <c r="HK33" i="45" s="1"/>
  <c r="DF33" i="43"/>
  <c r="CA19" i="43"/>
  <c r="BO61" i="43"/>
  <c r="DA61" i="45"/>
  <c r="HF61" i="45" s="1"/>
  <c r="DD55" i="44"/>
  <c r="HI55" i="44" s="1"/>
  <c r="DD55" i="43"/>
  <c r="HI55" i="43" s="1"/>
  <c r="DD55" i="41"/>
  <c r="HI55" i="41" s="1"/>
  <c r="DD55" i="45"/>
  <c r="HI55" i="45" s="1"/>
  <c r="BU35" i="45"/>
  <c r="H35" i="43"/>
  <c r="CM35" i="45"/>
  <c r="AJ35" i="43"/>
  <c r="H35" i="41"/>
  <c r="BU35" i="44"/>
  <c r="BB35" i="43"/>
  <c r="BU35" i="41"/>
  <c r="BU61" i="41" s="1"/>
  <c r="BU121" i="41" s="1"/>
  <c r="BU128" i="41" s="1"/>
  <c r="BU125" i="41" s="1"/>
  <c r="BB35" i="44"/>
  <c r="GU35" i="45"/>
  <c r="H35" i="44"/>
  <c r="AJ35" i="44"/>
  <c r="CM35" i="41"/>
  <c r="H35" i="45"/>
  <c r="AJ35" i="41"/>
  <c r="BB35" i="41"/>
  <c r="AJ35" i="45"/>
  <c r="BB35" i="45"/>
  <c r="GU35" i="43"/>
  <c r="CM35" i="44"/>
  <c r="GU35" i="41"/>
  <c r="CM35" i="43"/>
  <c r="GU35" i="44"/>
  <c r="BU35" i="43"/>
  <c r="HD30" i="45"/>
  <c r="BJ61" i="44"/>
  <c r="G162" i="44"/>
  <c r="AA16" i="35" s="1"/>
  <c r="CA51" i="45"/>
  <c r="GR118" i="41"/>
  <c r="GS127" i="41" s="1"/>
  <c r="DS127" i="41"/>
  <c r="FG127" i="45"/>
  <c r="GA127" i="45"/>
  <c r="GE127" i="43"/>
  <c r="FK127" i="43"/>
  <c r="FW127" i="45"/>
  <c r="FC127" i="45"/>
  <c r="G162" i="45"/>
  <c r="AK16" i="35" s="1"/>
  <c r="BJ61" i="45"/>
  <c r="CA38" i="41"/>
  <c r="BG127" i="41"/>
  <c r="AO127" i="41"/>
  <c r="AO128" i="41" s="1"/>
  <c r="M127" i="41"/>
  <c r="CR127" i="41"/>
  <c r="DI127" i="41"/>
  <c r="BZ127" i="41"/>
  <c r="CA32" i="41"/>
  <c r="CS32" i="44"/>
  <c r="H61" i="45"/>
  <c r="DP118" i="45"/>
  <c r="AO61" i="45"/>
  <c r="AO121" i="45" s="1"/>
  <c r="GU94" i="45"/>
  <c r="DV118" i="45"/>
  <c r="W61" i="44"/>
  <c r="E171" i="41"/>
  <c r="GE33" i="41"/>
  <c r="CA43" i="44"/>
  <c r="CS43" i="41"/>
  <c r="DA52" i="43"/>
  <c r="HF52" i="43" s="1"/>
  <c r="DA52" i="44"/>
  <c r="HF52" i="44" s="1"/>
  <c r="DA52" i="45"/>
  <c r="HF52" i="45" s="1"/>
  <c r="DA52" i="41"/>
  <c r="HF52" i="41" s="1"/>
  <c r="DB52" i="45"/>
  <c r="HG52" i="45" s="1"/>
  <c r="DB52" i="43"/>
  <c r="HG52" i="43" s="1"/>
  <c r="DB52" i="44"/>
  <c r="HG52" i="44" s="1"/>
  <c r="DB52" i="41"/>
  <c r="HG52" i="41" s="1"/>
  <c r="BH36" i="41"/>
  <c r="DC33" i="44"/>
  <c r="HH33" i="44" s="1"/>
  <c r="DC33" i="45"/>
  <c r="HH33" i="45" s="1"/>
  <c r="DC33" i="41"/>
  <c r="HH33" i="41" s="1"/>
  <c r="DC33" i="43"/>
  <c r="HH33" i="43" s="1"/>
  <c r="CA54" i="41"/>
  <c r="BH19" i="45"/>
  <c r="AP19" i="41"/>
  <c r="AD61" i="41"/>
  <c r="AD121" i="41" s="1"/>
  <c r="AD128" i="41" s="1"/>
  <c r="C80" i="35"/>
  <c r="D80" i="35" s="1"/>
  <c r="C77" i="35"/>
  <c r="D77" i="35" s="1"/>
  <c r="C81" i="35"/>
  <c r="D81" i="35" s="1"/>
  <c r="C79" i="35"/>
  <c r="D79" i="35" s="1"/>
  <c r="C74" i="35"/>
  <c r="D74" i="35" s="1"/>
  <c r="L39" i="15"/>
  <c r="C78" i="35"/>
  <c r="D78" i="35" s="1"/>
  <c r="B52" i="15"/>
  <c r="O39" i="15"/>
  <c r="D12" i="28"/>
  <c r="CY55" i="44"/>
  <c r="HD55" i="44" s="1"/>
  <c r="CY55" i="41"/>
  <c r="HD55" i="41" s="1"/>
  <c r="CY55" i="43"/>
  <c r="HD55" i="43" s="1"/>
  <c r="CY55" i="45"/>
  <c r="HD55" i="45" s="1"/>
  <c r="DB55" i="44"/>
  <c r="HG55" i="44" s="1"/>
  <c r="DB55" i="41"/>
  <c r="HG55" i="41" s="1"/>
  <c r="DB55" i="45"/>
  <c r="HG55" i="45" s="1"/>
  <c r="DB55" i="43"/>
  <c r="HG55" i="43" s="1"/>
  <c r="DF61" i="41"/>
  <c r="HK61" i="41" s="1"/>
  <c r="U61" i="41"/>
  <c r="CI37" i="41"/>
  <c r="AF37" i="43"/>
  <c r="AF37" i="45"/>
  <c r="CI37" i="43"/>
  <c r="BQ37" i="45"/>
  <c r="BQ37" i="44"/>
  <c r="AF37" i="41"/>
  <c r="CI37" i="44"/>
  <c r="D37" i="41"/>
  <c r="CI37" i="45"/>
  <c r="AX37" i="41"/>
  <c r="D37" i="44"/>
  <c r="BQ37" i="43"/>
  <c r="D37" i="43"/>
  <c r="D37" i="45"/>
  <c r="GQ37" i="41"/>
  <c r="GQ37" i="44"/>
  <c r="AF37" i="44"/>
  <c r="BQ37" i="41"/>
  <c r="AX37" i="44"/>
  <c r="GQ37" i="45"/>
  <c r="AX37" i="43"/>
  <c r="AX37" i="45"/>
  <c r="GQ37" i="43"/>
  <c r="FK12" i="43"/>
  <c r="FT12" i="43"/>
  <c r="FR12" i="43"/>
  <c r="FN12" i="43"/>
  <c r="FI12" i="43"/>
  <c r="FQ12" i="43"/>
  <c r="FP12" i="43"/>
  <c r="FM12" i="43"/>
  <c r="FO12" i="43"/>
  <c r="FS12" i="43"/>
  <c r="FJ12" i="43"/>
  <c r="GQ12" i="43"/>
  <c r="FL12" i="43"/>
  <c r="FY66" i="45"/>
  <c r="FZ71" i="45"/>
  <c r="GB71" i="45" s="1"/>
  <c r="M35" i="44"/>
  <c r="BG35" i="43"/>
  <c r="BG61" i="43" s="1"/>
  <c r="BG121" i="43" s="1"/>
  <c r="BZ35" i="45"/>
  <c r="BZ61" i="45" s="1"/>
  <c r="BZ121" i="45" s="1"/>
  <c r="BZ128" i="45" s="1"/>
  <c r="GZ35" i="45"/>
  <c r="BG35" i="45"/>
  <c r="CR35" i="44"/>
  <c r="CR35" i="41"/>
  <c r="M35" i="41"/>
  <c r="AO35" i="41"/>
  <c r="BG35" i="44"/>
  <c r="M35" i="45"/>
  <c r="BZ35" i="41"/>
  <c r="BG35" i="41"/>
  <c r="AO35" i="45"/>
  <c r="CR35" i="45"/>
  <c r="GZ35" i="44"/>
  <c r="AO35" i="43"/>
  <c r="AO35" i="44"/>
  <c r="M35" i="43"/>
  <c r="GZ35" i="41"/>
  <c r="CR35" i="43"/>
  <c r="BZ35" i="44"/>
  <c r="GZ35" i="43"/>
  <c r="BZ35" i="43"/>
  <c r="AY35" i="43"/>
  <c r="AY35" i="41"/>
  <c r="AG35" i="41"/>
  <c r="AG61" i="41" s="1"/>
  <c r="AG121" i="41" s="1"/>
  <c r="AG128" i="41" s="1"/>
  <c r="CJ35" i="45"/>
  <c r="AG35" i="43"/>
  <c r="AY35" i="44"/>
  <c r="E35" i="41"/>
  <c r="E61" i="41" s="1"/>
  <c r="BR35" i="41"/>
  <c r="BR61" i="41" s="1"/>
  <c r="BR121" i="41" s="1"/>
  <c r="BR128" i="41" s="1"/>
  <c r="AG35" i="45"/>
  <c r="AY35" i="45"/>
  <c r="CJ35" i="41"/>
  <c r="CJ61" i="41" s="1"/>
  <c r="CJ121" i="41" s="1"/>
  <c r="CJ128" i="41" s="1"/>
  <c r="E35" i="45"/>
  <c r="GR35" i="43"/>
  <c r="BR35" i="45"/>
  <c r="BR35" i="44"/>
  <c r="GR35" i="45"/>
  <c r="GR35" i="41"/>
  <c r="E35" i="43"/>
  <c r="E61" i="43" s="1"/>
  <c r="CJ35" i="43"/>
  <c r="GR35" i="44"/>
  <c r="CJ35" i="44"/>
  <c r="AG35" i="44"/>
  <c r="E35" i="44"/>
  <c r="BR35" i="43"/>
  <c r="GQ94" i="41"/>
  <c r="DR118" i="41"/>
  <c r="C61" i="41"/>
  <c r="BH53" i="41"/>
  <c r="CA53" i="43"/>
  <c r="CA30" i="41"/>
  <c r="DP118" i="41"/>
  <c r="AL31" i="41"/>
  <c r="J31" i="43"/>
  <c r="CO31" i="44"/>
  <c r="AL31" i="43"/>
  <c r="J31" i="41"/>
  <c r="AL31" i="45"/>
  <c r="BW31" i="41"/>
  <c r="BW61" i="41" s="1"/>
  <c r="BW121" i="41" s="1"/>
  <c r="BW128" i="41" s="1"/>
  <c r="J31" i="44"/>
  <c r="GW31" i="43"/>
  <c r="BW31" i="45"/>
  <c r="BW31" i="43"/>
  <c r="BD31" i="45"/>
  <c r="J31" i="45"/>
  <c r="CO31" i="41"/>
  <c r="BD31" i="44"/>
  <c r="BD31" i="41"/>
  <c r="GW31" i="45"/>
  <c r="GW31" i="41"/>
  <c r="CO31" i="43"/>
  <c r="BD31" i="43"/>
  <c r="CO31" i="45"/>
  <c r="BW31" i="44"/>
  <c r="AL31" i="44"/>
  <c r="GW31" i="44"/>
  <c r="DR118" i="45"/>
  <c r="GT21" i="41"/>
  <c r="BA21" i="45"/>
  <c r="BA61" i="45" s="1"/>
  <c r="BA121" i="45" s="1"/>
  <c r="BA128" i="45" s="1"/>
  <c r="BA125" i="45" s="1"/>
  <c r="BA21" i="44"/>
  <c r="BA21" i="41"/>
  <c r="BT21" i="45"/>
  <c r="BT61" i="45" s="1"/>
  <c r="BT121" i="45" s="1"/>
  <c r="BT128" i="45" s="1"/>
  <c r="BT125" i="45" s="1"/>
  <c r="BT21" i="43"/>
  <c r="BT61" i="43" s="1"/>
  <c r="BT121" i="43" s="1"/>
  <c r="BT128" i="43" s="1"/>
  <c r="BT125" i="43" s="1"/>
  <c r="G21" i="45"/>
  <c r="G61" i="45" s="1"/>
  <c r="G21" i="44"/>
  <c r="G61" i="44" s="1"/>
  <c r="BA21" i="43"/>
  <c r="BA61" i="43" s="1"/>
  <c r="BA121" i="43" s="1"/>
  <c r="BA128" i="43" s="1"/>
  <c r="BA125" i="43" s="1"/>
  <c r="CL21" i="44"/>
  <c r="AI21" i="43"/>
  <c r="AI21" i="45"/>
  <c r="BT21" i="44"/>
  <c r="GT21" i="43"/>
  <c r="GT61" i="43" s="1"/>
  <c r="GT121" i="43" s="1"/>
  <c r="G21" i="43"/>
  <c r="G61" i="43" s="1"/>
  <c r="GT21" i="44"/>
  <c r="GT61" i="44" s="1"/>
  <c r="G21" i="41"/>
  <c r="G61" i="41" s="1"/>
  <c r="AI21" i="44"/>
  <c r="AI21" i="41"/>
  <c r="CL21" i="45"/>
  <c r="BT21" i="41"/>
  <c r="BT61" i="41" s="1"/>
  <c r="BT121" i="41" s="1"/>
  <c r="BT128" i="41" s="1"/>
  <c r="BT125" i="41" s="1"/>
  <c r="CL21" i="43"/>
  <c r="CL21" i="41"/>
  <c r="CL61" i="41" s="1"/>
  <c r="CL121" i="41" s="1"/>
  <c r="GT21" i="45"/>
  <c r="GT61" i="45" s="1"/>
  <c r="CL61" i="44"/>
  <c r="CL121" i="44" s="1"/>
  <c r="CL128" i="44" s="1"/>
  <c r="CL125" i="44" s="1"/>
  <c r="I37" i="35"/>
  <c r="N37" i="35" s="1"/>
  <c r="DS118" i="44"/>
  <c r="GE127" i="44"/>
  <c r="FK127" i="44"/>
  <c r="AR61" i="45"/>
  <c r="G161" i="45"/>
  <c r="AK15" i="35" s="1"/>
  <c r="BH51" i="44"/>
  <c r="CA51" i="41"/>
  <c r="AP51" i="43"/>
  <c r="O61" i="44"/>
  <c r="GF127" i="43"/>
  <c r="FL127" i="43"/>
  <c r="GE127" i="45"/>
  <c r="FK127" i="45"/>
  <c r="AY127" i="43"/>
  <c r="CJ127" i="43"/>
  <c r="AG127" i="43"/>
  <c r="AG128" i="43" s="1"/>
  <c r="E127" i="43"/>
  <c r="DA127" i="43"/>
  <c r="BR127" i="43"/>
  <c r="BR128" i="43" s="1"/>
  <c r="HC30" i="41"/>
  <c r="CX61" i="41"/>
  <c r="HC61" i="41" s="1"/>
  <c r="DG33" i="44"/>
  <c r="DG33" i="41"/>
  <c r="HL33" i="41" s="1"/>
  <c r="DG33" i="45"/>
  <c r="HL33" i="45" s="1"/>
  <c r="DG33" i="43"/>
  <c r="U61" i="45"/>
  <c r="BP37" i="41"/>
  <c r="C37" i="44"/>
  <c r="BP37" i="43"/>
  <c r="BP61" i="43" s="1"/>
  <c r="BP121" i="43" s="1"/>
  <c r="BP128" i="43" s="1"/>
  <c r="C37" i="45"/>
  <c r="BP37" i="44"/>
  <c r="AE37" i="45"/>
  <c r="CH37" i="44"/>
  <c r="C37" i="41"/>
  <c r="AE37" i="43"/>
  <c r="AE37" i="41"/>
  <c r="BP37" i="45"/>
  <c r="AE37" i="44"/>
  <c r="CH37" i="45"/>
  <c r="AW37" i="41"/>
  <c r="CH37" i="41"/>
  <c r="C37" i="43"/>
  <c r="GP37" i="41"/>
  <c r="GP37" i="45"/>
  <c r="AW37" i="44"/>
  <c r="GP37" i="44"/>
  <c r="GP61" i="44" s="1"/>
  <c r="CH37" i="43"/>
  <c r="AW37" i="45"/>
  <c r="AW37" i="43"/>
  <c r="GP37" i="43"/>
  <c r="HB32" i="41"/>
  <c r="DI32" i="41"/>
  <c r="GY31" i="43"/>
  <c r="GY61" i="43" s="1"/>
  <c r="GY31" i="41"/>
  <c r="GY61" i="41" s="1"/>
  <c r="L31" i="44"/>
  <c r="BF31" i="44"/>
  <c r="AN31" i="43"/>
  <c r="AN31" i="45"/>
  <c r="BY31" i="44"/>
  <c r="GY31" i="45"/>
  <c r="BF31" i="41"/>
  <c r="BF61" i="41" s="1"/>
  <c r="BF121" i="41" s="1"/>
  <c r="BF128" i="41" s="1"/>
  <c r="BY31" i="43"/>
  <c r="BY61" i="43" s="1"/>
  <c r="BY121" i="43" s="1"/>
  <c r="BY128" i="43" s="1"/>
  <c r="CQ31" i="43"/>
  <c r="CQ31" i="41"/>
  <c r="AN31" i="44"/>
  <c r="BF31" i="43"/>
  <c r="CQ31" i="45"/>
  <c r="BF31" i="45"/>
  <c r="L31" i="41"/>
  <c r="L61" i="41" s="1"/>
  <c r="L31" i="45"/>
  <c r="L61" i="45" s="1"/>
  <c r="L31" i="43"/>
  <c r="L61" i="43" s="1"/>
  <c r="AN31" i="41"/>
  <c r="BY31" i="45"/>
  <c r="CQ31" i="44"/>
  <c r="BY31" i="41"/>
  <c r="GY31" i="44"/>
  <c r="BS61" i="43"/>
  <c r="BS121" i="43" s="1"/>
  <c r="BS128" i="43" s="1"/>
  <c r="Q61" i="45"/>
  <c r="BL6" i="18"/>
  <c r="BL29" i="18" s="1"/>
  <c r="BC29" i="18"/>
  <c r="FX66" i="43" s="1"/>
  <c r="DC52" i="43"/>
  <c r="HH52" i="43" s="1"/>
  <c r="DC52" i="41"/>
  <c r="HH52" i="41" s="1"/>
  <c r="DC52" i="45"/>
  <c r="HH52" i="45" s="1"/>
  <c r="DC52" i="44"/>
  <c r="HH52" i="44" s="1"/>
  <c r="DB33" i="45"/>
  <c r="DB33" i="41"/>
  <c r="DB33" i="44"/>
  <c r="DB33" i="43"/>
  <c r="HG33" i="43" s="1"/>
  <c r="CQ61" i="45"/>
  <c r="CQ121" i="45" s="1"/>
  <c r="CQ128" i="45" s="1"/>
  <c r="DO118" i="45"/>
  <c r="DH55" i="44"/>
  <c r="HM55" i="44" s="1"/>
  <c r="DH55" i="45"/>
  <c r="HM55" i="45" s="1"/>
  <c r="DH55" i="41"/>
  <c r="HM55" i="41" s="1"/>
  <c r="DH55" i="43"/>
  <c r="HM55" i="43" s="1"/>
  <c r="K50" i="35"/>
  <c r="L50" i="35"/>
  <c r="U61" i="44"/>
  <c r="CP37" i="45"/>
  <c r="GX37" i="45"/>
  <c r="AM37" i="45"/>
  <c r="BE37" i="41"/>
  <c r="CP37" i="44"/>
  <c r="AM37" i="43"/>
  <c r="BX37" i="45"/>
  <c r="CP37" i="41"/>
  <c r="K37" i="45"/>
  <c r="BX37" i="44"/>
  <c r="BE37" i="44"/>
  <c r="GX37" i="44"/>
  <c r="AM37" i="44"/>
  <c r="GX37" i="41"/>
  <c r="K37" i="43"/>
  <c r="K37" i="44"/>
  <c r="BX37" i="43"/>
  <c r="K37" i="41"/>
  <c r="BX37" i="41"/>
  <c r="CP37" i="43"/>
  <c r="AM37" i="41"/>
  <c r="BE37" i="43"/>
  <c r="BE37" i="45"/>
  <c r="GX37" i="43"/>
  <c r="I42" i="27"/>
  <c r="I43" i="27" s="1"/>
  <c r="I48" i="27" s="1"/>
  <c r="I49" i="27" s="1"/>
  <c r="C64" i="27" s="1"/>
  <c r="I52" i="27"/>
  <c r="D64" i="27" s="1"/>
  <c r="HB30" i="41"/>
  <c r="DI30" i="41"/>
  <c r="CW61" i="41"/>
  <c r="HB61" i="41" s="1"/>
  <c r="AH31" i="41"/>
  <c r="CK31" i="44"/>
  <c r="CK31" i="45"/>
  <c r="AH31" i="43"/>
  <c r="BS31" i="45"/>
  <c r="AZ31" i="45"/>
  <c r="F31" i="45"/>
  <c r="AZ31" i="44"/>
  <c r="AZ61" i="44" s="1"/>
  <c r="AZ121" i="44" s="1"/>
  <c r="AZ128" i="44" s="1"/>
  <c r="GS31" i="45"/>
  <c r="AZ31" i="41"/>
  <c r="AZ61" i="41" s="1"/>
  <c r="AZ121" i="41" s="1"/>
  <c r="AZ128" i="41" s="1"/>
  <c r="BS31" i="44"/>
  <c r="AH31" i="44"/>
  <c r="AH61" i="44" s="1"/>
  <c r="AH121" i="44" s="1"/>
  <c r="AH128" i="44" s="1"/>
  <c r="BS31" i="41"/>
  <c r="F31" i="43"/>
  <c r="F31" i="41"/>
  <c r="AZ31" i="43"/>
  <c r="AH31" i="45"/>
  <c r="AH61" i="45" s="1"/>
  <c r="AH121" i="45" s="1"/>
  <c r="AH128" i="45" s="1"/>
  <c r="GS31" i="41"/>
  <c r="GS61" i="41" s="1"/>
  <c r="GS121" i="41" s="1"/>
  <c r="CK31" i="41"/>
  <c r="BS31" i="43"/>
  <c r="GS31" i="43"/>
  <c r="CK31" i="43"/>
  <c r="F31" i="44"/>
  <c r="GS31" i="44"/>
  <c r="GX21" i="41"/>
  <c r="GX61" i="41" s="1"/>
  <c r="GX121" i="41" s="1"/>
  <c r="CP21" i="44"/>
  <c r="CP61" i="44" s="1"/>
  <c r="CP121" i="44" s="1"/>
  <c r="CP128" i="44" s="1"/>
  <c r="AM21" i="41"/>
  <c r="AM21" i="43"/>
  <c r="AM61" i="43" s="1"/>
  <c r="AM121" i="43" s="1"/>
  <c r="AM128" i="43" s="1"/>
  <c r="CP21" i="43"/>
  <c r="BX21" i="43"/>
  <c r="BX61" i="43" s="1"/>
  <c r="BX121" i="43" s="1"/>
  <c r="BX128" i="43" s="1"/>
  <c r="BE21" i="45"/>
  <c r="BE61" i="45" s="1"/>
  <c r="BE121" i="45" s="1"/>
  <c r="BX21" i="44"/>
  <c r="BX61" i="44" s="1"/>
  <c r="BX121" i="44" s="1"/>
  <c r="BX128" i="44" s="1"/>
  <c r="GX21" i="44"/>
  <c r="GX61" i="44" s="1"/>
  <c r="AM21" i="44"/>
  <c r="AM61" i="44" s="1"/>
  <c r="AM121" i="44" s="1"/>
  <c r="AM128" i="44" s="1"/>
  <c r="GX21" i="43"/>
  <c r="GX61" i="43" s="1"/>
  <c r="AM21" i="45"/>
  <c r="AM61" i="45" s="1"/>
  <c r="AM121" i="45" s="1"/>
  <c r="AM128" i="45" s="1"/>
  <c r="BE21" i="41"/>
  <c r="K21" i="41"/>
  <c r="K21" i="45"/>
  <c r="CP21" i="45"/>
  <c r="CP61" i="45" s="1"/>
  <c r="CP121" i="45" s="1"/>
  <c r="K21" i="44"/>
  <c r="K61" i="44" s="1"/>
  <c r="BX21" i="41"/>
  <c r="BX21" i="45"/>
  <c r="BX61" i="45" s="1"/>
  <c r="BX121" i="45" s="1"/>
  <c r="BE21" i="44"/>
  <c r="CP21" i="41"/>
  <c r="BE21" i="43"/>
  <c r="BE61" i="43" s="1"/>
  <c r="BE121" i="43" s="1"/>
  <c r="BE128" i="43" s="1"/>
  <c r="K21" i="43"/>
  <c r="GX21" i="45"/>
  <c r="AJ61" i="43"/>
  <c r="J165" i="44"/>
  <c r="AD19" i="35" s="1"/>
  <c r="Z19" i="35"/>
  <c r="V19" i="35" s="1"/>
  <c r="I165" i="44"/>
  <c r="AC19" i="35" s="1"/>
  <c r="BH43" i="41"/>
  <c r="AP36" i="43"/>
  <c r="DD61" i="43"/>
  <c r="HI61" i="43" s="1"/>
  <c r="AP54" i="43"/>
  <c r="BH19" i="43"/>
  <c r="AV61" i="43"/>
  <c r="AV121" i="43" s="1"/>
  <c r="AV128" i="43" s="1"/>
  <c r="CN37" i="44"/>
  <c r="AK37" i="45"/>
  <c r="BV37" i="45"/>
  <c r="AK37" i="41"/>
  <c r="I37" i="41"/>
  <c r="BV37" i="41"/>
  <c r="BV61" i="41" s="1"/>
  <c r="BV121" i="41" s="1"/>
  <c r="BV128" i="41" s="1"/>
  <c r="BV125" i="41" s="1"/>
  <c r="BC37" i="44"/>
  <c r="CN37" i="43"/>
  <c r="AK37" i="43"/>
  <c r="AK37" i="44"/>
  <c r="I37" i="45"/>
  <c r="BV37" i="44"/>
  <c r="CN37" i="41"/>
  <c r="I37" i="43"/>
  <c r="BC37" i="41"/>
  <c r="BC61" i="41" s="1"/>
  <c r="BC121" i="41" s="1"/>
  <c r="BC128" i="41" s="1"/>
  <c r="BC125" i="41" s="1"/>
  <c r="BV37" i="43"/>
  <c r="GV37" i="41"/>
  <c r="I37" i="44"/>
  <c r="GV37" i="44"/>
  <c r="CN37" i="45"/>
  <c r="GV37" i="45"/>
  <c r="BC37" i="43"/>
  <c r="BC37" i="45"/>
  <c r="GV37" i="43"/>
  <c r="HB30" i="43"/>
  <c r="DI30" i="43"/>
  <c r="CK35" i="45"/>
  <c r="CK35" i="44"/>
  <c r="F35" i="41"/>
  <c r="F35" i="43"/>
  <c r="F61" i="43" s="1"/>
  <c r="AH35" i="41"/>
  <c r="AH35" i="43"/>
  <c r="AZ35" i="45"/>
  <c r="AZ61" i="45" s="1"/>
  <c r="AZ121" i="45" s="1"/>
  <c r="AZ128" i="45" s="1"/>
  <c r="AH35" i="44"/>
  <c r="BS35" i="44"/>
  <c r="AZ35" i="43"/>
  <c r="F35" i="45"/>
  <c r="AH35" i="45"/>
  <c r="BS35" i="41"/>
  <c r="CK35" i="43"/>
  <c r="F35" i="44"/>
  <c r="F61" i="44" s="1"/>
  <c r="AZ35" i="41"/>
  <c r="GS35" i="44"/>
  <c r="CK35" i="41"/>
  <c r="AZ35" i="44"/>
  <c r="GS35" i="45"/>
  <c r="BS35" i="45"/>
  <c r="GS35" i="41"/>
  <c r="GS35" i="43"/>
  <c r="BS35" i="43"/>
  <c r="CS53" i="41"/>
  <c r="GQ31" i="43"/>
  <c r="GQ31" i="45"/>
  <c r="GQ31" i="41"/>
  <c r="CI31" i="44"/>
  <c r="AF31" i="44"/>
  <c r="CI31" i="45"/>
  <c r="AF31" i="45"/>
  <c r="AX31" i="45"/>
  <c r="D31" i="45"/>
  <c r="D61" i="45" s="1"/>
  <c r="CI31" i="41"/>
  <c r="AX31" i="44"/>
  <c r="AF31" i="41"/>
  <c r="CI31" i="43"/>
  <c r="D31" i="43"/>
  <c r="BQ31" i="44"/>
  <c r="BQ31" i="43"/>
  <c r="D31" i="44"/>
  <c r="D61" i="44" s="1"/>
  <c r="D31" i="41"/>
  <c r="AX31" i="41"/>
  <c r="AF31" i="43"/>
  <c r="BQ31" i="45"/>
  <c r="BQ61" i="45" s="1"/>
  <c r="BQ121" i="45" s="1"/>
  <c r="BQ128" i="45" s="1"/>
  <c r="AX31" i="43"/>
  <c r="BQ31" i="41"/>
  <c r="GQ31" i="44"/>
  <c r="GU21" i="41"/>
  <c r="GU61" i="41" s="1"/>
  <c r="GU121" i="41" s="1"/>
  <c r="GU21" i="43"/>
  <c r="GU61" i="43" s="1"/>
  <c r="BB21" i="41"/>
  <c r="BB61" i="41" s="1"/>
  <c r="BB121" i="41" s="1"/>
  <c r="BB128" i="41" s="1"/>
  <c r="BB125" i="41" s="1"/>
  <c r="BU21" i="41"/>
  <c r="BU21" i="43"/>
  <c r="BU61" i="43" s="1"/>
  <c r="BU121" i="43" s="1"/>
  <c r="BU128" i="43" s="1"/>
  <c r="BU125" i="43" s="1"/>
  <c r="H21" i="44"/>
  <c r="H21" i="41"/>
  <c r="AJ21" i="43"/>
  <c r="CM21" i="43"/>
  <c r="CM61" i="43" s="1"/>
  <c r="CM121" i="43" s="1"/>
  <c r="CM128" i="43" s="1"/>
  <c r="CM125" i="43" s="1"/>
  <c r="H21" i="45"/>
  <c r="AJ21" i="45"/>
  <c r="AJ61" i="45" s="1"/>
  <c r="AJ121" i="45" s="1"/>
  <c r="AJ128" i="45" s="1"/>
  <c r="AJ125" i="45" s="1"/>
  <c r="CM21" i="41"/>
  <c r="AJ21" i="44"/>
  <c r="AJ61" i="44" s="1"/>
  <c r="AJ121" i="44" s="1"/>
  <c r="GU21" i="44"/>
  <c r="BB21" i="45"/>
  <c r="BB61" i="45" s="1"/>
  <c r="BB121" i="45" s="1"/>
  <c r="H21" i="43"/>
  <c r="BB21" i="43"/>
  <c r="BB61" i="43" s="1"/>
  <c r="BB121" i="43" s="1"/>
  <c r="BB128" i="43" s="1"/>
  <c r="BB125" i="43" s="1"/>
  <c r="BB21" i="44"/>
  <c r="BB61" i="44" s="1"/>
  <c r="BB121" i="44" s="1"/>
  <c r="CM21" i="44"/>
  <c r="CM61" i="44" s="1"/>
  <c r="CM121" i="44" s="1"/>
  <c r="CM21" i="45"/>
  <c r="CM61" i="45" s="1"/>
  <c r="CM121" i="45" s="1"/>
  <c r="CM128" i="45" s="1"/>
  <c r="CM125" i="45" s="1"/>
  <c r="AJ21" i="41"/>
  <c r="AJ61" i="41" s="1"/>
  <c r="AJ121" i="41" s="1"/>
  <c r="AJ128" i="41" s="1"/>
  <c r="AJ125" i="41" s="1"/>
  <c r="BU21" i="45"/>
  <c r="BU61" i="45" s="1"/>
  <c r="BU121" i="45" s="1"/>
  <c r="BU21" i="44"/>
  <c r="GU21" i="45"/>
  <c r="P19" i="35"/>
  <c r="L19" i="35" s="1"/>
  <c r="I165" i="43"/>
  <c r="S19" i="35" s="1"/>
  <c r="J165" i="43"/>
  <c r="T19" i="35" s="1"/>
  <c r="FW127" i="41"/>
  <c r="FC127" i="41"/>
  <c r="O61" i="41"/>
  <c r="BS61" i="41"/>
  <c r="BS121" i="41" s="1"/>
  <c r="Q61" i="43"/>
  <c r="DV118" i="43"/>
  <c r="AM61" i="41"/>
  <c r="AM121" i="41" s="1"/>
  <c r="BX61" i="41"/>
  <c r="BX121" i="41" s="1"/>
  <c r="DX118" i="43"/>
  <c r="I127" i="45"/>
  <c r="BC127" i="45"/>
  <c r="AK127" i="45"/>
  <c r="AK128" i="45" s="1"/>
  <c r="AK125" i="45" s="1"/>
  <c r="DE127" i="45"/>
  <c r="CN127" i="45"/>
  <c r="CN128" i="45" s="1"/>
  <c r="CN125" i="45" s="1"/>
  <c r="BV127" i="45"/>
  <c r="BJ61" i="41"/>
  <c r="G162" i="41"/>
  <c r="G16" i="35" s="1"/>
  <c r="I34" i="35" s="1"/>
  <c r="N34" i="35" s="1"/>
  <c r="BH38" i="44"/>
  <c r="BH38" i="41"/>
  <c r="B15" i="35"/>
  <c r="CA32" i="43"/>
  <c r="BH32" i="44"/>
  <c r="CA32" i="45"/>
  <c r="BN6" i="18"/>
  <c r="BN29" i="18" s="1"/>
  <c r="BE29" i="18"/>
  <c r="FX66" i="45" s="1"/>
  <c r="DO118" i="41"/>
  <c r="CA48" i="43"/>
  <c r="W61" i="45"/>
  <c r="FY66" i="43"/>
  <c r="FZ71" i="41"/>
  <c r="GB71" i="41" s="1"/>
  <c r="FY66" i="41"/>
  <c r="GE33" i="45"/>
  <c r="AP43" i="41"/>
  <c r="CS43" i="44"/>
  <c r="CZ52" i="45"/>
  <c r="HE52" i="45" s="1"/>
  <c r="CZ52" i="43"/>
  <c r="HE52" i="43" s="1"/>
  <c r="CZ52" i="41"/>
  <c r="HE52" i="41" s="1"/>
  <c r="CZ52" i="44"/>
  <c r="HE52" i="44" s="1"/>
  <c r="CY52" i="44"/>
  <c r="HD52" i="44" s="1"/>
  <c r="CY52" i="45"/>
  <c r="HD52" i="45" s="1"/>
  <c r="CY52" i="41"/>
  <c r="HD52" i="41" s="1"/>
  <c r="CY52" i="43"/>
  <c r="HD52" i="43" s="1"/>
  <c r="G166" i="44"/>
  <c r="EC118" i="44"/>
  <c r="F162" i="43"/>
  <c r="M16" i="35"/>
  <c r="E34" i="35" s="1"/>
  <c r="B22" i="35"/>
  <c r="EC118" i="43"/>
  <c r="G166" i="43"/>
  <c r="AN61" i="45"/>
  <c r="AN121" i="45" s="1"/>
  <c r="AN128" i="45" s="1"/>
  <c r="GO61" i="45"/>
  <c r="E171" i="43"/>
  <c r="CA54" i="45"/>
  <c r="AP54" i="41"/>
  <c r="CS19" i="41"/>
  <c r="CS19" i="44"/>
  <c r="CS19" i="45"/>
  <c r="CG61" i="45"/>
  <c r="CG121" i="45" s="1"/>
  <c r="CG128" i="45" s="1"/>
  <c r="DR118" i="44"/>
  <c r="DT118" i="45"/>
  <c r="CX55" i="41"/>
  <c r="HC55" i="41" s="1"/>
  <c r="CX55" i="43"/>
  <c r="HC55" i="43" s="1"/>
  <c r="CX55" i="45"/>
  <c r="HC55" i="45" s="1"/>
  <c r="CX55" i="44"/>
  <c r="HC55" i="44" s="1"/>
  <c r="DG55" i="45"/>
  <c r="HL55" i="45" s="1"/>
  <c r="DG55" i="43"/>
  <c r="HL55" i="43" s="1"/>
  <c r="DG55" i="44"/>
  <c r="HL55" i="44" s="1"/>
  <c r="DG55" i="41"/>
  <c r="HL55" i="41" s="1"/>
  <c r="J16" i="24"/>
  <c r="B39" i="26"/>
  <c r="I36" i="35"/>
  <c r="N36" i="35" s="1"/>
  <c r="AH37" i="45"/>
  <c r="AZ37" i="44"/>
  <c r="BS37" i="45"/>
  <c r="AH37" i="43"/>
  <c r="BS37" i="41"/>
  <c r="BS37" i="44"/>
  <c r="CK37" i="43"/>
  <c r="CK37" i="41"/>
  <c r="CK37" i="44"/>
  <c r="BS37" i="43"/>
  <c r="CK37" i="45"/>
  <c r="F37" i="44"/>
  <c r="AH37" i="41"/>
  <c r="F37" i="45"/>
  <c r="GS37" i="41"/>
  <c r="AH37" i="44"/>
  <c r="GS37" i="45"/>
  <c r="F37" i="43"/>
  <c r="AZ37" i="41"/>
  <c r="F37" i="41"/>
  <c r="GS37" i="44"/>
  <c r="AZ37" i="43"/>
  <c r="AZ37" i="45"/>
  <c r="GS37" i="43"/>
  <c r="GN65" i="44"/>
  <c r="GO132" i="44" s="1"/>
  <c r="GW149" i="44" s="1"/>
  <c r="FW65" i="44"/>
  <c r="FW132" i="44" s="1"/>
  <c r="GE149" i="44" s="1"/>
  <c r="BW128" i="43"/>
  <c r="AL35" i="41"/>
  <c r="AL35" i="43"/>
  <c r="BD35" i="41"/>
  <c r="BD35" i="43"/>
  <c r="BD61" i="43" s="1"/>
  <c r="BD121" i="43" s="1"/>
  <c r="BD128" i="43" s="1"/>
  <c r="J35" i="45"/>
  <c r="CO35" i="41"/>
  <c r="CO61" i="41" s="1"/>
  <c r="CO121" i="41" s="1"/>
  <c r="CO128" i="41" s="1"/>
  <c r="CO35" i="45"/>
  <c r="CO35" i="44"/>
  <c r="CO61" i="44" s="1"/>
  <c r="CO121" i="44" s="1"/>
  <c r="CO128" i="44" s="1"/>
  <c r="BW35" i="41"/>
  <c r="CO35" i="43"/>
  <c r="BD35" i="45"/>
  <c r="GW35" i="45"/>
  <c r="BW35" i="45"/>
  <c r="BW35" i="44"/>
  <c r="BW61" i="44" s="1"/>
  <c r="BW121" i="44" s="1"/>
  <c r="BW128" i="44" s="1"/>
  <c r="BD35" i="44"/>
  <c r="J35" i="44"/>
  <c r="GW35" i="43"/>
  <c r="AL35" i="44"/>
  <c r="J35" i="43"/>
  <c r="AL35" i="45"/>
  <c r="GW35" i="44"/>
  <c r="J35" i="41"/>
  <c r="GW35" i="41"/>
  <c r="BW35" i="43"/>
  <c r="AM35" i="41"/>
  <c r="CP35" i="43"/>
  <c r="CP61" i="43" s="1"/>
  <c r="CP121" i="43" s="1"/>
  <c r="CP128" i="43" s="1"/>
  <c r="K35" i="43"/>
  <c r="K35" i="45"/>
  <c r="K35" i="44"/>
  <c r="GX35" i="45"/>
  <c r="BX35" i="44"/>
  <c r="BE35" i="43"/>
  <c r="AM35" i="43"/>
  <c r="BX35" i="41"/>
  <c r="CP35" i="44"/>
  <c r="CP35" i="45"/>
  <c r="AM35" i="45"/>
  <c r="K35" i="41"/>
  <c r="K61" i="41" s="1"/>
  <c r="BE35" i="45"/>
  <c r="BX35" i="45"/>
  <c r="BE35" i="41"/>
  <c r="CP35" i="41"/>
  <c r="BE35" i="44"/>
  <c r="GX35" i="43"/>
  <c r="AM35" i="44"/>
  <c r="GX35" i="44"/>
  <c r="GX35" i="41"/>
  <c r="BX35" i="43"/>
  <c r="DU118" i="43"/>
  <c r="B21" i="35"/>
  <c r="O42" i="25"/>
  <c r="L42" i="25"/>
  <c r="E42" i="25"/>
  <c r="B43" i="25"/>
  <c r="FZ71" i="44"/>
  <c r="GB71" i="44" s="1"/>
  <c r="FY66" i="44"/>
  <c r="BH53" i="43"/>
  <c r="AP53" i="44"/>
  <c r="BH30" i="43"/>
  <c r="DQ118" i="45"/>
  <c r="GP21" i="41"/>
  <c r="AE21" i="45"/>
  <c r="AE61" i="45" s="1"/>
  <c r="AE121" i="45" s="1"/>
  <c r="AE128" i="45" s="1"/>
  <c r="GP21" i="43"/>
  <c r="GP61" i="43" s="1"/>
  <c r="CH21" i="45"/>
  <c r="CH61" i="45" s="1"/>
  <c r="CH121" i="45" s="1"/>
  <c r="CH128" i="45" s="1"/>
  <c r="AE21" i="43"/>
  <c r="AE61" i="43" s="1"/>
  <c r="AE121" i="43" s="1"/>
  <c r="AE128" i="43" s="1"/>
  <c r="AW21" i="43"/>
  <c r="AW61" i="43" s="1"/>
  <c r="AW121" i="43" s="1"/>
  <c r="GP21" i="44"/>
  <c r="AE21" i="41"/>
  <c r="AE61" i="41" s="1"/>
  <c r="AE121" i="41" s="1"/>
  <c r="AE128" i="41" s="1"/>
  <c r="C21" i="43"/>
  <c r="C21" i="44"/>
  <c r="AW21" i="44"/>
  <c r="C21" i="41"/>
  <c r="CH21" i="41"/>
  <c r="CH61" i="41" s="1"/>
  <c r="CH121" i="41" s="1"/>
  <c r="CH128" i="41" s="1"/>
  <c r="BP21" i="44"/>
  <c r="BP61" i="44" s="1"/>
  <c r="BP121" i="44" s="1"/>
  <c r="BP128" i="44" s="1"/>
  <c r="BP21" i="43"/>
  <c r="AW21" i="45"/>
  <c r="AW21" i="41"/>
  <c r="AW61" i="41" s="1"/>
  <c r="AW121" i="41" s="1"/>
  <c r="AW128" i="41" s="1"/>
  <c r="CH21" i="43"/>
  <c r="C21" i="45"/>
  <c r="C61" i="45" s="1"/>
  <c r="AE21" i="44"/>
  <c r="AE61" i="44" s="1"/>
  <c r="AE121" i="44" s="1"/>
  <c r="BP21" i="45"/>
  <c r="BP61" i="45" s="1"/>
  <c r="BP121" i="45" s="1"/>
  <c r="BP128" i="45" s="1"/>
  <c r="CH21" i="44"/>
  <c r="CH61" i="44" s="1"/>
  <c r="CH121" i="44" s="1"/>
  <c r="BP21" i="41"/>
  <c r="GP21" i="45"/>
  <c r="GV21" i="41"/>
  <c r="BV21" i="43"/>
  <c r="BV61" i="43" s="1"/>
  <c r="BV121" i="43" s="1"/>
  <c r="BV128" i="43" s="1"/>
  <c r="BV125" i="43" s="1"/>
  <c r="BV21" i="45"/>
  <c r="BV61" i="45" s="1"/>
  <c r="BV121" i="45" s="1"/>
  <c r="AK21" i="43"/>
  <c r="AK61" i="43" s="1"/>
  <c r="AK121" i="43" s="1"/>
  <c r="AK128" i="43" s="1"/>
  <c r="AK125" i="43" s="1"/>
  <c r="I21" i="43"/>
  <c r="I61" i="43" s="1"/>
  <c r="AK21" i="41"/>
  <c r="AK61" i="41" s="1"/>
  <c r="AK121" i="41" s="1"/>
  <c r="AK128" i="41" s="1"/>
  <c r="AK125" i="41" s="1"/>
  <c r="CN21" i="44"/>
  <c r="BC21" i="41"/>
  <c r="I21" i="44"/>
  <c r="BC21" i="43"/>
  <c r="BC61" i="43" s="1"/>
  <c r="BC121" i="43" s="1"/>
  <c r="BC128" i="43" s="1"/>
  <c r="BC125" i="43" s="1"/>
  <c r="CN21" i="45"/>
  <c r="CN61" i="45" s="1"/>
  <c r="CN121" i="45" s="1"/>
  <c r="BV21" i="44"/>
  <c r="AK21" i="44"/>
  <c r="AK61" i="44" s="1"/>
  <c r="AK121" i="44" s="1"/>
  <c r="AK128" i="44" s="1"/>
  <c r="AK125" i="44" s="1"/>
  <c r="I21" i="41"/>
  <c r="I61" i="41" s="1"/>
  <c r="BV21" i="41"/>
  <c r="CN21" i="41"/>
  <c r="CN61" i="41" s="1"/>
  <c r="CN121" i="41" s="1"/>
  <c r="CN128" i="41" s="1"/>
  <c r="CN125" i="41" s="1"/>
  <c r="GV21" i="44"/>
  <c r="GV61" i="44" s="1"/>
  <c r="CN21" i="43"/>
  <c r="CN61" i="43" s="1"/>
  <c r="CN121" i="43" s="1"/>
  <c r="CN128" i="43" s="1"/>
  <c r="CN125" i="43" s="1"/>
  <c r="AK21" i="45"/>
  <c r="GV21" i="43"/>
  <c r="GV61" i="43" s="1"/>
  <c r="GV121" i="43" s="1"/>
  <c r="BC21" i="44"/>
  <c r="BC61" i="44" s="1"/>
  <c r="BC121" i="44" s="1"/>
  <c r="BC21" i="45"/>
  <c r="BC61" i="45" s="1"/>
  <c r="BC121" i="45" s="1"/>
  <c r="BC128" i="45" s="1"/>
  <c r="BC125" i="45" s="1"/>
  <c r="I21" i="45"/>
  <c r="GV21" i="45"/>
  <c r="GV61" i="45" s="1"/>
  <c r="O61" i="43"/>
  <c r="E61" i="44"/>
  <c r="G162" i="43"/>
  <c r="Q16" i="35" s="1"/>
  <c r="BJ61" i="43"/>
  <c r="BZ127" i="43"/>
  <c r="DI127" i="43"/>
  <c r="CR127" i="43"/>
  <c r="CR128" i="43" s="1"/>
  <c r="BG127" i="43"/>
  <c r="BG128" i="43" s="1"/>
  <c r="M127" i="43"/>
  <c r="AO127" i="43"/>
  <c r="CS51" i="45"/>
  <c r="AP51" i="45"/>
  <c r="FL127" i="44"/>
  <c r="GF127" i="44"/>
  <c r="GA127" i="44"/>
  <c r="FG127" i="44"/>
  <c r="FY127" i="41"/>
  <c r="FE127" i="41"/>
  <c r="FF127" i="45"/>
  <c r="FZ127" i="45"/>
  <c r="GN65" i="41"/>
  <c r="GO132" i="41" s="1"/>
  <c r="GW149" i="41" s="1"/>
  <c r="FW65" i="41"/>
  <c r="FW132" i="41" s="1"/>
  <c r="GE149" i="41" s="1"/>
  <c r="BE61" i="41"/>
  <c r="BE121" i="41" s="1"/>
  <c r="BE128" i="41" s="1"/>
  <c r="HM30" i="43"/>
  <c r="H61" i="43"/>
  <c r="GY118" i="43"/>
  <c r="GZ127" i="43" s="1"/>
  <c r="DZ127" i="43"/>
  <c r="HQ132" i="41"/>
  <c r="HY149" i="41" s="1"/>
  <c r="EO149" i="41"/>
  <c r="DE33" i="45"/>
  <c r="HJ33" i="45" s="1"/>
  <c r="DE33" i="41"/>
  <c r="DE33" i="44"/>
  <c r="HJ33" i="44" s="1"/>
  <c r="DE33" i="43"/>
  <c r="HJ33" i="43" s="1"/>
  <c r="B61" i="41"/>
  <c r="E37" i="41"/>
  <c r="E37" i="43"/>
  <c r="GR37" i="45"/>
  <c r="CJ37" i="44"/>
  <c r="E37" i="45"/>
  <c r="BR37" i="45"/>
  <c r="BR61" i="45" s="1"/>
  <c r="BR121" i="45" s="1"/>
  <c r="BR128" i="45" s="1"/>
  <c r="BR37" i="43"/>
  <c r="BR61" i="43" s="1"/>
  <c r="BR121" i="43" s="1"/>
  <c r="BR37" i="41"/>
  <c r="BR37" i="44"/>
  <c r="AG37" i="41"/>
  <c r="E37" i="44"/>
  <c r="GR37" i="44"/>
  <c r="CJ37" i="45"/>
  <c r="AY37" i="44"/>
  <c r="GR37" i="41"/>
  <c r="CJ37" i="41"/>
  <c r="AG37" i="43"/>
  <c r="AY37" i="41"/>
  <c r="AG37" i="45"/>
  <c r="CJ37" i="43"/>
  <c r="AG37" i="44"/>
  <c r="AY37" i="45"/>
  <c r="AY37" i="43"/>
  <c r="AY61" i="43" s="1"/>
  <c r="AY121" i="43" s="1"/>
  <c r="AY128" i="43" s="1"/>
  <c r="GR37" i="43"/>
  <c r="HB30" i="45"/>
  <c r="DI30" i="45"/>
  <c r="H127" i="45"/>
  <c r="BB127" i="45"/>
  <c r="BB128" i="45" s="1"/>
  <c r="BB125" i="45" s="1"/>
  <c r="CM127" i="45"/>
  <c r="DD127" i="45"/>
  <c r="AJ127" i="45"/>
  <c r="BU127" i="45"/>
  <c r="BU128" i="45" s="1"/>
  <c r="BU125" i="45" s="1"/>
  <c r="HD30" i="44"/>
  <c r="CY61" i="44"/>
  <c r="HD61" i="44" s="1"/>
  <c r="BF21" i="44"/>
  <c r="CQ21" i="44"/>
  <c r="CQ21" i="41"/>
  <c r="CQ61" i="41" s="1"/>
  <c r="CQ121" i="41" s="1"/>
  <c r="CQ128" i="41" s="1"/>
  <c r="BF21" i="41"/>
  <c r="GY21" i="41"/>
  <c r="L21" i="45"/>
  <c r="L21" i="43"/>
  <c r="BF21" i="45"/>
  <c r="BF61" i="45" s="1"/>
  <c r="BF121" i="45" s="1"/>
  <c r="BF128" i="45" s="1"/>
  <c r="L21" i="41"/>
  <c r="CQ21" i="45"/>
  <c r="BY21" i="44"/>
  <c r="L21" i="44"/>
  <c r="L61" i="44" s="1"/>
  <c r="BY21" i="43"/>
  <c r="AN21" i="43"/>
  <c r="AN61" i="43" s="1"/>
  <c r="AN121" i="43" s="1"/>
  <c r="AN21" i="44"/>
  <c r="AN61" i="44" s="1"/>
  <c r="AN121" i="44" s="1"/>
  <c r="BY21" i="45"/>
  <c r="BY61" i="45" s="1"/>
  <c r="BY121" i="45" s="1"/>
  <c r="BY128" i="45" s="1"/>
  <c r="AN21" i="41"/>
  <c r="CQ21" i="43"/>
  <c r="CQ61" i="43" s="1"/>
  <c r="CQ121" i="43" s="1"/>
  <c r="CQ128" i="43" s="1"/>
  <c r="GY21" i="43"/>
  <c r="AN21" i="45"/>
  <c r="BF21" i="43"/>
  <c r="BF61" i="43" s="1"/>
  <c r="BF121" i="43" s="1"/>
  <c r="BF128" i="43" s="1"/>
  <c r="BY21" i="41"/>
  <c r="GY21" i="44"/>
  <c r="GY61" i="44" s="1"/>
  <c r="GY21" i="45"/>
  <c r="GY61" i="45" s="1"/>
  <c r="GY121" i="45" s="1"/>
  <c r="DX118" i="44"/>
  <c r="CH127" i="44"/>
  <c r="CH128" i="44" s="1"/>
  <c r="BP127" i="44"/>
  <c r="AW127" i="44"/>
  <c r="AW128" i="44" s="1"/>
  <c r="AE127" i="44"/>
  <c r="C127" i="44"/>
  <c r="CY127" i="44"/>
  <c r="M29" i="35"/>
  <c r="E47" i="35" s="1"/>
  <c r="FH127" i="45"/>
  <c r="GB127" i="45"/>
  <c r="FF127" i="44"/>
  <c r="FZ127" i="44"/>
  <c r="FM127" i="45"/>
  <c r="GG127" i="45"/>
  <c r="GS61" i="44"/>
  <c r="GS121" i="44" s="1"/>
  <c r="DQ118" i="41"/>
  <c r="CA36" i="41"/>
  <c r="DD33" i="44"/>
  <c r="HI33" i="44" s="1"/>
  <c r="DD33" i="45"/>
  <c r="HI33" i="45" s="1"/>
  <c r="DD33" i="41"/>
  <c r="DD33" i="43"/>
  <c r="HI33" i="43" s="1"/>
  <c r="DX118" i="41"/>
  <c r="BH19" i="44"/>
  <c r="HJ30" i="45"/>
  <c r="Z16" i="35"/>
  <c r="V16" i="35" s="1"/>
  <c r="I162" i="44"/>
  <c r="AC16" i="35" s="1"/>
  <c r="J162" i="44"/>
  <c r="AD16" i="35" s="1"/>
  <c r="DH127" i="44"/>
  <c r="CQ127" i="44"/>
  <c r="L127" i="44"/>
  <c r="BY127" i="44"/>
  <c r="AN127" i="44"/>
  <c r="AN128" i="44" s="1"/>
  <c r="BF127" i="44"/>
  <c r="BC35" i="41"/>
  <c r="BV35" i="44"/>
  <c r="AK35" i="43"/>
  <c r="BV35" i="41"/>
  <c r="CN35" i="44"/>
  <c r="GV35" i="45"/>
  <c r="CN35" i="41"/>
  <c r="BC35" i="43"/>
  <c r="I35" i="41"/>
  <c r="CN35" i="45"/>
  <c r="AK35" i="44"/>
  <c r="CN35" i="43"/>
  <c r="I35" i="44"/>
  <c r="AK35" i="45"/>
  <c r="AK61" i="45" s="1"/>
  <c r="AK121" i="45" s="1"/>
  <c r="BV35" i="45"/>
  <c r="GV35" i="41"/>
  <c r="GV61" i="41" s="1"/>
  <c r="GV35" i="44"/>
  <c r="BC35" i="44"/>
  <c r="GV35" i="43"/>
  <c r="BC35" i="45"/>
  <c r="I35" i="43"/>
  <c r="AK35" i="41"/>
  <c r="I35" i="45"/>
  <c r="I61" i="45" s="1"/>
  <c r="BV35" i="43"/>
  <c r="HD30" i="43"/>
  <c r="BA31" i="45"/>
  <c r="G31" i="41"/>
  <c r="AI31" i="44"/>
  <c r="BT31" i="44"/>
  <c r="BT61" i="44" s="1"/>
  <c r="BT121" i="44" s="1"/>
  <c r="BT128" i="44" s="1"/>
  <c r="BT125" i="44" s="1"/>
  <c r="AI31" i="41"/>
  <c r="AI61" i="41" s="1"/>
  <c r="AI121" i="41" s="1"/>
  <c r="AI128" i="41" s="1"/>
  <c r="AI125" i="41" s="1"/>
  <c r="G31" i="45"/>
  <c r="CL31" i="41"/>
  <c r="G31" i="44"/>
  <c r="BT31" i="43"/>
  <c r="AI31" i="45"/>
  <c r="CL31" i="45"/>
  <c r="CL61" i="45" s="1"/>
  <c r="CL121" i="45" s="1"/>
  <c r="CL128" i="45" s="1"/>
  <c r="CL125" i="45" s="1"/>
  <c r="G31" i="43"/>
  <c r="BA31" i="41"/>
  <c r="BA61" i="41" s="1"/>
  <c r="BA121" i="41" s="1"/>
  <c r="BA31" i="44"/>
  <c r="CL31" i="43"/>
  <c r="BT31" i="45"/>
  <c r="BA31" i="43"/>
  <c r="GT31" i="45"/>
  <c r="CL31" i="44"/>
  <c r="BT31" i="41"/>
  <c r="GT31" i="41"/>
  <c r="GT61" i="41" s="1"/>
  <c r="GT31" i="43"/>
  <c r="AI31" i="43"/>
  <c r="AI61" i="43" s="1"/>
  <c r="AI121" i="43" s="1"/>
  <c r="AI128" i="43" s="1"/>
  <c r="AI125" i="43" s="1"/>
  <c r="GT31" i="44"/>
  <c r="AI61" i="44"/>
  <c r="AI121" i="44" s="1"/>
  <c r="BR61" i="44"/>
  <c r="BR121" i="44" s="1"/>
  <c r="P18" i="35"/>
  <c r="L18" i="35" s="1"/>
  <c r="I164" i="43"/>
  <c r="S18" i="35" s="1"/>
  <c r="J164" i="43"/>
  <c r="T18" i="35" s="1"/>
  <c r="K51" i="35"/>
  <c r="L51" i="35"/>
  <c r="FD127" i="41"/>
  <c r="FX127" i="41"/>
  <c r="GC127" i="41"/>
  <c r="FI127" i="41"/>
  <c r="DA61" i="41"/>
  <c r="HF61" i="41" s="1"/>
  <c r="DC61" i="41"/>
  <c r="HH61" i="41" s="1"/>
  <c r="AP32" i="44"/>
  <c r="H35" i="35"/>
  <c r="B17" i="35"/>
  <c r="O101" i="35"/>
  <c r="O102" i="35" s="1"/>
  <c r="O103" i="35" s="1"/>
  <c r="M61" i="41"/>
  <c r="CS48" i="45"/>
  <c r="DG52" i="43"/>
  <c r="HL52" i="43" s="1"/>
  <c r="DG52" i="41"/>
  <c r="HL52" i="41" s="1"/>
  <c r="DG52" i="45"/>
  <c r="HL52" i="45" s="1"/>
  <c r="DG52" i="44"/>
  <c r="HL52" i="44" s="1"/>
  <c r="J164" i="44"/>
  <c r="AD18" i="35" s="1"/>
  <c r="I164" i="44"/>
  <c r="AC18" i="35" s="1"/>
  <c r="Z18" i="35"/>
  <c r="V18" i="35" s="1"/>
  <c r="BH54" i="41"/>
  <c r="CS19" i="43"/>
  <c r="B19" i="35"/>
  <c r="J16" i="13"/>
  <c r="B39" i="15"/>
  <c r="U61" i="43"/>
  <c r="G171" i="45"/>
  <c r="AK25" i="35" s="1"/>
  <c r="AI25" i="35"/>
  <c r="F171" i="45"/>
  <c r="GX94" i="41"/>
  <c r="DY118" i="41"/>
  <c r="M20" i="35"/>
  <c r="D175" i="43"/>
  <c r="N29" i="35" s="1"/>
  <c r="F47" i="35" s="1"/>
  <c r="AL21" i="41"/>
  <c r="AL61" i="41" s="1"/>
  <c r="AL121" i="41" s="1"/>
  <c r="AL128" i="41" s="1"/>
  <c r="GW21" i="41"/>
  <c r="BW21" i="45"/>
  <c r="BW21" i="41"/>
  <c r="GW21" i="43"/>
  <c r="GW61" i="43" s="1"/>
  <c r="CO21" i="41"/>
  <c r="AL21" i="43"/>
  <c r="AL61" i="43" s="1"/>
  <c r="AL121" i="43" s="1"/>
  <c r="AL128" i="43" s="1"/>
  <c r="BW21" i="44"/>
  <c r="GW21" i="44"/>
  <c r="GW61" i="44" s="1"/>
  <c r="CO21" i="44"/>
  <c r="J21" i="45"/>
  <c r="J61" i="45" s="1"/>
  <c r="J21" i="44"/>
  <c r="J61" i="44" s="1"/>
  <c r="J21" i="43"/>
  <c r="J61" i="43" s="1"/>
  <c r="CO21" i="43"/>
  <c r="CO21" i="45"/>
  <c r="CO61" i="45" s="1"/>
  <c r="CO121" i="45" s="1"/>
  <c r="CO128" i="45" s="1"/>
  <c r="BD21" i="41"/>
  <c r="BD61" i="41" s="1"/>
  <c r="BD121" i="41" s="1"/>
  <c r="BD128" i="41" s="1"/>
  <c r="J21" i="41"/>
  <c r="J61" i="41" s="1"/>
  <c r="BW21" i="43"/>
  <c r="AL21" i="44"/>
  <c r="AL61" i="44" s="1"/>
  <c r="AL121" i="44" s="1"/>
  <c r="AL128" i="44" s="1"/>
  <c r="AL21" i="45"/>
  <c r="AL61" i="45" s="1"/>
  <c r="AL121" i="45" s="1"/>
  <c r="AL128" i="45" s="1"/>
  <c r="BD21" i="45"/>
  <c r="BD21" i="43"/>
  <c r="BD21" i="44"/>
  <c r="BD61" i="44" s="1"/>
  <c r="BD121" i="44" s="1"/>
  <c r="BD128" i="44" s="1"/>
  <c r="GW21" i="45"/>
  <c r="BW128" i="45"/>
  <c r="BM6" i="18"/>
  <c r="BM29" i="18" s="1"/>
  <c r="BD29" i="18"/>
  <c r="FX66" i="44" s="1"/>
  <c r="K49" i="35"/>
  <c r="L49" i="35"/>
  <c r="BH51" i="43"/>
  <c r="FJ127" i="41"/>
  <c r="GD127" i="41"/>
  <c r="FE127" i="43"/>
  <c r="FY127" i="43"/>
  <c r="F42" i="35"/>
  <c r="DZ118" i="44"/>
  <c r="J167" i="44"/>
  <c r="AD21" i="35" s="1"/>
  <c r="Z21" i="35"/>
  <c r="V21" i="35" s="1"/>
  <c r="I167" i="44"/>
  <c r="AC21" i="35" s="1"/>
  <c r="DU118" i="45"/>
  <c r="HM30" i="41"/>
  <c r="DQ118" i="44"/>
  <c r="AP38" i="44"/>
  <c r="I18" i="47"/>
  <c r="AP32" i="45"/>
  <c r="CS32" i="43"/>
  <c r="FJ12" i="45"/>
  <c r="FR12" i="45"/>
  <c r="FI12" i="45"/>
  <c r="FM12" i="45"/>
  <c r="FN12" i="45"/>
  <c r="FK12" i="45"/>
  <c r="FO12" i="45"/>
  <c r="FS12" i="45"/>
  <c r="FL12" i="45"/>
  <c r="FT12" i="45"/>
  <c r="GQ12" i="45"/>
  <c r="FP12" i="45"/>
  <c r="FQ12" i="45"/>
  <c r="H61" i="41"/>
  <c r="HC30" i="43"/>
  <c r="AR61" i="43"/>
  <c r="G161" i="43"/>
  <c r="Q15" i="35" s="1"/>
  <c r="BV61" i="44"/>
  <c r="BV121" i="44" s="1"/>
  <c r="BV128" i="44" s="1"/>
  <c r="BV125" i="44" s="1"/>
  <c r="CR61" i="43"/>
  <c r="CR121" i="43" s="1"/>
  <c r="AP48" i="41"/>
  <c r="BH48" i="44"/>
  <c r="AP48" i="44"/>
  <c r="W61" i="43"/>
  <c r="DR118" i="43"/>
  <c r="CA43" i="45"/>
  <c r="BH43" i="45"/>
  <c r="DF52" i="43"/>
  <c r="HK52" i="43" s="1"/>
  <c r="DF52" i="45"/>
  <c r="HK52" i="45" s="1"/>
  <c r="DF52" i="41"/>
  <c r="HK52" i="41" s="1"/>
  <c r="DF52" i="44"/>
  <c r="HK52" i="44" s="1"/>
  <c r="CS36" i="43"/>
  <c r="CA36" i="45"/>
  <c r="CW33" i="44"/>
  <c r="CW33" i="45"/>
  <c r="CW33" i="41"/>
  <c r="CW33" i="43"/>
  <c r="CW61" i="43" s="1"/>
  <c r="HB61" i="43" s="1"/>
  <c r="DH33" i="45"/>
  <c r="HM33" i="45" s="1"/>
  <c r="DH33" i="44"/>
  <c r="HM33" i="44" s="1"/>
  <c r="DH33" i="41"/>
  <c r="HM33" i="41" s="1"/>
  <c r="DH33" i="43"/>
  <c r="HM33" i="43" s="1"/>
  <c r="CZ61" i="44"/>
  <c r="HE61" i="44" s="1"/>
  <c r="DS118" i="45"/>
  <c r="BR128" i="44"/>
  <c r="BF61" i="44"/>
  <c r="BF121" i="44" s="1"/>
  <c r="BY61" i="41"/>
  <c r="BY121" i="41" s="1"/>
  <c r="BY128" i="41" s="1"/>
  <c r="AN61" i="41"/>
  <c r="AN121" i="41" s="1"/>
  <c r="AN128" i="41" s="1"/>
  <c r="DB61" i="43"/>
  <c r="HG61" i="43" s="1"/>
  <c r="I161" i="43"/>
  <c r="S15" i="35" s="1"/>
  <c r="P15" i="35"/>
  <c r="L15" i="35" s="1"/>
  <c r="J161" i="43"/>
  <c r="T15" i="35" s="1"/>
  <c r="DV118" i="44"/>
  <c r="GF126" i="43"/>
  <c r="FZ126" i="43"/>
  <c r="GA126" i="43"/>
  <c r="GD126" i="43"/>
  <c r="FX126" i="43"/>
  <c r="FY126" i="43"/>
  <c r="GH126" i="43"/>
  <c r="GG126" i="43"/>
  <c r="GC126" i="43"/>
  <c r="GB126" i="43"/>
  <c r="FW126" i="43"/>
  <c r="GE126" i="43"/>
  <c r="B61" i="45"/>
  <c r="CA19" i="44"/>
  <c r="CA19" i="41"/>
  <c r="CO61" i="43"/>
  <c r="CO121" i="43" s="1"/>
  <c r="CO128" i="43" s="1"/>
  <c r="CW55" i="41"/>
  <c r="CW55" i="43"/>
  <c r="CW55" i="44"/>
  <c r="CW55" i="45"/>
  <c r="DE55" i="44"/>
  <c r="HJ55" i="44" s="1"/>
  <c r="DE55" i="43"/>
  <c r="HJ55" i="43" s="1"/>
  <c r="DE55" i="41"/>
  <c r="HJ55" i="41" s="1"/>
  <c r="DE55" i="45"/>
  <c r="HJ55" i="45" s="1"/>
  <c r="O78" i="35"/>
  <c r="P78" i="35" s="1"/>
  <c r="Q78" i="35" s="1"/>
  <c r="O39" i="26"/>
  <c r="O80" i="35"/>
  <c r="P80" i="35" s="1"/>
  <c r="Q80" i="35" s="1"/>
  <c r="O81" i="35"/>
  <c r="P81" i="35" s="1"/>
  <c r="Q81" i="35" s="1"/>
  <c r="J39" i="26"/>
  <c r="J52" i="26" s="1"/>
  <c r="D65" i="26" s="1"/>
  <c r="L39" i="26"/>
  <c r="K39" i="26"/>
  <c r="K52" i="26" s="1"/>
  <c r="D66" i="26" s="1"/>
  <c r="O77" i="35"/>
  <c r="P77" i="35" s="1"/>
  <c r="I39" i="26"/>
  <c r="D14" i="28"/>
  <c r="B42" i="26"/>
  <c r="O74" i="35"/>
  <c r="P74" i="35" s="1"/>
  <c r="O79" i="35"/>
  <c r="P79" i="35" s="1"/>
  <c r="Q79" i="35" s="1"/>
  <c r="B52" i="26"/>
  <c r="CN127" i="44"/>
  <c r="CN128" i="44" s="1"/>
  <c r="CN125" i="44" s="1"/>
  <c r="AK127" i="44"/>
  <c r="DE127" i="44"/>
  <c r="I127" i="44"/>
  <c r="BC127" i="44"/>
  <c r="BC128" i="44" s="1"/>
  <c r="BC125" i="44" s="1"/>
  <c r="BV127" i="44"/>
  <c r="BB37" i="41"/>
  <c r="H37" i="45"/>
  <c r="AJ37" i="44"/>
  <c r="AJ37" i="43"/>
  <c r="BB37" i="44"/>
  <c r="AJ37" i="45"/>
  <c r="CM37" i="44"/>
  <c r="H37" i="43"/>
  <c r="AJ37" i="41"/>
  <c r="BU37" i="43"/>
  <c r="H37" i="44"/>
  <c r="H61" i="44" s="1"/>
  <c r="BU37" i="41"/>
  <c r="CM37" i="45"/>
  <c r="GU37" i="41"/>
  <c r="H37" i="41"/>
  <c r="CM37" i="41"/>
  <c r="BU37" i="45"/>
  <c r="CM37" i="43"/>
  <c r="GU37" i="45"/>
  <c r="GU37" i="44"/>
  <c r="BU37" i="44"/>
  <c r="BB37" i="45"/>
  <c r="BB37" i="43"/>
  <c r="GU37" i="43"/>
  <c r="BQ61" i="41"/>
  <c r="G52" i="27"/>
  <c r="D62" i="27" s="1"/>
  <c r="E15" i="28"/>
  <c r="D70" i="27"/>
  <c r="B31" i="23"/>
  <c r="E64" i="35" s="1"/>
  <c r="I64" i="35" s="1"/>
  <c r="D71" i="27"/>
  <c r="D67" i="27"/>
  <c r="D68" i="27"/>
  <c r="D69" i="27"/>
  <c r="D60" i="27"/>
  <c r="B43" i="27"/>
  <c r="L42" i="27"/>
  <c r="O42" i="27"/>
  <c r="E42" i="27"/>
  <c r="CH128" i="43"/>
  <c r="HB32" i="43"/>
  <c r="DI32" i="43"/>
  <c r="L35" i="41"/>
  <c r="CQ35" i="41"/>
  <c r="CQ35" i="43"/>
  <c r="L35" i="44"/>
  <c r="AN35" i="44"/>
  <c r="BY35" i="41"/>
  <c r="BF35" i="41"/>
  <c r="AN35" i="45"/>
  <c r="BY35" i="45"/>
  <c r="BY35" i="44"/>
  <c r="CQ35" i="44"/>
  <c r="AN35" i="43"/>
  <c r="BF35" i="45"/>
  <c r="BF35" i="44"/>
  <c r="L35" i="43"/>
  <c r="BF35" i="43"/>
  <c r="CQ35" i="45"/>
  <c r="AN35" i="41"/>
  <c r="GY35" i="41"/>
  <c r="L35" i="45"/>
  <c r="GY35" i="44"/>
  <c r="GY35" i="45"/>
  <c r="GY35" i="43"/>
  <c r="BY35" i="43"/>
  <c r="X61" i="45"/>
  <c r="E171" i="44"/>
  <c r="CH61" i="43"/>
  <c r="CH121" i="43" s="1"/>
  <c r="BP61" i="41"/>
  <c r="BP121" i="41" s="1"/>
  <c r="BP128" i="41" s="1"/>
  <c r="AP53" i="41"/>
  <c r="AP30" i="41"/>
  <c r="D259" i="12"/>
  <c r="D34" i="28" s="1"/>
  <c r="E259" i="12"/>
  <c r="E34" i="28" s="1"/>
  <c r="C259" i="12"/>
  <c r="C34" i="28" s="1"/>
  <c r="B259" i="12"/>
  <c r="B34" i="28" s="1"/>
  <c r="DU118" i="41"/>
  <c r="DZ118" i="41"/>
  <c r="GO31" i="45"/>
  <c r="BO31" i="44"/>
  <c r="CG31" i="44"/>
  <c r="CG31" i="41"/>
  <c r="CG31" i="45"/>
  <c r="AV31" i="41"/>
  <c r="BH31" i="41" s="1"/>
  <c r="GO31" i="43"/>
  <c r="BO31" i="41"/>
  <c r="CA31" i="41" s="1"/>
  <c r="AV31" i="43"/>
  <c r="B31" i="41"/>
  <c r="BO31" i="43"/>
  <c r="AV31" i="44"/>
  <c r="AV31" i="45"/>
  <c r="GO31" i="41"/>
  <c r="B31" i="44"/>
  <c r="AD31" i="45"/>
  <c r="AP31" i="45" s="1"/>
  <c r="AD31" i="41"/>
  <c r="BO31" i="45"/>
  <c r="CA31" i="45" s="1"/>
  <c r="AD31" i="43"/>
  <c r="AD61" i="43" s="1"/>
  <c r="AD121" i="43" s="1"/>
  <c r="AD128" i="43" s="1"/>
  <c r="B31" i="45"/>
  <c r="AD31" i="44"/>
  <c r="CG31" i="43"/>
  <c r="CG61" i="43" s="1"/>
  <c r="CG121" i="43" s="1"/>
  <c r="CG128" i="43" s="1"/>
  <c r="B31" i="43"/>
  <c r="B61" i="43" s="1"/>
  <c r="GO31" i="44"/>
  <c r="GO61" i="44" s="1"/>
  <c r="GU31" i="43"/>
  <c r="AJ31" i="45"/>
  <c r="H31" i="45"/>
  <c r="CM31" i="43"/>
  <c r="H31" i="43"/>
  <c r="CM31" i="41"/>
  <c r="CM61" i="41" s="1"/>
  <c r="CM121" i="41" s="1"/>
  <c r="CM128" i="41" s="1"/>
  <c r="CM125" i="41" s="1"/>
  <c r="BU31" i="44"/>
  <c r="BU61" i="44" s="1"/>
  <c r="BU121" i="44" s="1"/>
  <c r="BU128" i="44" s="1"/>
  <c r="BU125" i="44" s="1"/>
  <c r="GU31" i="41"/>
  <c r="BU31" i="41"/>
  <c r="CM31" i="44"/>
  <c r="BU31" i="43"/>
  <c r="CM31" i="45"/>
  <c r="GU31" i="45"/>
  <c r="BB31" i="44"/>
  <c r="BB31" i="45"/>
  <c r="BB31" i="43"/>
  <c r="BU31" i="45"/>
  <c r="AJ31" i="44"/>
  <c r="H31" i="41"/>
  <c r="BB31" i="41"/>
  <c r="AJ31" i="43"/>
  <c r="H31" i="44"/>
  <c r="AJ31" i="41"/>
  <c r="GU31" i="44"/>
  <c r="GU61" i="44" s="1"/>
  <c r="GZ21" i="41"/>
  <c r="BG21" i="41"/>
  <c r="BG61" i="41" s="1"/>
  <c r="BG121" i="41" s="1"/>
  <c r="BG21" i="45"/>
  <c r="BG61" i="45" s="1"/>
  <c r="BG121" i="45" s="1"/>
  <c r="CR21" i="43"/>
  <c r="BG21" i="44"/>
  <c r="BG61" i="44" s="1"/>
  <c r="BG121" i="44" s="1"/>
  <c r="BG128" i="44" s="1"/>
  <c r="AO21" i="41"/>
  <c r="AO61" i="41" s="1"/>
  <c r="AO121" i="41" s="1"/>
  <c r="BZ21" i="43"/>
  <c r="BZ61" i="43" s="1"/>
  <c r="BZ121" i="43" s="1"/>
  <c r="M21" i="44"/>
  <c r="M61" i="44" s="1"/>
  <c r="BZ21" i="44"/>
  <c r="M21" i="43"/>
  <c r="M61" i="43" s="1"/>
  <c r="AO21" i="44"/>
  <c r="AO61" i="44" s="1"/>
  <c r="AO121" i="44" s="1"/>
  <c r="AO128" i="44" s="1"/>
  <c r="GZ21" i="43"/>
  <c r="M21" i="41"/>
  <c r="M21" i="45"/>
  <c r="M61" i="45" s="1"/>
  <c r="AO21" i="43"/>
  <c r="AO61" i="43" s="1"/>
  <c r="AO121" i="43" s="1"/>
  <c r="GZ21" i="44"/>
  <c r="GZ61" i="44" s="1"/>
  <c r="GZ121" i="44" s="1"/>
  <c r="BZ21" i="45"/>
  <c r="CR21" i="44"/>
  <c r="CR61" i="44" s="1"/>
  <c r="CR121" i="44" s="1"/>
  <c r="CR128" i="44" s="1"/>
  <c r="CR21" i="41"/>
  <c r="BG21" i="43"/>
  <c r="BZ21" i="41"/>
  <c r="AO21" i="45"/>
  <c r="CR21" i="45"/>
  <c r="CR61" i="45" s="1"/>
  <c r="CR121" i="45" s="1"/>
  <c r="CR128" i="45" s="1"/>
  <c r="GZ21" i="45"/>
  <c r="GZ61" i="45" s="1"/>
  <c r="D21" i="41"/>
  <c r="D61" i="41" s="1"/>
  <c r="AX21" i="43"/>
  <c r="AX61" i="43" s="1"/>
  <c r="AX121" i="43" s="1"/>
  <c r="AX128" i="43" s="1"/>
  <c r="CI21" i="44"/>
  <c r="CI61" i="44" s="1"/>
  <c r="CI121" i="44" s="1"/>
  <c r="CI128" i="44" s="1"/>
  <c r="D21" i="43"/>
  <c r="D61" i="43" s="1"/>
  <c r="AF21" i="43"/>
  <c r="AF61" i="43" s="1"/>
  <c r="AF121" i="43" s="1"/>
  <c r="AF128" i="43" s="1"/>
  <c r="BQ21" i="44"/>
  <c r="BQ61" i="44" s="1"/>
  <c r="BQ121" i="44" s="1"/>
  <c r="BQ128" i="44" s="1"/>
  <c r="AX21" i="44"/>
  <c r="AX61" i="44" s="1"/>
  <c r="AX121" i="44" s="1"/>
  <c r="AX128" i="44" s="1"/>
  <c r="GQ21" i="41"/>
  <c r="GQ61" i="41" s="1"/>
  <c r="CI21" i="41"/>
  <c r="CI61" i="41" s="1"/>
  <c r="CI121" i="41" s="1"/>
  <c r="CI128" i="41" s="1"/>
  <c r="AF21" i="44"/>
  <c r="AF61" i="44" s="1"/>
  <c r="AF121" i="44" s="1"/>
  <c r="AF128" i="44" s="1"/>
  <c r="D21" i="45"/>
  <c r="BQ21" i="41"/>
  <c r="BQ21" i="45"/>
  <c r="AF21" i="41"/>
  <c r="AF61" i="41" s="1"/>
  <c r="AF121" i="41" s="1"/>
  <c r="AF128" i="41" s="1"/>
  <c r="AX21" i="45"/>
  <c r="AX61" i="45" s="1"/>
  <c r="AX121" i="45" s="1"/>
  <c r="AX128" i="45" s="1"/>
  <c r="BQ21" i="43"/>
  <c r="BQ61" i="43" s="1"/>
  <c r="BQ121" i="43" s="1"/>
  <c r="BQ128" i="43" s="1"/>
  <c r="AF21" i="45"/>
  <c r="AF61" i="45" s="1"/>
  <c r="AF121" i="45" s="1"/>
  <c r="AF128" i="45" s="1"/>
  <c r="CI21" i="45"/>
  <c r="CI61" i="45" s="1"/>
  <c r="CI121" i="45" s="1"/>
  <c r="CI128" i="45" s="1"/>
  <c r="D21" i="44"/>
  <c r="CI21" i="43"/>
  <c r="CI61" i="43" s="1"/>
  <c r="CI121" i="43" s="1"/>
  <c r="CI128" i="43" s="1"/>
  <c r="GQ21" i="43"/>
  <c r="GQ61" i="43" s="1"/>
  <c r="GQ21" i="44"/>
  <c r="GQ61" i="44" s="1"/>
  <c r="GQ121" i="44" s="1"/>
  <c r="AX21" i="41"/>
  <c r="AX61" i="41" s="1"/>
  <c r="AX121" i="41" s="1"/>
  <c r="AX128" i="41" s="1"/>
  <c r="GQ21" i="45"/>
  <c r="GQ61" i="45" s="1"/>
  <c r="CL61" i="43"/>
  <c r="CL121" i="43" s="1"/>
  <c r="CL128" i="43" s="1"/>
  <c r="CL125" i="43" s="1"/>
  <c r="CJ61" i="44"/>
  <c r="CJ121" i="44" s="1"/>
  <c r="CJ128" i="44" s="1"/>
  <c r="F43" i="35"/>
  <c r="DP118" i="44"/>
  <c r="BH51" i="45"/>
  <c r="CS51" i="44"/>
  <c r="AM128" i="41"/>
  <c r="BS128" i="41"/>
  <c r="I168" i="44"/>
  <c r="AC22" i="35" s="1"/>
  <c r="Z22" i="35"/>
  <c r="V22" i="35" s="1"/>
  <c r="J168" i="44"/>
  <c r="AD22" i="35" s="1"/>
  <c r="D121" i="41" l="1"/>
  <c r="DQ121" i="41"/>
  <c r="BY129" i="41"/>
  <c r="BY125" i="41"/>
  <c r="AW129" i="44"/>
  <c r="AW125" i="44"/>
  <c r="GV121" i="45"/>
  <c r="BD129" i="43"/>
  <c r="BD125" i="43"/>
  <c r="BE129" i="43"/>
  <c r="BE125" i="43"/>
  <c r="BW129" i="41"/>
  <c r="BW125" i="41"/>
  <c r="CQ129" i="44"/>
  <c r="CQ125" i="44"/>
  <c r="CP125" i="45"/>
  <c r="CP129" i="45"/>
  <c r="AG125" i="45"/>
  <c r="AG129" i="45"/>
  <c r="BE125" i="41"/>
  <c r="BE129" i="41"/>
  <c r="BR125" i="43"/>
  <c r="BR129" i="43"/>
  <c r="AD125" i="41"/>
  <c r="AD129" i="41"/>
  <c r="BE129" i="45"/>
  <c r="BE125" i="45"/>
  <c r="AY125" i="41"/>
  <c r="AY129" i="41"/>
  <c r="AX125" i="45"/>
  <c r="AX129" i="45"/>
  <c r="AL129" i="41"/>
  <c r="AL125" i="41"/>
  <c r="CP125" i="43"/>
  <c r="CP129" i="43"/>
  <c r="AM129" i="45"/>
  <c r="AM125" i="45"/>
  <c r="AM129" i="43"/>
  <c r="AM125" i="43"/>
  <c r="AH129" i="44"/>
  <c r="AH125" i="44"/>
  <c r="DA128" i="43"/>
  <c r="AO125" i="41"/>
  <c r="AO129" i="41"/>
  <c r="BX125" i="45"/>
  <c r="BX129" i="45"/>
  <c r="AG125" i="44"/>
  <c r="AG129" i="44"/>
  <c r="CK125" i="45"/>
  <c r="CK129" i="45"/>
  <c r="AF125" i="41"/>
  <c r="AF129" i="41"/>
  <c r="BQ125" i="44"/>
  <c r="BQ129" i="44"/>
  <c r="DZ121" i="45"/>
  <c r="M121" i="45"/>
  <c r="CG129" i="43"/>
  <c r="CG125" i="43"/>
  <c r="H121" i="44"/>
  <c r="DU121" i="44"/>
  <c r="BD129" i="41"/>
  <c r="BD125" i="41"/>
  <c r="GV121" i="41"/>
  <c r="BZ128" i="43"/>
  <c r="DV121" i="43"/>
  <c r="I121" i="43"/>
  <c r="DE121" i="43"/>
  <c r="DE128" i="43" s="1"/>
  <c r="DE125" i="43" s="1"/>
  <c r="BP125" i="45"/>
  <c r="BP129" i="45"/>
  <c r="CH125" i="41"/>
  <c r="CH129" i="41"/>
  <c r="AE125" i="43"/>
  <c r="AE129" i="43"/>
  <c r="DB121" i="44"/>
  <c r="DB128" i="44" s="1"/>
  <c r="F121" i="44"/>
  <c r="DS121" i="44"/>
  <c r="AZ125" i="45"/>
  <c r="AZ129" i="45"/>
  <c r="GX121" i="43"/>
  <c r="CQ125" i="45"/>
  <c r="CQ129" i="45"/>
  <c r="CJ129" i="41"/>
  <c r="CJ125" i="41"/>
  <c r="AG129" i="41"/>
  <c r="AG125" i="41"/>
  <c r="BZ125" i="45"/>
  <c r="BZ129" i="45"/>
  <c r="BG128" i="41"/>
  <c r="K121" i="43"/>
  <c r="DX121" i="43"/>
  <c r="DS121" i="41"/>
  <c r="DS128" i="41" s="1"/>
  <c r="F121" i="41"/>
  <c r="DB121" i="41"/>
  <c r="DB128" i="41" s="1"/>
  <c r="CJ125" i="45"/>
  <c r="CJ129" i="45"/>
  <c r="BY125" i="44"/>
  <c r="BY129" i="44"/>
  <c r="AL129" i="44"/>
  <c r="AL125" i="44"/>
  <c r="DQ121" i="44"/>
  <c r="D121" i="44"/>
  <c r="CZ121" i="44"/>
  <c r="CZ128" i="44" s="1"/>
  <c r="BX129" i="43"/>
  <c r="BX125" i="43"/>
  <c r="BQ125" i="43"/>
  <c r="BQ129" i="43"/>
  <c r="CR125" i="43"/>
  <c r="CR129" i="43"/>
  <c r="C121" i="43"/>
  <c r="C128" i="43" s="1"/>
  <c r="DP121" i="43"/>
  <c r="DP128" i="43" s="1"/>
  <c r="AX129" i="41"/>
  <c r="AX125" i="41"/>
  <c r="B121" i="43"/>
  <c r="CX121" i="43"/>
  <c r="CX128" i="43" s="1"/>
  <c r="DO121" i="43"/>
  <c r="DO128" i="43" s="1"/>
  <c r="J121" i="41"/>
  <c r="DW121" i="41"/>
  <c r="DF121" i="41"/>
  <c r="DF128" i="41" s="1"/>
  <c r="CH125" i="44"/>
  <c r="CH129" i="44"/>
  <c r="I121" i="41"/>
  <c r="DV121" i="41"/>
  <c r="AF129" i="43"/>
  <c r="AF125" i="43"/>
  <c r="CO129" i="45"/>
  <c r="CO125" i="45"/>
  <c r="CG129" i="45"/>
  <c r="CG125" i="45"/>
  <c r="AM125" i="44"/>
  <c r="AM129" i="44"/>
  <c r="DR121" i="43"/>
  <c r="E121" i="43"/>
  <c r="DA121" i="43"/>
  <c r="AJ128" i="44"/>
  <c r="AJ125" i="44" s="1"/>
  <c r="AZ129" i="43"/>
  <c r="AZ125" i="43"/>
  <c r="CK129" i="43"/>
  <c r="CK125" i="43"/>
  <c r="DS121" i="45"/>
  <c r="DB121" i="45"/>
  <c r="DB128" i="45" s="1"/>
  <c r="F121" i="45"/>
  <c r="AW128" i="43"/>
  <c r="AY129" i="44"/>
  <c r="AY125" i="44"/>
  <c r="BZ125" i="44"/>
  <c r="BZ129" i="44"/>
  <c r="CI129" i="43"/>
  <c r="CI125" i="43"/>
  <c r="DQ121" i="43"/>
  <c r="D121" i="43"/>
  <c r="DI61" i="43"/>
  <c r="B165" i="43" s="1"/>
  <c r="GY121" i="44"/>
  <c r="DP121" i="45"/>
  <c r="C121" i="45"/>
  <c r="DX121" i="44"/>
  <c r="K121" i="44"/>
  <c r="AH125" i="45"/>
  <c r="AH129" i="45"/>
  <c r="DY121" i="43"/>
  <c r="DY128" i="43" s="1"/>
  <c r="L121" i="43"/>
  <c r="G121" i="41"/>
  <c r="DT121" i="41"/>
  <c r="CK125" i="41"/>
  <c r="CK129" i="41"/>
  <c r="BS129" i="44"/>
  <c r="BS125" i="44"/>
  <c r="AH125" i="43"/>
  <c r="AH129" i="43"/>
  <c r="DR121" i="45"/>
  <c r="E121" i="45"/>
  <c r="BE125" i="44"/>
  <c r="BE129" i="44"/>
  <c r="BG128" i="45"/>
  <c r="GO121" i="43"/>
  <c r="CI125" i="41"/>
  <c r="CI129" i="41"/>
  <c r="L121" i="44"/>
  <c r="DY121" i="44"/>
  <c r="DY128" i="44" s="1"/>
  <c r="AE125" i="41"/>
  <c r="AE129" i="41"/>
  <c r="DO121" i="44"/>
  <c r="B121" i="44"/>
  <c r="CX121" i="44"/>
  <c r="CX128" i="44" s="1"/>
  <c r="CR129" i="41"/>
  <c r="CR125" i="41"/>
  <c r="DZ121" i="44"/>
  <c r="M121" i="44"/>
  <c r="DI121" i="44"/>
  <c r="DI128" i="44" s="1"/>
  <c r="BP125" i="41"/>
  <c r="BP129" i="41"/>
  <c r="CK129" i="44"/>
  <c r="CK125" i="44"/>
  <c r="AX129" i="44"/>
  <c r="AX125" i="44"/>
  <c r="CO125" i="43"/>
  <c r="CO129" i="43"/>
  <c r="CQ125" i="43"/>
  <c r="CQ129" i="43"/>
  <c r="BG125" i="44"/>
  <c r="BG129" i="44"/>
  <c r="AL125" i="43"/>
  <c r="AL129" i="43"/>
  <c r="BY129" i="45"/>
  <c r="BY125" i="45"/>
  <c r="CO129" i="44"/>
  <c r="CO125" i="44"/>
  <c r="AN125" i="45"/>
  <c r="AN129" i="45"/>
  <c r="CP129" i="44"/>
  <c r="CP125" i="44"/>
  <c r="CI129" i="44"/>
  <c r="CI125" i="44"/>
  <c r="AO129" i="44"/>
  <c r="AO125" i="44"/>
  <c r="AD125" i="43"/>
  <c r="AD129" i="43"/>
  <c r="DW121" i="43"/>
  <c r="J121" i="43"/>
  <c r="AO128" i="43"/>
  <c r="AE129" i="45"/>
  <c r="AE125" i="45"/>
  <c r="K121" i="41"/>
  <c r="DX121" i="41"/>
  <c r="DG121" i="41"/>
  <c r="DG128" i="41" s="1"/>
  <c r="BW129" i="44"/>
  <c r="BW125" i="44"/>
  <c r="CO125" i="41"/>
  <c r="CO129" i="41"/>
  <c r="F121" i="43"/>
  <c r="DS121" i="43"/>
  <c r="BX129" i="44"/>
  <c r="BX125" i="44"/>
  <c r="AZ129" i="44"/>
  <c r="AZ125" i="44"/>
  <c r="L121" i="45"/>
  <c r="DY121" i="45"/>
  <c r="DH121" i="45"/>
  <c r="DH128" i="45" s="1"/>
  <c r="BY125" i="43"/>
  <c r="BY129" i="43"/>
  <c r="G121" i="44"/>
  <c r="DT121" i="44"/>
  <c r="DC121" i="44"/>
  <c r="DC128" i="44" s="1"/>
  <c r="DC125" i="44" s="1"/>
  <c r="BR129" i="41"/>
  <c r="BR125" i="41"/>
  <c r="BZ128" i="41"/>
  <c r="CM128" i="44"/>
  <c r="CM125" i="44" s="1"/>
  <c r="AN128" i="43"/>
  <c r="AD125" i="44"/>
  <c r="AD129" i="44"/>
  <c r="GW121" i="41"/>
  <c r="AF125" i="45"/>
  <c r="AF129" i="45"/>
  <c r="DW121" i="45"/>
  <c r="DF121" i="45"/>
  <c r="DF128" i="45" s="1"/>
  <c r="J121" i="45"/>
  <c r="BR125" i="45"/>
  <c r="BR129" i="45"/>
  <c r="BG125" i="43"/>
  <c r="BG129" i="43"/>
  <c r="DQ121" i="45"/>
  <c r="CZ121" i="45"/>
  <c r="CZ128" i="45" s="1"/>
  <c r="D121" i="45"/>
  <c r="BS129" i="45"/>
  <c r="BS125" i="45"/>
  <c r="BX129" i="41"/>
  <c r="BX125" i="41"/>
  <c r="GQ121" i="41"/>
  <c r="CQ125" i="41"/>
  <c r="CQ129" i="41"/>
  <c r="CP129" i="41"/>
  <c r="CP125" i="41"/>
  <c r="CR129" i="45"/>
  <c r="CR125" i="45"/>
  <c r="BP129" i="44"/>
  <c r="BP125" i="44"/>
  <c r="BD125" i="44"/>
  <c r="BD129" i="44"/>
  <c r="DE121" i="45"/>
  <c r="DE128" i="45" s="1"/>
  <c r="DE125" i="45" s="1"/>
  <c r="I121" i="45"/>
  <c r="DV121" i="45"/>
  <c r="AN129" i="44"/>
  <c r="AN125" i="44"/>
  <c r="BF125" i="45"/>
  <c r="BF129" i="45"/>
  <c r="CH125" i="45"/>
  <c r="CH129" i="45"/>
  <c r="BQ129" i="45"/>
  <c r="BQ125" i="45"/>
  <c r="AV129" i="43"/>
  <c r="AV125" i="43"/>
  <c r="AZ125" i="41"/>
  <c r="AZ129" i="41"/>
  <c r="AG129" i="43"/>
  <c r="AG125" i="43"/>
  <c r="CJ125" i="44"/>
  <c r="CJ129" i="44"/>
  <c r="CI125" i="45"/>
  <c r="CI129" i="45"/>
  <c r="AF129" i="44"/>
  <c r="AF125" i="44"/>
  <c r="AX125" i="43"/>
  <c r="AX129" i="43"/>
  <c r="CR129" i="44"/>
  <c r="CR125" i="44"/>
  <c r="DZ121" i="43"/>
  <c r="DZ128" i="43" s="1"/>
  <c r="M121" i="43"/>
  <c r="AN129" i="41"/>
  <c r="AN125" i="41"/>
  <c r="AL129" i="45"/>
  <c r="AL125" i="45"/>
  <c r="J121" i="44"/>
  <c r="DW121" i="44"/>
  <c r="AE128" i="44"/>
  <c r="BF129" i="43"/>
  <c r="BF125" i="43"/>
  <c r="AY129" i="43"/>
  <c r="AY125" i="43"/>
  <c r="AW129" i="41"/>
  <c r="AW125" i="41"/>
  <c r="BV128" i="45"/>
  <c r="BV125" i="45" s="1"/>
  <c r="GU121" i="43"/>
  <c r="BS129" i="43"/>
  <c r="BS125" i="43"/>
  <c r="DY121" i="41"/>
  <c r="L121" i="41"/>
  <c r="DH121" i="41"/>
  <c r="DH128" i="41" s="1"/>
  <c r="BF125" i="41"/>
  <c r="BF129" i="41"/>
  <c r="BP125" i="43"/>
  <c r="BP129" i="43"/>
  <c r="DT121" i="43"/>
  <c r="DC121" i="43"/>
  <c r="DC128" i="43" s="1"/>
  <c r="DC125" i="43" s="1"/>
  <c r="G121" i="43"/>
  <c r="DT121" i="45"/>
  <c r="G121" i="45"/>
  <c r="DR121" i="41"/>
  <c r="E121" i="41"/>
  <c r="BB128" i="44"/>
  <c r="BB125" i="44" s="1"/>
  <c r="AH129" i="41"/>
  <c r="AH125" i="41"/>
  <c r="AO125" i="45"/>
  <c r="AO129" i="45"/>
  <c r="AY129" i="45"/>
  <c r="AY125" i="45"/>
  <c r="CJ125" i="43"/>
  <c r="CJ129" i="43"/>
  <c r="DE121" i="44"/>
  <c r="DE128" i="44" s="1"/>
  <c r="DE125" i="44" s="1"/>
  <c r="DV121" i="44"/>
  <c r="I121" i="44"/>
  <c r="AW125" i="45"/>
  <c r="AW129" i="45"/>
  <c r="BD129" i="45"/>
  <c r="BD125" i="45"/>
  <c r="DZ127" i="41"/>
  <c r="GY118" i="41"/>
  <c r="GZ127" i="41" s="1"/>
  <c r="CS61" i="43"/>
  <c r="B164" i="43" s="1"/>
  <c r="BW129" i="43"/>
  <c r="BW125" i="43"/>
  <c r="AA20" i="35"/>
  <c r="GT121" i="45"/>
  <c r="AK20" i="35"/>
  <c r="GW118" i="44"/>
  <c r="GX127" i="44" s="1"/>
  <c r="DX127" i="44"/>
  <c r="DF61" i="44"/>
  <c r="HK61" i="44" s="1"/>
  <c r="GX121" i="44" s="1"/>
  <c r="GQ118" i="41"/>
  <c r="GR127" i="41" s="1"/>
  <c r="DR127" i="41"/>
  <c r="DR128" i="41" s="1"/>
  <c r="CA31" i="44"/>
  <c r="I42" i="26"/>
  <c r="I43" i="26" s="1"/>
  <c r="I48" i="26" s="1"/>
  <c r="I49" i="26" s="1"/>
  <c r="C64" i="26" s="1"/>
  <c r="I52" i="26"/>
  <c r="D64" i="26" s="1"/>
  <c r="DI55" i="41"/>
  <c r="HB55" i="41"/>
  <c r="DO121" i="45"/>
  <c r="B121" i="45"/>
  <c r="BR129" i="44"/>
  <c r="BR125" i="44"/>
  <c r="HB33" i="41"/>
  <c r="DI33" i="41"/>
  <c r="DI61" i="41" s="1"/>
  <c r="B165" i="41" s="1"/>
  <c r="CX61" i="43"/>
  <c r="HC61" i="43" s="1"/>
  <c r="GP121" i="43" s="1"/>
  <c r="FC122" i="45"/>
  <c r="GT12" i="45"/>
  <c r="GO122" i="45" s="1"/>
  <c r="GP118" i="44"/>
  <c r="GQ127" i="44" s="1"/>
  <c r="DQ127" i="44"/>
  <c r="L35" i="35"/>
  <c r="K35" i="35"/>
  <c r="GG127" i="44"/>
  <c r="FM127" i="44"/>
  <c r="DU121" i="43"/>
  <c r="H121" i="43"/>
  <c r="DA121" i="44"/>
  <c r="DA128" i="44" s="1"/>
  <c r="E121" i="44"/>
  <c r="DR121" i="44"/>
  <c r="GP61" i="45"/>
  <c r="GP121" i="45" s="1"/>
  <c r="DQ127" i="45"/>
  <c r="DQ128" i="45" s="1"/>
  <c r="GP118" i="45"/>
  <c r="GQ127" i="45" s="1"/>
  <c r="FX126" i="44"/>
  <c r="GF126" i="44"/>
  <c r="GH126" i="44"/>
  <c r="FW126" i="44"/>
  <c r="FZ126" i="44"/>
  <c r="FY126" i="44"/>
  <c r="GA126" i="44"/>
  <c r="GC126" i="44"/>
  <c r="GG126" i="44"/>
  <c r="GB126" i="44"/>
  <c r="GE126" i="44"/>
  <c r="GD126" i="44"/>
  <c r="I162" i="43"/>
  <c r="S16" i="35" s="1"/>
  <c r="J162" i="43"/>
  <c r="T16" i="35" s="1"/>
  <c r="P16" i="35"/>
  <c r="DX127" i="43"/>
  <c r="DX128" i="43" s="1"/>
  <c r="GW118" i="43"/>
  <c r="GX127" i="43" s="1"/>
  <c r="HG33" i="44"/>
  <c r="DB61" i="44"/>
  <c r="HG61" i="44" s="1"/>
  <c r="GT121" i="44" s="1"/>
  <c r="FH122" i="43"/>
  <c r="GY12" i="43"/>
  <c r="GT122" i="43" s="1"/>
  <c r="DV127" i="45"/>
  <c r="DV128" i="45" s="1"/>
  <c r="DV125" i="45" s="1"/>
  <c r="GU118" i="45"/>
  <c r="GV127" i="45" s="1"/>
  <c r="DD61" i="44"/>
  <c r="HI61" i="44" s="1"/>
  <c r="GV121" i="44" s="1"/>
  <c r="DG61" i="41"/>
  <c r="HL61" i="41" s="1"/>
  <c r="GY121" i="41" s="1"/>
  <c r="GW12" i="44"/>
  <c r="GR122" i="44" s="1"/>
  <c r="FF122" i="44"/>
  <c r="FN122" i="44"/>
  <c r="HE12" i="44"/>
  <c r="GZ122" i="44" s="1"/>
  <c r="CY61" i="41"/>
  <c r="HD61" i="41" s="1"/>
  <c r="DF61" i="45"/>
  <c r="HK61" i="45" s="1"/>
  <c r="DU127" i="44"/>
  <c r="DU128" i="44" s="1"/>
  <c r="DU125" i="44" s="1"/>
  <c r="GT118" i="44"/>
  <c r="GU127" i="44" s="1"/>
  <c r="FI122" i="41"/>
  <c r="GZ12" i="41"/>
  <c r="GU122" i="41" s="1"/>
  <c r="DE61" i="43"/>
  <c r="HJ61" i="43" s="1"/>
  <c r="GW121" i="43" s="1"/>
  <c r="AV61" i="41"/>
  <c r="AV121" i="41" s="1"/>
  <c r="AV128" i="41" s="1"/>
  <c r="DI52" i="45"/>
  <c r="HB52" i="45"/>
  <c r="CS35" i="44"/>
  <c r="AP31" i="41"/>
  <c r="AP61" i="41" s="1"/>
  <c r="B161" i="41" s="1"/>
  <c r="BH31" i="43"/>
  <c r="E43" i="27"/>
  <c r="E48" i="27" s="1"/>
  <c r="E49" i="27" s="1"/>
  <c r="C60" i="27" s="1"/>
  <c r="L43" i="27"/>
  <c r="L48" i="27" s="1"/>
  <c r="L49" i="27" s="1"/>
  <c r="C67" i="27" s="1"/>
  <c r="O43" i="27"/>
  <c r="O48" i="27" s="1"/>
  <c r="O49" i="27" s="1"/>
  <c r="C71" i="27" s="1"/>
  <c r="B48" i="27"/>
  <c r="B49" i="27" s="1"/>
  <c r="DS127" i="45"/>
  <c r="DS128" i="45" s="1"/>
  <c r="GR118" i="45"/>
  <c r="GS127" i="45" s="1"/>
  <c r="HB33" i="45"/>
  <c r="DI33" i="45"/>
  <c r="DI61" i="45" s="1"/>
  <c r="B165" i="45" s="1"/>
  <c r="FN122" i="45"/>
  <c r="HE12" i="45"/>
  <c r="GZ122" i="45" s="1"/>
  <c r="FL122" i="45"/>
  <c r="HC12" i="45"/>
  <c r="GX122" i="45" s="1"/>
  <c r="DH61" i="41"/>
  <c r="HM61" i="41" s="1"/>
  <c r="DY127" i="41"/>
  <c r="DY128" i="41" s="1"/>
  <c r="GX118" i="41"/>
  <c r="GY127" i="41" s="1"/>
  <c r="AV61" i="44"/>
  <c r="AV121" i="44" s="1"/>
  <c r="AV128" i="44" s="1"/>
  <c r="HJ33" i="41"/>
  <c r="DE61" i="41"/>
  <c r="HJ61" i="41" s="1"/>
  <c r="DH61" i="43"/>
  <c r="HM61" i="43" s="1"/>
  <c r="GZ121" i="43" s="1"/>
  <c r="L43" i="25"/>
  <c r="L48" i="25" s="1"/>
  <c r="L49" i="25" s="1"/>
  <c r="C67" i="25" s="1"/>
  <c r="B48" i="25"/>
  <c r="B49" i="25" s="1"/>
  <c r="O43" i="25"/>
  <c r="O48" i="25" s="1"/>
  <c r="O49" i="25" s="1"/>
  <c r="C71" i="25" s="1"/>
  <c r="E43" i="25"/>
  <c r="E48" i="25" s="1"/>
  <c r="E49" i="25" s="1"/>
  <c r="C60" i="25" s="1"/>
  <c r="HG33" i="41"/>
  <c r="DB61" i="41"/>
  <c r="HG61" i="41" s="1"/>
  <c r="GT121" i="41" s="1"/>
  <c r="GN66" i="43"/>
  <c r="GQ71" i="43"/>
  <c r="GS71" i="43" s="1"/>
  <c r="GO126" i="43" s="1"/>
  <c r="HL33" i="44"/>
  <c r="DG61" i="44"/>
  <c r="HL61" i="44" s="1"/>
  <c r="FZ127" i="43"/>
  <c r="FF127" i="43"/>
  <c r="GU12" i="43"/>
  <c r="GP122" i="43" s="1"/>
  <c r="FD122" i="43"/>
  <c r="HC12" i="43"/>
  <c r="GX122" i="43" s="1"/>
  <c r="FL122" i="43"/>
  <c r="GO118" i="45"/>
  <c r="GP127" i="45" s="1"/>
  <c r="DP127" i="45"/>
  <c r="DP128" i="45" s="1"/>
  <c r="FN127" i="41"/>
  <c r="GH127" i="41"/>
  <c r="GC127" i="44"/>
  <c r="FI127" i="44"/>
  <c r="BH37" i="45"/>
  <c r="CA37" i="44"/>
  <c r="CA61" i="44" s="1"/>
  <c r="B163" i="44" s="1"/>
  <c r="CS37" i="44"/>
  <c r="GT12" i="44"/>
  <c r="GO122" i="44" s="1"/>
  <c r="FC122" i="44"/>
  <c r="FL122" i="44"/>
  <c r="HC12" i="44"/>
  <c r="GX122" i="44" s="1"/>
  <c r="GN66" i="41"/>
  <c r="FW66" i="41"/>
  <c r="GQ71" i="41"/>
  <c r="GS71" i="41" s="1"/>
  <c r="GO126" i="41" s="1"/>
  <c r="HE33" i="43"/>
  <c r="CZ61" i="43"/>
  <c r="HE61" i="43" s="1"/>
  <c r="GR121" i="43" s="1"/>
  <c r="I33" i="35"/>
  <c r="N33" i="35" s="1"/>
  <c r="I9" i="34"/>
  <c r="S18" i="48" s="1"/>
  <c r="H36" i="35"/>
  <c r="AP21" i="45"/>
  <c r="AP61" i="45" s="1"/>
  <c r="B161" i="45" s="1"/>
  <c r="DT127" i="44"/>
  <c r="DT128" i="44" s="1"/>
  <c r="DT125" i="44" s="1"/>
  <c r="GS118" i="44"/>
  <c r="GT127" i="44" s="1"/>
  <c r="FL122" i="41"/>
  <c r="HC12" i="41"/>
  <c r="GX122" i="41" s="1"/>
  <c r="GR118" i="43"/>
  <c r="GS127" i="43" s="1"/>
  <c r="DS127" i="43"/>
  <c r="DS128" i="43" s="1"/>
  <c r="BO61" i="45"/>
  <c r="BO121" i="45" s="1"/>
  <c r="BO128" i="45" s="1"/>
  <c r="DT127" i="43"/>
  <c r="DT128" i="43" s="1"/>
  <c r="DT125" i="43" s="1"/>
  <c r="GS118" i="43"/>
  <c r="GT127" i="43" s="1"/>
  <c r="CA35" i="43"/>
  <c r="BH35" i="44"/>
  <c r="FD122" i="45"/>
  <c r="GU12" i="45"/>
  <c r="GP122" i="45" s="1"/>
  <c r="GC127" i="45"/>
  <c r="FI127" i="45"/>
  <c r="HG33" i="45"/>
  <c r="DB61" i="45"/>
  <c r="HG61" i="45" s="1"/>
  <c r="FN122" i="43"/>
  <c r="HE12" i="43"/>
  <c r="GZ122" i="43" s="1"/>
  <c r="GU118" i="41"/>
  <c r="GV127" i="41" s="1"/>
  <c r="DV127" i="41"/>
  <c r="DX127" i="45"/>
  <c r="DX128" i="45" s="1"/>
  <c r="GW118" i="45"/>
  <c r="GX127" i="45" s="1"/>
  <c r="GU12" i="41"/>
  <c r="GP122" i="41" s="1"/>
  <c r="FD122" i="41"/>
  <c r="AM125" i="41"/>
  <c r="AM129" i="41"/>
  <c r="CH129" i="43"/>
  <c r="CH125" i="43"/>
  <c r="GW61" i="45"/>
  <c r="GW121" i="45" s="1"/>
  <c r="I171" i="45"/>
  <c r="AM25" i="35" s="1"/>
  <c r="J171" i="45"/>
  <c r="AN25" i="35" s="1"/>
  <c r="AJ25" i="35"/>
  <c r="AF25" i="35" s="1"/>
  <c r="GQ71" i="45"/>
  <c r="GS71" i="45" s="1"/>
  <c r="GO126" i="45" s="1"/>
  <c r="GN66" i="45"/>
  <c r="GB127" i="41"/>
  <c r="FH127" i="41"/>
  <c r="C121" i="44"/>
  <c r="DP121" i="44"/>
  <c r="HE12" i="41"/>
  <c r="GZ122" i="41" s="1"/>
  <c r="FN122" i="41"/>
  <c r="AD61" i="45"/>
  <c r="AD121" i="45" s="1"/>
  <c r="AD128" i="45" s="1"/>
  <c r="W77" i="35"/>
  <c r="X77" i="35"/>
  <c r="AJ121" i="43"/>
  <c r="AJ128" i="43" s="1"/>
  <c r="AJ125" i="43" s="1"/>
  <c r="DC61" i="45"/>
  <c r="HH61" i="45" s="1"/>
  <c r="GX12" i="43"/>
  <c r="GS122" i="43" s="1"/>
  <c r="FG122" i="43"/>
  <c r="AP21" i="44"/>
  <c r="AP61" i="44" s="1"/>
  <c r="B161" i="44" s="1"/>
  <c r="FK122" i="41"/>
  <c r="HB12" i="41"/>
  <c r="GW122" i="41" s="1"/>
  <c r="DO127" i="44"/>
  <c r="DO128" i="44" s="1"/>
  <c r="GN118" i="44"/>
  <c r="GO127" i="44" s="1"/>
  <c r="CA35" i="44"/>
  <c r="AP31" i="44"/>
  <c r="BH31" i="45"/>
  <c r="CS31" i="45"/>
  <c r="CS61" i="45" s="1"/>
  <c r="B164" i="45" s="1"/>
  <c r="G171" i="44"/>
  <c r="AA25" i="35" s="1"/>
  <c r="Y25" i="35"/>
  <c r="F171" i="44"/>
  <c r="HB55" i="45"/>
  <c r="DI55" i="45"/>
  <c r="CA61" i="41"/>
  <c r="B163" i="41" s="1"/>
  <c r="DV127" i="44"/>
  <c r="DV128" i="44" s="1"/>
  <c r="DV125" i="44" s="1"/>
  <c r="GU118" i="44"/>
  <c r="GV127" i="44" s="1"/>
  <c r="FE122" i="45"/>
  <c r="GV12" i="45"/>
  <c r="GQ122" i="45" s="1"/>
  <c r="GY118" i="44"/>
  <c r="GZ127" i="44" s="1"/>
  <c r="DZ127" i="44"/>
  <c r="DZ128" i="44" s="1"/>
  <c r="DC61" i="43"/>
  <c r="HH61" i="43" s="1"/>
  <c r="F63" i="15"/>
  <c r="X91" i="35"/>
  <c r="AB91" i="35" s="1"/>
  <c r="B77" i="35"/>
  <c r="P101" i="35"/>
  <c r="A101" i="35" s="1"/>
  <c r="C39" i="35"/>
  <c r="GS118" i="45"/>
  <c r="GT127" i="45" s="1"/>
  <c r="DT127" i="45"/>
  <c r="CS61" i="44"/>
  <c r="B164" i="44" s="1"/>
  <c r="C40" i="35"/>
  <c r="C33" i="35"/>
  <c r="GU61" i="45"/>
  <c r="GU121" i="45" s="1"/>
  <c r="GR118" i="44"/>
  <c r="GS127" i="44" s="1"/>
  <c r="DS127" i="44"/>
  <c r="GF126" i="45"/>
  <c r="FW126" i="45"/>
  <c r="GD126" i="45"/>
  <c r="GB126" i="45"/>
  <c r="FZ126" i="45"/>
  <c r="FY126" i="45"/>
  <c r="GH126" i="45"/>
  <c r="GA126" i="45"/>
  <c r="GG126" i="45"/>
  <c r="FX126" i="45"/>
  <c r="GE126" i="45"/>
  <c r="GC126" i="45"/>
  <c r="HA12" i="43"/>
  <c r="GV122" i="43" s="1"/>
  <c r="FJ122" i="43"/>
  <c r="AV61" i="45"/>
  <c r="AV121" i="45" s="1"/>
  <c r="AV128" i="45" s="1"/>
  <c r="BH37" i="44"/>
  <c r="HA12" i="44"/>
  <c r="GV122" i="44" s="1"/>
  <c r="FJ122" i="44"/>
  <c r="HF33" i="43"/>
  <c r="DA61" i="43"/>
  <c r="HF61" i="43" s="1"/>
  <c r="GS121" i="43" s="1"/>
  <c r="BH21" i="45"/>
  <c r="BH61" i="45" s="1"/>
  <c r="B162" i="45" s="1"/>
  <c r="CA21" i="44"/>
  <c r="C46" i="35"/>
  <c r="GX12" i="41"/>
  <c r="GS122" i="41" s="1"/>
  <c r="FG122" i="41"/>
  <c r="FC122" i="41"/>
  <c r="GT12" i="41"/>
  <c r="GO122" i="41" s="1"/>
  <c r="G20" i="35"/>
  <c r="I38" i="35" s="1"/>
  <c r="I110" i="35" s="1"/>
  <c r="N110" i="35" s="1"/>
  <c r="HB52" i="41"/>
  <c r="DI52" i="41"/>
  <c r="DW127" i="44"/>
  <c r="GV118" i="44"/>
  <c r="GW127" i="44" s="1"/>
  <c r="CA35" i="41"/>
  <c r="HB33" i="44"/>
  <c r="DI33" i="44"/>
  <c r="DI61" i="44" s="1"/>
  <c r="B165" i="44" s="1"/>
  <c r="FF122" i="45"/>
  <c r="GW12" i="45"/>
  <c r="GR122" i="45" s="1"/>
  <c r="BW129" i="45"/>
  <c r="BW125" i="45"/>
  <c r="HI33" i="41"/>
  <c r="DD61" i="41"/>
  <c r="HI61" i="41" s="1"/>
  <c r="CX121" i="41"/>
  <c r="CX128" i="41" s="1"/>
  <c r="DO121" i="41"/>
  <c r="B121" i="41"/>
  <c r="GQ118" i="45"/>
  <c r="GR127" i="45" s="1"/>
  <c r="DR127" i="45"/>
  <c r="FM122" i="43"/>
  <c r="HD12" i="43"/>
  <c r="GY122" i="43" s="1"/>
  <c r="GS121" i="45"/>
  <c r="GY12" i="41"/>
  <c r="GT122" i="41" s="1"/>
  <c r="FH122" i="41"/>
  <c r="FH127" i="44"/>
  <c r="GB127" i="44"/>
  <c r="DU127" i="41"/>
  <c r="GT118" i="41"/>
  <c r="GU127" i="41" s="1"/>
  <c r="G52" i="26"/>
  <c r="D62" i="26" s="1"/>
  <c r="D60" i="26"/>
  <c r="D67" i="26"/>
  <c r="D69" i="26"/>
  <c r="D71" i="26"/>
  <c r="B31" i="24"/>
  <c r="D64" i="35" s="1"/>
  <c r="H64" i="35" s="1"/>
  <c r="D70" i="26"/>
  <c r="D68" i="26"/>
  <c r="E14" i="28"/>
  <c r="HD12" i="45"/>
  <c r="GY122" i="45" s="1"/>
  <c r="FM122" i="45"/>
  <c r="GW118" i="41"/>
  <c r="GX127" i="41" s="1"/>
  <c r="DX127" i="41"/>
  <c r="Q20" i="35"/>
  <c r="GN118" i="41"/>
  <c r="GO127" i="41" s="1"/>
  <c r="DO127" i="41"/>
  <c r="GO118" i="41"/>
  <c r="GP127" i="41" s="1"/>
  <c r="DP127" i="41"/>
  <c r="DP128" i="41" s="1"/>
  <c r="GZ12" i="43"/>
  <c r="GU122" i="43" s="1"/>
  <c r="FI122" i="43"/>
  <c r="DW127" i="41"/>
  <c r="DW128" i="41" s="1"/>
  <c r="GV118" i="41"/>
  <c r="GW127" i="41" s="1"/>
  <c r="BF129" i="44"/>
  <c r="BF125" i="44"/>
  <c r="GO121" i="41"/>
  <c r="CS31" i="43"/>
  <c r="BO61" i="41"/>
  <c r="BO121" i="41" s="1"/>
  <c r="BO128" i="41" s="1"/>
  <c r="FI122" i="45"/>
  <c r="GZ12" i="45"/>
  <c r="GU122" i="45" s="1"/>
  <c r="CZ61" i="41"/>
  <c r="HE61" i="41" s="1"/>
  <c r="H128" i="45"/>
  <c r="H125" i="45" s="1"/>
  <c r="F63" i="26"/>
  <c r="Z91" i="35"/>
  <c r="N77" i="35"/>
  <c r="CG61" i="44"/>
  <c r="CG121" i="44" s="1"/>
  <c r="CG128" i="44" s="1"/>
  <c r="H33" i="35"/>
  <c r="GZ121" i="41"/>
  <c r="CW61" i="44"/>
  <c r="HB61" i="44" s="1"/>
  <c r="GO121" i="44" s="1"/>
  <c r="CX61" i="44"/>
  <c r="HC61" i="44" s="1"/>
  <c r="GP121" i="44" s="1"/>
  <c r="DP127" i="44"/>
  <c r="DP128" i="44" s="1"/>
  <c r="GO118" i="44"/>
  <c r="GP127" i="44" s="1"/>
  <c r="CS31" i="41"/>
  <c r="O42" i="26"/>
  <c r="B43" i="26"/>
  <c r="E42" i="26"/>
  <c r="L42" i="26"/>
  <c r="BO61" i="44"/>
  <c r="BO121" i="44" s="1"/>
  <c r="BO128" i="44" s="1"/>
  <c r="FK122" i="45"/>
  <c r="HB12" i="45"/>
  <c r="GW122" i="45" s="1"/>
  <c r="C37" i="35"/>
  <c r="P103" i="35"/>
  <c r="A103" i="35" s="1"/>
  <c r="DE61" i="45"/>
  <c r="HJ61" i="45" s="1"/>
  <c r="FX127" i="44"/>
  <c r="FD127" i="44"/>
  <c r="L128" i="44"/>
  <c r="CY61" i="45"/>
  <c r="HD61" i="45" s="1"/>
  <c r="GQ121" i="45" s="1"/>
  <c r="AP37" i="45"/>
  <c r="AP37" i="43"/>
  <c r="CA37" i="45"/>
  <c r="CA61" i="45" s="1"/>
  <c r="B163" i="45" s="1"/>
  <c r="FM127" i="43"/>
  <c r="GG127" i="43"/>
  <c r="GF127" i="45"/>
  <c r="FL127" i="45"/>
  <c r="GV12" i="44"/>
  <c r="GQ122" i="44" s="1"/>
  <c r="FE122" i="44"/>
  <c r="FM122" i="44"/>
  <c r="HD12" i="44"/>
  <c r="GY122" i="44" s="1"/>
  <c r="DW127" i="45"/>
  <c r="DW128" i="45" s="1"/>
  <c r="GV118" i="45"/>
  <c r="GW127" i="45" s="1"/>
  <c r="GS118" i="41"/>
  <c r="GT127" i="41" s="1"/>
  <c r="DT127" i="41"/>
  <c r="DQ127" i="43"/>
  <c r="DQ128" i="43" s="1"/>
  <c r="GP118" i="43"/>
  <c r="GQ127" i="43" s="1"/>
  <c r="CS21" i="45"/>
  <c r="BH21" i="41"/>
  <c r="FL127" i="41"/>
  <c r="GF127" i="41"/>
  <c r="H46" i="35"/>
  <c r="HA12" i="41"/>
  <c r="GV122" i="41" s="1"/>
  <c r="FJ122" i="41"/>
  <c r="FE122" i="41"/>
  <c r="GV12" i="41"/>
  <c r="GQ122" i="41" s="1"/>
  <c r="HB52" i="43"/>
  <c r="DI52" i="43"/>
  <c r="BS129" i="41"/>
  <c r="BS125" i="41"/>
  <c r="DU121" i="41"/>
  <c r="DD121" i="41"/>
  <c r="DD128" i="41" s="1"/>
  <c r="DD125" i="41" s="1"/>
  <c r="H121" i="41"/>
  <c r="DI121" i="41"/>
  <c r="DI128" i="41" s="1"/>
  <c r="M121" i="41"/>
  <c r="DZ121" i="41"/>
  <c r="O25" i="35"/>
  <c r="G171" i="43"/>
  <c r="Q25" i="35" s="1"/>
  <c r="F171" i="43"/>
  <c r="C121" i="41"/>
  <c r="DP121" i="41"/>
  <c r="CY121" i="41"/>
  <c r="CY128" i="41" s="1"/>
  <c r="H121" i="45"/>
  <c r="DU121" i="45"/>
  <c r="DD121" i="45"/>
  <c r="DD128" i="45" s="1"/>
  <c r="DD125" i="45" s="1"/>
  <c r="HK33" i="43"/>
  <c r="DF61" i="43"/>
  <c r="HK61" i="43" s="1"/>
  <c r="GX12" i="44"/>
  <c r="GS122" i="44" s="1"/>
  <c r="FG122" i="44"/>
  <c r="FX127" i="43"/>
  <c r="FD127" i="43"/>
  <c r="HE33" i="45"/>
  <c r="CZ61" i="45"/>
  <c r="HE61" i="45" s="1"/>
  <c r="GR121" i="45" s="1"/>
  <c r="K121" i="45"/>
  <c r="DX121" i="45"/>
  <c r="DW127" i="43"/>
  <c r="GV118" i="43"/>
  <c r="GW127" i="43" s="1"/>
  <c r="GR121" i="41"/>
  <c r="BQ121" i="41"/>
  <c r="BQ128" i="41" s="1"/>
  <c r="GQ118" i="43"/>
  <c r="GR127" i="43" s="1"/>
  <c r="DR127" i="43"/>
  <c r="DU127" i="45"/>
  <c r="GT118" i="45"/>
  <c r="GU127" i="45" s="1"/>
  <c r="DD61" i="45"/>
  <c r="HI61" i="45" s="1"/>
  <c r="BH61" i="43"/>
  <c r="B162" i="43" s="1"/>
  <c r="FE122" i="43"/>
  <c r="GV12" i="43"/>
  <c r="GQ122" i="43" s="1"/>
  <c r="BO121" i="43"/>
  <c r="BO128" i="43" s="1"/>
  <c r="GZ12" i="44"/>
  <c r="GU122" i="44" s="1"/>
  <c r="FI122" i="44"/>
  <c r="GW12" i="41"/>
  <c r="GR122" i="41" s="1"/>
  <c r="FF122" i="41"/>
  <c r="CX61" i="45"/>
  <c r="HC61" i="45" s="1"/>
  <c r="GX61" i="45"/>
  <c r="GX121" i="45" s="1"/>
  <c r="BH37" i="41"/>
  <c r="GY12" i="44"/>
  <c r="GT122" i="44" s="1"/>
  <c r="FH122" i="44"/>
  <c r="L44" i="35"/>
  <c r="K44" i="35"/>
  <c r="BH31" i="44"/>
  <c r="BH61" i="44" s="1"/>
  <c r="B162" i="44" s="1"/>
  <c r="HB55" i="44"/>
  <c r="DI55" i="44"/>
  <c r="GY12" i="45"/>
  <c r="GT122" i="45" s="1"/>
  <c r="FH122" i="45"/>
  <c r="GN66" i="44"/>
  <c r="GQ71" i="44"/>
  <c r="GS71" i="44" s="1"/>
  <c r="GO126" i="44" s="1"/>
  <c r="GP118" i="41"/>
  <c r="GQ127" i="41" s="1"/>
  <c r="DQ127" i="41"/>
  <c r="DQ128" i="41" s="1"/>
  <c r="H39" i="35"/>
  <c r="GQ118" i="44"/>
  <c r="GR127" i="44" s="1"/>
  <c r="DR127" i="44"/>
  <c r="CG61" i="41"/>
  <c r="CG121" i="41" s="1"/>
  <c r="CG128" i="41" s="1"/>
  <c r="H40" i="35"/>
  <c r="HL33" i="43"/>
  <c r="DG61" i="43"/>
  <c r="HL61" i="43" s="1"/>
  <c r="GY121" i="43" s="1"/>
  <c r="FK122" i="43"/>
  <c r="HB12" i="43"/>
  <c r="GW122" i="43" s="1"/>
  <c r="E25" i="35"/>
  <c r="G171" i="41"/>
  <c r="G25" i="35" s="1"/>
  <c r="I43" i="35" s="1"/>
  <c r="N43" i="35" s="1"/>
  <c r="F171" i="41"/>
  <c r="AP31" i="43"/>
  <c r="AP61" i="43" s="1"/>
  <c r="B161" i="43" s="1"/>
  <c r="CA31" i="43"/>
  <c r="CA61" i="43" s="1"/>
  <c r="B163" i="43" s="1"/>
  <c r="CS31" i="44"/>
  <c r="FJ127" i="44"/>
  <c r="GD127" i="44"/>
  <c r="HB55" i="43"/>
  <c r="DI55" i="43"/>
  <c r="HB33" i="43"/>
  <c r="DI33" i="43"/>
  <c r="FJ122" i="45"/>
  <c r="HA12" i="45"/>
  <c r="GV122" i="45" s="1"/>
  <c r="FG122" i="45"/>
  <c r="GX12" i="45"/>
  <c r="GS122" i="45" s="1"/>
  <c r="DE61" i="44"/>
  <c r="HJ61" i="44" s="1"/>
  <c r="GW121" i="44" s="1"/>
  <c r="H37" i="35"/>
  <c r="C35" i="35"/>
  <c r="CY61" i="43"/>
  <c r="HD61" i="43" s="1"/>
  <c r="GQ121" i="43" s="1"/>
  <c r="CW61" i="45"/>
  <c r="HB61" i="45" s="1"/>
  <c r="GO121" i="45" s="1"/>
  <c r="GH127" i="43"/>
  <c r="FN127" i="43"/>
  <c r="DU127" i="43"/>
  <c r="GT118" i="43"/>
  <c r="GU127" i="43" s="1"/>
  <c r="GA126" i="41"/>
  <c r="GH126" i="41"/>
  <c r="FW126" i="41"/>
  <c r="GG126" i="41"/>
  <c r="GB126" i="41"/>
  <c r="GC126" i="41"/>
  <c r="GD126" i="41"/>
  <c r="GE126" i="41"/>
  <c r="GF126" i="41"/>
  <c r="FX126" i="41"/>
  <c r="FY126" i="41"/>
  <c r="FZ126" i="41"/>
  <c r="GD127" i="45"/>
  <c r="FJ127" i="45"/>
  <c r="DV127" i="43"/>
  <c r="DV128" i="43" s="1"/>
  <c r="DV125" i="43" s="1"/>
  <c r="GU118" i="43"/>
  <c r="GV127" i="43" s="1"/>
  <c r="GN118" i="45"/>
  <c r="GO127" i="45" s="1"/>
  <c r="DO127" i="45"/>
  <c r="FF122" i="43"/>
  <c r="GW12" i="43"/>
  <c r="GR122" i="43" s="1"/>
  <c r="FC122" i="43"/>
  <c r="GT12" i="43"/>
  <c r="GO122" i="43" s="1"/>
  <c r="D67" i="15"/>
  <c r="D69" i="15"/>
  <c r="G52" i="15"/>
  <c r="D62" i="15" s="1"/>
  <c r="B31" i="13"/>
  <c r="B64" i="35" s="1"/>
  <c r="F64" i="35" s="1"/>
  <c r="D68" i="15"/>
  <c r="D70" i="15"/>
  <c r="D71" i="15"/>
  <c r="E12" i="28"/>
  <c r="D60" i="15"/>
  <c r="CS37" i="41"/>
  <c r="CS61" i="41" s="1"/>
  <c r="B164" i="41" s="1"/>
  <c r="CA37" i="43"/>
  <c r="AP37" i="41"/>
  <c r="GX118" i="45"/>
  <c r="GY127" i="45" s="1"/>
  <c r="DY127" i="45"/>
  <c r="DY128" i="45" s="1"/>
  <c r="GU12" i="44"/>
  <c r="GP122" i="44" s="1"/>
  <c r="FD122" i="44"/>
  <c r="HB12" i="44"/>
  <c r="GW122" i="44" s="1"/>
  <c r="FK122" i="44"/>
  <c r="DZ127" i="45"/>
  <c r="DZ128" i="45" s="1"/>
  <c r="GY118" i="45"/>
  <c r="GZ127" i="45" s="1"/>
  <c r="DH61" i="45"/>
  <c r="HM61" i="45" s="1"/>
  <c r="GZ121" i="45" s="1"/>
  <c r="DC61" i="44"/>
  <c r="HH61" i="44" s="1"/>
  <c r="GU121" i="44" s="1"/>
  <c r="FN127" i="45"/>
  <c r="GH127" i="45"/>
  <c r="FM122" i="41"/>
  <c r="HD12" i="41"/>
  <c r="GY122" i="41" s="1"/>
  <c r="BH61" i="41"/>
  <c r="B162" i="41" s="1"/>
  <c r="DI52" i="44"/>
  <c r="HB52" i="44"/>
  <c r="AP35" i="41"/>
  <c r="C129" i="43" l="1"/>
  <c r="C125" i="43"/>
  <c r="T18" i="48"/>
  <c r="S20" i="48"/>
  <c r="DS129" i="41"/>
  <c r="DS125" i="41"/>
  <c r="DZ125" i="45"/>
  <c r="DZ129" i="45"/>
  <c r="DP129" i="44"/>
  <c r="DP125" i="44"/>
  <c r="K39" i="35"/>
  <c r="L39" i="35"/>
  <c r="DR128" i="43"/>
  <c r="FL121" i="45"/>
  <c r="FL128" i="45" s="1"/>
  <c r="GF121" i="45"/>
  <c r="GF128" i="45" s="1"/>
  <c r="K128" i="45"/>
  <c r="P25" i="35"/>
  <c r="L25" i="35" s="1"/>
  <c r="J171" i="43"/>
  <c r="T25" i="35" s="1"/>
  <c r="I171" i="43"/>
  <c r="S25" i="35" s="1"/>
  <c r="DQ125" i="43"/>
  <c r="DQ129" i="43"/>
  <c r="Q77" i="35"/>
  <c r="R77" i="35"/>
  <c r="BO129" i="41"/>
  <c r="BO125" i="41"/>
  <c r="AV129" i="45"/>
  <c r="AV125" i="45"/>
  <c r="DO125" i="44"/>
  <c r="DO129" i="44"/>
  <c r="FD121" i="44"/>
  <c r="FD128" i="44" s="1"/>
  <c r="FX121" i="44"/>
  <c r="C128" i="44"/>
  <c r="GR126" i="41"/>
  <c r="GR128" i="41" s="1"/>
  <c r="GY126" i="41"/>
  <c r="GY128" i="41" s="1"/>
  <c r="GO128" i="41"/>
  <c r="GQ126" i="41"/>
  <c r="GQ128" i="41" s="1"/>
  <c r="GV126" i="41"/>
  <c r="GV128" i="41" s="1"/>
  <c r="GV125" i="41" s="1"/>
  <c r="GZ126" i="41"/>
  <c r="GZ128" i="41" s="1"/>
  <c r="GS126" i="41"/>
  <c r="GS128" i="41" s="1"/>
  <c r="GT126" i="41"/>
  <c r="GT128" i="41" s="1"/>
  <c r="GT125" i="41" s="1"/>
  <c r="GP126" i="41"/>
  <c r="GP128" i="41" s="1"/>
  <c r="GU126" i="41"/>
  <c r="GU128" i="41" s="1"/>
  <c r="GU125" i="41" s="1"/>
  <c r="GW126" i="41"/>
  <c r="GW128" i="41" s="1"/>
  <c r="GX126" i="41"/>
  <c r="GX128" i="41" s="1"/>
  <c r="GX126" i="43"/>
  <c r="GX128" i="43" s="1"/>
  <c r="GU126" i="43"/>
  <c r="GU128" i="43" s="1"/>
  <c r="GU125" i="43" s="1"/>
  <c r="GZ126" i="43"/>
  <c r="GZ128" i="43" s="1"/>
  <c r="GY126" i="43"/>
  <c r="GY128" i="43" s="1"/>
  <c r="GP126" i="43"/>
  <c r="GP128" i="43" s="1"/>
  <c r="GQ126" i="43"/>
  <c r="GQ128" i="43" s="1"/>
  <c r="GV126" i="43"/>
  <c r="GV128" i="43" s="1"/>
  <c r="GV125" i="43" s="1"/>
  <c r="GS126" i="43"/>
  <c r="GS128" i="43" s="1"/>
  <c r="GR126" i="43"/>
  <c r="GR128" i="43" s="1"/>
  <c r="GO128" i="43"/>
  <c r="GW126" i="43"/>
  <c r="GW128" i="43" s="1"/>
  <c r="GT126" i="43"/>
  <c r="GT128" i="43" s="1"/>
  <c r="GT125" i="43" s="1"/>
  <c r="DX129" i="43"/>
  <c r="DX125" i="43"/>
  <c r="FX128" i="44"/>
  <c r="B133" i="45"/>
  <c r="FW121" i="45"/>
  <c r="FW128" i="45" s="1"/>
  <c r="FC121" i="45"/>
  <c r="FC128" i="45" s="1"/>
  <c r="B128" i="45"/>
  <c r="DR125" i="41"/>
  <c r="DR129" i="41"/>
  <c r="GD121" i="44"/>
  <c r="FJ121" i="44"/>
  <c r="FJ128" i="44" s="1"/>
  <c r="FJ125" i="44" s="1"/>
  <c r="I128" i="44"/>
  <c r="I125" i="44" s="1"/>
  <c r="CZ129" i="45"/>
  <c r="CZ125" i="45"/>
  <c r="DF129" i="45"/>
  <c r="DF125" i="45"/>
  <c r="DY129" i="44"/>
  <c r="DY125" i="44"/>
  <c r="BG129" i="45"/>
  <c r="BG125" i="45"/>
  <c r="DG121" i="44"/>
  <c r="DG128" i="44" s="1"/>
  <c r="DB129" i="45"/>
  <c r="DB125" i="45"/>
  <c r="DF129" i="41"/>
  <c r="DF125" i="41"/>
  <c r="FL121" i="43"/>
  <c r="FL128" i="43" s="1"/>
  <c r="GF121" i="43"/>
  <c r="GF128" i="43" s="1"/>
  <c r="K128" i="43"/>
  <c r="GC121" i="44"/>
  <c r="GC128" i="44" s="1"/>
  <c r="GC125" i="44" s="1"/>
  <c r="FI121" i="44"/>
  <c r="H128" i="44"/>
  <c r="H125" i="44" s="1"/>
  <c r="DO128" i="45"/>
  <c r="DQ129" i="41"/>
  <c r="DQ125" i="41"/>
  <c r="BO125" i="43"/>
  <c r="BO129" i="43"/>
  <c r="DG121" i="45"/>
  <c r="DG128" i="45" s="1"/>
  <c r="DT128" i="41"/>
  <c r="DT125" i="41" s="1"/>
  <c r="DX128" i="41"/>
  <c r="FW121" i="41"/>
  <c r="FW128" i="41" s="1"/>
  <c r="B133" i="41"/>
  <c r="FC121" i="41"/>
  <c r="FC128" i="41" s="1"/>
  <c r="B128" i="41"/>
  <c r="E77" i="35"/>
  <c r="I104" i="35"/>
  <c r="F77" i="35"/>
  <c r="C70" i="27"/>
  <c r="B30" i="23"/>
  <c r="E63" i="35" s="1"/>
  <c r="I63" i="35" s="1"/>
  <c r="C69" i="27"/>
  <c r="C68" i="27"/>
  <c r="C62" i="27"/>
  <c r="DD121" i="43"/>
  <c r="DD128" i="43" s="1"/>
  <c r="DD125" i="43" s="1"/>
  <c r="CX121" i="45"/>
  <c r="CX128" i="45" s="1"/>
  <c r="DC121" i="45"/>
  <c r="DC128" i="45" s="1"/>
  <c r="DC125" i="45" s="1"/>
  <c r="GD121" i="45"/>
  <c r="GD128" i="45" s="1"/>
  <c r="GD125" i="45" s="1"/>
  <c r="FJ121" i="45"/>
  <c r="I128" i="45"/>
  <c r="I125" i="45" s="1"/>
  <c r="BZ129" i="41"/>
  <c r="BZ125" i="41"/>
  <c r="DH121" i="44"/>
  <c r="DH128" i="44" s="1"/>
  <c r="GB121" i="41"/>
  <c r="GB128" i="41" s="1"/>
  <c r="GB125" i="41" s="1"/>
  <c r="FH121" i="41"/>
  <c r="FH128" i="41" s="1"/>
  <c r="FH125" i="41" s="1"/>
  <c r="G128" i="41"/>
  <c r="G125" i="41" s="1"/>
  <c r="GF121" i="44"/>
  <c r="FL121" i="44"/>
  <c r="FL128" i="44" s="1"/>
  <c r="K128" i="44"/>
  <c r="FF121" i="43"/>
  <c r="FZ121" i="43"/>
  <c r="FZ128" i="43" s="1"/>
  <c r="E128" i="43"/>
  <c r="CY121" i="43"/>
  <c r="CY128" i="43" s="1"/>
  <c r="BG129" i="41"/>
  <c r="BG125" i="41"/>
  <c r="BZ129" i="43"/>
  <c r="BZ125" i="43"/>
  <c r="L125" i="44"/>
  <c r="L129" i="44"/>
  <c r="AV125" i="41"/>
  <c r="AV129" i="41"/>
  <c r="L16" i="35"/>
  <c r="C34" i="35" s="1"/>
  <c r="H34" i="35"/>
  <c r="FK121" i="43"/>
  <c r="FK128" i="43" s="1"/>
  <c r="GE121" i="43"/>
  <c r="GE128" i="43" s="1"/>
  <c r="J128" i="43"/>
  <c r="CX125" i="44"/>
  <c r="CX129" i="44"/>
  <c r="GE121" i="41"/>
  <c r="GE128" i="41" s="1"/>
  <c r="FK121" i="41"/>
  <c r="FK128" i="41" s="1"/>
  <c r="J128" i="41"/>
  <c r="DA129" i="43"/>
  <c r="DA125" i="43"/>
  <c r="BQ125" i="41"/>
  <c r="BQ129" i="41"/>
  <c r="BO125" i="44"/>
  <c r="BO129" i="44"/>
  <c r="AD129" i="45"/>
  <c r="AD125" i="45"/>
  <c r="BO129" i="45"/>
  <c r="BO125" i="45"/>
  <c r="DX128" i="44"/>
  <c r="K40" i="35"/>
  <c r="L40" i="35"/>
  <c r="GC121" i="45"/>
  <c r="GC128" i="45" s="1"/>
  <c r="GC125" i="45" s="1"/>
  <c r="FI121" i="45"/>
  <c r="GE128" i="45"/>
  <c r="DV128" i="41"/>
  <c r="DV125" i="41" s="1"/>
  <c r="DH125" i="41"/>
  <c r="DH129" i="41"/>
  <c r="FL121" i="41"/>
  <c r="FL128" i="41" s="1"/>
  <c r="GF121" i="41"/>
  <c r="GF128" i="41" s="1"/>
  <c r="K128" i="41"/>
  <c r="FZ121" i="45"/>
  <c r="FZ128" i="45" s="1"/>
  <c r="FF121" i="45"/>
  <c r="FF128" i="45" s="1"/>
  <c r="E128" i="45"/>
  <c r="FY121" i="43"/>
  <c r="FY128" i="43" s="1"/>
  <c r="FE121" i="43"/>
  <c r="FE128" i="43" s="1"/>
  <c r="D128" i="43"/>
  <c r="CY129" i="41"/>
  <c r="CY125" i="41"/>
  <c r="DZ125" i="44"/>
  <c r="DZ129" i="44"/>
  <c r="O33" i="35"/>
  <c r="O34" i="35" s="1"/>
  <c r="P33" i="35"/>
  <c r="A33" i="35" s="1"/>
  <c r="DY125" i="41"/>
  <c r="DY129" i="41"/>
  <c r="GD128" i="44"/>
  <c r="GD125" i="44" s="1"/>
  <c r="FZ121" i="44"/>
  <c r="FZ128" i="44" s="1"/>
  <c r="FF121" i="44"/>
  <c r="FF128" i="44" s="1"/>
  <c r="E128" i="44"/>
  <c r="FM121" i="41"/>
  <c r="FM128" i="41" s="1"/>
  <c r="GG121" i="41"/>
  <c r="L128" i="41"/>
  <c r="GH121" i="43"/>
  <c r="GH128" i="43" s="1"/>
  <c r="FN121" i="43"/>
  <c r="M128" i="43"/>
  <c r="GA121" i="43"/>
  <c r="GA128" i="43" s="1"/>
  <c r="FG121" i="43"/>
  <c r="FG128" i="43" s="1"/>
  <c r="F128" i="43"/>
  <c r="FN121" i="44"/>
  <c r="FN128" i="44" s="1"/>
  <c r="GH121" i="44"/>
  <c r="M128" i="44"/>
  <c r="CZ121" i="43"/>
  <c r="CZ128" i="43" s="1"/>
  <c r="GD121" i="41"/>
  <c r="FJ121" i="41"/>
  <c r="FJ128" i="41" s="1"/>
  <c r="FJ125" i="41" s="1"/>
  <c r="I128" i="41"/>
  <c r="I125" i="41" s="1"/>
  <c r="CX125" i="43"/>
  <c r="CX129" i="43"/>
  <c r="DG129" i="41"/>
  <c r="DG125" i="41"/>
  <c r="DB125" i="41"/>
  <c r="DB129" i="41"/>
  <c r="GR126" i="44"/>
  <c r="GR128" i="44" s="1"/>
  <c r="GS126" i="44"/>
  <c r="GS128" i="44" s="1"/>
  <c r="GX126" i="44"/>
  <c r="GX128" i="44" s="1"/>
  <c r="GW126" i="44"/>
  <c r="GW128" i="44" s="1"/>
  <c r="GO128" i="44"/>
  <c r="GY126" i="44"/>
  <c r="GY128" i="44" s="1"/>
  <c r="GQ126" i="44"/>
  <c r="GQ128" i="44" s="1"/>
  <c r="GU126" i="44"/>
  <c r="GU128" i="44" s="1"/>
  <c r="GU125" i="44" s="1"/>
  <c r="GZ126" i="44"/>
  <c r="GZ128" i="44" s="1"/>
  <c r="GT126" i="44"/>
  <c r="GT128" i="44" s="1"/>
  <c r="GT125" i="44" s="1"/>
  <c r="GV126" i="44"/>
  <c r="GV128" i="44" s="1"/>
  <c r="GV125" i="44" s="1"/>
  <c r="GP126" i="44"/>
  <c r="GP128" i="44" s="1"/>
  <c r="DX129" i="45"/>
  <c r="DX125" i="45"/>
  <c r="AV125" i="44"/>
  <c r="AV129" i="44"/>
  <c r="DZ128" i="41"/>
  <c r="DA121" i="45"/>
  <c r="DA128" i="45" s="1"/>
  <c r="DH121" i="43"/>
  <c r="DH128" i="43" s="1"/>
  <c r="FD121" i="43"/>
  <c r="FX121" i="43"/>
  <c r="FX128" i="43" s="1"/>
  <c r="FG121" i="41"/>
  <c r="FG128" i="41" s="1"/>
  <c r="GA121" i="41"/>
  <c r="F128" i="41"/>
  <c r="I171" i="41"/>
  <c r="I25" i="35" s="1"/>
  <c r="F25" i="35"/>
  <c r="J171" i="41"/>
  <c r="J25" i="35" s="1"/>
  <c r="GH121" i="41"/>
  <c r="GH128" i="41" s="1"/>
  <c r="FN121" i="41"/>
  <c r="FN128" i="41" s="1"/>
  <c r="M128" i="41"/>
  <c r="GP126" i="45"/>
  <c r="GP128" i="45" s="1"/>
  <c r="GO128" i="45"/>
  <c r="GT126" i="45"/>
  <c r="GT128" i="45" s="1"/>
  <c r="GT125" i="45" s="1"/>
  <c r="GQ126" i="45"/>
  <c r="GQ128" i="45" s="1"/>
  <c r="GS126" i="45"/>
  <c r="GS128" i="45" s="1"/>
  <c r="GY126" i="45"/>
  <c r="GY128" i="45" s="1"/>
  <c r="GX126" i="45"/>
  <c r="GX128" i="45" s="1"/>
  <c r="GV126" i="45"/>
  <c r="GV128" i="45" s="1"/>
  <c r="GV125" i="45" s="1"/>
  <c r="GU126" i="45"/>
  <c r="GU128" i="45" s="1"/>
  <c r="GU125" i="45" s="1"/>
  <c r="GR126" i="45"/>
  <c r="GR128" i="45" s="1"/>
  <c r="GW126" i="45"/>
  <c r="GW128" i="45" s="1"/>
  <c r="GZ126" i="45"/>
  <c r="GZ128" i="45" s="1"/>
  <c r="FF128" i="43"/>
  <c r="FH121" i="43"/>
  <c r="FH128" i="43" s="1"/>
  <c r="FH125" i="43" s="1"/>
  <c r="GB121" i="43"/>
  <c r="GB128" i="43" s="1"/>
  <c r="GB125" i="43" s="1"/>
  <c r="G128" i="43"/>
  <c r="G125" i="43" s="1"/>
  <c r="DH129" i="45"/>
  <c r="DH125" i="45"/>
  <c r="DF121" i="43"/>
  <c r="DF128" i="43" s="1"/>
  <c r="FX121" i="45"/>
  <c r="FD121" i="45"/>
  <c r="FD128" i="45" s="1"/>
  <c r="C128" i="45"/>
  <c r="DO125" i="43"/>
  <c r="DO129" i="43"/>
  <c r="GH121" i="45"/>
  <c r="GH128" i="45" s="1"/>
  <c r="FN121" i="45"/>
  <c r="M128" i="45"/>
  <c r="CG129" i="41"/>
  <c r="CG125" i="41"/>
  <c r="FN128" i="45"/>
  <c r="FN128" i="43"/>
  <c r="FI121" i="41"/>
  <c r="FI128" i="41" s="1"/>
  <c r="FI125" i="41" s="1"/>
  <c r="GC121" i="41"/>
  <c r="GC128" i="41" s="1"/>
  <c r="GC125" i="41" s="1"/>
  <c r="H128" i="41"/>
  <c r="H125" i="41" s="1"/>
  <c r="L33" i="35"/>
  <c r="K33" i="35"/>
  <c r="CY121" i="44"/>
  <c r="CY128" i="44" s="1"/>
  <c r="DP125" i="45"/>
  <c r="DP129" i="45"/>
  <c r="C70" i="25"/>
  <c r="C62" i="25"/>
  <c r="C69" i="25"/>
  <c r="C68" i="25"/>
  <c r="B30" i="21"/>
  <c r="C63" i="35" s="1"/>
  <c r="G63" i="35" s="1"/>
  <c r="DS129" i="45"/>
  <c r="DS125" i="45"/>
  <c r="GH128" i="44"/>
  <c r="DA125" i="44"/>
  <c r="DA129" i="44"/>
  <c r="DQ128" i="44"/>
  <c r="FZ121" i="41"/>
  <c r="FZ128" i="41" s="1"/>
  <c r="FF121" i="41"/>
  <c r="FF128" i="41" s="1"/>
  <c r="E128" i="41"/>
  <c r="DF121" i="44"/>
  <c r="DF128" i="44" s="1"/>
  <c r="DZ129" i="43"/>
  <c r="DZ125" i="43"/>
  <c r="GB121" i="44"/>
  <c r="GB128" i="44" s="1"/>
  <c r="GB125" i="44" s="1"/>
  <c r="FH121" i="44"/>
  <c r="FH128" i="44" s="1"/>
  <c r="FH125" i="44" s="1"/>
  <c r="G128" i="44"/>
  <c r="G125" i="44" s="1"/>
  <c r="FM121" i="45"/>
  <c r="FM128" i="45" s="1"/>
  <c r="GG121" i="45"/>
  <c r="L128" i="45"/>
  <c r="CY121" i="45"/>
  <c r="CY128" i="45" s="1"/>
  <c r="AW125" i="43"/>
  <c r="AW129" i="43"/>
  <c r="FW121" i="43"/>
  <c r="FW128" i="43" s="1"/>
  <c r="FC121" i="43"/>
  <c r="FC128" i="43" s="1"/>
  <c r="B133" i="43"/>
  <c r="B128" i="43"/>
  <c r="CZ125" i="44"/>
  <c r="CZ129" i="44"/>
  <c r="GA121" i="44"/>
  <c r="GA128" i="44" s="1"/>
  <c r="FG121" i="44"/>
  <c r="FG128" i="44" s="1"/>
  <c r="F128" i="44"/>
  <c r="FE121" i="41"/>
  <c r="FE128" i="41" s="1"/>
  <c r="FY121" i="41"/>
  <c r="FY128" i="41" s="1"/>
  <c r="D128" i="41"/>
  <c r="GA128" i="41"/>
  <c r="L46" i="35"/>
  <c r="K46" i="35"/>
  <c r="DP129" i="41"/>
  <c r="DP125" i="41"/>
  <c r="FI128" i="44"/>
  <c r="FI125" i="44" s="1"/>
  <c r="DQ129" i="45"/>
  <c r="DQ125" i="45"/>
  <c r="GB121" i="45"/>
  <c r="FH121" i="45"/>
  <c r="FH128" i="45" s="1"/>
  <c r="FH125" i="45" s="1"/>
  <c r="G128" i="45"/>
  <c r="G125" i="45" s="1"/>
  <c r="GG121" i="44"/>
  <c r="GG128" i="44" s="1"/>
  <c r="FM121" i="44"/>
  <c r="FM128" i="44" s="1"/>
  <c r="GG121" i="43"/>
  <c r="GG128" i="43" s="1"/>
  <c r="FM121" i="43"/>
  <c r="FM128" i="43" s="1"/>
  <c r="L128" i="43"/>
  <c r="DP125" i="43"/>
  <c r="DP129" i="43"/>
  <c r="K37" i="35"/>
  <c r="L37" i="35"/>
  <c r="CX129" i="41"/>
  <c r="CX125" i="41"/>
  <c r="GB128" i="45"/>
  <c r="GB125" i="45" s="1"/>
  <c r="FI128" i="45"/>
  <c r="FI125" i="45" s="1"/>
  <c r="L36" i="35"/>
  <c r="K36" i="35"/>
  <c r="AE129" i="44"/>
  <c r="AE125" i="44"/>
  <c r="DB121" i="43"/>
  <c r="DB128" i="43" s="1"/>
  <c r="B133" i="44"/>
  <c r="FC121" i="44"/>
  <c r="FC128" i="44" s="1"/>
  <c r="FW121" i="44"/>
  <c r="FW128" i="44" s="1"/>
  <c r="B128" i="44"/>
  <c r="DI121" i="45"/>
  <c r="DI128" i="45" s="1"/>
  <c r="GD128" i="41"/>
  <c r="GD125" i="41" s="1"/>
  <c r="FD128" i="43"/>
  <c r="DO128" i="41"/>
  <c r="DS129" i="43"/>
  <c r="DS125" i="43"/>
  <c r="DI121" i="43"/>
  <c r="DI128" i="43" s="1"/>
  <c r="DI129" i="44"/>
  <c r="DI125" i="44"/>
  <c r="DY125" i="43"/>
  <c r="DY129" i="43"/>
  <c r="DE121" i="41"/>
  <c r="DE128" i="41" s="1"/>
  <c r="DE125" i="41" s="1"/>
  <c r="FJ128" i="45"/>
  <c r="FJ125" i="45" s="1"/>
  <c r="DU128" i="43"/>
  <c r="DU125" i="43" s="1"/>
  <c r="DI129" i="41"/>
  <c r="DI125" i="41"/>
  <c r="DW125" i="45"/>
  <c r="DW129" i="45"/>
  <c r="FX128" i="45"/>
  <c r="DT128" i="45"/>
  <c r="DT125" i="45" s="1"/>
  <c r="G43" i="35"/>
  <c r="DR128" i="44"/>
  <c r="DW128" i="43"/>
  <c r="E43" i="26"/>
  <c r="E48" i="26" s="1"/>
  <c r="E49" i="26" s="1"/>
  <c r="C60" i="26" s="1"/>
  <c r="B48" i="26"/>
  <c r="B49" i="26" s="1"/>
  <c r="O43" i="26"/>
  <c r="O48" i="26" s="1"/>
  <c r="O49" i="26" s="1"/>
  <c r="C71" i="26" s="1"/>
  <c r="L43" i="26"/>
  <c r="L48" i="26" s="1"/>
  <c r="L49" i="26" s="1"/>
  <c r="C67" i="26" s="1"/>
  <c r="DW129" i="41"/>
  <c r="DW125" i="41"/>
  <c r="GG128" i="45"/>
  <c r="DY125" i="45"/>
  <c r="DY129" i="45"/>
  <c r="GG128" i="41"/>
  <c r="DU128" i="45"/>
  <c r="DU125" i="45" s="1"/>
  <c r="FX121" i="41"/>
  <c r="FX128" i="41" s="1"/>
  <c r="FD121" i="41"/>
  <c r="FD128" i="41" s="1"/>
  <c r="C128" i="41"/>
  <c r="CG125" i="44"/>
  <c r="CG129" i="44"/>
  <c r="DU128" i="41"/>
  <c r="DU125" i="41" s="1"/>
  <c r="DR128" i="45"/>
  <c r="DW128" i="44"/>
  <c r="DS128" i="44"/>
  <c r="Z25" i="35"/>
  <c r="V25" i="35" s="1"/>
  <c r="J171" i="44"/>
  <c r="AD25" i="35" s="1"/>
  <c r="I171" i="44"/>
  <c r="AC25" i="35" s="1"/>
  <c r="GF128" i="44"/>
  <c r="FI121" i="43"/>
  <c r="FI128" i="43" s="1"/>
  <c r="FI125" i="43" s="1"/>
  <c r="GC121" i="43"/>
  <c r="GC128" i="43" s="1"/>
  <c r="GC125" i="43" s="1"/>
  <c r="H128" i="43"/>
  <c r="H125" i="43" s="1"/>
  <c r="DA121" i="41"/>
  <c r="DA128" i="41" s="1"/>
  <c r="GE121" i="44"/>
  <c r="GE128" i="44" s="1"/>
  <c r="FK121" i="44"/>
  <c r="FK128" i="44" s="1"/>
  <c r="J128" i="44"/>
  <c r="FY121" i="45"/>
  <c r="FY128" i="45" s="1"/>
  <c r="FE121" i="45"/>
  <c r="FE128" i="45" s="1"/>
  <c r="D128" i="45"/>
  <c r="GE121" i="45"/>
  <c r="FK121" i="45"/>
  <c r="FK128" i="45" s="1"/>
  <c r="J128" i="45"/>
  <c r="AN125" i="43"/>
  <c r="AN129" i="43"/>
  <c r="AO129" i="43"/>
  <c r="AO125" i="43"/>
  <c r="DC121" i="41"/>
  <c r="DC128" i="41" s="1"/>
  <c r="DC125" i="41" s="1"/>
  <c r="GA121" i="45"/>
  <c r="GA128" i="45" s="1"/>
  <c r="FG121" i="45"/>
  <c r="FG128" i="45" s="1"/>
  <c r="F128" i="45"/>
  <c r="FY121" i="44"/>
  <c r="FY128" i="44" s="1"/>
  <c r="FE121" i="44"/>
  <c r="FE128" i="44" s="1"/>
  <c r="D128" i="44"/>
  <c r="DG121" i="43"/>
  <c r="DG128" i="43" s="1"/>
  <c r="DB129" i="44"/>
  <c r="DB125" i="44"/>
  <c r="GD121" i="43"/>
  <c r="GD128" i="43" s="1"/>
  <c r="GD125" i="43" s="1"/>
  <c r="FJ121" i="43"/>
  <c r="FJ128" i="43" s="1"/>
  <c r="FJ125" i="43" s="1"/>
  <c r="I128" i="43"/>
  <c r="I125" i="43" s="1"/>
  <c r="DD121" i="44"/>
  <c r="DD128" i="44" s="1"/>
  <c r="DD125" i="44" s="1"/>
  <c r="CZ121" i="41"/>
  <c r="CZ128" i="41" s="1"/>
  <c r="FM129" i="44" l="1"/>
  <c r="FM125" i="44"/>
  <c r="FZ129" i="44"/>
  <c r="FZ125" i="44"/>
  <c r="GH125" i="45"/>
  <c r="GH129" i="45"/>
  <c r="GF129" i="41"/>
  <c r="GF125" i="41"/>
  <c r="FW129" i="45"/>
  <c r="FW125" i="45"/>
  <c r="FM125" i="43"/>
  <c r="FM129" i="43"/>
  <c r="FY125" i="41"/>
  <c r="FY129" i="41"/>
  <c r="FW129" i="41"/>
  <c r="FW125" i="41"/>
  <c r="FY125" i="44"/>
  <c r="FY129" i="44"/>
  <c r="FZ129" i="41"/>
  <c r="FZ125" i="41"/>
  <c r="FZ129" i="45"/>
  <c r="FZ125" i="45"/>
  <c r="GF129" i="45"/>
  <c r="GF125" i="45"/>
  <c r="FD125" i="44"/>
  <c r="FD129" i="44"/>
  <c r="FX129" i="41"/>
  <c r="FX125" i="41"/>
  <c r="GA129" i="45"/>
  <c r="GA125" i="45"/>
  <c r="FL125" i="41"/>
  <c r="FL129" i="41"/>
  <c r="FN129" i="41"/>
  <c r="FN125" i="41"/>
  <c r="FX125" i="43"/>
  <c r="FX129" i="43"/>
  <c r="FL125" i="45"/>
  <c r="FL129" i="45"/>
  <c r="GA125" i="44"/>
  <c r="GA129" i="44"/>
  <c r="GH125" i="43"/>
  <c r="GH129" i="43"/>
  <c r="GH129" i="41"/>
  <c r="GH125" i="41"/>
  <c r="GE129" i="44"/>
  <c r="GE125" i="44"/>
  <c r="GE125" i="41"/>
  <c r="GE129" i="41"/>
  <c r="GG129" i="44"/>
  <c r="GG125" i="44"/>
  <c r="FY125" i="45"/>
  <c r="FY129" i="45"/>
  <c r="FW129" i="44"/>
  <c r="FW125" i="44"/>
  <c r="FK125" i="44"/>
  <c r="FK129" i="44"/>
  <c r="FD125" i="43"/>
  <c r="FD129" i="43"/>
  <c r="FF125" i="41"/>
  <c r="FF129" i="41"/>
  <c r="FG129" i="41"/>
  <c r="FG125" i="41"/>
  <c r="E129" i="44"/>
  <c r="E125" i="44"/>
  <c r="FK129" i="41"/>
  <c r="FK125" i="41"/>
  <c r="DG129" i="44"/>
  <c r="DG125" i="44"/>
  <c r="F129" i="45"/>
  <c r="F125" i="45"/>
  <c r="FC125" i="43"/>
  <c r="FC129" i="43"/>
  <c r="GQ125" i="44"/>
  <c r="GQ129" i="44"/>
  <c r="FF129" i="44"/>
  <c r="FF125" i="44"/>
  <c r="DO133" i="41"/>
  <c r="DW147" i="41" s="1"/>
  <c r="DO153" i="41" s="1"/>
  <c r="AD133" i="41"/>
  <c r="AL147" i="41" s="1"/>
  <c r="AD153" i="41" s="1"/>
  <c r="CX133" i="41"/>
  <c r="DF147" i="41" s="1"/>
  <c r="CX153" i="41" s="1"/>
  <c r="CG133" i="41"/>
  <c r="CO147" i="41" s="1"/>
  <c r="CG153" i="41" s="1"/>
  <c r="FW133" i="41"/>
  <c r="GE147" i="41" s="1"/>
  <c r="FW153" i="41" s="1"/>
  <c r="AV133" i="41"/>
  <c r="BD147" i="41" s="1"/>
  <c r="AV153" i="41" s="1"/>
  <c r="BO133" i="41"/>
  <c r="BW147" i="41" s="1"/>
  <c r="BO153" i="41" s="1"/>
  <c r="EG133" i="41"/>
  <c r="FC133" i="41"/>
  <c r="FK147" i="41" s="1"/>
  <c r="FC153" i="41" s="1"/>
  <c r="GO133" i="41"/>
  <c r="GW147" i="41" s="1"/>
  <c r="GO153" i="41" s="1"/>
  <c r="ER133" i="41"/>
  <c r="EZ147" i="41" s="1"/>
  <c r="ER153" i="41" s="1"/>
  <c r="J147" i="41"/>
  <c r="B153" i="41" s="1"/>
  <c r="CZ129" i="41"/>
  <c r="CZ125" i="41"/>
  <c r="D129" i="44"/>
  <c r="D125" i="44"/>
  <c r="GF125" i="44"/>
  <c r="GF129" i="44"/>
  <c r="DR129" i="45"/>
  <c r="DR125" i="45"/>
  <c r="GG125" i="41"/>
  <c r="GG129" i="41"/>
  <c r="FX125" i="45"/>
  <c r="FX129" i="45"/>
  <c r="DO129" i="41"/>
  <c r="DO125" i="41"/>
  <c r="FC133" i="44"/>
  <c r="FK147" i="44" s="1"/>
  <c r="FC153" i="44" s="1"/>
  <c r="ER133" i="44"/>
  <c r="EZ147" i="44" s="1"/>
  <c r="ER153" i="44" s="1"/>
  <c r="J147" i="44"/>
  <c r="B153" i="44" s="1"/>
  <c r="GO133" i="44"/>
  <c r="GW147" i="44" s="1"/>
  <c r="GO153" i="44" s="1"/>
  <c r="AV133" i="44"/>
  <c r="BD147" i="44" s="1"/>
  <c r="AV153" i="44" s="1"/>
  <c r="AD133" i="44"/>
  <c r="AL147" i="44" s="1"/>
  <c r="AD153" i="44" s="1"/>
  <c r="EG133" i="44"/>
  <c r="EO147" i="44" s="1"/>
  <c r="EG153" i="44" s="1"/>
  <c r="FW133" i="44"/>
  <c r="GE147" i="44" s="1"/>
  <c r="FW153" i="44" s="1"/>
  <c r="L129" i="43"/>
  <c r="L125" i="43"/>
  <c r="GA129" i="41"/>
  <c r="GA125" i="41"/>
  <c r="L125" i="45"/>
  <c r="L129" i="45"/>
  <c r="DF129" i="44"/>
  <c r="DF125" i="44"/>
  <c r="GR129" i="45"/>
  <c r="GR125" i="45"/>
  <c r="GO129" i="45"/>
  <c r="GO125" i="45"/>
  <c r="F129" i="41"/>
  <c r="F125" i="41"/>
  <c r="GS129" i="44"/>
  <c r="GS125" i="44"/>
  <c r="FN125" i="44"/>
  <c r="FN129" i="44"/>
  <c r="GE125" i="45"/>
  <c r="GE129" i="45"/>
  <c r="FK129" i="43"/>
  <c r="FK125" i="43"/>
  <c r="FL125" i="44"/>
  <c r="FL129" i="44"/>
  <c r="DG125" i="45"/>
  <c r="DG129" i="45"/>
  <c r="B125" i="45"/>
  <c r="B129" i="45"/>
  <c r="GY129" i="43"/>
  <c r="GY125" i="43"/>
  <c r="C125" i="44"/>
  <c r="C129" i="44"/>
  <c r="FE125" i="44"/>
  <c r="FE129" i="44"/>
  <c r="J129" i="44"/>
  <c r="J125" i="44"/>
  <c r="C62" i="26"/>
  <c r="B30" i="24"/>
  <c r="D63" i="35" s="1"/>
  <c r="H63" i="35" s="1"/>
  <c r="C69" i="26"/>
  <c r="C68" i="26"/>
  <c r="C70" i="26"/>
  <c r="DB129" i="43"/>
  <c r="DB125" i="43"/>
  <c r="D125" i="41"/>
  <c r="D129" i="41"/>
  <c r="B129" i="43"/>
  <c r="B125" i="43"/>
  <c r="E129" i="41"/>
  <c r="E125" i="41"/>
  <c r="FN125" i="43"/>
  <c r="FN129" i="43"/>
  <c r="GP125" i="45"/>
  <c r="GP129" i="45"/>
  <c r="GZ125" i="44"/>
  <c r="GZ129" i="44"/>
  <c r="GR125" i="44"/>
  <c r="GR129" i="44"/>
  <c r="F129" i="43"/>
  <c r="F125" i="43"/>
  <c r="FM129" i="41"/>
  <c r="FM125" i="41"/>
  <c r="K125" i="41"/>
  <c r="K129" i="41"/>
  <c r="J129" i="41"/>
  <c r="J125" i="41"/>
  <c r="K34" i="35"/>
  <c r="L34" i="35"/>
  <c r="B129" i="41"/>
  <c r="B125" i="41"/>
  <c r="FC125" i="45"/>
  <c r="FC129" i="45"/>
  <c r="GW129" i="43"/>
  <c r="GW125" i="43"/>
  <c r="GZ125" i="43"/>
  <c r="GZ129" i="43"/>
  <c r="GS129" i="41"/>
  <c r="GS125" i="41"/>
  <c r="K125" i="45"/>
  <c r="K129" i="45"/>
  <c r="FM125" i="45"/>
  <c r="FM129" i="45"/>
  <c r="FC125" i="41"/>
  <c r="FC129" i="41"/>
  <c r="GO125" i="43"/>
  <c r="GO129" i="43"/>
  <c r="GZ125" i="41"/>
  <c r="GZ129" i="41"/>
  <c r="J125" i="45"/>
  <c r="J129" i="45"/>
  <c r="DW129" i="43"/>
  <c r="DW125" i="43"/>
  <c r="FE125" i="41"/>
  <c r="FE129" i="41"/>
  <c r="CY129" i="43"/>
  <c r="CY125" i="43"/>
  <c r="K129" i="43"/>
  <c r="K125" i="43"/>
  <c r="CG133" i="45"/>
  <c r="CO147" i="45" s="1"/>
  <c r="CG153" i="45" s="1"/>
  <c r="AV133" i="45"/>
  <c r="BD147" i="45" s="1"/>
  <c r="AV153" i="45" s="1"/>
  <c r="DO133" i="45"/>
  <c r="DW147" i="45" s="1"/>
  <c r="DO153" i="45" s="1"/>
  <c r="FW133" i="45"/>
  <c r="GE147" i="45" s="1"/>
  <c r="FW153" i="45" s="1"/>
  <c r="J147" i="45"/>
  <c r="B153" i="45" s="1"/>
  <c r="GO133" i="45"/>
  <c r="GW147" i="45" s="1"/>
  <c r="GO153" i="45" s="1"/>
  <c r="CX133" i="45"/>
  <c r="DF147" i="45" s="1"/>
  <c r="CX153" i="45" s="1"/>
  <c r="BO133" i="45"/>
  <c r="BW147" i="45" s="1"/>
  <c r="BO153" i="45" s="1"/>
  <c r="AD133" i="45"/>
  <c r="AL147" i="45" s="1"/>
  <c r="AD153" i="45" s="1"/>
  <c r="EG133" i="45"/>
  <c r="EO147" i="45" s="1"/>
  <c r="EG153" i="45" s="1"/>
  <c r="ER133" i="45"/>
  <c r="EZ147" i="45" s="1"/>
  <c r="ER153" i="45" s="1"/>
  <c r="FC133" i="45"/>
  <c r="FK147" i="45" s="1"/>
  <c r="FC153" i="45" s="1"/>
  <c r="GX129" i="43"/>
  <c r="GX125" i="43"/>
  <c r="I19" i="47"/>
  <c r="T20" i="48"/>
  <c r="FK125" i="45"/>
  <c r="FK129" i="45"/>
  <c r="C129" i="41"/>
  <c r="C125" i="41"/>
  <c r="DI125" i="43"/>
  <c r="DI129" i="43"/>
  <c r="DQ125" i="44"/>
  <c r="DQ129" i="44"/>
  <c r="GY125" i="45"/>
  <c r="GY129" i="45"/>
  <c r="FE125" i="43"/>
  <c r="FE129" i="43"/>
  <c r="E129" i="43"/>
  <c r="E125" i="43"/>
  <c r="GF129" i="43"/>
  <c r="GF125" i="43"/>
  <c r="FX129" i="44"/>
  <c r="FX125" i="44"/>
  <c r="GX125" i="41"/>
  <c r="GX129" i="41"/>
  <c r="DS129" i="44"/>
  <c r="DS125" i="44"/>
  <c r="FD129" i="41"/>
  <c r="FD125" i="41"/>
  <c r="B125" i="44"/>
  <c r="B129" i="44"/>
  <c r="FG129" i="44"/>
  <c r="FG125" i="44"/>
  <c r="FD129" i="45"/>
  <c r="FD125" i="45"/>
  <c r="FF125" i="43"/>
  <c r="FF129" i="43"/>
  <c r="GS125" i="45"/>
  <c r="GS129" i="45"/>
  <c r="DH125" i="43"/>
  <c r="DH129" i="43"/>
  <c r="GO125" i="44"/>
  <c r="GO129" i="44"/>
  <c r="CZ129" i="43"/>
  <c r="CZ125" i="43"/>
  <c r="FY129" i="43"/>
  <c r="FY125" i="43"/>
  <c r="DX125" i="44"/>
  <c r="DX129" i="44"/>
  <c r="FZ125" i="43"/>
  <c r="FZ129" i="43"/>
  <c r="DH125" i="44"/>
  <c r="DH129" i="44"/>
  <c r="G104" i="35"/>
  <c r="H104" i="35" s="1"/>
  <c r="L104" i="35" s="1"/>
  <c r="FL125" i="43"/>
  <c r="FL129" i="43"/>
  <c r="GW129" i="41"/>
  <c r="GW125" i="41"/>
  <c r="GO125" i="41"/>
  <c r="GO129" i="41"/>
  <c r="GG129" i="43"/>
  <c r="GG125" i="43"/>
  <c r="ER133" i="43"/>
  <c r="EZ147" i="43" s="1"/>
  <c r="ER153" i="43" s="1"/>
  <c r="CX133" i="43"/>
  <c r="DF147" i="43" s="1"/>
  <c r="CX153" i="43" s="1"/>
  <c r="AV133" i="43"/>
  <c r="BD147" i="43" s="1"/>
  <c r="AV153" i="43" s="1"/>
  <c r="FW133" i="43"/>
  <c r="GE147" i="43" s="1"/>
  <c r="FW153" i="43" s="1"/>
  <c r="J147" i="43"/>
  <c r="B153" i="43" s="1"/>
  <c r="FC133" i="43"/>
  <c r="FK147" i="43" s="1"/>
  <c r="FC153" i="43" s="1"/>
  <c r="CG133" i="43"/>
  <c r="CO147" i="43" s="1"/>
  <c r="CG153" i="43" s="1"/>
  <c r="EG133" i="43"/>
  <c r="EO147" i="43" s="1"/>
  <c r="EG153" i="43" s="1"/>
  <c r="GO133" i="43"/>
  <c r="GW147" i="43" s="1"/>
  <c r="GO153" i="43" s="1"/>
  <c r="BO133" i="43"/>
  <c r="BW147" i="43" s="1"/>
  <c r="BO153" i="43" s="1"/>
  <c r="AD133" i="43"/>
  <c r="AL147" i="43" s="1"/>
  <c r="AD153" i="43" s="1"/>
  <c r="DO133" i="43"/>
  <c r="DW147" i="43" s="1"/>
  <c r="DO153" i="43" s="1"/>
  <c r="FN129" i="45"/>
  <c r="FN125" i="45"/>
  <c r="FG125" i="43"/>
  <c r="FG129" i="43"/>
  <c r="GA125" i="43"/>
  <c r="GA129" i="43"/>
  <c r="FG125" i="45"/>
  <c r="FG129" i="45"/>
  <c r="DR125" i="44"/>
  <c r="DR129" i="44"/>
  <c r="FW129" i="43"/>
  <c r="FW125" i="43"/>
  <c r="C125" i="45"/>
  <c r="C129" i="45"/>
  <c r="M129" i="43"/>
  <c r="M125" i="43"/>
  <c r="CX129" i="45"/>
  <c r="CX125" i="45"/>
  <c r="GS125" i="43"/>
  <c r="GS129" i="43"/>
  <c r="GQ125" i="41"/>
  <c r="GQ129" i="41"/>
  <c r="D125" i="45"/>
  <c r="D129" i="45"/>
  <c r="GZ129" i="45"/>
  <c r="GZ125" i="45"/>
  <c r="GQ125" i="45"/>
  <c r="GQ129" i="45"/>
  <c r="B25" i="35"/>
  <c r="C43" i="35" s="1"/>
  <c r="H43" i="35"/>
  <c r="DA125" i="45"/>
  <c r="DA129" i="45"/>
  <c r="GP125" i="44"/>
  <c r="GP129" i="44"/>
  <c r="GW125" i="44"/>
  <c r="GW129" i="44"/>
  <c r="M129" i="44"/>
  <c r="M125" i="44"/>
  <c r="E129" i="45"/>
  <c r="E125" i="45"/>
  <c r="J129" i="43"/>
  <c r="J125" i="43"/>
  <c r="N104" i="35"/>
  <c r="C104" i="35"/>
  <c r="DX129" i="41"/>
  <c r="DX125" i="41"/>
  <c r="GQ125" i="43"/>
  <c r="GQ129" i="43"/>
  <c r="GY129" i="41"/>
  <c r="GY125" i="41"/>
  <c r="CY125" i="44"/>
  <c r="CY129" i="44"/>
  <c r="M125" i="41"/>
  <c r="M129" i="41"/>
  <c r="GX125" i="45"/>
  <c r="GX129" i="45"/>
  <c r="D129" i="43"/>
  <c r="D125" i="43"/>
  <c r="GR129" i="43"/>
  <c r="GR125" i="43"/>
  <c r="DA129" i="41"/>
  <c r="DA125" i="41"/>
  <c r="GG125" i="45"/>
  <c r="GG129" i="45"/>
  <c r="DI125" i="45"/>
  <c r="DI129" i="45"/>
  <c r="F125" i="44"/>
  <c r="F129" i="44"/>
  <c r="GY129" i="44"/>
  <c r="GY125" i="44"/>
  <c r="O35" i="35"/>
  <c r="P34" i="35"/>
  <c r="A34" i="35" s="1"/>
  <c r="DR125" i="43"/>
  <c r="DR129" i="43"/>
  <c r="DG129" i="43"/>
  <c r="DG125" i="43"/>
  <c r="FE125" i="45"/>
  <c r="FE129" i="45"/>
  <c r="DW129" i="44"/>
  <c r="DW125" i="44"/>
  <c r="FC125" i="44"/>
  <c r="FC129" i="44"/>
  <c r="CY125" i="45"/>
  <c r="CY129" i="45"/>
  <c r="GH129" i="44"/>
  <c r="GH125" i="44"/>
  <c r="M129" i="45"/>
  <c r="M125" i="45"/>
  <c r="DF129" i="43"/>
  <c r="DF125" i="43"/>
  <c r="GW125" i="45"/>
  <c r="GW129" i="45"/>
  <c r="DZ125" i="41"/>
  <c r="DZ129" i="41"/>
  <c r="GX125" i="44"/>
  <c r="GX129" i="44"/>
  <c r="L129" i="41"/>
  <c r="L125" i="41"/>
  <c r="FF129" i="45"/>
  <c r="FF125" i="45"/>
  <c r="GE129" i="43"/>
  <c r="GE125" i="43"/>
  <c r="K129" i="44"/>
  <c r="K125" i="44"/>
  <c r="DO125" i="45"/>
  <c r="DO129" i="45"/>
  <c r="GP125" i="43"/>
  <c r="GP129" i="43"/>
  <c r="GP125" i="41"/>
  <c r="GP129" i="41"/>
  <c r="GR125" i="41"/>
  <c r="GR129" i="41"/>
  <c r="E170" i="43" l="1"/>
  <c r="D11" i="35"/>
  <c r="E169" i="43"/>
  <c r="E166" i="43"/>
  <c r="E166" i="41"/>
  <c r="J11" i="35"/>
  <c r="N11" i="35" s="1"/>
  <c r="E170" i="41"/>
  <c r="E169" i="41"/>
  <c r="C11" i="35"/>
  <c r="N114" i="35"/>
  <c r="O104" i="35"/>
  <c r="O105" i="35" s="1"/>
  <c r="I20" i="47"/>
  <c r="H52" i="35" s="1"/>
  <c r="I22" i="47"/>
  <c r="HQ133" i="41"/>
  <c r="HY147" i="41" s="1"/>
  <c r="HQ153" i="41" s="1"/>
  <c r="EO147" i="41"/>
  <c r="EG153" i="41" s="1"/>
  <c r="O36" i="35"/>
  <c r="P35" i="35"/>
  <c r="A35" i="35" s="1"/>
  <c r="L43" i="35"/>
  <c r="K43" i="35"/>
  <c r="F11" i="35"/>
  <c r="E166" i="45"/>
  <c r="E169" i="45"/>
  <c r="E170" i="45"/>
  <c r="E11" i="35"/>
  <c r="E170" i="44"/>
  <c r="E169" i="44"/>
  <c r="E166" i="44"/>
  <c r="E20" i="35" l="1"/>
  <c r="F166" i="41"/>
  <c r="P104" i="35"/>
  <c r="A104" i="35" s="1"/>
  <c r="O37" i="35"/>
  <c r="P36" i="35"/>
  <c r="A36" i="35" s="1"/>
  <c r="G170" i="45"/>
  <c r="E173" i="45"/>
  <c r="AI24" i="35"/>
  <c r="F170" i="45"/>
  <c r="AI23" i="35"/>
  <c r="F169" i="45"/>
  <c r="Y20" i="35"/>
  <c r="F166" i="44"/>
  <c r="AI20" i="35"/>
  <c r="F166" i="45"/>
  <c r="Y23" i="35"/>
  <c r="F169" i="44"/>
  <c r="K52" i="35"/>
  <c r="A85" i="28"/>
  <c r="C83" i="28"/>
  <c r="G86" i="28"/>
  <c r="G80" i="28"/>
  <c r="G79" i="28"/>
  <c r="C85" i="28"/>
  <c r="H89" i="28"/>
  <c r="D83" i="28"/>
  <c r="B86" i="28"/>
  <c r="G82" i="28"/>
  <c r="D90" i="28"/>
  <c r="F88" i="28"/>
  <c r="H80" i="28"/>
  <c r="F87" i="28"/>
  <c r="A83" i="28"/>
  <c r="H86" i="28"/>
  <c r="H81" i="28"/>
  <c r="C82" i="28"/>
  <c r="B89" i="28"/>
  <c r="A82" i="28"/>
  <c r="D80" i="28"/>
  <c r="G89" i="28"/>
  <c r="G84" i="28"/>
  <c r="F84" i="28"/>
  <c r="E79" i="28"/>
  <c r="H85" i="28"/>
  <c r="C88" i="28"/>
  <c r="C79" i="28"/>
  <c r="A86" i="28"/>
  <c r="A88" i="28"/>
  <c r="G90" i="28"/>
  <c r="E85" i="28"/>
  <c r="B80" i="28"/>
  <c r="G83" i="28"/>
  <c r="F83" i="28"/>
  <c r="B90" i="28"/>
  <c r="C87" i="28"/>
  <c r="F81" i="28"/>
  <c r="H87" i="28"/>
  <c r="A80" i="28"/>
  <c r="E80" i="28"/>
  <c r="G85" i="28"/>
  <c r="B83" i="28"/>
  <c r="G81" i="28"/>
  <c r="B82" i="28"/>
  <c r="B79" i="28"/>
  <c r="F86" i="28"/>
  <c r="A89" i="28"/>
  <c r="E88" i="28"/>
  <c r="D82" i="28"/>
  <c r="E90" i="28"/>
  <c r="D87" i="28"/>
  <c r="H83" i="28"/>
  <c r="D89" i="28"/>
  <c r="B85" i="28"/>
  <c r="D79" i="28"/>
  <c r="E89" i="28"/>
  <c r="C90" i="28"/>
  <c r="E83" i="28"/>
  <c r="H79" i="28"/>
  <c r="D81" i="28"/>
  <c r="B81" i="28"/>
  <c r="B84" i="28"/>
  <c r="C38" i="35" s="1"/>
  <c r="H82" i="28"/>
  <c r="E87" i="28"/>
  <c r="F79" i="28"/>
  <c r="A84" i="28"/>
  <c r="H90" i="28"/>
  <c r="F82" i="28"/>
  <c r="F85" i="28"/>
  <c r="B87" i="28"/>
  <c r="A90" i="28"/>
  <c r="G88" i="28"/>
  <c r="D84" i="28"/>
  <c r="B88" i="28"/>
  <c r="G87" i="28"/>
  <c r="A81" i="28"/>
  <c r="D85" i="28"/>
  <c r="C81" i="28"/>
  <c r="H84" i="28"/>
  <c r="F80" i="28"/>
  <c r="C89" i="28"/>
  <c r="F90" i="28"/>
  <c r="E86" i="28"/>
  <c r="C84" i="28"/>
  <c r="D88" i="28"/>
  <c r="E81" i="28"/>
  <c r="F89" i="28"/>
  <c r="C86" i="28"/>
  <c r="A79" i="28"/>
  <c r="E82" i="28"/>
  <c r="E84" i="28"/>
  <c r="H88" i="28"/>
  <c r="D86" i="28"/>
  <c r="A87" i="28"/>
  <c r="C80" i="28"/>
  <c r="G11" i="35"/>
  <c r="C12" i="42" s="1"/>
  <c r="D12" i="42" s="1"/>
  <c r="O23" i="35"/>
  <c r="F169" i="43"/>
  <c r="G170" i="44"/>
  <c r="E173" i="44"/>
  <c r="Y24" i="35"/>
  <c r="F170" i="44"/>
  <c r="E23" i="35"/>
  <c r="F169" i="41"/>
  <c r="O106" i="35"/>
  <c r="P105" i="35"/>
  <c r="A105" i="35" s="1"/>
  <c r="O20" i="35"/>
  <c r="F166" i="43"/>
  <c r="G170" i="41"/>
  <c r="E24" i="35"/>
  <c r="E173" i="41"/>
  <c r="E27" i="35" s="1"/>
  <c r="F170" i="41"/>
  <c r="O24" i="35"/>
  <c r="E173" i="43"/>
  <c r="G170" i="43"/>
  <c r="F170" i="43"/>
  <c r="O107" i="35" l="1"/>
  <c r="P106" i="35"/>
  <c r="A106" i="35" s="1"/>
  <c r="Q24" i="35"/>
  <c r="G175" i="43"/>
  <c r="Q29" i="35" s="1"/>
  <c r="AA24" i="35"/>
  <c r="G175" i="44"/>
  <c r="AA29" i="35" s="1"/>
  <c r="O27" i="35"/>
  <c r="E175" i="43"/>
  <c r="I169" i="43"/>
  <c r="S23" i="35" s="1"/>
  <c r="P23" i="35"/>
  <c r="L23" i="35" s="1"/>
  <c r="J169" i="43"/>
  <c r="T23" i="35" s="1"/>
  <c r="AJ20" i="35"/>
  <c r="AF20" i="35" s="1"/>
  <c r="J166" i="45"/>
  <c r="AN20" i="35" s="1"/>
  <c r="I166" i="45"/>
  <c r="AM20" i="35" s="1"/>
  <c r="AI27" i="35"/>
  <c r="E175" i="45"/>
  <c r="J170" i="41"/>
  <c r="J24" i="35" s="1"/>
  <c r="F173" i="41"/>
  <c r="I170" i="41"/>
  <c r="I24" i="35" s="1"/>
  <c r="F24" i="35"/>
  <c r="G45" i="35"/>
  <c r="E175" i="41"/>
  <c r="J170" i="44"/>
  <c r="AD24" i="35" s="1"/>
  <c r="I170" i="44"/>
  <c r="AC24" i="35" s="1"/>
  <c r="Z24" i="35"/>
  <c r="V24" i="35" s="1"/>
  <c r="F173" i="44"/>
  <c r="I169" i="45"/>
  <c r="AM23" i="35" s="1"/>
  <c r="AJ23" i="35"/>
  <c r="AF23" i="35" s="1"/>
  <c r="J169" i="45"/>
  <c r="AN23" i="35" s="1"/>
  <c r="AK24" i="35"/>
  <c r="G175" i="45"/>
  <c r="AK29" i="35" s="1"/>
  <c r="G42" i="35"/>
  <c r="G24" i="35"/>
  <c r="G175" i="41"/>
  <c r="G29" i="35" s="1"/>
  <c r="L52" i="35"/>
  <c r="I166" i="41"/>
  <c r="I20" i="35" s="1"/>
  <c r="F20" i="35"/>
  <c r="B20" i="35" s="1"/>
  <c r="J166" i="41"/>
  <c r="J20" i="35" s="1"/>
  <c r="J169" i="41"/>
  <c r="J23" i="35" s="1"/>
  <c r="I169" i="41"/>
  <c r="I23" i="35" s="1"/>
  <c r="F23" i="35"/>
  <c r="I166" i="44"/>
  <c r="AC20" i="35" s="1"/>
  <c r="Z20" i="35"/>
  <c r="V20" i="35" s="1"/>
  <c r="J166" i="44"/>
  <c r="AD20" i="35" s="1"/>
  <c r="G41" i="35"/>
  <c r="O38" i="35"/>
  <c r="P37" i="35"/>
  <c r="A37" i="35" s="1"/>
  <c r="F173" i="43"/>
  <c r="P24" i="35"/>
  <c r="L24" i="35" s="1"/>
  <c r="J170" i="43"/>
  <c r="T24" i="35" s="1"/>
  <c r="I170" i="43"/>
  <c r="S24" i="35" s="1"/>
  <c r="I166" i="43"/>
  <c r="S20" i="35" s="1"/>
  <c r="J166" i="43"/>
  <c r="T20" i="35" s="1"/>
  <c r="P20" i="35"/>
  <c r="L20" i="35" s="1"/>
  <c r="Y27" i="35"/>
  <c r="E175" i="44"/>
  <c r="Z23" i="35"/>
  <c r="V23" i="35" s="1"/>
  <c r="J169" i="44"/>
  <c r="AD23" i="35" s="1"/>
  <c r="I169" i="44"/>
  <c r="AC23" i="35" s="1"/>
  <c r="AJ24" i="35"/>
  <c r="AF24" i="35" s="1"/>
  <c r="I170" i="45"/>
  <c r="AM24" i="35" s="1"/>
  <c r="J170" i="45"/>
  <c r="AN24" i="35" s="1"/>
  <c r="F173" i="45"/>
  <c r="O39" i="35" l="1"/>
  <c r="P38" i="35"/>
  <c r="A38" i="35" s="1"/>
  <c r="Y29" i="35"/>
  <c r="F175" i="44"/>
  <c r="P27" i="35"/>
  <c r="L27" i="35" s="1"/>
  <c r="J173" i="43"/>
  <c r="T27" i="35" s="1"/>
  <c r="I173" i="43"/>
  <c r="S27" i="35" s="1"/>
  <c r="AI29" i="35"/>
  <c r="F175" i="45"/>
  <c r="O29" i="35"/>
  <c r="F175" i="43"/>
  <c r="J173" i="45"/>
  <c r="AN27" i="35" s="1"/>
  <c r="AJ27" i="35"/>
  <c r="AF27" i="35" s="1"/>
  <c r="I173" i="45"/>
  <c r="AM27" i="35" s="1"/>
  <c r="C110" i="35"/>
  <c r="I47" i="35"/>
  <c r="N47" i="35" s="1"/>
  <c r="Z27" i="35"/>
  <c r="V27" i="35" s="1"/>
  <c r="J173" i="44"/>
  <c r="AD27" i="35" s="1"/>
  <c r="I173" i="44"/>
  <c r="AC27" i="35" s="1"/>
  <c r="F27" i="35"/>
  <c r="I173" i="41"/>
  <c r="I27" i="35" s="1"/>
  <c r="J173" i="41"/>
  <c r="J27" i="35" s="1"/>
  <c r="E29" i="35"/>
  <c r="F175" i="41"/>
  <c r="H42" i="35"/>
  <c r="B24" i="35"/>
  <c r="C42" i="35" s="1"/>
  <c r="B23" i="35"/>
  <c r="C41" i="35" s="1"/>
  <c r="H41" i="35"/>
  <c r="I42" i="35"/>
  <c r="N42" i="35" s="1"/>
  <c r="O108" i="35"/>
  <c r="P107" i="35"/>
  <c r="A107" i="35" s="1"/>
  <c r="O109" i="35" l="1"/>
  <c r="P108" i="35"/>
  <c r="A108" i="35" s="1"/>
  <c r="I175" i="41"/>
  <c r="I29" i="35" s="1"/>
  <c r="F29" i="35"/>
  <c r="J175" i="41"/>
  <c r="J29" i="35" s="1"/>
  <c r="G47" i="35"/>
  <c r="K41" i="35"/>
  <c r="L41" i="35"/>
  <c r="P29" i="35"/>
  <c r="L29" i="35" s="1"/>
  <c r="J175" i="43"/>
  <c r="T29" i="35" s="1"/>
  <c r="I175" i="43"/>
  <c r="S29" i="35" s="1"/>
  <c r="N53" i="35"/>
  <c r="H45" i="35"/>
  <c r="B27" i="35"/>
  <c r="C45" i="35" s="1"/>
  <c r="I175" i="44"/>
  <c r="AC29" i="35" s="1"/>
  <c r="Z29" i="35"/>
  <c r="V29" i="35" s="1"/>
  <c r="J175" i="44"/>
  <c r="AD29" i="35" s="1"/>
  <c r="K42" i="35"/>
  <c r="L42" i="35"/>
  <c r="AJ29" i="35"/>
  <c r="AF29" i="35" s="1"/>
  <c r="J175" i="45"/>
  <c r="AN29" i="35" s="1"/>
  <c r="I175" i="45"/>
  <c r="AM29" i="35" s="1"/>
  <c r="O40" i="35"/>
  <c r="P39" i="35"/>
  <c r="A39" i="35" s="1"/>
  <c r="K45" i="35" l="1"/>
  <c r="L45" i="35"/>
  <c r="E69" i="28"/>
  <c r="F70" i="28"/>
  <c r="D64" i="28"/>
  <c r="A65" i="28"/>
  <c r="C73" i="28"/>
  <c r="H64" i="28"/>
  <c r="E60" i="28"/>
  <c r="C69" i="28"/>
  <c r="H74" i="28"/>
  <c r="E70" i="28"/>
  <c r="D60" i="28"/>
  <c r="H73" i="28"/>
  <c r="D73" i="28"/>
  <c r="H62" i="28"/>
  <c r="B64" i="28"/>
  <c r="G62" i="28"/>
  <c r="F72" i="28"/>
  <c r="C63" i="28"/>
  <c r="F74" i="28"/>
  <c r="E64" i="28"/>
  <c r="C74" i="28"/>
  <c r="E63" i="28"/>
  <c r="B70" i="28"/>
  <c r="F60" i="28"/>
  <c r="G73" i="28"/>
  <c r="D63" i="28"/>
  <c r="C66" i="28"/>
  <c r="G72" i="28"/>
  <c r="G67" i="28"/>
  <c r="E72" i="28"/>
  <c r="D71" i="28"/>
  <c r="G64" i="28"/>
  <c r="H71" i="28"/>
  <c r="E61" i="28"/>
  <c r="B62" i="28"/>
  <c r="A69" i="28"/>
  <c r="C70" i="28"/>
  <c r="B60" i="28"/>
  <c r="C72" i="28"/>
  <c r="D61" i="28"/>
  <c r="F71" i="28"/>
  <c r="H65" i="28"/>
  <c r="A74" i="28"/>
  <c r="F67" i="28"/>
  <c r="G65" i="28"/>
  <c r="G60" i="28"/>
  <c r="A71" i="28"/>
  <c r="G70" i="28"/>
  <c r="C68" i="28"/>
  <c r="F65" i="28"/>
  <c r="G71" i="28"/>
  <c r="E66" i="28"/>
  <c r="F64" i="28"/>
  <c r="H63" i="28"/>
  <c r="H70" i="28"/>
  <c r="B66" i="28"/>
  <c r="F63" i="28"/>
  <c r="F62" i="28"/>
  <c r="D70" i="28"/>
  <c r="C61" i="28"/>
  <c r="F61" i="28"/>
  <c r="B71" i="28"/>
  <c r="E68" i="28"/>
  <c r="D69" i="28"/>
  <c r="A66" i="28"/>
  <c r="B69" i="28"/>
  <c r="G66" i="28"/>
  <c r="C71" i="28"/>
  <c r="A70" i="28"/>
  <c r="H69" i="28"/>
  <c r="A73" i="28"/>
  <c r="F66" i="28"/>
  <c r="F68" i="28"/>
  <c r="B65" i="28"/>
  <c r="B74" i="28"/>
  <c r="H60" i="28"/>
  <c r="A60" i="28"/>
  <c r="H61" i="28"/>
  <c r="F73" i="28"/>
  <c r="G74" i="28"/>
  <c r="A67" i="28"/>
  <c r="D74" i="28"/>
  <c r="C60" i="28"/>
  <c r="B68" i="28"/>
  <c r="G68" i="28"/>
  <c r="B63" i="28"/>
  <c r="A72" i="28"/>
  <c r="A62" i="28"/>
  <c r="C62" i="28"/>
  <c r="C64" i="28"/>
  <c r="D65" i="28"/>
  <c r="D72" i="28"/>
  <c r="E71" i="28"/>
  <c r="D62" i="28"/>
  <c r="G63" i="28"/>
  <c r="H66" i="28"/>
  <c r="B72" i="28"/>
  <c r="E67" i="28"/>
  <c r="A63" i="28"/>
  <c r="A64" i="28"/>
  <c r="E62" i="28"/>
  <c r="A68" i="28"/>
  <c r="H72" i="28"/>
  <c r="H68" i="28"/>
  <c r="B67" i="28"/>
  <c r="E65" i="28"/>
  <c r="B73" i="28"/>
  <c r="C65" i="28"/>
  <c r="C67" i="28"/>
  <c r="F69" i="28"/>
  <c r="D67" i="28"/>
  <c r="D68" i="28"/>
  <c r="E74" i="28"/>
  <c r="A61" i="28"/>
  <c r="B61" i="28"/>
  <c r="E73" i="28"/>
  <c r="G69" i="28"/>
  <c r="H67" i="28"/>
  <c r="G61" i="28"/>
  <c r="D66" i="28"/>
  <c r="B29" i="35"/>
  <c r="C47" i="35" s="1"/>
  <c r="H47" i="35"/>
  <c r="O41" i="35"/>
  <c r="P40" i="35"/>
  <c r="A40" i="35" s="1"/>
  <c r="O110" i="35"/>
  <c r="P109" i="35"/>
  <c r="A109" i="35" s="1"/>
  <c r="O111" i="35" l="1"/>
  <c r="P110" i="35"/>
  <c r="A110" i="35" s="1"/>
  <c r="O42" i="35"/>
  <c r="P41" i="35"/>
  <c r="A41" i="35" s="1"/>
  <c r="K47" i="35"/>
  <c r="L47" i="35"/>
  <c r="O43" i="35" l="1"/>
  <c r="P42" i="35"/>
  <c r="A42" i="35" s="1"/>
  <c r="O112" i="35"/>
  <c r="P112" i="35" s="1"/>
  <c r="P111" i="35"/>
  <c r="A111" i="35" s="1"/>
  <c r="O44" i="35" l="1"/>
  <c r="P43" i="35"/>
  <c r="A43" i="35" s="1"/>
  <c r="O45" i="35" l="1"/>
  <c r="P44" i="35"/>
  <c r="A44" i="35" s="1"/>
  <c r="O46" i="35" l="1"/>
  <c r="P45" i="35"/>
  <c r="A45" i="35" s="1"/>
  <c r="O47" i="35" l="1"/>
  <c r="P47" i="35" s="1"/>
  <c r="A47" i="35" s="1"/>
  <c r="P46" i="35"/>
  <c r="A46" i="35" s="1"/>
</calcChain>
</file>

<file path=xl/sharedStrings.xml><?xml version="1.0" encoding="utf-8"?>
<sst xmlns="http://schemas.openxmlformats.org/spreadsheetml/2006/main" count="7233" uniqueCount="1300">
  <si>
    <t>kWh hoog</t>
  </si>
  <si>
    <t>kWh laag</t>
  </si>
  <si>
    <t>per jaar</t>
  </si>
  <si>
    <t>Gas</t>
  </si>
  <si>
    <t>Warmte</t>
  </si>
  <si>
    <t>m3 gas</t>
  </si>
  <si>
    <t>GJ warmte</t>
  </si>
  <si>
    <t>Energiekosten</t>
  </si>
  <si>
    <t>Elektriciteit levering hoog</t>
  </si>
  <si>
    <t>€/kWh ==&gt;</t>
  </si>
  <si>
    <t>Elektriciteit levering laag</t>
  </si>
  <si>
    <t xml:space="preserve">           ==&gt;</t>
  </si>
  <si>
    <t>€         ==&gt;</t>
  </si>
  <si>
    <t>Elektriciteit totaal</t>
  </si>
  <si>
    <t>Gas variabel</t>
  </si>
  <si>
    <t>€/m³    ==&gt;</t>
  </si>
  <si>
    <t>totaal [€]</t>
  </si>
  <si>
    <t>0 - 10.000</t>
  </si>
  <si>
    <t>10.001 - 50.000</t>
  </si>
  <si>
    <t>50.001 - 10.000.000</t>
  </si>
  <si>
    <t>0 - 5.000</t>
  </si>
  <si>
    <t>5.001 - 170.000</t>
  </si>
  <si>
    <t>Gas totaal</t>
  </si>
  <si>
    <t>aansluiting</t>
  </si>
  <si>
    <t>&lt; 3* 25A</t>
  </si>
  <si>
    <t>&gt; 3* 25A</t>
  </si>
  <si>
    <t>keuze</t>
  </si>
  <si>
    <t>Elektriciteit levering continu</t>
  </si>
  <si>
    <t>tariefstructuur</t>
  </si>
  <si>
    <t>enkeltarief</t>
  </si>
  <si>
    <t>dubbeltarief</t>
  </si>
  <si>
    <t>Besparingsopties</t>
  </si>
  <si>
    <t>kosten (incl BTW)</t>
  </si>
  <si>
    <t>aantal</t>
  </si>
  <si>
    <t>Omschrijving</t>
  </si>
  <si>
    <t>Terugverdientijd</t>
  </si>
  <si>
    <t>ja</t>
  </si>
  <si>
    <t>nee</t>
  </si>
  <si>
    <t>Isolatie</t>
  </si>
  <si>
    <t>isoleren ongeisoleerde spouwmuur</t>
  </si>
  <si>
    <t>isoleren ongeisoleerde spouwmuur achter radiator</t>
  </si>
  <si>
    <t>radiatorscherm met isolatieplaat voor enkelglas / paneel</t>
  </si>
  <si>
    <t>isoleren zoldervloer onverwarmde zolder</t>
  </si>
  <si>
    <t>Beglazing</t>
  </si>
  <si>
    <t>voorzetramen voor enkele beglazing</t>
  </si>
  <si>
    <t>isoleren schuindak</t>
  </si>
  <si>
    <t>Aantal lokalen</t>
  </si>
  <si>
    <t>kosten</t>
  </si>
  <si>
    <t>Totaal</t>
  </si>
  <si>
    <t>aantal lokalen</t>
  </si>
  <si>
    <t>Aantal</t>
  </si>
  <si>
    <t>Stand</t>
  </si>
  <si>
    <t>Verbruik</t>
  </si>
  <si>
    <t>Omrekenfactor</t>
  </si>
  <si>
    <t>Benchmark</t>
  </si>
  <si>
    <t>Vebruik</t>
  </si>
  <si>
    <t>Kosten</t>
  </si>
  <si>
    <t>Graaddagen meetperiode</t>
  </si>
  <si>
    <t>Graaddagen jaar</t>
  </si>
  <si>
    <t>Bouwjaar</t>
  </si>
  <si>
    <t>type</t>
  </si>
  <si>
    <t>[m]</t>
  </si>
  <si>
    <t>opp  [m2]</t>
  </si>
  <si>
    <t xml:space="preserve"> constructie</t>
  </si>
  <si>
    <t>opp. glas</t>
  </si>
  <si>
    <t xml:space="preserve"> zonnewering</t>
  </si>
  <si>
    <t>distributiesysteem</t>
  </si>
  <si>
    <t>bouwdeel 1</t>
  </si>
  <si>
    <t>bouwdeel 2</t>
  </si>
  <si>
    <t>bouwdeel 3</t>
  </si>
  <si>
    <t>bouwdeel 4</t>
  </si>
  <si>
    <t>Warmteopwekking</t>
  </si>
  <si>
    <t>Keteltypen</t>
  </si>
  <si>
    <t>conventioneel</t>
  </si>
  <si>
    <t>warmtepomp</t>
  </si>
  <si>
    <t>Nom. vermogen</t>
  </si>
  <si>
    <t>Opwekker</t>
  </si>
  <si>
    <t>Stadsverwarming</t>
  </si>
  <si>
    <t>HR100-ketel</t>
  </si>
  <si>
    <t>VR-ketel</t>
  </si>
  <si>
    <t>HR104-ketel</t>
  </si>
  <si>
    <t>HR107-ketel</t>
  </si>
  <si>
    <t>Gemiddeld rendemend</t>
  </si>
  <si>
    <t>Nominaal
vermogen</t>
  </si>
  <si>
    <t>Opwekker 1</t>
  </si>
  <si>
    <t>geen</t>
  </si>
  <si>
    <t>distributie</t>
  </si>
  <si>
    <t>water</t>
  </si>
  <si>
    <t>lokaal</t>
  </si>
  <si>
    <t>lucht</t>
  </si>
  <si>
    <t>water en lucht</t>
  </si>
  <si>
    <t>n.v.t.</t>
  </si>
  <si>
    <t>naregeling</t>
  </si>
  <si>
    <t>na-
regeling</t>
  </si>
  <si>
    <t>Lokaal type 1</t>
  </si>
  <si>
    <t>wijze van ventilatie</t>
  </si>
  <si>
    <t>Luchtverversing</t>
  </si>
  <si>
    <t>Thermisch binnenklimaat winter</t>
  </si>
  <si>
    <t>Thermisch binnenklimaat zomer</t>
  </si>
  <si>
    <t>Label na doorvoeren adviesmaatregelen</t>
  </si>
  <si>
    <t>Huidig Label</t>
  </si>
  <si>
    <t>glassoort</t>
  </si>
  <si>
    <t>Koude straling</t>
  </si>
  <si>
    <t>actieve koeling</t>
  </si>
  <si>
    <t>dakvorm en dakisolatie</t>
  </si>
  <si>
    <t>meter</t>
  </si>
  <si>
    <t>Lengte glas (indien geen of  coating zuid)</t>
  </si>
  <si>
    <t>Externe warmtekast</t>
  </si>
  <si>
    <t>zonder TRV</t>
  </si>
  <si>
    <t>met TRV</t>
  </si>
  <si>
    <t>Aantal radiatoren</t>
  </si>
  <si>
    <t>Verwarming</t>
  </si>
  <si>
    <t>debiet (m3/h)</t>
  </si>
  <si>
    <t xml:space="preserve">Debiet </t>
  </si>
  <si>
    <t>Aanvullende mechanische voorzieningen</t>
  </si>
  <si>
    <t>m3/h</t>
  </si>
  <si>
    <t>voorzieningen &lt; 1,8 meter (type 3)</t>
  </si>
  <si>
    <t>voorzieningen &lt; 1,8 meter (type 2)</t>
  </si>
  <si>
    <t>voorzieningen &lt; 1,8 meter (type 1)</t>
  </si>
  <si>
    <t>h (cm)</t>
  </si>
  <si>
    <t>b (cm)</t>
  </si>
  <si>
    <t>Aanvullende spui voorzieningen</t>
  </si>
  <si>
    <t>Spuivoorzieningen</t>
  </si>
  <si>
    <t xml:space="preserve"> voorzieningen &gt; 1,8 meter (type 3)</t>
  </si>
  <si>
    <t>voorzieningen &gt; 1,8 meter (type 2)</t>
  </si>
  <si>
    <t>voorzieningen &gt; 1,8 meter (type 1)</t>
  </si>
  <si>
    <t>Aanvullende natuurlijke voorziening</t>
  </si>
  <si>
    <t>Aanbevolen nieuwe situatie</t>
  </si>
  <si>
    <t>Verbeteringsoptie</t>
  </si>
  <si>
    <t>Huidige situatie</t>
  </si>
  <si>
    <t>HR-glas</t>
  </si>
  <si>
    <t>dubbelglas</t>
  </si>
  <si>
    <t>voorzetraam</t>
  </si>
  <si>
    <t>enkelglas + voorzetraam</t>
  </si>
  <si>
    <t>enkelglas</t>
  </si>
  <si>
    <t>glas</t>
  </si>
  <si>
    <t>onverwarmde ruimte (zolder) boven plafond</t>
  </si>
  <si>
    <t>schuindak, goed geisoleerd of noordelijk georienteerd</t>
  </si>
  <si>
    <t>platdak, goed geisoleerd</t>
  </si>
  <si>
    <t>schuindak, matig geisoleerd niet noordelijk georienteerd</t>
  </si>
  <si>
    <t>schuindak, ongeisoleerd niet noordelijk georienteerd</t>
  </si>
  <si>
    <t>platdak, matig geisoleerd</t>
  </si>
  <si>
    <t>platdak, ongeisoleerd</t>
  </si>
  <si>
    <t>zonwerende coating</t>
  </si>
  <si>
    <t>Noord</t>
  </si>
  <si>
    <t>uitvalschermen</t>
  </si>
  <si>
    <t>screens</t>
  </si>
  <si>
    <t>binnen</t>
  </si>
  <si>
    <t>Zuid</t>
  </si>
  <si>
    <t>thermostaat per lokaal</t>
  </si>
  <si>
    <t>thermostaatkranen &lt; 51% van radiatoren</t>
  </si>
  <si>
    <t>vloerverwarming zonder naregeling</t>
  </si>
  <si>
    <t>open/dicht radiatoren</t>
  </si>
  <si>
    <t>bekend, te weten</t>
  </si>
  <si>
    <t>onbekend</t>
  </si>
  <si>
    <t>schuiframen</t>
  </si>
  <si>
    <t>klepramen of draai-/kiepramen</t>
  </si>
  <si>
    <t>roosters</t>
  </si>
  <si>
    <t>nee / n.v.t.</t>
  </si>
  <si>
    <t>natuurlijke voorzieningen &lt; 1,8 meter</t>
  </si>
  <si>
    <t>natuurlijke voorzieningen &gt; 1,8 meter</t>
  </si>
  <si>
    <t>gebalanceerde mechanische ventilatie en natuurlijk &gt; 1,8 m</t>
  </si>
  <si>
    <t>gebalanceerde mechanische ventilatie</t>
  </si>
  <si>
    <t>mechanische toevoer en natuurlijke afvoer</t>
  </si>
  <si>
    <t>koof</t>
  </si>
  <si>
    <t>mechanische afzuiging en natuurlijke toevoer</t>
  </si>
  <si>
    <t>spoiler</t>
  </si>
  <si>
    <t>natuurlijke dwarsventilatie</t>
  </si>
  <si>
    <t>natuurlijk enkelvoudig</t>
  </si>
  <si>
    <t>Verbetering glas</t>
  </si>
  <si>
    <t>Orientatie</t>
  </si>
  <si>
    <t>type zonwering</t>
  </si>
  <si>
    <t>keuze natuurlijke voorzieningen &lt; 1,8 meter (type 3)</t>
  </si>
  <si>
    <t>keuze natuurlijke voorzieningen &lt; 1,8 meter (type 2)</t>
  </si>
  <si>
    <t>keuze natuurlijke voorzieningen &lt; 1,8 meter (type 1)</t>
  </si>
  <si>
    <t>keuze natuurlijke voorzieningen &gt; 1,8 meter (type 3)</t>
  </si>
  <si>
    <t>aanvullende spui voorzieningen</t>
  </si>
  <si>
    <t>keuze natuurlijke voorzieningen &gt; 1,8 meter (type 2)</t>
  </si>
  <si>
    <t>aanvullende natuurlijke voorzieningen</t>
  </si>
  <si>
    <t>keuze natuurlijke voorzieningen &gt; 1,8 meter (type 1)</t>
  </si>
  <si>
    <t>maatregel om tocht te voorkomen (natuurlijke toevoer)</t>
  </si>
  <si>
    <t>keuze ventilatie</t>
  </si>
  <si>
    <t>Aanbeolen nieuwe situatie</t>
  </si>
  <si>
    <t>A</t>
  </si>
  <si>
    <t>van toepassing</t>
  </si>
  <si>
    <t>winter</t>
  </si>
  <si>
    <t>zomer</t>
  </si>
  <si>
    <t>eindlabel</t>
  </si>
  <si>
    <t>basis volgens ISSO</t>
  </si>
  <si>
    <t>effect totaal</t>
  </si>
  <si>
    <t>effect naregeling</t>
  </si>
  <si>
    <t>effect glas</t>
  </si>
  <si>
    <t>voorzieningen &lt; 1,8 m</t>
  </si>
  <si>
    <t>voorzieningen &gt; 1,8 m</t>
  </si>
  <si>
    <t>mechanische toevoer</t>
  </si>
  <si>
    <t>Thermisch comfort winter</t>
  </si>
  <si>
    <t>verslechtering</t>
  </si>
  <si>
    <t>veel te openen spui voorzieningen</t>
  </si>
  <si>
    <t>mechanische ventilatie onvoldoende</t>
  </si>
  <si>
    <t>tussenlabel</t>
  </si>
  <si>
    <t>hoge warmtelast dak</t>
  </si>
  <si>
    <t>hoge warmtelast zon</t>
  </si>
  <si>
    <t>nog noodzakelijk</t>
  </si>
  <si>
    <t>eind label ISSO</t>
  </si>
  <si>
    <t>koeling</t>
  </si>
  <si>
    <t>basis label</t>
  </si>
  <si>
    <t>debiet roosters</t>
  </si>
  <si>
    <t>volgens ISSO</t>
  </si>
  <si>
    <t>Thermisch comfort zomer</t>
  </si>
  <si>
    <t>klasse A</t>
  </si>
  <si>
    <t>klasse B</t>
  </si>
  <si>
    <t>twin-coil</t>
  </si>
  <si>
    <t>kruisstroom</t>
  </si>
  <si>
    <t>recirculatie</t>
  </si>
  <si>
    <t>warmtewiel of HR-kruisstroom</t>
  </si>
  <si>
    <t>Totaal lokalen</t>
  </si>
  <si>
    <t>natuurlijk</t>
  </si>
  <si>
    <t>rendement WTW</t>
  </si>
  <si>
    <t>Bouwdeel</t>
  </si>
  <si>
    <t xml:space="preserve">grenst aan </t>
  </si>
  <si>
    <t>Oost</t>
  </si>
  <si>
    <t>Gevel</t>
  </si>
  <si>
    <t>Rc waarde</t>
  </si>
  <si>
    <t>U waarde</t>
  </si>
  <si>
    <t>isolatie</t>
  </si>
  <si>
    <t>deel</t>
  </si>
  <si>
    <t>gevel</t>
  </si>
  <si>
    <t>plat dak</t>
  </si>
  <si>
    <t>vloer</t>
  </si>
  <si>
    <t>30 mm isolatie</t>
  </si>
  <si>
    <t>50 mm isolatie</t>
  </si>
  <si>
    <t>70 mm isolatie</t>
  </si>
  <si>
    <t>90 mm isolatie</t>
  </si>
  <si>
    <t>100 mm isolatie</t>
  </si>
  <si>
    <t>Plat dak</t>
  </si>
  <si>
    <t>absorptie</t>
  </si>
  <si>
    <t>factor</t>
  </si>
  <si>
    <t>bron: isso21</t>
  </si>
  <si>
    <t>Hellend dak</t>
  </si>
  <si>
    <t>Vloer</t>
  </si>
  <si>
    <t>Rc</t>
  </si>
  <si>
    <t>Zolder vloer</t>
  </si>
  <si>
    <t>R waarde</t>
  </si>
  <si>
    <t>hellend dak</t>
  </si>
  <si>
    <t>tabel constructie</t>
  </si>
  <si>
    <t>deel1</t>
  </si>
  <si>
    <t>deel5</t>
  </si>
  <si>
    <t>constructie 1</t>
  </si>
  <si>
    <t>constructie 2</t>
  </si>
  <si>
    <t>constructie 3</t>
  </si>
  <si>
    <t>constructie 4</t>
  </si>
  <si>
    <t>constructie 5</t>
  </si>
  <si>
    <t>constructie 6</t>
  </si>
  <si>
    <t>deel 7</t>
  </si>
  <si>
    <t>constructie 7</t>
  </si>
  <si>
    <t>constructie 8</t>
  </si>
  <si>
    <t>deel 8</t>
  </si>
  <si>
    <t>deel 9</t>
  </si>
  <si>
    <t>constructie 9</t>
  </si>
  <si>
    <t>deel 10</t>
  </si>
  <si>
    <t>constructie 10</t>
  </si>
  <si>
    <t>deel 11</t>
  </si>
  <si>
    <t>constructie 11</t>
  </si>
  <si>
    <t>deel 12</t>
  </si>
  <si>
    <t>constructie 12</t>
  </si>
  <si>
    <t>deel 13</t>
  </si>
  <si>
    <t>constructie 13</t>
  </si>
  <si>
    <t>deel 14</t>
  </si>
  <si>
    <t>constructie 14</t>
  </si>
  <si>
    <t>deel 15</t>
  </si>
  <si>
    <t>constructie 15</t>
  </si>
  <si>
    <t>deel 16</t>
  </si>
  <si>
    <t>constructie 16</t>
  </si>
  <si>
    <t>deel 17</t>
  </si>
  <si>
    <t>constructie 17</t>
  </si>
  <si>
    <t>deel 18</t>
  </si>
  <si>
    <t>constructie 18</t>
  </si>
  <si>
    <t>deel 19</t>
  </si>
  <si>
    <t>buiten</t>
  </si>
  <si>
    <t>kruipruimte</t>
  </si>
  <si>
    <t>grond</t>
  </si>
  <si>
    <t>grenst aan</t>
  </si>
  <si>
    <t>zonwering</t>
  </si>
  <si>
    <t>buiten handbediend</t>
  </si>
  <si>
    <t>buiten automatisch</t>
  </si>
  <si>
    <t>kleine overstek</t>
  </si>
  <si>
    <t>grote overstek</t>
  </si>
  <si>
    <t>constructie 19</t>
  </si>
  <si>
    <t>deel 20</t>
  </si>
  <si>
    <t>constructie 20</t>
  </si>
  <si>
    <t>deel 21</t>
  </si>
  <si>
    <t>constructie 21</t>
  </si>
  <si>
    <t>deel 22</t>
  </si>
  <si>
    <t>constructie 22</t>
  </si>
  <si>
    <t>deel 23</t>
  </si>
  <si>
    <t>constructie 23</t>
  </si>
  <si>
    <t>constructie 24</t>
  </si>
  <si>
    <t>Besparingsoptie</t>
  </si>
  <si>
    <t>Opwekker 2</t>
  </si>
  <si>
    <t>Aantal per lokaaltype</t>
  </si>
  <si>
    <t>Gebalanceerd Klasse C</t>
  </si>
  <si>
    <t>Gebalanceerd Klasse B</t>
  </si>
  <si>
    <t>Gebalanceerd Klasse A</t>
  </si>
  <si>
    <t>Afzuiging Klasse C</t>
  </si>
  <si>
    <t>Invoer Gebouwschil</t>
  </si>
  <si>
    <t>Invoer Energieverbruik</t>
  </si>
  <si>
    <t>omschrijving</t>
  </si>
  <si>
    <t>Lamptype</t>
  </si>
  <si>
    <t>Invoer Verlichting</t>
  </si>
  <si>
    <t>detectie</t>
  </si>
  <si>
    <t>Detectie</t>
  </si>
  <si>
    <t>Verwerken verlichting</t>
  </si>
  <si>
    <t>Overig</t>
  </si>
  <si>
    <t>Naam school</t>
  </si>
  <si>
    <t>Adres</t>
  </si>
  <si>
    <t>Plaats</t>
  </si>
  <si>
    <t>Onderwijsvorm</t>
  </si>
  <si>
    <t>Invoer Algemeen</t>
  </si>
  <si>
    <t>Type 1</t>
  </si>
  <si>
    <t>Type 2</t>
  </si>
  <si>
    <t>Type 3</t>
  </si>
  <si>
    <t>Invoer Verwarming</t>
  </si>
  <si>
    <t>daglichtregeling</t>
  </si>
  <si>
    <t>Lokaal type 2</t>
  </si>
  <si>
    <t>Postcode</t>
  </si>
  <si>
    <t>Invoer lokaaltypen</t>
  </si>
  <si>
    <t>Type 4</t>
  </si>
  <si>
    <t>Lokaal type 4</t>
  </si>
  <si>
    <t>Lokaal type 3</t>
  </si>
  <si>
    <t>Warmte variabel</t>
  </si>
  <si>
    <t>Warmte totaal</t>
  </si>
  <si>
    <t>B.V.O.
 [m]</t>
  </si>
  <si>
    <t>steens</t>
  </si>
  <si>
    <t>steen/spouw/steen</t>
  </si>
  <si>
    <t>10 mm isolatie</t>
  </si>
  <si>
    <t>10 mm isolatie met spouw</t>
  </si>
  <si>
    <t>20 mm isolatie</t>
  </si>
  <si>
    <t>20 mm isolatie met spouw</t>
  </si>
  <si>
    <t>30 mm isolatie met spouw</t>
  </si>
  <si>
    <t>40 mm isolatie</t>
  </si>
  <si>
    <t>60 mm isolatie</t>
  </si>
  <si>
    <t>80 mm isolatie</t>
  </si>
  <si>
    <t>110 mm isolatie</t>
  </si>
  <si>
    <t>gevel utiliteit &lt; 65 met spouw</t>
  </si>
  <si>
    <t>gevel utiliteit &lt; 65 zonder spouw</t>
  </si>
  <si>
    <t>gevel utiliteit 65-75</t>
  </si>
  <si>
    <t>gevel utiliteit 75-88</t>
  </si>
  <si>
    <t>gevel utiliteit 88-92</t>
  </si>
  <si>
    <t>gevel utiliteit &gt; 92</t>
  </si>
  <si>
    <t>meter zonwering</t>
  </si>
  <si>
    <t>deel 24</t>
  </si>
  <si>
    <t>dak utiliteit &lt; 65 zonder spouw</t>
  </si>
  <si>
    <t>dak utiliteit &lt; 65 met spouw</t>
  </si>
  <si>
    <t>dak utiliteit 65-75</t>
  </si>
  <si>
    <t>dak utiliteit 75-88</t>
  </si>
  <si>
    <t>dak utiliteit 88-92</t>
  </si>
  <si>
    <t>dak utiliteit &gt; 92</t>
  </si>
  <si>
    <t>vloer utiliteit &lt; 65 zonder spouw</t>
  </si>
  <si>
    <t>vloer utiliteit &lt; 65 met spouw</t>
  </si>
  <si>
    <t>vloer utiliteit 65-75</t>
  </si>
  <si>
    <t>vloer utiliteit 75-83</t>
  </si>
  <si>
    <t>vloer utiliteit 83-89</t>
  </si>
  <si>
    <t>zonder spouw</t>
  </si>
  <si>
    <t>met spouw</t>
  </si>
  <si>
    <t>utiliteit &lt; 65 zonder spouw</t>
  </si>
  <si>
    <t>utiliteit &lt; 65 met spouw</t>
  </si>
  <si>
    <t>utiliteit 65-75</t>
  </si>
  <si>
    <t>utiliteit 75-88</t>
  </si>
  <si>
    <t>utiliteit 88-92</t>
  </si>
  <si>
    <t>utiliteit &gt; 92</t>
  </si>
  <si>
    <t>ZTA</t>
  </si>
  <si>
    <t>deel 6</t>
  </si>
  <si>
    <t>deel 4</t>
  </si>
  <si>
    <t>deel 3</t>
  </si>
  <si>
    <t>deel 2</t>
  </si>
  <si>
    <t>Lokalen</t>
  </si>
  <si>
    <t>Vermogen (watt)</t>
  </si>
  <si>
    <t>PL ± 18 watt</t>
  </si>
  <si>
    <t>PL ± 13 watt</t>
  </si>
  <si>
    <t>PL ± 7 watt</t>
  </si>
  <si>
    <t>HL/GL ± 100 watt</t>
  </si>
  <si>
    <t>HL/GL ± 65 watt</t>
  </si>
  <si>
    <t>HL/GL ± 45 watt</t>
  </si>
  <si>
    <t>Type</t>
  </si>
  <si>
    <t>vermogen</t>
  </si>
  <si>
    <t>vermogen type</t>
  </si>
  <si>
    <t>Daglichtregeling</t>
  </si>
  <si>
    <t>Aantal 
detectoren</t>
  </si>
  <si>
    <t>Vermogen
 (watt)</t>
  </si>
  <si>
    <t>Type Ruimte(n)</t>
  </si>
  <si>
    <t>Klimaat gegevens</t>
  </si>
  <si>
    <t>Maand i</t>
  </si>
  <si>
    <r>
      <t>T</t>
    </r>
    <r>
      <rPr>
        <b/>
        <vertAlign val="subscript"/>
        <sz val="11"/>
        <rFont val="Times New Roman"/>
        <family val="1"/>
      </rPr>
      <t>e</t>
    </r>
    <r>
      <rPr>
        <b/>
        <sz val="11"/>
        <rFont val="Times New Roman"/>
        <family val="1"/>
      </rPr>
      <t xml:space="preserve"> (°C)</t>
    </r>
  </si>
  <si>
    <r>
      <t>T</t>
    </r>
    <r>
      <rPr>
        <b/>
        <vertAlign val="subscript"/>
        <sz val="11"/>
        <rFont val="Times New Roman"/>
        <family val="1"/>
      </rPr>
      <t>e;vent</t>
    </r>
    <r>
      <rPr>
        <b/>
        <sz val="11"/>
        <rFont val="Times New Roman"/>
        <family val="1"/>
      </rPr>
      <t xml:space="preserve"> (°C)</t>
    </r>
  </si>
  <si>
    <r>
      <t>q</t>
    </r>
    <r>
      <rPr>
        <b/>
        <vertAlign val="subscript"/>
        <sz val="11"/>
        <rFont val="Times New Roman"/>
        <family val="1"/>
      </rPr>
      <t>zon</t>
    </r>
    <r>
      <rPr>
        <b/>
        <sz val="11"/>
        <rFont val="Times New Roman"/>
        <family val="1"/>
      </rPr>
      <t xml:space="preserve"> (MJ/m</t>
    </r>
    <r>
      <rPr>
        <b/>
        <vertAlign val="superscript"/>
        <sz val="11"/>
        <rFont val="Times New Roman"/>
        <family val="1"/>
      </rPr>
      <t>2</t>
    </r>
    <r>
      <rPr>
        <b/>
        <sz val="11"/>
        <rFont val="Times New Roman"/>
        <family val="1"/>
      </rPr>
      <t xml:space="preserve">) </t>
    </r>
  </si>
  <si>
    <t>(horizontaal vlak)</t>
  </si>
  <si>
    <t>januari</t>
  </si>
  <si>
    <t>februari</t>
  </si>
  <si>
    <t>maart</t>
  </si>
  <si>
    <t>april</t>
  </si>
  <si>
    <t>mei</t>
  </si>
  <si>
    <t>juni</t>
  </si>
  <si>
    <t>juli</t>
  </si>
  <si>
    <t>augustus</t>
  </si>
  <si>
    <t>september</t>
  </si>
  <si>
    <t>oktober</t>
  </si>
  <si>
    <t>november</t>
  </si>
  <si>
    <t>december</t>
  </si>
  <si>
    <t>gemiddeld/totaal</t>
  </si>
  <si>
    <r>
      <t>Hellingshoek β</t>
    </r>
    <r>
      <rPr>
        <b/>
        <vertAlign val="subscript"/>
        <sz val="11"/>
        <rFont val="Times New Roman"/>
        <family val="1"/>
      </rPr>
      <t>k</t>
    </r>
  </si>
  <si>
    <t>Verticaal</t>
  </si>
  <si>
    <r>
      <t>Oriëntatie α</t>
    </r>
    <r>
      <rPr>
        <b/>
        <vertAlign val="subscript"/>
        <sz val="11"/>
        <rFont val="Times New Roman"/>
        <family val="1"/>
      </rPr>
      <t>k</t>
    </r>
  </si>
  <si>
    <t>Zuid-oost</t>
  </si>
  <si>
    <t>Noord-oost</t>
  </si>
  <si>
    <t>Noord-west</t>
  </si>
  <si>
    <t>West</t>
  </si>
  <si>
    <t>Zuid-west</t>
  </si>
  <si>
    <t>1.00</t>
  </si>
  <si>
    <t>0.66</t>
  </si>
  <si>
    <t>0.69</t>
  </si>
  <si>
    <t>0.55</t>
  </si>
  <si>
    <t>0.70</t>
  </si>
  <si>
    <t>0.56</t>
  </si>
  <si>
    <t>0.73</t>
  </si>
  <si>
    <t>0.58</t>
  </si>
  <si>
    <t>0.59</t>
  </si>
  <si>
    <t>0.92</t>
  </si>
  <si>
    <t>0.63</t>
  </si>
  <si>
    <t>zzon;i (-)</t>
  </si>
  <si>
    <r>
      <t>Hellingshoek β</t>
    </r>
    <r>
      <rPr>
        <b/>
        <vertAlign val="subscript"/>
        <sz val="11"/>
        <rFont val="Times New Roman"/>
        <family val="1"/>
      </rPr>
      <t>k</t>
    </r>
    <r>
      <rPr>
        <b/>
        <sz val="11"/>
        <rFont val="Times New Roman"/>
        <family val="1"/>
      </rPr>
      <t xml:space="preserve"> (graden tov horizontaal)</t>
    </r>
  </si>
  <si>
    <r>
      <t>Hellingshoekgetal z</t>
    </r>
    <r>
      <rPr>
        <b/>
        <vertAlign val="subscript"/>
        <sz val="11"/>
        <rFont val="Times New Roman"/>
        <family val="1"/>
      </rPr>
      <t>ze;tap</t>
    </r>
    <r>
      <rPr>
        <b/>
        <sz val="11"/>
        <rFont val="Times New Roman"/>
        <family val="1"/>
      </rPr>
      <t xml:space="preserve"> en z</t>
    </r>
    <r>
      <rPr>
        <b/>
        <vertAlign val="subscript"/>
        <sz val="11"/>
        <rFont val="Times New Roman"/>
        <family val="1"/>
      </rPr>
      <t>pv</t>
    </r>
    <r>
      <rPr>
        <b/>
        <sz val="11"/>
        <rFont val="Times New Roman"/>
        <family val="1"/>
      </rPr>
      <t xml:space="preserve"> (-)</t>
    </r>
  </si>
  <si>
    <t>1.19</t>
  </si>
  <si>
    <t>1.33</t>
  </si>
  <si>
    <t>1.41</t>
  </si>
  <si>
    <t>1.42</t>
  </si>
  <si>
    <t>1.36</t>
  </si>
  <si>
    <r>
      <t>z</t>
    </r>
    <r>
      <rPr>
        <b/>
        <vertAlign val="subscript"/>
        <sz val="11"/>
        <rFont val="Times New Roman"/>
        <family val="1"/>
      </rPr>
      <t>zon;nt</t>
    </r>
    <r>
      <rPr>
        <b/>
        <sz val="11"/>
        <rFont val="Times New Roman"/>
        <family val="1"/>
      </rPr>
      <t xml:space="preserve"> (-)</t>
    </r>
  </si>
  <si>
    <r>
      <t>type</t>
    </r>
    <r>
      <rPr>
        <b/>
        <vertAlign val="subscript"/>
        <sz val="11"/>
        <rFont val="Times New Roman"/>
        <family val="1"/>
      </rPr>
      <t>constr</t>
    </r>
  </si>
  <si>
    <t>Gevels</t>
  </si>
  <si>
    <t>Daken</t>
  </si>
  <si>
    <t>Tabel 6: gemiddelde oriëntatiefactor voor niet-transparante delen</t>
  </si>
  <si>
    <t>Tabel 5: Hellingshoekgetallen zze;tap en zpv (-)</t>
  </si>
  <si>
    <t xml:space="preserve">Tabel 4: Verhouding tussen zonnestraling bij bepaalde oriëntatie en zonnestraling op een horizontaal vlak per maand </t>
  </si>
  <si>
    <t>Tabel 3: Gemiddelde buitentemperatuur Te per maand van TRY De Bilt, gemiddelde buitentemperatuur voor ventilatie bij koelbehoefte en zonnestraling op een horizontaal vlak</t>
  </si>
  <si>
    <t>Rc-waarde</t>
  </si>
  <si>
    <t>Ri</t>
  </si>
  <si>
    <t>Re</t>
  </si>
  <si>
    <t>Uk</t>
  </si>
  <si>
    <t>Ukb</t>
  </si>
  <si>
    <t>a</t>
  </si>
  <si>
    <t>Tin</t>
  </si>
  <si>
    <t>Htr</t>
  </si>
  <si>
    <t>jan</t>
  </si>
  <si>
    <t>feb</t>
  </si>
  <si>
    <t>aug</t>
  </si>
  <si>
    <t>sept</t>
  </si>
  <si>
    <t>okt</t>
  </si>
  <si>
    <t>nov</t>
  </si>
  <si>
    <t>dec</t>
  </si>
  <si>
    <t>Invoer ventilatie</t>
  </si>
  <si>
    <t>Natuurlijk</t>
  </si>
  <si>
    <t>Mechanisch ventilatie</t>
  </si>
  <si>
    <t>warmtewiel</t>
  </si>
  <si>
    <t>HR-kruisstroom</t>
  </si>
  <si>
    <t>WTW</t>
  </si>
  <si>
    <t>platenwisselaar</t>
  </si>
  <si>
    <t>verselucht</t>
  </si>
  <si>
    <t>debietregeling</t>
  </si>
  <si>
    <t>beide</t>
  </si>
  <si>
    <t>debiet</t>
  </si>
  <si>
    <t>verse lucht</t>
  </si>
  <si>
    <t>fregel</t>
  </si>
  <si>
    <t>Hvent mech</t>
  </si>
  <si>
    <t>Eigen invoer
(m3/h)</t>
  </si>
  <si>
    <t>Opp m2</t>
  </si>
  <si>
    <t>m3/h verwarmen</t>
  </si>
  <si>
    <t>Mechanisch</t>
  </si>
  <si>
    <t>BVO</t>
  </si>
  <si>
    <t>oppervlak natuurlijk</t>
  </si>
  <si>
    <t>Hvent natuurlijk</t>
  </si>
  <si>
    <t>Infiltratie</t>
  </si>
  <si>
    <t>finf</t>
  </si>
  <si>
    <t>ventilatiekeuze</t>
  </si>
  <si>
    <t>mechanisch toe en natuurlijk af</t>
  </si>
  <si>
    <t>natuurlijk toe en mechanisch af</t>
  </si>
  <si>
    <t>mechanisch toe en af</t>
  </si>
  <si>
    <t>Oppervlak</t>
  </si>
  <si>
    <t>gemiddeld</t>
  </si>
  <si>
    <t>m toe n af</t>
  </si>
  <si>
    <t>n toe m af</t>
  </si>
  <si>
    <t>m toe en af</t>
  </si>
  <si>
    <t>qv10</t>
  </si>
  <si>
    <t>Daktype</t>
  </si>
  <si>
    <t>C2</t>
  </si>
  <si>
    <t>Type dak</t>
  </si>
  <si>
    <t>type dak</t>
  </si>
  <si>
    <t>C3</t>
  </si>
  <si>
    <t>V/A</t>
  </si>
  <si>
    <t>Oppervlak gevels</t>
  </si>
  <si>
    <t>C5</t>
  </si>
  <si>
    <t>C6</t>
  </si>
  <si>
    <t>Hvent infiltratie</t>
  </si>
  <si>
    <t>Hvent nat.</t>
  </si>
  <si>
    <t>Hvent inf</t>
  </si>
  <si>
    <t>Hvent totaal</t>
  </si>
  <si>
    <t>Qpers</t>
  </si>
  <si>
    <t>Qapp</t>
  </si>
  <si>
    <t>Qvent</t>
  </si>
  <si>
    <t>Qvl</t>
  </si>
  <si>
    <t>awb</t>
  </si>
  <si>
    <t>Verbruik ventilatoren</t>
  </si>
  <si>
    <t>fi, vent</t>
  </si>
  <si>
    <t>Peff</t>
  </si>
  <si>
    <t>Qprim vent</t>
  </si>
  <si>
    <t>Pas</t>
  </si>
  <si>
    <t>event</t>
  </si>
  <si>
    <t>0.8</t>
  </si>
  <si>
    <r>
      <t>f</t>
    </r>
    <r>
      <rPr>
        <b/>
        <vertAlign val="subscript"/>
        <sz val="8"/>
        <rFont val="Arial"/>
        <family val="2"/>
      </rPr>
      <t>reg;dagl</t>
    </r>
  </si>
  <si>
    <r>
      <t>f</t>
    </r>
    <r>
      <rPr>
        <b/>
        <vertAlign val="subscript"/>
        <sz val="8"/>
        <rFont val="Arial"/>
        <family val="2"/>
      </rPr>
      <t>reg;kunstl</t>
    </r>
  </si>
  <si>
    <r>
      <t>f</t>
    </r>
    <r>
      <rPr>
        <vertAlign val="subscript"/>
        <sz val="8"/>
        <rFont val="Arial"/>
        <family val="2"/>
      </rPr>
      <t>reg;dagl</t>
    </r>
  </si>
  <si>
    <r>
      <t>f</t>
    </r>
    <r>
      <rPr>
        <vertAlign val="subscript"/>
        <sz val="8"/>
        <rFont val="Arial"/>
        <family val="2"/>
      </rPr>
      <t>reg;kunstl</t>
    </r>
  </si>
  <si>
    <t>Afzuiging</t>
  </si>
  <si>
    <t>afzuiging</t>
  </si>
  <si>
    <t>fvl</t>
  </si>
  <si>
    <t>faanw</t>
  </si>
  <si>
    <t>Ag zone</t>
  </si>
  <si>
    <t>Qi,vl</t>
  </si>
  <si>
    <t>Qintern,wb</t>
  </si>
  <si>
    <t>Zzon</t>
  </si>
  <si>
    <t>Horizon-taal</t>
  </si>
  <si>
    <t>Glas</t>
  </si>
  <si>
    <t>Schil (excl. glas)</t>
  </si>
  <si>
    <t>fzon</t>
  </si>
  <si>
    <t>mrt</t>
  </si>
  <si>
    <t>apr</t>
  </si>
  <si>
    <t>jun</t>
  </si>
  <si>
    <t>jul</t>
  </si>
  <si>
    <t>sep</t>
  </si>
  <si>
    <t>Qzon</t>
  </si>
  <si>
    <t>Qi;vl</t>
  </si>
  <si>
    <t>ZLT</t>
  </si>
  <si>
    <t>LT</t>
  </si>
  <si>
    <t>MT</t>
  </si>
  <si>
    <t>HT</t>
  </si>
  <si>
    <t>WP</t>
  </si>
  <si>
    <t>Conv</t>
  </si>
  <si>
    <t>VR</t>
  </si>
  <si>
    <t>HR100</t>
  </si>
  <si>
    <t>HR104</t>
  </si>
  <si>
    <t>HR107</t>
  </si>
  <si>
    <t>&lt;500 m2</t>
  </si>
  <si>
    <t>&gt;500 m2</t>
  </si>
  <si>
    <t>Lokaal gas</t>
  </si>
  <si>
    <t>Lokaal electrisch</t>
  </si>
  <si>
    <t>directgestookte luchtverwarmer</t>
  </si>
  <si>
    <t>afgifte temperatuur</t>
  </si>
  <si>
    <t>afgifte 
temp.</t>
  </si>
  <si>
    <t>npref</t>
  </si>
  <si>
    <t>nnpref</t>
  </si>
  <si>
    <t>averw</t>
  </si>
  <si>
    <t>nsys</t>
  </si>
  <si>
    <t>Qprim totaal</t>
  </si>
  <si>
    <t>Qprim verw</t>
  </si>
  <si>
    <t>Qprim vl</t>
  </si>
  <si>
    <t>Qprim pomp</t>
  </si>
  <si>
    <t>Qprim koel</t>
  </si>
  <si>
    <t>Qprim bev</t>
  </si>
  <si>
    <t>Qprim tap</t>
  </si>
  <si>
    <t>Qverw behoefte</t>
  </si>
  <si>
    <t>Qtrans</t>
  </si>
  <si>
    <t>nb, verw</t>
  </si>
  <si>
    <t>Qintern</t>
  </si>
  <si>
    <t>Qzon t</t>
  </si>
  <si>
    <t>nopw</t>
  </si>
  <si>
    <t>γ</t>
  </si>
  <si>
    <t>Qtap</t>
  </si>
  <si>
    <t>tappunt</t>
  </si>
  <si>
    <t>&lt; 3 meter</t>
  </si>
  <si>
    <t>&gt; 3 meter</t>
  </si>
  <si>
    <t>nsystap</t>
  </si>
  <si>
    <t>circulatieleiding</t>
  </si>
  <si>
    <t>geiser</t>
  </si>
  <si>
    <t>HR-ketel met cv-boiler</t>
  </si>
  <si>
    <t>VR combiketel</t>
  </si>
  <si>
    <t>HR combiketel</t>
  </si>
  <si>
    <t>VR-ketel met cv boiler</t>
  </si>
  <si>
    <t>Tapwater</t>
  </si>
  <si>
    <t>Qprim</t>
  </si>
  <si>
    <t>Qprim toelaatbaar</t>
  </si>
  <si>
    <t>dk</t>
  </si>
  <si>
    <t>Ak</t>
  </si>
  <si>
    <t>Averlies</t>
  </si>
  <si>
    <t>Qprim toel</t>
  </si>
  <si>
    <t>EI</t>
  </si>
  <si>
    <t>besparingsoptie</t>
  </si>
  <si>
    <t>isoleren steensmuur (binnen)</t>
  </si>
  <si>
    <t>isoleren steensmuur (buiten)</t>
  </si>
  <si>
    <t>besparing m3/m2</t>
  </si>
  <si>
    <t>enkele beglazing vervangen door HR++ (excl. koijnen)</t>
  </si>
  <si>
    <t>enkele beglazing vervangen door HR++ (incl. koijnen)</t>
  </si>
  <si>
    <t>U</t>
  </si>
  <si>
    <t>uitval</t>
  </si>
  <si>
    <t>kleine luifel</t>
  </si>
  <si>
    <t>U-waarde</t>
  </si>
  <si>
    <t>isolatie per m2</t>
  </si>
  <si>
    <t>besparing</t>
  </si>
  <si>
    <t>zonwering per m</t>
  </si>
  <si>
    <t>kosten glas</t>
  </si>
  <si>
    <t>m3</t>
  </si>
  <si>
    <t>GJ</t>
  </si>
  <si>
    <t>kWh</t>
  </si>
  <si>
    <t>niet preferent</t>
  </si>
  <si>
    <t>dak</t>
  </si>
  <si>
    <t>euro</t>
  </si>
  <si>
    <t>subsidie</t>
  </si>
  <si>
    <t>Distributie en naregeling altijd 
invullen indien nieuwe warmte opwekker wordt geselecteerd !!!!! Ook bij geen wijziging</t>
  </si>
  <si>
    <t>0-200 kW</t>
  </si>
  <si>
    <t>kW</t>
  </si>
  <si>
    <t>200-500 kW</t>
  </si>
  <si>
    <t>&gt; 500 kW</t>
  </si>
  <si>
    <t>euro/kW</t>
  </si>
  <si>
    <t>kosten nieuwe ketels</t>
  </si>
  <si>
    <t>max kosten nieuwe ketels</t>
  </si>
  <si>
    <t>TRV's</t>
  </si>
  <si>
    <t>Naregelingen</t>
  </si>
  <si>
    <t>HR107-ketels</t>
  </si>
  <si>
    <t>extra besparing m3</t>
  </si>
  <si>
    <t>extra besp m3/m2</t>
  </si>
  <si>
    <t>onverwarmd naast</t>
  </si>
  <si>
    <t>onverwarmd boven</t>
  </si>
  <si>
    <t>Teller hoog</t>
  </si>
  <si>
    <t>Teller laag</t>
  </si>
  <si>
    <t>Teller continu</t>
  </si>
  <si>
    <t>Gecorrigeerd verbruik (naar jaarverbruik)</t>
  </si>
  <si>
    <t xml:space="preserve">Elektriciteit </t>
  </si>
  <si>
    <r>
      <t>MJ warmte (</t>
    </r>
    <r>
      <rPr>
        <sz val="8"/>
        <color indexed="10"/>
        <rFont val="Arial"/>
        <family val="2"/>
      </rPr>
      <t>Let op MJ!!!</t>
    </r>
    <r>
      <rPr>
        <sz val="8"/>
        <rFont val="Arial"/>
        <family val="2"/>
      </rPr>
      <t>)</t>
    </r>
  </si>
  <si>
    <t>€/GJ    ==&gt;</t>
  </si>
  <si>
    <t>dagen meetperiode</t>
  </si>
  <si>
    <t>Gas transport (capaciteitstarief)</t>
  </si>
  <si>
    <t>Totaal 
(incl. BTW):</t>
  </si>
  <si>
    <t>Niet noodzakelijk voor EBA</t>
  </si>
  <si>
    <t>warmte vast (capaciteitstarief)</t>
  </si>
  <si>
    <t>Elektriciteit vast (capaciteitstarief)</t>
  </si>
  <si>
    <t>Energiebesparing</t>
  </si>
  <si>
    <t>klasse C</t>
  </si>
  <si>
    <t>Voorbeelden:</t>
  </si>
  <si>
    <t>Voorstel 
kosten (euro)</t>
  </si>
  <si>
    <t>Gehanteerde
 kosten (euro)</t>
  </si>
  <si>
    <t>Armaturen</t>
  </si>
  <si>
    <t>aanwezigheiddetectie</t>
  </si>
  <si>
    <t>Aantal 
armaturen</t>
  </si>
  <si>
    <t>aantal daglichtregelingen</t>
  </si>
  <si>
    <t>Aantal armaturen met daglicht-
regeling</t>
  </si>
  <si>
    <t>armaturen</t>
  </si>
  <si>
    <t>Aantallen</t>
  </si>
  <si>
    <t>daglichtregelingen</t>
  </si>
  <si>
    <t>Betreft</t>
  </si>
  <si>
    <t xml:space="preserve"> Constructie</t>
  </si>
  <si>
    <t xml:space="preserve">Grenst aan </t>
  </si>
  <si>
    <t>Opp. glas 
met kozijn</t>
  </si>
  <si>
    <t>Glas en kozijn</t>
  </si>
  <si>
    <t xml:space="preserve"> Zonnewering</t>
  </si>
  <si>
    <t>vloeroppervlak
mechanisch geventileerd (m2)</t>
  </si>
  <si>
    <t>Wijze van ventilatie</t>
  </si>
  <si>
    <t>Verse lucht</t>
  </si>
  <si>
    <t>% naregeling</t>
  </si>
  <si>
    <t>&gt; 66%</t>
  </si>
  <si>
    <t>Aanvullende Besparing naregeling</t>
  </si>
  <si>
    <t>Huidige naregeling</t>
  </si>
  <si>
    <t>&gt; 50%</t>
  </si>
  <si>
    <t>&lt; 50%</t>
  </si>
  <si>
    <t>Indien reeds naregeling wordt toegepast, maar op minder dan 66% van
 de afgifte systemen, kan bespaard worden door aanvullende naregelingen toe te passen. Eventueel moeten pompen met debietregeling en/of een by-pass  worden toegepast. Deze eventueel aanvullende kosten zijn niet meegenomen.</t>
  </si>
  <si>
    <t>Besparende maatregelen m.b.t. tapwater worden niet doorgerekend</t>
  </si>
  <si>
    <t>Klik op type om binnenklimaat van de lokaaltypen te bepalen.</t>
  </si>
  <si>
    <t>kWh totaal / continu tarief</t>
  </si>
  <si>
    <t>In te vullen</t>
  </si>
  <si>
    <t>Wordt berekend</t>
  </si>
  <si>
    <t>Default. Kan worden aangepast.</t>
  </si>
  <si>
    <t>Geschatte besparing cv-optimalisatie</t>
  </si>
  <si>
    <t>PO</t>
  </si>
  <si>
    <t>VO</t>
  </si>
  <si>
    <t>Aanvullende natuurlijke voorzieningen</t>
  </si>
  <si>
    <t>550 m3/h minimum</t>
  </si>
  <si>
    <t>Gebalanceerd + afzuiging Klasse C</t>
  </si>
  <si>
    <t>Indien gebalanceerde ventilatie wordt 
toegepast in combinatie met natuurlijke toevoer en mechanische afzuiging, twin-coil invullen. Wordt toegepast indien WTW-Unit onvoldoende capaciteit heeft.</t>
  </si>
  <si>
    <t>gebalanceerd</t>
  </si>
  <si>
    <t>gebalanceerd + natuurlijk toe en mechanisch af</t>
  </si>
  <si>
    <t>gevel 1</t>
  </si>
  <si>
    <t>gevel 2 (tegenover 1)</t>
  </si>
  <si>
    <t>gevel 3</t>
  </si>
  <si>
    <t xml:space="preserve"> voorzieningen &gt; 1,8 meter (type 4)</t>
  </si>
  <si>
    <t xml:space="preserve"> voorzieningen &gt; 1,8 meter (type 5)</t>
  </si>
  <si>
    <t>Gevel 1</t>
  </si>
  <si>
    <t>Gevel 2</t>
  </si>
  <si>
    <t>Gevel 3</t>
  </si>
  <si>
    <t>Oppervlak opening</t>
  </si>
  <si>
    <t>keuze natuurlijke voorzieningen &gt; 1,8 meter (type 4)</t>
  </si>
  <si>
    <t>keuze natuurlijke voorzieningen &gt; 1,8 meter (type 5)</t>
  </si>
  <si>
    <t>Huidige natuurlijke voorzieningen</t>
  </si>
  <si>
    <t>Reguliere natuurlijke ventilatie</t>
  </si>
  <si>
    <t>onbekend, echter klasse D</t>
  </si>
  <si>
    <t>onbekend, echter klasse C</t>
  </si>
  <si>
    <t>onbekend, echter klasse B</t>
  </si>
  <si>
    <t>onbekend, echter klasse A</t>
  </si>
  <si>
    <t>zie E*</t>
  </si>
  <si>
    <t>* Zie energiebesparende maatregelen</t>
  </si>
  <si>
    <t xml:space="preserve"> ongeïsoleerd</t>
  </si>
  <si>
    <t>matig</t>
  </si>
  <si>
    <t>goed</t>
  </si>
  <si>
    <t>Zeer goed</t>
  </si>
  <si>
    <t>A (m2)</t>
  </si>
  <si>
    <t>Constructie</t>
  </si>
  <si>
    <t>Enkel glas</t>
  </si>
  <si>
    <t>Standaard dubbel glas</t>
  </si>
  <si>
    <t>HR+</t>
  </si>
  <si>
    <t>HR++</t>
  </si>
  <si>
    <t>Gevel / Paneel</t>
  </si>
  <si>
    <t>Dak</t>
  </si>
  <si>
    <t>thermostaatkranen &gt; 50% radiatoren</t>
  </si>
  <si>
    <t>Plafond</t>
  </si>
  <si>
    <t>D</t>
  </si>
  <si>
    <t>bouwdeel</t>
  </si>
  <si>
    <t>schil</t>
  </si>
  <si>
    <t>huidig</t>
  </si>
  <si>
    <t>totaal</t>
  </si>
  <si>
    <t>besparingsopties</t>
  </si>
  <si>
    <t>kosten armatuur (meerprijs)</t>
  </si>
  <si>
    <t>kosten meerprijs</t>
  </si>
  <si>
    <t>debiet huidig</t>
  </si>
  <si>
    <t>Ten opzichte van huidig concpet en ventilatie conform klasse C. Huidige situatie kan slechter zijn dan C, waardoor niet bespaard wordt.</t>
  </si>
  <si>
    <t>vloer utiliteit &gt; 92</t>
  </si>
  <si>
    <t>vloer utiliteit 88-92</t>
  </si>
  <si>
    <t>Uv;inf</t>
  </si>
  <si>
    <t>type 1</t>
  </si>
  <si>
    <t>type 2</t>
  </si>
  <si>
    <t>type 3</t>
  </si>
  <si>
    <t>type 4</t>
  </si>
  <si>
    <t>Low-budget</t>
  </si>
  <si>
    <t>MJ extra</t>
  </si>
  <si>
    <t>kWh extra</t>
  </si>
  <si>
    <t>m3/h extra te verwarmen</t>
  </si>
  <si>
    <t>m3 extra</t>
  </si>
  <si>
    <r>
      <t xml:space="preserve">Besparingsoptie </t>
    </r>
    <r>
      <rPr>
        <b/>
        <sz val="6"/>
        <color indexed="10"/>
        <rFont val="Arial"/>
        <family val="2"/>
      </rPr>
      <t>(Bij een besparingsoptie ook huidige systemen invullen indien deze gehandhaaft blijven)</t>
    </r>
  </si>
  <si>
    <t>MJ</t>
  </si>
  <si>
    <t>kWh/m2</t>
  </si>
  <si>
    <t>m3/m2</t>
  </si>
  <si>
    <t>MJ/m2</t>
  </si>
  <si>
    <t xml:space="preserve">klasse </t>
  </si>
  <si>
    <t xml:space="preserve">Let op: </t>
  </si>
  <si>
    <t>Bij besparing door WTW wordt er vanuitgegaan dat er wordt geventileerd conform bouwbesluit (klasse C)</t>
  </si>
  <si>
    <t xml:space="preserve">Vaak is dit niet het geval waardoor de besparing veel lager zal zijn. Een reele besparing/ontsparing staat </t>
  </si>
  <si>
    <t>in de tabel met binnenklimaatverbeterende maatregelen</t>
  </si>
  <si>
    <t>Kijk critisch naar de kosten en de besparing</t>
  </si>
  <si>
    <t>De adviseur dient in te schatten of deze voor de specifieke situatie realistisch zijn.</t>
  </si>
  <si>
    <t>hoeveelheden</t>
  </si>
  <si>
    <t>hoeveelheid</t>
  </si>
  <si>
    <t>500 m3/h minimum</t>
  </si>
  <si>
    <t>m2 nieuw</t>
  </si>
  <si>
    <r>
      <t xml:space="preserve">Besparingsopties </t>
    </r>
    <r>
      <rPr>
        <sz val="8"/>
        <color indexed="10"/>
        <rFont val="Arial"/>
        <family val="2"/>
      </rPr>
      <t>(slechts wijzigingen invoeren)</t>
    </r>
  </si>
  <si>
    <t>lokalen</t>
  </si>
  <si>
    <t>eenheid</t>
  </si>
  <si>
    <t>m2</t>
  </si>
  <si>
    <t>stuks</t>
  </si>
  <si>
    <t>Locatie</t>
  </si>
  <si>
    <t>HF zonder daglichtregeling</t>
  </si>
  <si>
    <t>aanwezigheid</t>
  </si>
  <si>
    <t>Qvl/Ag/faanw</t>
  </si>
  <si>
    <t>HF + dag + aanw</t>
  </si>
  <si>
    <t>HF + dag</t>
  </si>
  <si>
    <t>HF</t>
  </si>
  <si>
    <t>aanwezigheid na besparingsopties</t>
  </si>
  <si>
    <t>aanwezigheid en huidige situatie</t>
  </si>
  <si>
    <t>directgestookte luchtverwarmer (80%)</t>
  </si>
  <si>
    <t>gasketel</t>
  </si>
  <si>
    <t>directgestookte gas luchtverwarmer</t>
  </si>
  <si>
    <t>conv</t>
  </si>
  <si>
    <t>hf</t>
  </si>
  <si>
    <t>pl</t>
  </si>
  <si>
    <t>hl/gl</t>
  </si>
  <si>
    <t>aantal conv</t>
  </si>
  <si>
    <t>overig</t>
  </si>
  <si>
    <t>Huidige spui voorzieningen</t>
  </si>
  <si>
    <t>4000 m3/h minimum</t>
  </si>
  <si>
    <t>zoldervloer</t>
  </si>
  <si>
    <t>vervangen vulpaneel door geïsoleerd paneel</t>
  </si>
  <si>
    <t>paneel</t>
  </si>
  <si>
    <t>paneel met spouw</t>
  </si>
  <si>
    <t>-</t>
  </si>
  <si>
    <t>platdak zonder spouw</t>
  </si>
  <si>
    <t>platdak met spouw</t>
  </si>
  <si>
    <t>vloer zonder spouw</t>
  </si>
  <si>
    <t>vloer met spouw</t>
  </si>
  <si>
    <t>houten kozijn enkelglas</t>
  </si>
  <si>
    <t>houten kozijn enkelglas met voorzetraam</t>
  </si>
  <si>
    <t>houten kozijn dubbelglas 6mm spouw</t>
  </si>
  <si>
    <t>houten kozijn dubbelglas 12mm spouw</t>
  </si>
  <si>
    <t>houten kozijn dubbelglas 12mm spouw en coating</t>
  </si>
  <si>
    <t>houten kozijn HR glas</t>
  </si>
  <si>
    <t>houten kozijn HR+ glas</t>
  </si>
  <si>
    <t>houten kozijn HR++ glas</t>
  </si>
  <si>
    <t>metalen kozijn enkelglas</t>
  </si>
  <si>
    <t>metalen kozijn enkelglas met voorzetraam</t>
  </si>
  <si>
    <t>metalen kozijn dubbelglas 6mm spouw</t>
  </si>
  <si>
    <t>metalen kozijn dubbelglas 12mm spouw</t>
  </si>
  <si>
    <t>metalen kozijn dubbelglas 12mm spouw en coating</t>
  </si>
  <si>
    <t>metalen kozijn HR glas</t>
  </si>
  <si>
    <t>metalen kozijn HR+ glas</t>
  </si>
  <si>
    <t>metalen kozijn HR++ glas</t>
  </si>
  <si>
    <t>metalen kozijn enkelglas (therm. onderbr.)</t>
  </si>
  <si>
    <t>metalen kozijn enkelglas met voorzetraam (therm. onderbr.)</t>
  </si>
  <si>
    <t>metalen kozijn dubbelglas 6mm spouw (therm. onderbr.)</t>
  </si>
  <si>
    <t>metalen kozijn dubbelglas 12mm spouw (therm. onderbr.)</t>
  </si>
  <si>
    <t>metalen kozijn dubbelglas 12mm spouw en coating (therm. onderbr.)</t>
  </si>
  <si>
    <t>metalen kozijn HR glas (therm. onderbr.)</t>
  </si>
  <si>
    <t>metalen kozijn HR+ glas (therm. onderbr.)</t>
  </si>
  <si>
    <t>metalen kozijn HR++ glas (therm. onderbr.)</t>
  </si>
  <si>
    <t>stadsverwarming</t>
  </si>
  <si>
    <t>stadsverwarming (100%)</t>
  </si>
  <si>
    <t>lokaal gas (65%)</t>
  </si>
  <si>
    <t>lokaal electrisch (100%)</t>
  </si>
  <si>
    <t>lokaal gas</t>
  </si>
  <si>
    <t>lokaal electrisch</t>
  </si>
  <si>
    <t>warmtelevering derden</t>
  </si>
  <si>
    <t>gasboiler</t>
  </si>
  <si>
    <t>elektrische boiler</t>
  </si>
  <si>
    <t>warmteterugwinning</t>
  </si>
  <si>
    <t>debiet mechanische ventilatie</t>
  </si>
  <si>
    <t>wijze van naregeling</t>
  </si>
  <si>
    <t>orientatie</t>
  </si>
  <si>
    <t>label op basis ventilatie</t>
  </si>
  <si>
    <t>effect voorkomen tocht bij natuurlijke toevoer</t>
  </si>
  <si>
    <t>verbeteringsmaatregelen</t>
  </si>
  <si>
    <t>aanvullende natuurlijke voorziening &gt; 1,8 m</t>
  </si>
  <si>
    <t>aanvullende mechanische afzuiging Klasse C</t>
  </si>
  <si>
    <t>aanvullende mechanische balansventilatie Klasse C</t>
  </si>
  <si>
    <t>aanvullende mechanische balansventilatie Klasse B</t>
  </si>
  <si>
    <t>aanvullende mechanische balansventilatie Klasse A</t>
  </si>
  <si>
    <t>verbeteren naregeling verwarming</t>
  </si>
  <si>
    <t>buitenzonwering</t>
  </si>
  <si>
    <t>verbeteren dakisolatie</t>
  </si>
  <si>
    <t>toepassen actieve koeling</t>
  </si>
  <si>
    <t>voorzetramen of HR-glas toepassen</t>
  </si>
  <si>
    <t>huidige situatie</t>
  </si>
  <si>
    <t>maatregel om tocht te voorkomen</t>
  </si>
  <si>
    <t>aanvullende mechanische afzuiging</t>
  </si>
  <si>
    <t>aanbevolen maatregelen</t>
  </si>
  <si>
    <t>isoleren plat dak</t>
  </si>
  <si>
    <t>vloerisolatie</t>
  </si>
  <si>
    <t>gevelisolatie</t>
  </si>
  <si>
    <t>glasisolatie</t>
  </si>
  <si>
    <t>thermostaatkranen en/of naregeling</t>
  </si>
  <si>
    <t>gebalanceerde mechanische ventilatie met WTW</t>
  </si>
  <si>
    <t xml:space="preserve">energiezuinige hoogfrequente verlichting </t>
  </si>
  <si>
    <t>aanwezigheidsdetectie</t>
  </si>
  <si>
    <t>energiezuinige hoogfrequente verlichting 
(meerprijs t.o.v. conventioneel)</t>
  </si>
  <si>
    <t>optimaliseren cv-regeling</t>
  </si>
  <si>
    <t>alle maatregelen</t>
  </si>
  <si>
    <t>energiezuinige hoogfrequente verlichting* 
(meerprijs t.o.v. conventioneel)</t>
  </si>
  <si>
    <t>alle maatregelen (excl. maatregel met *)</t>
  </si>
  <si>
    <t>thermisch comfort winter</t>
  </si>
  <si>
    <t>thermisch comfort zomer</t>
  </si>
  <si>
    <t>aanvullende natuurlijke voorziening</t>
  </si>
  <si>
    <t>aanvullende mechanische voorzieningen</t>
  </si>
  <si>
    <t>therm.kranen alle radiatoren. controle!</t>
  </si>
  <si>
    <t>gebalanceerd + afzuiging klasse C</t>
  </si>
  <si>
    <t>gebalanceerd klasse C</t>
  </si>
  <si>
    <t>gebalanceerd klasse B</t>
  </si>
  <si>
    <t>afzuiging klasse C</t>
  </si>
  <si>
    <t>gebalanceerd klasse A</t>
  </si>
  <si>
    <t>toepassen active koeling</t>
  </si>
  <si>
    <t>verbetering glas</t>
  </si>
  <si>
    <t>huidige natuurlijke voorzieningen</t>
  </si>
  <si>
    <t>huidige spui voorzieningen</t>
  </si>
  <si>
    <t>luchtverversing</t>
  </si>
  <si>
    <t>aanvullende mechanische afzuiging klasse C</t>
  </si>
  <si>
    <t>aanvullende mechanische balansventilatie klasse C</t>
  </si>
  <si>
    <t>aanvullende mechanische balansventilatie klasse B</t>
  </si>
  <si>
    <t>aanvullende mechanische balansventilatie klasse A</t>
  </si>
  <si>
    <t xml:space="preserve">maatregel om tocht te voorkomen </t>
  </si>
  <si>
    <t>aanvullende natuurlijke voorzieningen mogelijk</t>
  </si>
  <si>
    <t>ja, met dwarsventilatie</t>
  </si>
  <si>
    <t>ja, zonder dwarsventilatie</t>
  </si>
  <si>
    <t>aanvullende spui voorzieningen mogelijk</t>
  </si>
  <si>
    <t>orientatie van lokalen</t>
  </si>
  <si>
    <t>zuid</t>
  </si>
  <si>
    <t>noord</t>
  </si>
  <si>
    <t>schil (excl. glas)</t>
  </si>
  <si>
    <t>isoleren hellend dak</t>
  </si>
  <si>
    <t>isoleren vloer</t>
  </si>
  <si>
    <t>isoleren gevel</t>
  </si>
  <si>
    <t>isoleren glas</t>
  </si>
  <si>
    <t>vervangen ketel</t>
  </si>
  <si>
    <t>naregelingen</t>
  </si>
  <si>
    <t>ventilatie</t>
  </si>
  <si>
    <t>energiezuinige hoogfrequente verlichting 
(met/zonder daglichtregeling)(met/zonder aanwezigheiddetectie)</t>
  </si>
  <si>
    <t>verlichting</t>
  </si>
  <si>
    <t>verwarming</t>
  </si>
  <si>
    <t>transmissie</t>
  </si>
  <si>
    <t>interne warmteproductie</t>
  </si>
  <si>
    <t>zonnewarmtewinst</t>
  </si>
  <si>
    <t>aandeel preferent</t>
  </si>
  <si>
    <t>ruimteverwarming</t>
  </si>
  <si>
    <t>pompen</t>
  </si>
  <si>
    <t>warmtapwater</t>
  </si>
  <si>
    <t>preferent</t>
  </si>
  <si>
    <t>terugverdientijd</t>
  </si>
  <si>
    <t>energiebesparing</t>
  </si>
  <si>
    <t>energiezuinige hoogfrequente verlichting *
(meerprijs t.o.v. conventioneel)</t>
  </si>
  <si>
    <t>alle maatregelen (Excl. *)</t>
  </si>
  <si>
    <t>dakisolatie</t>
  </si>
  <si>
    <t>alle maatregelen (excl. *)</t>
  </si>
  <si>
    <t>isoleren dak</t>
  </si>
  <si>
    <t>aantallen</t>
  </si>
  <si>
    <t>energiebelasting</t>
  </si>
  <si>
    <t>elektriciteit [kWh]</t>
  </si>
  <si>
    <t>tarief [€/kWh]</t>
  </si>
  <si>
    <t>tarief [€/m³]</t>
  </si>
  <si>
    <t>gas [m³]</t>
  </si>
  <si>
    <t>luchtkwaliteit</t>
  </si>
  <si>
    <t>verbruik</t>
  </si>
  <si>
    <t>kosten [euro]</t>
  </si>
  <si>
    <t xml:space="preserve">totaal </t>
  </si>
  <si>
    <t>per m2 BVO</t>
  </si>
  <si>
    <t>huidige 
klasse</t>
  </si>
  <si>
    <t>na 
maatregelen</t>
  </si>
  <si>
    <t>energiebesparende maatregelen en energie- en binnenklimaatverbeterende maatregelen</t>
  </si>
  <si>
    <t>maatregelen</t>
  </si>
  <si>
    <t>hoeveel-
heden</t>
  </si>
  <si>
    <t>geschatte Investering [Euro]</t>
  </si>
  <si>
    <t xml:space="preserve">besparing </t>
  </si>
  <si>
    <t>energie [%]</t>
  </si>
  <si>
    <t>euro 
[per jaar]</t>
  </si>
  <si>
    <t>terugver dientijd [jaar]*</t>
  </si>
  <si>
    <t>binnenklimaatverbeterende maatregelen</t>
  </si>
  <si>
    <t>hellend dak met houten kap</t>
  </si>
  <si>
    <t>geen/plat dak/gestort beton</t>
  </si>
  <si>
    <t>overige dakconstructies</t>
  </si>
  <si>
    <t>primair onderwijs</t>
  </si>
  <si>
    <t>voortgezet onderwijs</t>
  </si>
  <si>
    <t>geen of open</t>
  </si>
  <si>
    <t>gesloten</t>
  </si>
  <si>
    <t>zuidoost</t>
  </si>
  <si>
    <t>oost</t>
  </si>
  <si>
    <t>noordoost</t>
  </si>
  <si>
    <t>noordwest</t>
  </si>
  <si>
    <t>west</t>
  </si>
  <si>
    <t>zuidwest</t>
  </si>
  <si>
    <t>horizontaal</t>
  </si>
  <si>
    <t>huidige opwekker</t>
  </si>
  <si>
    <t>bouwdeelkeuze</t>
  </si>
  <si>
    <t>oppervlak</t>
  </si>
  <si>
    <t>verbruik ventilatoren</t>
  </si>
  <si>
    <t>opp</t>
  </si>
  <si>
    <t>gang</t>
  </si>
  <si>
    <t>kantoor</t>
  </si>
  <si>
    <t>totaal bouwdeel</t>
  </si>
  <si>
    <t>ruimtetype</t>
  </si>
  <si>
    <t>lamptype</t>
  </si>
  <si>
    <t>aantal detectoren</t>
  </si>
  <si>
    <t>HF 1 x 58 watt</t>
  </si>
  <si>
    <t>HF 2 x 58 watt</t>
  </si>
  <si>
    <t>conv 1 x 36 watt</t>
  </si>
  <si>
    <t>conv 2 x 36 watt</t>
  </si>
  <si>
    <t>conv 1 x 58 watt</t>
  </si>
  <si>
    <t>conv 2 x 58 watt</t>
  </si>
  <si>
    <t>HF 2 x 36 watt</t>
  </si>
  <si>
    <t>HF 1 x 36 watt</t>
  </si>
  <si>
    <t>conv 4 x 18 watt</t>
  </si>
  <si>
    <t>conv 1 x 18 watt</t>
  </si>
  <si>
    <t>conv 2 x 18 watt</t>
  </si>
  <si>
    <t>HF 4 x 18 watt</t>
  </si>
  <si>
    <t>HF 2 x 18 watt</t>
  </si>
  <si>
    <t>HF 1 x 18 watt</t>
  </si>
  <si>
    <t>conv overig</t>
  </si>
  <si>
    <t>HF overig</t>
  </si>
  <si>
    <t xml:space="preserve">debiet </t>
  </si>
  <si>
    <t>maatregel ter voorkoming tocht</t>
  </si>
  <si>
    <t>thermisch binnenklimaat zomer</t>
  </si>
  <si>
    <t>thermisch binnenklimaat winter</t>
  </si>
  <si>
    <t>zuid, zuidwest en/of zuidoost</t>
  </si>
  <si>
    <t>west en/of oost</t>
  </si>
  <si>
    <t>combinatie van orientaties</t>
  </si>
  <si>
    <r>
      <t>lokalen 
(ja/nee)</t>
    </r>
    <r>
      <rPr>
        <sz val="10"/>
        <color indexed="10"/>
        <rFont val="Arial"/>
        <family val="2"/>
      </rPr>
      <t>*</t>
    </r>
  </si>
  <si>
    <r>
      <t>Aantal lokalen</t>
    </r>
    <r>
      <rPr>
        <sz val="10"/>
        <color indexed="10"/>
        <rFont val="Arial"/>
        <family val="2"/>
      </rPr>
      <t>*</t>
    </r>
  </si>
  <si>
    <t>* Slechts invoeren bij wijziging (t.b.v. kosten)</t>
  </si>
  <si>
    <t>Vloeroppervlak
mechanisch geventileerd (m2)</t>
  </si>
  <si>
    <r>
      <t xml:space="preserve">Opp  [m2]
</t>
    </r>
    <r>
      <rPr>
        <b/>
        <sz val="8"/>
        <color indexed="10"/>
        <rFont val="Arial"/>
        <family val="2"/>
      </rPr>
      <t>(incl. glas en kozijnen)</t>
    </r>
  </si>
  <si>
    <t>deel 25</t>
  </si>
  <si>
    <t>deel 26</t>
  </si>
  <si>
    <t>deel 27</t>
  </si>
  <si>
    <t>deel 28</t>
  </si>
  <si>
    <t>deel 29</t>
  </si>
  <si>
    <t>deel 30</t>
  </si>
  <si>
    <t>deel 31</t>
  </si>
  <si>
    <t>deel 32</t>
  </si>
  <si>
    <t>deel 33</t>
  </si>
  <si>
    <t>deel 34</t>
  </si>
  <si>
    <t>deel 35</t>
  </si>
  <si>
    <t>deel 36</t>
  </si>
  <si>
    <t>deel 37</t>
  </si>
  <si>
    <t>deel 38</t>
  </si>
  <si>
    <t>deel 39</t>
  </si>
  <si>
    <t>deel 40</t>
  </si>
  <si>
    <t>deel 41</t>
  </si>
  <si>
    <t>deel 42</t>
  </si>
  <si>
    <t>deel 43</t>
  </si>
  <si>
    <t>deel 44</t>
  </si>
  <si>
    <t>Door adviseur te bepalen!!!</t>
  </si>
  <si>
    <r>
      <t>Totaal nieuwe naregelingen in lokalen</t>
    </r>
    <r>
      <rPr>
        <sz val="8"/>
        <color indexed="10"/>
        <rFont val="Arial"/>
        <family val="2"/>
      </rPr>
      <t>**</t>
    </r>
  </si>
  <si>
    <r>
      <t>Totaal nieuwe TRV´s</t>
    </r>
    <r>
      <rPr>
        <sz val="8"/>
        <color indexed="10"/>
        <rFont val="Arial"/>
        <family val="2"/>
      </rPr>
      <t>*</t>
    </r>
    <r>
      <rPr>
        <sz val="8"/>
        <rFont val="Arial"/>
        <family val="2"/>
      </rPr>
      <t xml:space="preserve"> in lokalen</t>
    </r>
  </si>
  <si>
    <t>* Thermostaatkranen</t>
  </si>
  <si>
    <r>
      <t>met TRV</t>
    </r>
    <r>
      <rPr>
        <sz val="8"/>
        <color indexed="10"/>
        <rFont val="Arial"/>
        <family val="2"/>
      </rPr>
      <t>*</t>
    </r>
  </si>
  <si>
    <r>
      <t>Hoogte</t>
    </r>
    <r>
      <rPr>
        <sz val="8"/>
        <color indexed="10"/>
        <rFont val="Arial"/>
        <family val="2"/>
      </rPr>
      <t>*</t>
    </r>
  </si>
  <si>
    <t>* Bij verschillende hoogtes: Gemiddelde door adviseur te bepalen. Bijvoorbeeld door inhoud/oppervlak</t>
  </si>
  <si>
    <r>
      <t>excl. BTW</t>
    </r>
    <r>
      <rPr>
        <sz val="8"/>
        <color indexed="10"/>
        <rFont val="Arial"/>
        <family val="2"/>
      </rPr>
      <t>*</t>
    </r>
    <r>
      <rPr>
        <sz val="8"/>
        <rFont val="Arial"/>
        <family val="2"/>
      </rPr>
      <t>:</t>
    </r>
  </si>
  <si>
    <t>* Genoemde bedragen zijn voorbeelden</t>
  </si>
  <si>
    <r>
      <t>Begin Datum</t>
    </r>
    <r>
      <rPr>
        <sz val="8"/>
        <color indexed="10"/>
        <rFont val="Arial"/>
        <family val="2"/>
      </rPr>
      <t>*</t>
    </r>
  </si>
  <si>
    <t>* Genoemde data zijn voorbeelden</t>
  </si>
  <si>
    <r>
      <t>Eind Datum</t>
    </r>
    <r>
      <rPr>
        <sz val="8"/>
        <color indexed="10"/>
        <rFont val="Arial"/>
        <family val="2"/>
      </rPr>
      <t>*</t>
    </r>
  </si>
  <si>
    <r>
      <t>meter</t>
    </r>
    <r>
      <rPr>
        <sz val="8"/>
        <color indexed="10"/>
        <rFont val="Arial"/>
        <family val="2"/>
      </rPr>
      <t>**</t>
    </r>
  </si>
  <si>
    <t xml:space="preserve">** Slechts van toepassing indien </t>
  </si>
  <si>
    <t>zonwering geadviseerd wordt.</t>
  </si>
  <si>
    <t>isolatie plat dak (excl. dakbedekking)</t>
  </si>
  <si>
    <r>
      <rPr>
        <b/>
        <sz val="8"/>
        <color indexed="8"/>
        <rFont val="Arial"/>
        <family val="2"/>
      </rPr>
      <t>Aanvullende</t>
    </r>
    <r>
      <rPr>
        <sz val="8"/>
        <color indexed="8"/>
        <rFont val="Arial"/>
        <family val="2"/>
      </rPr>
      <t xml:space="preserve"> natuurlijke voorzieningen</t>
    </r>
  </si>
  <si>
    <r>
      <rPr>
        <b/>
        <sz val="8"/>
        <color indexed="8"/>
        <rFont val="Arial"/>
        <family val="2"/>
      </rPr>
      <t>Aanvullende</t>
    </r>
    <r>
      <rPr>
        <sz val="8"/>
        <color indexed="8"/>
        <rFont val="Arial"/>
        <family val="2"/>
      </rPr>
      <t xml:space="preserve"> spui voorzieningen</t>
    </r>
  </si>
  <si>
    <r>
      <rPr>
        <b/>
        <sz val="8"/>
        <color indexed="8"/>
        <rFont val="Arial"/>
        <family val="2"/>
      </rPr>
      <t>Aanvulllende</t>
    </r>
    <r>
      <rPr>
        <sz val="8"/>
        <color indexed="8"/>
        <rFont val="Arial"/>
        <family val="2"/>
      </rPr>
      <t xml:space="preserve"> natuurlijke voorzieningen</t>
    </r>
  </si>
  <si>
    <r>
      <rPr>
        <b/>
        <sz val="8"/>
        <color indexed="8"/>
        <rFont val="Arial"/>
        <family val="2"/>
      </rPr>
      <t>Aanvullende</t>
    </r>
    <r>
      <rPr>
        <b/>
        <sz val="8"/>
        <color indexed="10"/>
        <rFont val="Arial"/>
        <family val="2"/>
      </rPr>
      <t>*</t>
    </r>
    <r>
      <rPr>
        <sz val="8"/>
        <color indexed="8"/>
        <rFont val="Arial"/>
        <family val="2"/>
      </rPr>
      <t xml:space="preserve"> natuurlijke voorzieningen</t>
    </r>
  </si>
  <si>
    <t xml:space="preserve">* Bestaande natuurlijke voorzieningen </t>
  </si>
  <si>
    <t xml:space="preserve">   niet opnieuw invullen</t>
  </si>
  <si>
    <t>klepramen of kiepramen</t>
  </si>
  <si>
    <t>draairamen of draaikiepramen</t>
  </si>
  <si>
    <r>
      <t>Wijze van ventilatie</t>
    </r>
    <r>
      <rPr>
        <sz val="8"/>
        <color indexed="10"/>
        <rFont val="Arial"/>
        <family val="2"/>
      </rPr>
      <t>*</t>
    </r>
  </si>
  <si>
    <t>* natuurlijke ventilatie wordt automatisch bepaald</t>
  </si>
  <si>
    <t>Uitgangspunt label bereken-ing (m3/h)</t>
  </si>
  <si>
    <t>detector</t>
  </si>
  <si>
    <t>Alle mogelijke maatregelen worden gepresenteerd</t>
  </si>
  <si>
    <t>Ook buiten het aanbevolen pakket</t>
  </si>
  <si>
    <t>therm.kranen alle radiatoren. controle!!!</t>
  </si>
  <si>
    <t>buitenzonwering controle!!!</t>
  </si>
  <si>
    <t>buitenzonwering. Controle!</t>
  </si>
  <si>
    <t>therm.kranen alle radiatoren. Controle!</t>
  </si>
  <si>
    <t>De aantallen thermostaatkranen en meter zonwering controleren</t>
  </si>
  <si>
    <t xml:space="preserve">Bij bundeling van lokalen tot een lokaaltype kan het totaal aantal afwijken van het </t>
  </si>
  <si>
    <t>werkelijke aantal. Ook kan men de maatregel toepassen op slechts een deel</t>
  </si>
  <si>
    <t>(gebalanceerd (&lt; klasse C) + afzuiging) (klasse C)</t>
  </si>
  <si>
    <t>daglichtregeling (slechts i.c.m. nieuwe verlichting)</t>
  </si>
  <si>
    <r>
      <t>h</t>
    </r>
    <r>
      <rPr>
        <sz val="8"/>
        <color indexed="10"/>
        <rFont val="Arial"/>
        <family val="2"/>
      </rPr>
      <t>*</t>
    </r>
    <r>
      <rPr>
        <sz val="8"/>
        <color indexed="8"/>
        <rFont val="Arial"/>
        <family val="2"/>
      </rPr>
      <t xml:space="preserve"> (cm)</t>
    </r>
  </si>
  <si>
    <t>* Bij klepraam speelt hoogte geen rol</t>
  </si>
  <si>
    <t xml:space="preserve">  Er wordt gerekend met standaard uitval.</t>
  </si>
  <si>
    <t>Het binnenmilieu beperkt zich in het EBA tot de luchtkwaliteit (CO2-concentratie) en het thermisch comfort in de winter en de zomer.</t>
  </si>
  <si>
    <t xml:space="preserve">Het EBA-rekenmodel is een vereenvoudiging/standaardisering van voornoemde methodieken.    </t>
  </si>
  <si>
    <t>De resultaten bepaald met dit EBA-rekenmodel  kunnen daardoor mogelijk afwijken van de resultaten bepaald met behulp van de voornoemde methodieken.</t>
  </si>
  <si>
    <t>isoleren plat dak (excl. dakbedekking)</t>
  </si>
  <si>
    <t>kW totaal</t>
  </si>
  <si>
    <t>Isoleren vloer</t>
  </si>
  <si>
    <t>Let op:</t>
  </si>
  <si>
    <t>Controleer deze op basis van de werkelijke kosten. Correctie is mogelijk op basis berekende besparingspercentage.</t>
  </si>
  <si>
    <t>Gemeten</t>
  </si>
  <si>
    <t>Berekend</t>
  </si>
  <si>
    <t>Fitfactoren</t>
  </si>
  <si>
    <t>Werkelijk</t>
  </si>
  <si>
    <t>Ventilatievoud natuurlijke ventilatie</t>
  </si>
  <si>
    <t>gemiddeld dag en nacht</t>
  </si>
  <si>
    <t>tijdens gebruikstijden</t>
  </si>
  <si>
    <t>4,6 is conform bouwbesluit 2003</t>
  </si>
  <si>
    <t>Fitten energieverbruik</t>
  </si>
  <si>
    <t>Opmerking:</t>
  </si>
  <si>
    <t xml:space="preserve">Aangezien de energiebesparing van een maatregel sterk afhangt van het gebruikersgedrag, is het van belang het berekende energieverbruik op basis van standaard gebruikersgedrag (voor energielabel bepaling) </t>
  </si>
  <si>
    <t xml:space="preserve">en werkelijke binnentemperaturen. </t>
  </si>
  <si>
    <t xml:space="preserve">te corrigeren op basis van het werkelijke gebruikersgedrag. De belangrijkste gebruikersafhankelijke factoren zijn: aanwezigheid en gebruik van apparatuur, werkelijk gebruik van ventilatievoorzieningen </t>
  </si>
  <si>
    <t xml:space="preserve">Ook dient een correctie plaats te vinden op basis van de werkelijke buitentemperaturen. In de labelsystemathiek wordt uitgegaan van TRY De Bilt. Indien het jaar waarvan de energieverbruiken bekend zijn warmer </t>
  </si>
  <si>
    <t>of kouder is geweest dient dit gecorrigeer te worden.</t>
  </si>
  <si>
    <t>Interne warmtelast apparatuur [W/m2]</t>
  </si>
  <si>
    <t>Interne warmtelast personen [W/m2]</t>
  </si>
  <si>
    <t>Correctiefactor afwijkende binnentemperaturen</t>
  </si>
  <si>
    <t>Gasverbruik [m3/jaar]</t>
  </si>
  <si>
    <t>Electriciteitsverbruik [kWh/jaar]</t>
  </si>
  <si>
    <t>Warmteverbruik [GJ/jaar]</t>
  </si>
  <si>
    <t>Afwijking</t>
  </si>
  <si>
    <t>bijvoorbeeld op basis van graaddagen. Kouder is &gt; 1 en warmer &lt; 1.</t>
  </si>
  <si>
    <t>kouder is &lt; 1 en warmer &gt; 1</t>
  </si>
  <si>
    <t>Conform labelmethodiek</t>
  </si>
  <si>
    <t>isolatie plat dak (incl. dakbedekking)</t>
  </si>
  <si>
    <t>Zonwering</t>
  </si>
  <si>
    <t>Verlichting</t>
  </si>
  <si>
    <t>HF-armatuur</t>
  </si>
  <si>
    <t>euro/m2</t>
  </si>
  <si>
    <t>euro/meter</t>
  </si>
  <si>
    <t>euro / kW</t>
  </si>
  <si>
    <t>euro/armatuur</t>
  </si>
  <si>
    <t>euro / stuk</t>
  </si>
  <si>
    <t>Aanwezigheiddetectie</t>
  </si>
  <si>
    <t>Ventilatie</t>
  </si>
  <si>
    <t>euro/lokaal</t>
  </si>
  <si>
    <t>Aanvullende spui voorzieningen met dwarsventilatie</t>
  </si>
  <si>
    <t>Aanvullende spui voorzieningen zonder dwarsventilatie</t>
  </si>
  <si>
    <t>Gebalanceerd + afzuiging Klasse B (afzuiging reeds aanwezig)</t>
  </si>
  <si>
    <t>Gebalanceerd + afzuiging Klasse B (gebalanceerd reeds aanwezig)</t>
  </si>
  <si>
    <t>HR107 ketel 0-200 kW</t>
  </si>
  <si>
    <t>HR107 ketel 200-500 kW</t>
  </si>
  <si>
    <t>HR107 ketel &gt; 500 kW</t>
  </si>
  <si>
    <t>euro/stuk</t>
  </si>
  <si>
    <t>Thermostaatkranen (eenvoudig)</t>
  </si>
  <si>
    <t>Thermostaatkranen (moeilijk)</t>
  </si>
  <si>
    <t>Thermostaat + servomotorbediende kranen</t>
  </si>
  <si>
    <t>Koeling</t>
  </si>
  <si>
    <t>Airco</t>
  </si>
  <si>
    <t>Kosten kengetallen</t>
  </si>
  <si>
    <t>Voor berekening van de kosten van diverse maatregelen worden de onderstaande kosten kengetallen gehanteerd. De adviseur dient zelf te bepalen of deze kengetallen voor het onderzochte pand realistisch zijn.</t>
  </si>
  <si>
    <t>De adviseur kan de default waarden van deze kostenkengetallen in dit blad desgewenst aanpassen.</t>
  </si>
  <si>
    <t>Optimaliseren instellingen cv-regeling</t>
  </si>
  <si>
    <t>euro/school</t>
  </si>
  <si>
    <t>bijdrage 
derden</t>
  </si>
  <si>
    <t>Kosten en baten maatregelen</t>
  </si>
  <si>
    <t>Na maatregelen</t>
  </si>
  <si>
    <t>Huidig</t>
  </si>
  <si>
    <t>energie</t>
  </si>
  <si>
    <t>Energiebesparende maatregelen</t>
  </si>
  <si>
    <t>Binnenklimaatverbeterende maatregelen</t>
  </si>
  <si>
    <t>** Bedoeld wordt thermostaat per lokaal i.c.m. smoorklep(pen)</t>
  </si>
  <si>
    <t xml:space="preserve">Kosten TRV's </t>
  </si>
  <si>
    <t>Laag (eenvoudig)</t>
  </si>
  <si>
    <t>Hoog (moeilijk)</t>
  </si>
  <si>
    <t>Correctiefactor weersinvloeden t.o.v. TRY De Bilt*</t>
  </si>
  <si>
    <t>* Gemiddelde maandtemperaturen TRY DE Bilt</t>
  </si>
  <si>
    <t>Elektriciteit</t>
  </si>
  <si>
    <t>Ventilatie-concept</t>
  </si>
  <si>
    <t>Omschrijving lokalen</t>
  </si>
  <si>
    <t>Ventilatie-klasse**</t>
  </si>
  <si>
    <t>Niet geïsoleerd</t>
  </si>
  <si>
    <t>Matig geïsoleerd</t>
  </si>
  <si>
    <t>Goed geïsoleerd</t>
  </si>
  <si>
    <t>Zeer goed geïsoleerd</t>
  </si>
  <si>
    <t>Dubbel glas</t>
  </si>
  <si>
    <t>HR glas</t>
  </si>
  <si>
    <t>HR+(+) glas</t>
  </si>
  <si>
    <t>Totaal oppervlak [m2]</t>
  </si>
  <si>
    <t>Omschrijving bouwdeel 1</t>
  </si>
  <si>
    <t>Omschrijving bouwdeel 2</t>
  </si>
  <si>
    <t>Omschrijving bouwdeel 3</t>
  </si>
  <si>
    <t>Coating of folie</t>
  </si>
  <si>
    <t>Grote luifel</t>
  </si>
  <si>
    <t>Binnenzonwering of geen</t>
  </si>
  <si>
    <t>Zuid, Zuidoost, Zuidwest</t>
  </si>
  <si>
    <t>Noord, Noordoost en Noordwest</t>
  </si>
  <si>
    <t>Oost coating</t>
  </si>
  <si>
    <t>Oost luifel</t>
  </si>
  <si>
    <t>Oost geen</t>
  </si>
  <si>
    <t>Noord coating</t>
  </si>
  <si>
    <t>Noord luifel</t>
  </si>
  <si>
    <t>Noord geen</t>
  </si>
  <si>
    <t>Zuid coating</t>
  </si>
  <si>
    <t>Zuid luifel</t>
  </si>
  <si>
    <t>Zuid geen</t>
  </si>
  <si>
    <t>West coating</t>
  </si>
  <si>
    <t>West luifel</t>
  </si>
  <si>
    <t>West geen</t>
  </si>
  <si>
    <t>Oost buiten</t>
  </si>
  <si>
    <t>West buiten</t>
  </si>
  <si>
    <t>Zuid buiten</t>
  </si>
  <si>
    <t>Noord buiten</t>
  </si>
  <si>
    <t>Buitenzonwering</t>
  </si>
  <si>
    <t>Type lamp</t>
  </si>
  <si>
    <t>Aantal armaturen</t>
  </si>
  <si>
    <t>Opgesteld vermogen</t>
  </si>
  <si>
    <t>Aanwezigheid-detectie</t>
  </si>
  <si>
    <t xml:space="preserve">Conventioneel TL </t>
  </si>
  <si>
    <r>
      <t>Watt/m</t>
    </r>
    <r>
      <rPr>
        <b/>
        <vertAlign val="superscript"/>
        <sz val="16"/>
        <rFont val="Arial"/>
        <family val="2"/>
      </rPr>
      <t>2</t>
    </r>
  </si>
  <si>
    <t>Ja/nee</t>
  </si>
  <si>
    <t>Hoogfrequent TL (energiezuinig)</t>
  </si>
  <si>
    <t xml:space="preserve">spaarlampen </t>
  </si>
  <si>
    <t>Gloeilampen of halogeen verlichting</t>
  </si>
  <si>
    <t>Kantoren</t>
  </si>
  <si>
    <t>Gangen</t>
  </si>
  <si>
    <t>PL</t>
  </si>
  <si>
    <t>gloeilampen</t>
  </si>
  <si>
    <t>gangen</t>
  </si>
  <si>
    <t>kantoren</t>
  </si>
  <si>
    <t xml:space="preserve">Gloeilampen of halogeen </t>
  </si>
  <si>
    <t>Hoogfrequent (energiezuinig)</t>
  </si>
  <si>
    <t>Conventioneel</t>
  </si>
  <si>
    <t>Aantal personen per lokaal</t>
  </si>
  <si>
    <t>Advies 30, omdat lokaal gemiddeld voor 30 is ingericht</t>
  </si>
  <si>
    <t>begroot volgens MJOP [Euro]</t>
  </si>
  <si>
    <t xml:space="preserve">De besparing in euro's is conform de EPA-U label methodiek te gunstig </t>
  </si>
  <si>
    <t>ventilatiecapaciteit [m3/uur per persoon]</t>
  </si>
  <si>
    <t>Ventilatie-capaciteit* 
[m3/uur per persoon]</t>
  </si>
  <si>
    <t>Inkoop</t>
  </si>
  <si>
    <t>Elektriciteit EB (2015)</t>
  </si>
  <si>
    <t>belasting</t>
  </si>
  <si>
    <t>duurzame energie</t>
  </si>
  <si>
    <t>Invoer eigen opwekking (zonnepanelen)</t>
  </si>
  <si>
    <t>m2 zonnepaneel</t>
  </si>
  <si>
    <t>Zonnepanelen</t>
  </si>
  <si>
    <t>systeem 1</t>
  </si>
  <si>
    <t>systeem 2</t>
  </si>
  <si>
    <t>systeem 3</t>
  </si>
  <si>
    <t>systeem 4</t>
  </si>
  <si>
    <t>systeem 5</t>
  </si>
  <si>
    <t>type paneel</t>
  </si>
  <si>
    <t>hellingshoek</t>
  </si>
  <si>
    <t>Berekening zonne-energie</t>
  </si>
  <si>
    <t>Monokristalijn</t>
  </si>
  <si>
    <t>Wp/m2</t>
  </si>
  <si>
    <t>investering</t>
  </si>
  <si>
    <t>Opbrengstfactor</t>
  </si>
  <si>
    <t>Polykristalijn</t>
  </si>
  <si>
    <t>Amorf</t>
  </si>
  <si>
    <t xml:space="preserve">In dit tabblad vindt u de kosten en baten van de geslecteerde maatregelen. </t>
  </si>
  <si>
    <t>Eventuele bijdrage derden (subsidie) of reeds begrote kosten vanuit MJOP kan tevens hier ingevoerd worden!!!!</t>
  </si>
  <si>
    <t>bijdrage 
derden / begroot MJOP</t>
  </si>
  <si>
    <t>m2 
zonnepaneel</t>
  </si>
  <si>
    <t>Hellingshoek
[graden]</t>
  </si>
  <si>
    <t>Type paneel</t>
  </si>
  <si>
    <t>Zuidwest</t>
  </si>
  <si>
    <t>Zuidoost</t>
  </si>
  <si>
    <t>rendement tov optimaal</t>
  </si>
  <si>
    <t>Genormeerd aantal groepen</t>
  </si>
  <si>
    <t>Genormeerd aantal m2 BVO</t>
  </si>
  <si>
    <t>aantal groepen</t>
  </si>
  <si>
    <t>genormeerd BVO</t>
  </si>
  <si>
    <t>Norm-
vergoeding [euro/jaar]</t>
  </si>
  <si>
    <t>Gas EB (2015)</t>
  </si>
  <si>
    <t>Warmte EB (2015)</t>
  </si>
  <si>
    <t>Kosten
 [kwh]</t>
  </si>
  <si>
    <t>Elektriciteit [kwh]</t>
  </si>
  <si>
    <t>Gas [m3]</t>
  </si>
  <si>
    <t>Warmte [MJ]</t>
  </si>
  <si>
    <t>Huidig aanwezige zonnepanelen</t>
  </si>
  <si>
    <t>Besparingsoptie zonnepanelen</t>
  </si>
  <si>
    <t>huidig verbruik</t>
  </si>
  <si>
    <t>dag</t>
  </si>
  <si>
    <t>nacht/weekend</t>
  </si>
  <si>
    <t>opbrengst zonnepanelen</t>
  </si>
  <si>
    <t>nieuw verbruik</t>
  </si>
  <si>
    <t>weekend</t>
  </si>
  <si>
    <t>energiebelasting na aftrek opbrengst zonnepanelen</t>
  </si>
  <si>
    <t>kosten (levering + EB)</t>
  </si>
  <si>
    <t>levering</t>
  </si>
  <si>
    <t>EB</t>
  </si>
  <si>
    <t>Besparing leveringskosten</t>
  </si>
  <si>
    <t>Besparing Energiebelasting</t>
  </si>
  <si>
    <t>Investering</t>
  </si>
  <si>
    <t>per m2</t>
  </si>
  <si>
    <t>(incl. BTW)</t>
  </si>
  <si>
    <t>m2 paneel</t>
  </si>
  <si>
    <t>Warmtepomp met ZLT</t>
  </si>
  <si>
    <t>Warmtepomp met LT</t>
  </si>
  <si>
    <t>Warmtepomp met MT</t>
  </si>
  <si>
    <t>Gemiddeld rendemend gas</t>
  </si>
  <si>
    <t>Toepassen warmtepomp</t>
  </si>
  <si>
    <t>besparingsoptie Warmtepomp</t>
  </si>
  <si>
    <t>WP bodem/Buitenlucht met ZLT</t>
  </si>
  <si>
    <t>WP bodem/Buitenlucht met LT</t>
  </si>
  <si>
    <t>WP bodem/Buitenlucht met MT</t>
  </si>
  <si>
    <t>WP afvoerlucht met ZLT</t>
  </si>
  <si>
    <t>WP afvoerlucht met LT</t>
  </si>
  <si>
    <t>WP afvoerlucht met MT</t>
  </si>
  <si>
    <t>WP aquifer met ZLT</t>
  </si>
  <si>
    <t>WP aquifer met LT</t>
  </si>
  <si>
    <t>WP aquifer met MT</t>
  </si>
  <si>
    <t>keus</t>
  </si>
  <si>
    <t>Type warmtepomp
 / afgifte systeem</t>
  </si>
  <si>
    <t>Besparingsoptie warmtepomp</t>
  </si>
  <si>
    <t>rendement</t>
  </si>
  <si>
    <t>aandeel</t>
  </si>
  <si>
    <t>warmtebehoefte</t>
  </si>
  <si>
    <t>na maatregelen</t>
  </si>
  <si>
    <t>Warmte geleverd door WP</t>
  </si>
  <si>
    <t>zonder ma</t>
  </si>
  <si>
    <t>Energieverbruik WP [kWh]</t>
  </si>
  <si>
    <t>warmte</t>
  </si>
  <si>
    <t>Warmtepomp (na isolatiemaatregelen)</t>
  </si>
  <si>
    <t>Besparing zonder maatregelen</t>
  </si>
  <si>
    <t>Kosten (incl. 
afgifte systeem) (incl. BTW)</t>
  </si>
  <si>
    <t>Voorziet in x% van warmte-behoefte [%]</t>
  </si>
  <si>
    <t>gebouw</t>
  </si>
  <si>
    <t>Pelletketel</t>
  </si>
  <si>
    <t>Besparingsoptie pelletketel</t>
  </si>
  <si>
    <t>Warmte geleverd door pelletketel</t>
  </si>
  <si>
    <t>Pelletverbruik [Kg]</t>
  </si>
  <si>
    <t>Besparing na maatregelen</t>
  </si>
  <si>
    <t>Warmtepomp (zonder isolatiemaatregelen)</t>
  </si>
  <si>
    <t>Pelletketel (zonder isolatiemaatregelen)</t>
  </si>
  <si>
    <t>Pelletketel (na isolatiemaatregelen)</t>
  </si>
  <si>
    <t>Alle rechten voorbehouden. © Rijksdienst voor Ondernemend Nederland</t>
  </si>
  <si>
    <t>Opbrensgt zonnepanelen</t>
  </si>
  <si>
    <t>Percentage van eigen gebruik</t>
  </si>
  <si>
    <t xml:space="preserve">Eigen opwekking [kWh/jaar] </t>
  </si>
  <si>
    <t>Besparingsoptie HR107-ketel, naregeling en optimalisatie instellingen</t>
  </si>
  <si>
    <t>Om schoolbesturen, gemeenten en adviseurs te ondersteunen bij het uitbesteden van een Energie en Binnenmilieu Advies (EBA), heeft de Rijksdienst voor Ondernemend Nederland (RVO.nl) een “EBA Leidraad” ontwikkeld, met handige bijlagen en dit “EBA Rekenmodel voor de adviseur”.</t>
  </si>
  <si>
    <t>Om ervoor te zorgen dat dergelijk onderzoek of advies goed aansluit bij de wensen en het ambitieniveau van de opdrachtgever en dat de adviezen praktisch toepasbaar zijn, is het belangrijk om in de offerteaanvraag of het aanbestedingsdocument heldere eisen op te stellen, de adviseur zorgvuldig te selecteren en deze goed te begeleiden.</t>
  </si>
  <si>
    <t>De adviseur dient zelf te beoordelen of de resultaten van dit EBA Rekenmodel juist zijn. De EBA adviseur is uiteindelijk verantwoordelijk voor de resultaten.</t>
  </si>
  <si>
    <t>Aan het EBA Rekenmodel kunt u geen rechten ontlenen. Ondanks het feit dat het EBA Rekenmodel met alle zorgvuldigheid is samengesteld, aanvaardt RVO.nl geen aansprakelijkheid voor schade als gevolg van eventuele onjuistheden en/of uitvoering of gebruik van de resultaten</t>
  </si>
  <si>
    <t>EBA Rekenmodel voor de adviseur - Toelichting</t>
  </si>
  <si>
    <t xml:space="preserve">Veel schoolbesturen en/of gemeenten hebben ambities ten aanzien van binnenklimaat, energiebesparing en duurzaamheid van hun schoolgebouwen en willen maatregelen laten uitvoeren of de ambities verwerken in beleid en in meerjaren onderhoudsplannen. Vaak zullen zij onderzoek of advies hiervoor uitbesteden. </t>
  </si>
  <si>
    <r>
      <t>Het EBA Rekenmodel is gebaseerd op de EPA-U methodiek (ISSO 75.1 en 75.2), de ISSO 89 (binnenklimaat in scholen), de E</t>
    </r>
    <r>
      <rPr>
        <sz val="10"/>
        <color indexed="8"/>
        <rFont val="Calibri"/>
        <family val="2"/>
      </rPr>
      <t>é</t>
    </r>
    <r>
      <rPr>
        <sz val="10"/>
        <color indexed="8"/>
        <rFont val="Arial"/>
        <family val="2"/>
      </rPr>
      <t>ndagsmethode van de GGD en de publicatie "De Frisse Basisschool".</t>
    </r>
  </si>
  <si>
    <t>EBA Leidraad uitbesteding en EBA Rekenmodel zijn wat betreft thema's en ambitieniveaus gebaseerd op het Programma van Eisen Frisse Scholen van RVO.nl.</t>
  </si>
  <si>
    <t>Het EBA Rekenmodel is gebaseerd op het rekenmodel dat is gebruikt voor de EBA subsidieregeling van het ministerie van OCW in 2009.</t>
  </si>
  <si>
    <t>Versie: Maart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</si>
</sst>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
    <numFmt numFmtId="166" formatCode="0.0%"/>
    <numFmt numFmtId="167" formatCode="&quot;€&quot;\ #,##0.00_-"/>
    <numFmt numFmtId="168" formatCode="d/mm/yy;@"/>
    <numFmt numFmtId="169" formatCode="&quot;€&quot;\ #,##0.0000;[Red]&quot;€&quot;\ \-#,##0.0000"/>
    <numFmt numFmtId="170" formatCode="&quot;€&quot;\ #,##0"/>
  </numFmts>
  <fonts count="66" x14ac:knownFonts="1">
    <font>
      <sz val="10"/>
      <name val="Arial"/>
    </font>
    <font>
      <sz val="8"/>
      <name val="Arial"/>
      <family val="2"/>
    </font>
    <font>
      <sz val="8"/>
      <name val="Arial"/>
      <family val="2"/>
    </font>
    <font>
      <b/>
      <sz val="8"/>
      <name val="Arial"/>
      <family val="2"/>
    </font>
    <font>
      <u/>
      <sz val="10"/>
      <color indexed="12"/>
      <name val="Arial"/>
      <family val="2"/>
    </font>
    <font>
      <sz val="10"/>
      <name val="Arial"/>
      <family val="2"/>
    </font>
    <font>
      <sz val="8"/>
      <color indexed="10"/>
      <name val="Arial"/>
      <family val="2"/>
    </font>
    <font>
      <sz val="10"/>
      <name val="Arial"/>
      <family val="2"/>
    </font>
    <font>
      <b/>
      <sz val="8"/>
      <color indexed="10"/>
      <name val="Arial"/>
      <family val="2"/>
    </font>
    <font>
      <sz val="8"/>
      <color indexed="22"/>
      <name val="Arial"/>
      <family val="2"/>
    </font>
    <font>
      <b/>
      <sz val="10"/>
      <name val="Arial"/>
      <family val="2"/>
    </font>
    <font>
      <b/>
      <sz val="12"/>
      <name val="Arial"/>
      <family val="2"/>
    </font>
    <font>
      <b/>
      <sz val="16"/>
      <name val="Arial"/>
      <family val="2"/>
    </font>
    <font>
      <sz val="9"/>
      <name val="Arial"/>
      <family val="2"/>
    </font>
    <font>
      <b/>
      <sz val="9"/>
      <name val="Arial"/>
      <family val="2"/>
    </font>
    <font>
      <sz val="11"/>
      <name val="Times New Roman"/>
      <family val="1"/>
    </font>
    <font>
      <b/>
      <sz val="11"/>
      <name val="Times New Roman"/>
      <family val="1"/>
    </font>
    <font>
      <b/>
      <vertAlign val="subscript"/>
      <sz val="11"/>
      <name val="Times New Roman"/>
      <family val="1"/>
    </font>
    <font>
      <b/>
      <vertAlign val="superscript"/>
      <sz val="11"/>
      <name val="Times New Roman"/>
      <family val="1"/>
    </font>
    <font>
      <i/>
      <sz val="11"/>
      <name val="Times New Roman"/>
      <family val="1"/>
    </font>
    <font>
      <b/>
      <vertAlign val="subscript"/>
      <sz val="8"/>
      <name val="Arial"/>
      <family val="2"/>
    </font>
    <font>
      <vertAlign val="subscript"/>
      <sz val="8"/>
      <name val="Arial"/>
      <family val="2"/>
    </font>
    <font>
      <sz val="10"/>
      <name val="Calibri"/>
      <family val="2"/>
    </font>
    <font>
      <sz val="10"/>
      <color indexed="10"/>
      <name val="Arial"/>
      <family val="2"/>
    </font>
    <font>
      <b/>
      <sz val="6"/>
      <color indexed="10"/>
      <name val="Arial"/>
      <family val="2"/>
    </font>
    <font>
      <b/>
      <sz val="14"/>
      <name val="Arial"/>
      <family val="2"/>
    </font>
    <font>
      <sz val="8"/>
      <color indexed="10"/>
      <name val="Arial"/>
      <family val="2"/>
    </font>
    <font>
      <sz val="8"/>
      <color indexed="8"/>
      <name val="Calibri"/>
      <family val="2"/>
    </font>
    <font>
      <b/>
      <sz val="8"/>
      <color indexed="8"/>
      <name val="Calibri"/>
      <family val="2"/>
    </font>
    <font>
      <b/>
      <sz val="8"/>
      <color indexed="8"/>
      <name val="Arial"/>
      <family val="2"/>
    </font>
    <font>
      <sz val="8"/>
      <color indexed="8"/>
      <name val="Arial"/>
      <family val="2"/>
    </font>
    <font>
      <sz val="11"/>
      <color indexed="8"/>
      <name val="Arial"/>
      <family val="2"/>
    </font>
    <font>
      <b/>
      <sz val="11"/>
      <color indexed="8"/>
      <name val="Arial"/>
      <family val="2"/>
    </font>
    <font>
      <b/>
      <sz val="9"/>
      <color indexed="8"/>
      <name val="Arial"/>
      <family val="2"/>
    </font>
    <font>
      <sz val="8"/>
      <color indexed="10"/>
      <name val="Calibri"/>
      <family val="2"/>
    </font>
    <font>
      <sz val="11"/>
      <color indexed="8"/>
      <name val="Times New Roman"/>
      <family val="1"/>
    </font>
    <font>
      <i/>
      <sz val="11"/>
      <color indexed="8"/>
      <name val="Times New Roman"/>
      <family val="1"/>
    </font>
    <font>
      <sz val="10"/>
      <color indexed="10"/>
      <name val="Arial"/>
      <family val="2"/>
    </font>
    <font>
      <sz val="9"/>
      <color indexed="8"/>
      <name val="Arial"/>
      <family val="2"/>
    </font>
    <font>
      <sz val="11"/>
      <color indexed="8"/>
      <name val="Calibri"/>
      <family val="2"/>
    </font>
    <font>
      <b/>
      <sz val="9"/>
      <color indexed="9"/>
      <name val="Tahoma"/>
      <family val="2"/>
    </font>
    <font>
      <b/>
      <vertAlign val="superscript"/>
      <sz val="16"/>
      <name val="Arial"/>
      <family val="2"/>
    </font>
    <font>
      <b/>
      <sz val="14"/>
      <color indexed="8"/>
      <name val="Arial"/>
      <family val="2"/>
    </font>
    <font>
      <sz val="10"/>
      <color indexed="44"/>
      <name val="Arial"/>
      <family val="2"/>
    </font>
    <font>
      <sz val="8"/>
      <color indexed="10"/>
      <name val="Arial"/>
      <family val="2"/>
    </font>
    <font>
      <b/>
      <sz val="8"/>
      <color indexed="10"/>
      <name val="Arial"/>
      <family val="2"/>
    </font>
    <font>
      <sz val="10"/>
      <color indexed="10"/>
      <name val="Arial"/>
      <family val="2"/>
    </font>
    <font>
      <sz val="9"/>
      <color indexed="9"/>
      <name val="Arial"/>
      <family val="2"/>
    </font>
    <font>
      <sz val="10"/>
      <color indexed="9"/>
      <name val="Arial"/>
      <family val="2"/>
    </font>
    <font>
      <sz val="8"/>
      <color indexed="9"/>
      <name val="Arial"/>
      <family val="2"/>
    </font>
    <font>
      <sz val="8"/>
      <color indexed="44"/>
      <name val="Arial"/>
      <family val="2"/>
    </font>
    <font>
      <b/>
      <sz val="8"/>
      <color indexed="44"/>
      <name val="Arial"/>
      <family val="2"/>
    </font>
    <font>
      <sz val="9"/>
      <color indexed="10"/>
      <name val="Arial"/>
      <family val="2"/>
    </font>
    <font>
      <sz val="8"/>
      <name val="Arial"/>
    </font>
    <font>
      <sz val="10"/>
      <name val="Arial"/>
    </font>
    <font>
      <sz val="11"/>
      <color theme="1"/>
      <name val="Calibri"/>
      <family val="2"/>
      <scheme val="minor"/>
    </font>
    <font>
      <sz val="8"/>
      <color theme="1"/>
      <name val="Arial"/>
      <family val="2"/>
    </font>
    <font>
      <sz val="8"/>
      <color rgb="FFFF0000"/>
      <name val="Arial"/>
      <family val="2"/>
    </font>
    <font>
      <b/>
      <sz val="11"/>
      <color rgb="FF111111"/>
      <name val="Calibri"/>
      <family val="2"/>
      <scheme val="minor"/>
    </font>
    <font>
      <sz val="11"/>
      <color rgb="FF111111"/>
      <name val="Calibri"/>
      <family val="2"/>
      <scheme val="minor"/>
    </font>
    <font>
      <b/>
      <sz val="8"/>
      <color rgb="FF111111"/>
      <name val="Arial"/>
      <family val="2"/>
    </font>
    <font>
      <sz val="8"/>
      <color rgb="FF111111"/>
      <name val="Arial"/>
      <family val="2"/>
    </font>
    <font>
      <sz val="10"/>
      <color theme="0"/>
      <name val="Arial"/>
      <family val="2"/>
    </font>
    <font>
      <b/>
      <sz val="10"/>
      <color rgb="FF0070C0"/>
      <name val="Arial"/>
      <family val="2"/>
    </font>
    <font>
      <sz val="10"/>
      <color indexed="8"/>
      <name val="Arial"/>
      <family val="2"/>
    </font>
    <font>
      <sz val="10"/>
      <color indexed="8"/>
      <name val="Calibri"/>
      <family val="2"/>
    </font>
  </fonts>
  <fills count="18">
    <fill>
      <patternFill patternType="none"/>
    </fill>
    <fill>
      <patternFill patternType="gray125"/>
    </fill>
    <fill>
      <patternFill patternType="solid">
        <fgColor indexed="17"/>
        <bgColor indexed="64"/>
      </patternFill>
    </fill>
    <fill>
      <patternFill patternType="solid">
        <fgColor indexed="49"/>
        <bgColor indexed="64"/>
      </patternFill>
    </fill>
    <fill>
      <patternFill patternType="solid">
        <fgColor indexed="44"/>
        <bgColor indexed="64"/>
      </patternFill>
    </fill>
    <fill>
      <patternFill patternType="solid">
        <fgColor indexed="31"/>
        <bgColor indexed="64"/>
      </patternFill>
    </fill>
    <fill>
      <patternFill patternType="solid">
        <fgColor indexed="18"/>
        <bgColor indexed="64"/>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43"/>
        <bgColor indexed="64"/>
      </patternFill>
    </fill>
    <fill>
      <patternFill patternType="solid">
        <fgColor indexed="55"/>
        <bgColor indexed="64"/>
      </patternFill>
    </fill>
    <fill>
      <patternFill patternType="solid">
        <fgColor indexed="10"/>
        <bgColor indexed="64"/>
      </patternFill>
    </fill>
    <fill>
      <patternFill patternType="solid">
        <fgColor rgb="FFFFFFFF"/>
        <bgColor indexed="64"/>
      </patternFill>
    </fill>
    <fill>
      <patternFill patternType="solid">
        <fgColor rgb="FFCCECFF"/>
        <bgColor indexed="64"/>
      </patternFill>
    </fill>
    <fill>
      <patternFill patternType="solid">
        <fgColor theme="3"/>
        <bgColor indexed="64"/>
      </patternFill>
    </fill>
    <fill>
      <patternFill patternType="solid">
        <fgColor theme="4" tint="0.79998168889431442"/>
        <bgColor indexed="64"/>
      </patternFill>
    </fill>
  </fills>
  <borders count="59">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8"/>
      </right>
      <top style="medium">
        <color indexed="8"/>
      </top>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64"/>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rgb="FFEBEBEB"/>
      </left>
      <right/>
      <top style="medium">
        <color rgb="FFEBEBEB"/>
      </top>
      <bottom/>
      <diagonal/>
    </border>
    <border>
      <left/>
      <right style="medium">
        <color rgb="FFEBEBEB"/>
      </right>
      <top style="medium">
        <color rgb="FFEBEBEB"/>
      </top>
      <bottom/>
      <diagonal/>
    </border>
    <border>
      <left style="medium">
        <color rgb="FFEBEBEB"/>
      </left>
      <right/>
      <top/>
      <bottom style="medium">
        <color rgb="FFEBEBEB"/>
      </bottom>
      <diagonal/>
    </border>
    <border>
      <left/>
      <right style="medium">
        <color rgb="FFEBEBEB"/>
      </right>
      <top/>
      <bottom style="medium">
        <color rgb="FFEBEBEB"/>
      </bottom>
      <diagonal/>
    </border>
    <border>
      <left style="medium">
        <color rgb="FFEBEBEB"/>
      </left>
      <right/>
      <top style="medium">
        <color rgb="FFEBEBEB"/>
      </top>
      <bottom style="medium">
        <color rgb="FFEBEBEB"/>
      </bottom>
      <diagonal/>
    </border>
    <border>
      <left/>
      <right/>
      <top style="medium">
        <color rgb="FFEBEBEB"/>
      </top>
      <bottom style="medium">
        <color rgb="FFEBEBEB"/>
      </bottom>
      <diagonal/>
    </border>
    <border>
      <left/>
      <right style="medium">
        <color rgb="FFEBEBEB"/>
      </right>
      <top style="medium">
        <color rgb="FFEBEBEB"/>
      </top>
      <bottom style="medium">
        <color rgb="FFEBEBEB"/>
      </bottom>
      <diagonal/>
    </border>
    <border>
      <left/>
      <right/>
      <top/>
      <bottom style="medium">
        <color rgb="FFEBEBEB"/>
      </bottom>
      <diagonal/>
    </border>
  </borders>
  <cellStyleXfs count="5">
    <xf numFmtId="0" fontId="0" fillId="0" borderId="0"/>
    <xf numFmtId="0" fontId="4" fillId="0" borderId="0" applyNumberFormat="0" applyFill="0" applyBorder="0" applyAlignment="0" applyProtection="0">
      <alignment vertical="top"/>
      <protection locked="0"/>
    </xf>
    <xf numFmtId="9" fontId="54" fillId="0" borderId="0" applyFont="0" applyFill="0" applyBorder="0" applyAlignment="0" applyProtection="0"/>
    <xf numFmtId="0" fontId="55" fillId="0" borderId="0"/>
    <xf numFmtId="0" fontId="39" fillId="0" borderId="0"/>
  </cellStyleXfs>
  <cellXfs count="682">
    <xf numFmtId="0" fontId="0" fillId="0" borderId="0" xfId="0"/>
    <xf numFmtId="0" fontId="1" fillId="0" borderId="0" xfId="0" applyFont="1"/>
    <xf numFmtId="1" fontId="2" fillId="0" borderId="0" xfId="0" applyNumberFormat="1" applyFont="1" applyFill="1" applyBorder="1" applyAlignment="1">
      <alignment horizontal="center"/>
    </xf>
    <xf numFmtId="1" fontId="1" fillId="0" borderId="0" xfId="0" applyNumberFormat="1" applyFont="1"/>
    <xf numFmtId="1" fontId="1" fillId="0" borderId="0" xfId="0" applyNumberFormat="1" applyFont="1" applyAlignment="1">
      <alignment horizontal="center"/>
    </xf>
    <xf numFmtId="164" fontId="1" fillId="0" borderId="0" xfId="0" applyNumberFormat="1" applyFont="1"/>
    <xf numFmtId="0" fontId="1" fillId="0" borderId="0" xfId="0" applyFont="1" applyAlignment="1">
      <alignment wrapText="1"/>
    </xf>
    <xf numFmtId="0" fontId="2" fillId="0" borderId="0" xfId="0" applyFont="1" applyFill="1"/>
    <xf numFmtId="0" fontId="2" fillId="0" borderId="0" xfId="0" applyFont="1" applyFill="1" applyBorder="1" applyAlignment="1">
      <alignment horizontal="center"/>
    </xf>
    <xf numFmtId="0" fontId="2" fillId="0" borderId="0" xfId="0" applyFont="1" applyFill="1" applyBorder="1"/>
    <xf numFmtId="0" fontId="2" fillId="0" borderId="0" xfId="0" applyFont="1" applyFill="1" applyBorder="1" applyAlignment="1">
      <alignment horizontal="left"/>
    </xf>
    <xf numFmtId="1" fontId="0" fillId="0" borderId="0" xfId="0" applyNumberFormat="1"/>
    <xf numFmtId="0" fontId="0" fillId="0" borderId="1" xfId="0" applyBorder="1"/>
    <xf numFmtId="0" fontId="0" fillId="0" borderId="0" xfId="0" applyBorder="1"/>
    <xf numFmtId="0" fontId="0" fillId="0" borderId="2" xfId="0" applyBorder="1"/>
    <xf numFmtId="0" fontId="26" fillId="0" borderId="0" xfId="0" applyFont="1"/>
    <xf numFmtId="1" fontId="26" fillId="0" borderId="0" xfId="0" applyNumberFormat="1" applyFont="1"/>
    <xf numFmtId="0" fontId="1" fillId="2" borderId="0" xfId="0" applyFont="1" applyFill="1"/>
    <xf numFmtId="0" fontId="2" fillId="0" borderId="3" xfId="0" applyFont="1" applyFill="1" applyBorder="1"/>
    <xf numFmtId="0" fontId="2" fillId="3" borderId="0" xfId="0" applyFont="1" applyFill="1" applyAlignment="1">
      <alignment horizontal="center"/>
    </xf>
    <xf numFmtId="0" fontId="2" fillId="3" borderId="0" xfId="0" applyFont="1" applyFill="1" applyBorder="1" applyAlignment="1">
      <alignment horizontal="left"/>
    </xf>
    <xf numFmtId="0" fontId="2" fillId="3" borderId="0" xfId="0" applyFont="1" applyFill="1"/>
    <xf numFmtId="0" fontId="2" fillId="3" borderId="0" xfId="0" applyFont="1" applyFill="1" applyBorder="1"/>
    <xf numFmtId="0" fontId="2" fillId="0" borderId="4" xfId="0" applyFont="1" applyFill="1" applyBorder="1"/>
    <xf numFmtId="0" fontId="2" fillId="0" borderId="1" xfId="0" applyFont="1" applyFill="1" applyBorder="1"/>
    <xf numFmtId="0" fontId="0" fillId="0" borderId="0" xfId="0" applyFill="1" applyBorder="1"/>
    <xf numFmtId="0" fontId="2" fillId="0" borderId="5" xfId="0" applyFont="1" applyFill="1" applyBorder="1"/>
    <xf numFmtId="0" fontId="2" fillId="0" borderId="6" xfId="0" applyFont="1" applyFill="1" applyBorder="1"/>
    <xf numFmtId="0" fontId="7" fillId="0" borderId="0" xfId="0" applyFont="1"/>
    <xf numFmtId="0" fontId="2" fillId="3" borderId="0" xfId="0" applyFont="1" applyFill="1" applyBorder="1" applyAlignment="1">
      <alignment horizontal="center" vertical="top"/>
    </xf>
    <xf numFmtId="0" fontId="2" fillId="3" borderId="3" xfId="0" applyFont="1" applyFill="1" applyBorder="1" applyAlignment="1">
      <alignment horizontal="center" vertical="center" wrapText="1"/>
    </xf>
    <xf numFmtId="0" fontId="2" fillId="3" borderId="3" xfId="0" applyFont="1" applyFill="1" applyBorder="1" applyAlignment="1">
      <alignment horizontal="center" vertical="center"/>
    </xf>
    <xf numFmtId="0" fontId="27" fillId="0" borderId="0" xfId="3" applyFont="1"/>
    <xf numFmtId="0" fontId="28" fillId="0" borderId="0" xfId="3" applyFont="1"/>
    <xf numFmtId="0" fontId="2" fillId="3" borderId="0" xfId="0" applyFont="1" applyFill="1" applyAlignment="1"/>
    <xf numFmtId="0" fontId="3" fillId="0" borderId="4" xfId="0" applyFont="1" applyFill="1" applyBorder="1"/>
    <xf numFmtId="0" fontId="3" fillId="0" borderId="5" xfId="0" applyFont="1" applyFill="1" applyBorder="1"/>
    <xf numFmtId="164" fontId="2" fillId="0" borderId="0" xfId="0" applyNumberFormat="1" applyFont="1" applyFill="1" applyBorder="1"/>
    <xf numFmtId="164" fontId="2" fillId="0" borderId="6" xfId="0" applyNumberFormat="1" applyFont="1" applyFill="1" applyBorder="1"/>
    <xf numFmtId="164" fontId="2" fillId="0" borderId="1" xfId="0" applyNumberFormat="1" applyFont="1" applyFill="1" applyBorder="1"/>
    <xf numFmtId="0" fontId="2" fillId="0" borderId="3" xfId="0" applyFont="1" applyBorder="1" applyAlignment="1">
      <alignment horizontal="center"/>
    </xf>
    <xf numFmtId="0" fontId="2" fillId="0" borderId="5" xfId="0" applyFont="1" applyBorder="1"/>
    <xf numFmtId="0" fontId="2" fillId="0" borderId="1" xfId="0" applyFont="1" applyBorder="1"/>
    <xf numFmtId="0" fontId="2" fillId="0" borderId="6" xfId="0" applyFont="1" applyBorder="1"/>
    <xf numFmtId="0" fontId="2" fillId="0" borderId="7" xfId="0" applyFont="1" applyBorder="1"/>
    <xf numFmtId="0" fontId="3" fillId="0" borderId="5" xfId="0" applyFont="1" applyBorder="1"/>
    <xf numFmtId="164" fontId="2" fillId="0" borderId="6" xfId="0" applyNumberFormat="1" applyFont="1" applyBorder="1"/>
    <xf numFmtId="0" fontId="2" fillId="0" borderId="4" xfId="0" applyFont="1" applyBorder="1"/>
    <xf numFmtId="2" fontId="2" fillId="0" borderId="6" xfId="0" applyNumberFormat="1" applyFont="1" applyFill="1" applyBorder="1"/>
    <xf numFmtId="0" fontId="9" fillId="0" borderId="0" xfId="0" applyFont="1" applyFill="1" applyBorder="1"/>
    <xf numFmtId="0" fontId="0" fillId="4" borderId="0" xfId="0" applyFill="1"/>
    <xf numFmtId="0" fontId="2" fillId="4" borderId="5" xfId="0" applyFont="1" applyFill="1" applyBorder="1" applyAlignment="1">
      <alignment horizontal="center"/>
    </xf>
    <xf numFmtId="0" fontId="6" fillId="4" borderId="0" xfId="0" applyFont="1" applyFill="1"/>
    <xf numFmtId="0" fontId="2" fillId="4" borderId="0" xfId="0" applyFont="1" applyFill="1" applyAlignment="1">
      <alignment horizontal="left"/>
    </xf>
    <xf numFmtId="0" fontId="2" fillId="4" borderId="7" xfId="0" applyFont="1" applyFill="1" applyBorder="1" applyAlignment="1">
      <alignment vertical="top"/>
    </xf>
    <xf numFmtId="0" fontId="2" fillId="4" borderId="8" xfId="0" applyFont="1" applyFill="1" applyBorder="1" applyAlignment="1">
      <alignment horizontal="center" vertical="top"/>
    </xf>
    <xf numFmtId="0" fontId="2" fillId="4" borderId="3" xfId="0" applyFont="1" applyFill="1" applyBorder="1" applyAlignment="1">
      <alignment horizontal="center" vertical="center"/>
    </xf>
    <xf numFmtId="0" fontId="2" fillId="4" borderId="3" xfId="0" applyFont="1" applyFill="1" applyBorder="1" applyAlignment="1">
      <alignment horizontal="center" vertical="center" wrapText="1"/>
    </xf>
    <xf numFmtId="0" fontId="2" fillId="4" borderId="0" xfId="0" applyFont="1" applyFill="1" applyBorder="1" applyAlignment="1">
      <alignment horizontal="right" vertical="center"/>
    </xf>
    <xf numFmtId="0" fontId="2" fillId="4" borderId="3" xfId="0" applyFont="1" applyFill="1" applyBorder="1"/>
    <xf numFmtId="0" fontId="2" fillId="4" borderId="0" xfId="0" applyFont="1" applyFill="1" applyBorder="1"/>
    <xf numFmtId="0" fontId="2" fillId="4" borderId="0" xfId="0" applyFont="1" applyFill="1" applyAlignment="1">
      <alignment horizontal="right"/>
    </xf>
    <xf numFmtId="0" fontId="2" fillId="4" borderId="0" xfId="0" applyFont="1" applyFill="1"/>
    <xf numFmtId="0" fontId="2" fillId="5" borderId="3" xfId="0" applyFont="1" applyFill="1" applyBorder="1"/>
    <xf numFmtId="0" fontId="2" fillId="5" borderId="6" xfId="0" applyFont="1" applyFill="1" applyBorder="1"/>
    <xf numFmtId="0" fontId="0" fillId="4" borderId="3" xfId="0" applyFill="1" applyBorder="1"/>
    <xf numFmtId="0" fontId="0" fillId="5" borderId="3" xfId="0" applyFill="1" applyBorder="1"/>
    <xf numFmtId="0" fontId="2" fillId="4" borderId="3" xfId="0" applyFont="1" applyFill="1" applyBorder="1" applyAlignment="1">
      <alignment horizontal="right" vertical="center"/>
    </xf>
    <xf numFmtId="0" fontId="3" fillId="4" borderId="0" xfId="0" applyFont="1" applyFill="1" applyAlignment="1">
      <alignment horizontal="left"/>
    </xf>
    <xf numFmtId="0" fontId="11" fillId="4" borderId="0" xfId="0" applyFont="1" applyFill="1"/>
    <xf numFmtId="0" fontId="2" fillId="4" borderId="0" xfId="0" applyFont="1" applyFill="1" applyAlignment="1">
      <alignment horizontal="center"/>
    </xf>
    <xf numFmtId="0" fontId="2" fillId="4" borderId="3" xfId="0" applyFont="1" applyFill="1" applyBorder="1" applyAlignment="1">
      <alignment horizontal="center"/>
    </xf>
    <xf numFmtId="0" fontId="2" fillId="4" borderId="3" xfId="0" applyFont="1" applyFill="1" applyBorder="1" applyAlignment="1">
      <alignment horizontal="left"/>
    </xf>
    <xf numFmtId="0" fontId="2" fillId="4" borderId="9" xfId="0" applyFont="1" applyFill="1" applyBorder="1"/>
    <xf numFmtId="0" fontId="2" fillId="6" borderId="0" xfId="0" applyFont="1" applyFill="1"/>
    <xf numFmtId="0" fontId="2" fillId="4" borderId="0" xfId="0" applyFont="1" applyFill="1" applyBorder="1" applyAlignment="1">
      <alignment horizontal="center"/>
    </xf>
    <xf numFmtId="0" fontId="3" fillId="4" borderId="0" xfId="0" applyFont="1" applyFill="1"/>
    <xf numFmtId="0" fontId="12" fillId="4" borderId="0" xfId="0" applyFont="1" applyFill="1"/>
    <xf numFmtId="1" fontId="2" fillId="4" borderId="3" xfId="0" applyNumberFormat="1" applyFont="1" applyFill="1" applyBorder="1" applyAlignment="1">
      <alignment horizontal="center"/>
    </xf>
    <xf numFmtId="14" fontId="2" fillId="4" borderId="0" xfId="0" applyNumberFormat="1" applyFont="1" applyFill="1"/>
    <xf numFmtId="3" fontId="13" fillId="4" borderId="3" xfId="0" applyNumberFormat="1" applyFont="1" applyFill="1" applyBorder="1" applyAlignment="1">
      <alignment horizontal="center"/>
    </xf>
    <xf numFmtId="165" fontId="13" fillId="4" borderId="3" xfId="0" applyNumberFormat="1" applyFont="1" applyFill="1" applyBorder="1" applyAlignment="1">
      <alignment horizontal="center"/>
    </xf>
    <xf numFmtId="1" fontId="2" fillId="4" borderId="0" xfId="0" applyNumberFormat="1" applyFont="1" applyFill="1" applyAlignment="1">
      <alignment horizontal="left"/>
    </xf>
    <xf numFmtId="0" fontId="2" fillId="5" borderId="3" xfId="0" applyFont="1" applyFill="1" applyBorder="1" applyAlignment="1">
      <alignment horizontal="center"/>
    </xf>
    <xf numFmtId="0" fontId="0" fillId="4" borderId="4" xfId="0" applyFill="1" applyBorder="1"/>
    <xf numFmtId="0" fontId="0" fillId="4" borderId="0" xfId="0" applyFill="1" applyBorder="1"/>
    <xf numFmtId="0" fontId="0" fillId="4" borderId="1" xfId="0" applyFill="1" applyBorder="1"/>
    <xf numFmtId="0" fontId="0" fillId="4" borderId="8" xfId="0" applyFill="1" applyBorder="1"/>
    <xf numFmtId="0" fontId="8" fillId="4" borderId="0" xfId="0" applyFont="1" applyFill="1" applyBorder="1"/>
    <xf numFmtId="0" fontId="0" fillId="0" borderId="0" xfId="0" applyFill="1"/>
    <xf numFmtId="0" fontId="3" fillId="4" borderId="0" xfId="0" applyFont="1" applyFill="1" applyBorder="1" applyAlignment="1">
      <alignment vertical="center"/>
    </xf>
    <xf numFmtId="0" fontId="2" fillId="5" borderId="7" xfId="0" applyFont="1" applyFill="1" applyBorder="1"/>
    <xf numFmtId="0" fontId="0" fillId="5" borderId="7" xfId="0" applyFill="1" applyBorder="1"/>
    <xf numFmtId="0" fontId="2" fillId="4" borderId="9" xfId="0" applyFont="1" applyFill="1" applyBorder="1" applyAlignment="1">
      <alignment horizontal="left"/>
    </xf>
    <xf numFmtId="0" fontId="29" fillId="4" borderId="0" xfId="3" applyFont="1" applyFill="1"/>
    <xf numFmtId="0" fontId="30" fillId="4" borderId="0" xfId="3" applyFont="1" applyFill="1"/>
    <xf numFmtId="0" fontId="31" fillId="0" borderId="0" xfId="3" applyFont="1"/>
    <xf numFmtId="0" fontId="30" fillId="0" borderId="0" xfId="3" applyFont="1"/>
    <xf numFmtId="0" fontId="30" fillId="5" borderId="3" xfId="3" applyFont="1" applyFill="1" applyBorder="1" applyAlignment="1">
      <alignment horizontal="center"/>
    </xf>
    <xf numFmtId="0" fontId="30" fillId="4" borderId="9" xfId="3" applyFont="1" applyFill="1" applyBorder="1"/>
    <xf numFmtId="0" fontId="30" fillId="4" borderId="10" xfId="3" applyFont="1" applyFill="1" applyBorder="1"/>
    <xf numFmtId="0" fontId="30" fillId="5" borderId="0" xfId="3" applyFont="1" applyFill="1" applyAlignment="1">
      <alignment horizontal="left"/>
    </xf>
    <xf numFmtId="0" fontId="30" fillId="4" borderId="0" xfId="3" applyFont="1" applyFill="1" applyAlignment="1">
      <alignment horizontal="center"/>
    </xf>
    <xf numFmtId="0" fontId="30" fillId="5" borderId="0" xfId="3" applyFont="1" applyFill="1" applyAlignment="1">
      <alignment horizontal="center"/>
    </xf>
    <xf numFmtId="0" fontId="29" fillId="4" borderId="0" xfId="3" applyFont="1" applyFill="1" applyAlignment="1">
      <alignment horizontal="center"/>
    </xf>
    <xf numFmtId="0" fontId="32" fillId="4" borderId="0" xfId="3" applyFont="1" applyFill="1" applyAlignment="1">
      <alignment horizontal="center"/>
    </xf>
    <xf numFmtId="0" fontId="2" fillId="4" borderId="10" xfId="0" applyFont="1" applyFill="1" applyBorder="1" applyAlignment="1">
      <alignment horizontal="center" vertical="center"/>
    </xf>
    <xf numFmtId="9" fontId="0" fillId="0" borderId="0" xfId="0" applyNumberFormat="1"/>
    <xf numFmtId="0" fontId="7" fillId="4" borderId="0" xfId="0" applyFont="1" applyFill="1"/>
    <xf numFmtId="0" fontId="7" fillId="5" borderId="0" xfId="0" applyFont="1" applyFill="1"/>
    <xf numFmtId="0" fontId="11" fillId="4" borderId="11" xfId="1" applyFont="1" applyFill="1" applyBorder="1" applyAlignment="1" applyProtection="1">
      <alignment horizontal="center"/>
    </xf>
    <xf numFmtId="0" fontId="33" fillId="0" borderId="0" xfId="0" applyFont="1" applyAlignment="1">
      <alignment vertical="top" wrapText="1"/>
    </xf>
    <xf numFmtId="0" fontId="14" fillId="0" borderId="0" xfId="0" applyFont="1" applyAlignment="1">
      <alignment vertical="top" wrapText="1"/>
    </xf>
    <xf numFmtId="0" fontId="34" fillId="0" borderId="0" xfId="3" applyFont="1"/>
    <xf numFmtId="0" fontId="1" fillId="0" borderId="1" xfId="0" applyFont="1" applyFill="1" applyBorder="1"/>
    <xf numFmtId="164" fontId="1" fillId="0" borderId="6" xfId="0" applyNumberFormat="1" applyFont="1" applyFill="1" applyBorder="1"/>
    <xf numFmtId="2" fontId="1" fillId="0" borderId="6" xfId="0" applyNumberFormat="1" applyFont="1" applyFill="1" applyBorder="1"/>
    <xf numFmtId="0" fontId="3" fillId="0" borderId="3" xfId="0" applyFont="1" applyFill="1" applyBorder="1"/>
    <xf numFmtId="0" fontId="5" fillId="0" borderId="0" xfId="0" applyFont="1"/>
    <xf numFmtId="9" fontId="5" fillId="0" borderId="0" xfId="0" applyNumberFormat="1" applyFont="1"/>
    <xf numFmtId="0" fontId="1" fillId="4" borderId="9" xfId="0" applyFont="1" applyFill="1" applyBorder="1"/>
    <xf numFmtId="0" fontId="1" fillId="0" borderId="3" xfId="0" applyFont="1" applyFill="1" applyBorder="1"/>
    <xf numFmtId="0" fontId="1" fillId="4" borderId="3" xfId="0" applyFont="1" applyFill="1" applyBorder="1"/>
    <xf numFmtId="0" fontId="1" fillId="0" borderId="0" xfId="0" applyFont="1" applyFill="1" applyBorder="1" applyAlignment="1">
      <alignment vertical="center"/>
    </xf>
    <xf numFmtId="0" fontId="1" fillId="0" borderId="7" xfId="0" applyFont="1" applyFill="1" applyBorder="1"/>
    <xf numFmtId="0" fontId="1" fillId="0" borderId="0" xfId="0" applyFont="1" applyFill="1" applyBorder="1"/>
    <xf numFmtId="0" fontId="1" fillId="0" borderId="0" xfId="0" applyFont="1" applyFill="1"/>
    <xf numFmtId="0" fontId="10" fillId="0" borderId="0" xfId="0" applyFont="1" applyFill="1"/>
    <xf numFmtId="0" fontId="7" fillId="0" borderId="0" xfId="0" applyFont="1" applyFill="1"/>
    <xf numFmtId="0" fontId="2" fillId="0" borderId="0" xfId="0" applyFont="1" applyFill="1" applyBorder="1" applyAlignment="1">
      <alignment horizontal="center" vertical="top"/>
    </xf>
    <xf numFmtId="0" fontId="2" fillId="0" borderId="0" xfId="0" applyFont="1" applyFill="1" applyAlignment="1">
      <alignment horizontal="center"/>
    </xf>
    <xf numFmtId="0" fontId="2" fillId="0" borderId="0" xfId="0" applyFont="1" applyFill="1" applyBorder="1" applyAlignment="1">
      <alignment horizontal="right" vertical="center"/>
    </xf>
    <xf numFmtId="0" fontId="3" fillId="0" borderId="0" xfId="0" applyFont="1" applyFill="1" applyBorder="1" applyAlignment="1">
      <alignment horizontal="left" vertical="center"/>
    </xf>
    <xf numFmtId="0" fontId="16" fillId="0" borderId="12" xfId="0" applyFont="1" applyBorder="1" applyAlignment="1">
      <alignment horizontal="center" vertical="top" wrapText="1"/>
    </xf>
    <xf numFmtId="0" fontId="16" fillId="0" borderId="13" xfId="0" applyFont="1" applyBorder="1" applyAlignment="1">
      <alignment horizontal="center" vertical="top" wrapText="1"/>
    </xf>
    <xf numFmtId="0" fontId="15" fillId="0" borderId="14" xfId="0" applyFont="1" applyBorder="1" applyAlignment="1">
      <alignment horizontal="justify" vertical="top" wrapText="1"/>
    </xf>
    <xf numFmtId="0" fontId="19" fillId="0" borderId="14" xfId="0" applyFont="1" applyBorder="1" applyAlignment="1">
      <alignment horizontal="justify" vertical="top" wrapText="1"/>
    </xf>
    <xf numFmtId="2" fontId="15" fillId="0" borderId="13" xfId="0" applyNumberFormat="1" applyFont="1" applyBorder="1" applyAlignment="1">
      <alignment horizontal="center" vertical="top" wrapText="1"/>
    </xf>
    <xf numFmtId="2" fontId="35" fillId="0" borderId="13" xfId="0" applyNumberFormat="1" applyFont="1" applyBorder="1" applyAlignment="1">
      <alignment horizontal="center" vertical="top" wrapText="1"/>
    </xf>
    <xf numFmtId="2" fontId="19" fillId="0" borderId="13" xfId="0" applyNumberFormat="1" applyFont="1" applyBorder="1" applyAlignment="1">
      <alignment horizontal="center" vertical="top" wrapText="1"/>
    </xf>
    <xf numFmtId="2" fontId="36" fillId="0" borderId="13" xfId="0" applyNumberFormat="1" applyFont="1" applyBorder="1" applyAlignment="1">
      <alignment horizontal="center" vertical="top" wrapText="1"/>
    </xf>
    <xf numFmtId="0" fontId="15" fillId="7" borderId="15" xfId="0" applyFont="1" applyFill="1" applyBorder="1" applyAlignment="1">
      <alignment horizontal="center" vertical="top" wrapText="1"/>
    </xf>
    <xf numFmtId="0" fontId="15" fillId="7" borderId="16" xfId="0" applyFont="1" applyFill="1" applyBorder="1" applyAlignment="1">
      <alignment horizontal="center" vertical="top" wrapText="1"/>
    </xf>
    <xf numFmtId="0" fontId="15" fillId="7" borderId="17" xfId="0" applyFont="1" applyFill="1" applyBorder="1" applyAlignment="1">
      <alignment horizontal="justify" vertical="top" wrapText="1"/>
    </xf>
    <xf numFmtId="0" fontId="35" fillId="7" borderId="16" xfId="0" applyFont="1" applyFill="1" applyBorder="1" applyAlignment="1">
      <alignment horizontal="center" vertical="top" wrapText="1"/>
    </xf>
    <xf numFmtId="0" fontId="16" fillId="7" borderId="18" xfId="0" applyFont="1" applyFill="1" applyBorder="1" applyAlignment="1">
      <alignment horizontal="justify" vertical="top" wrapText="1"/>
    </xf>
    <xf numFmtId="0" fontId="15" fillId="7" borderId="19" xfId="0" applyFont="1" applyFill="1" applyBorder="1" applyAlignment="1">
      <alignment horizontal="center" vertical="top" wrapText="1"/>
    </xf>
    <xf numFmtId="0" fontId="16" fillId="7" borderId="3" xfId="0" applyFont="1" applyFill="1" applyBorder="1" applyAlignment="1">
      <alignment horizontal="justify" vertical="top" wrapText="1"/>
    </xf>
    <xf numFmtId="0" fontId="15" fillId="7" borderId="3" xfId="0" applyFont="1" applyFill="1" applyBorder="1" applyAlignment="1">
      <alignment horizontal="center" vertical="top" wrapText="1"/>
    </xf>
    <xf numFmtId="0" fontId="15" fillId="7" borderId="20" xfId="0" applyFont="1" applyFill="1" applyBorder="1" applyAlignment="1">
      <alignment horizontal="justify" vertical="top" wrapText="1"/>
    </xf>
    <xf numFmtId="0" fontId="16" fillId="7" borderId="20" xfId="0" applyFont="1" applyFill="1" applyBorder="1" applyAlignment="1">
      <alignment horizontal="justify" vertical="top" wrapText="1"/>
    </xf>
    <xf numFmtId="0" fontId="16" fillId="7" borderId="19" xfId="0" applyFont="1" applyFill="1" applyBorder="1" applyAlignment="1">
      <alignment horizontal="center" vertical="top" wrapText="1"/>
    </xf>
    <xf numFmtId="0" fontId="19" fillId="0" borderId="0" xfId="0" applyFont="1" applyBorder="1" applyAlignment="1">
      <alignment horizontal="justify" vertical="top" wrapText="1"/>
    </xf>
    <xf numFmtId="2" fontId="19" fillId="0" borderId="0" xfId="0" applyNumberFormat="1" applyFont="1" applyBorder="1" applyAlignment="1">
      <alignment horizontal="center" vertical="top" wrapText="1"/>
    </xf>
    <xf numFmtId="2" fontId="36" fillId="0" borderId="0" xfId="0" applyNumberFormat="1" applyFont="1" applyBorder="1" applyAlignment="1">
      <alignment horizontal="center" vertical="top" wrapText="1"/>
    </xf>
    <xf numFmtId="0" fontId="5" fillId="0" borderId="0" xfId="0" applyFont="1" applyFill="1"/>
    <xf numFmtId="0" fontId="37" fillId="4" borderId="0" xfId="3" applyFont="1" applyFill="1"/>
    <xf numFmtId="0" fontId="5" fillId="0" borderId="0" xfId="0" applyFont="1" applyAlignment="1"/>
    <xf numFmtId="0" fontId="5" fillId="0" borderId="2" xfId="0" applyFont="1" applyBorder="1" applyAlignment="1"/>
    <xf numFmtId="0" fontId="0" fillId="0" borderId="0" xfId="0" applyAlignment="1"/>
    <xf numFmtId="0" fontId="5" fillId="0" borderId="0" xfId="0" applyFont="1" applyBorder="1" applyAlignment="1"/>
    <xf numFmtId="0" fontId="5" fillId="0" borderId="2" xfId="0" applyFont="1" applyBorder="1"/>
    <xf numFmtId="0" fontId="0" fillId="0" borderId="1" xfId="0" applyBorder="1" applyAlignment="1"/>
    <xf numFmtId="0" fontId="0" fillId="0" borderId="2" xfId="0" applyBorder="1" applyAlignment="1"/>
    <xf numFmtId="0" fontId="0" fillId="0" borderId="9" xfId="0" applyBorder="1" applyAlignment="1"/>
    <xf numFmtId="0" fontId="0" fillId="0" borderId="10" xfId="0" applyBorder="1" applyAlignment="1"/>
    <xf numFmtId="0" fontId="5" fillId="0" borderId="3" xfId="0" applyFont="1" applyBorder="1" applyAlignment="1"/>
    <xf numFmtId="0" fontId="5" fillId="0" borderId="3" xfId="0" applyFont="1" applyBorder="1"/>
    <xf numFmtId="0" fontId="0" fillId="0" borderId="0" xfId="0" applyBorder="1" applyAlignment="1"/>
    <xf numFmtId="0" fontId="1" fillId="0" borderId="0" xfId="0" applyFont="1" applyFill="1" applyBorder="1" applyAlignment="1"/>
    <xf numFmtId="0" fontId="2" fillId="0" borderId="0" xfId="0" applyFont="1" applyFill="1" applyBorder="1" applyAlignment="1"/>
    <xf numFmtId="0" fontId="5" fillId="0" borderId="1" xfId="0" applyFont="1" applyBorder="1"/>
    <xf numFmtId="0" fontId="5" fillId="0" borderId="0" xfId="0" applyFont="1" applyBorder="1"/>
    <xf numFmtId="0" fontId="0" fillId="0" borderId="8" xfId="0" applyBorder="1"/>
    <xf numFmtId="0" fontId="0" fillId="0" borderId="21" xfId="0" applyBorder="1"/>
    <xf numFmtId="0" fontId="0" fillId="0" borderId="22" xfId="0" applyBorder="1"/>
    <xf numFmtId="0" fontId="10" fillId="0" borderId="0" xfId="0" applyFont="1"/>
    <xf numFmtId="0" fontId="16" fillId="0" borderId="11" xfId="0" applyFont="1" applyBorder="1" applyAlignment="1">
      <alignment horizontal="justify" vertical="top" wrapText="1"/>
    </xf>
    <xf numFmtId="0" fontId="16" fillId="0" borderId="23" xfId="0" applyFont="1" applyBorder="1" applyAlignment="1">
      <alignment horizontal="justify" vertical="top" wrapText="1"/>
    </xf>
    <xf numFmtId="0" fontId="15" fillId="0" borderId="17" xfId="0" applyFont="1" applyBorder="1" applyAlignment="1">
      <alignment horizontal="justify" vertical="top" wrapText="1"/>
    </xf>
    <xf numFmtId="0" fontId="15" fillId="0" borderId="16" xfId="0" applyFont="1" applyBorder="1" applyAlignment="1">
      <alignment horizontal="justify" vertical="top" wrapText="1"/>
    </xf>
    <xf numFmtId="0" fontId="16" fillId="0" borderId="17" xfId="0" applyFont="1" applyBorder="1" applyAlignment="1">
      <alignment horizontal="justify" vertical="top" wrapText="1"/>
    </xf>
    <xf numFmtId="0" fontId="16" fillId="0" borderId="16" xfId="0" applyFont="1" applyBorder="1" applyAlignment="1">
      <alignment horizontal="justify" vertical="top" wrapText="1"/>
    </xf>
    <xf numFmtId="0" fontId="5" fillId="4" borderId="0" xfId="0" applyFont="1" applyFill="1"/>
    <xf numFmtId="0" fontId="5" fillId="0" borderId="0" xfId="0" applyFont="1" applyFill="1" applyBorder="1" applyAlignment="1"/>
    <xf numFmtId="0" fontId="1" fillId="0" borderId="0" xfId="0" applyFont="1" applyFill="1" applyAlignment="1"/>
    <xf numFmtId="0" fontId="3" fillId="0" borderId="0" xfId="0" applyFont="1" applyBorder="1" applyAlignment="1">
      <alignment horizontal="left" vertical="top" wrapText="1"/>
    </xf>
    <xf numFmtId="0" fontId="3" fillId="0" borderId="0" xfId="0" applyFont="1" applyBorder="1" applyAlignment="1">
      <alignment horizontal="center" vertical="top" wrapText="1"/>
    </xf>
    <xf numFmtId="0" fontId="1" fillId="0" borderId="0" xfId="0" applyFont="1" applyBorder="1" applyAlignment="1">
      <alignment horizontal="justify" vertical="top" wrapText="1"/>
    </xf>
    <xf numFmtId="0" fontId="1" fillId="0" borderId="0" xfId="0" applyFont="1" applyBorder="1" applyAlignment="1">
      <alignment horizontal="center" vertical="top" wrapText="1"/>
    </xf>
    <xf numFmtId="0" fontId="2" fillId="0" borderId="9" xfId="0" applyFont="1" applyFill="1" applyBorder="1" applyAlignment="1">
      <alignment horizontal="left"/>
    </xf>
    <xf numFmtId="0" fontId="1" fillId="0" borderId="3" xfId="0" applyFont="1" applyBorder="1" applyAlignment="1">
      <alignment horizontal="center" vertical="top" wrapText="1"/>
    </xf>
    <xf numFmtId="0" fontId="1" fillId="0" borderId="10" xfId="0" applyFont="1" applyFill="1" applyBorder="1" applyAlignment="1">
      <alignment horizontal="left"/>
    </xf>
    <xf numFmtId="0" fontId="1" fillId="0" borderId="3" xfId="0" applyFont="1" applyFill="1" applyBorder="1" applyAlignment="1">
      <alignment horizontal="left"/>
    </xf>
    <xf numFmtId="0" fontId="1" fillId="0" borderId="9" xfId="0" applyFont="1" applyFill="1" applyBorder="1" applyAlignment="1">
      <alignment horizontal="left"/>
    </xf>
    <xf numFmtId="0" fontId="1" fillId="0" borderId="2" xfId="0" applyFont="1" applyFill="1" applyBorder="1"/>
    <xf numFmtId="0" fontId="1" fillId="0" borderId="9" xfId="0" applyFont="1" applyFill="1" applyBorder="1"/>
    <xf numFmtId="0" fontId="1" fillId="0" borderId="24" xfId="0" applyFont="1" applyFill="1" applyBorder="1"/>
    <xf numFmtId="0" fontId="1" fillId="0" borderId="10" xfId="0" applyFont="1" applyFill="1" applyBorder="1"/>
    <xf numFmtId="0" fontId="16" fillId="7" borderId="16" xfId="0" applyFont="1" applyFill="1" applyBorder="1" applyAlignment="1">
      <alignment horizontal="justify" vertical="top" wrapText="1"/>
    </xf>
    <xf numFmtId="0" fontId="15" fillId="7" borderId="16" xfId="0" applyFont="1" applyFill="1" applyBorder="1" applyAlignment="1">
      <alignment horizontal="justify" vertical="top" wrapText="1"/>
    </xf>
    <xf numFmtId="0" fontId="5" fillId="7" borderId="16" xfId="0" applyFont="1" applyFill="1" applyBorder="1" applyAlignment="1">
      <alignment vertical="top" wrapText="1"/>
    </xf>
    <xf numFmtId="0" fontId="0" fillId="0" borderId="4" xfId="0" applyFill="1" applyBorder="1"/>
    <xf numFmtId="0" fontId="0" fillId="0" borderId="25" xfId="0" applyFill="1" applyBorder="1"/>
    <xf numFmtId="0" fontId="0" fillId="0" borderId="26" xfId="0" applyFill="1" applyBorder="1"/>
    <xf numFmtId="0" fontId="0" fillId="0" borderId="1" xfId="0" applyFill="1" applyBorder="1"/>
    <xf numFmtId="0" fontId="0" fillId="0" borderId="2" xfId="0" applyFill="1" applyBorder="1"/>
    <xf numFmtId="0" fontId="0" fillId="0" borderId="3" xfId="0" applyFill="1" applyBorder="1"/>
    <xf numFmtId="0" fontId="2" fillId="0" borderId="4" xfId="0" applyFont="1" applyFill="1" applyBorder="1" applyAlignment="1">
      <alignment horizontal="left"/>
    </xf>
    <xf numFmtId="0" fontId="1" fillId="0" borderId="4" xfId="0" applyFont="1" applyFill="1" applyBorder="1"/>
    <xf numFmtId="0" fontId="1" fillId="0" borderId="25" xfId="0" applyFont="1" applyFill="1" applyBorder="1"/>
    <xf numFmtId="0" fontId="1" fillId="0" borderId="26" xfId="0" applyFont="1" applyFill="1" applyBorder="1"/>
    <xf numFmtId="0" fontId="1" fillId="0" borderId="8" xfId="0" applyFont="1" applyFill="1" applyBorder="1"/>
    <xf numFmtId="0" fontId="1" fillId="0" borderId="21" xfId="0" applyFont="1" applyFill="1" applyBorder="1"/>
    <xf numFmtId="0" fontId="1" fillId="0" borderId="22" xfId="0" applyFont="1" applyFill="1" applyBorder="1"/>
    <xf numFmtId="0" fontId="0" fillId="0" borderId="9" xfId="0" applyFill="1" applyBorder="1"/>
    <xf numFmtId="0" fontId="0" fillId="0" borderId="24" xfId="0" applyFill="1" applyBorder="1"/>
    <xf numFmtId="0" fontId="0" fillId="0" borderId="24" xfId="0" applyFont="1" applyFill="1" applyBorder="1"/>
    <xf numFmtId="0" fontId="0" fillId="0" borderId="10" xfId="0" applyFont="1" applyFill="1" applyBorder="1"/>
    <xf numFmtId="2" fontId="0" fillId="0" borderId="0" xfId="0" applyNumberFormat="1"/>
    <xf numFmtId="2" fontId="0" fillId="0" borderId="0" xfId="0" applyNumberFormat="1" applyFill="1"/>
    <xf numFmtId="0" fontId="2" fillId="0" borderId="9" xfId="0" applyFont="1" applyBorder="1" applyAlignment="1"/>
    <xf numFmtId="0" fontId="2" fillId="0" borderId="24" xfId="0" applyFont="1" applyBorder="1" applyAlignment="1"/>
    <xf numFmtId="2" fontId="0" fillId="0" borderId="4" xfId="0" applyNumberFormat="1" applyFill="1" applyBorder="1"/>
    <xf numFmtId="2" fontId="0" fillId="0" borderId="25" xfId="0" applyNumberFormat="1" applyFill="1" applyBorder="1"/>
    <xf numFmtId="2" fontId="0" fillId="0" borderId="26" xfId="0" applyNumberFormat="1" applyFill="1" applyBorder="1"/>
    <xf numFmtId="2" fontId="0" fillId="0" borderId="1" xfId="0" applyNumberFormat="1" applyFill="1" applyBorder="1"/>
    <xf numFmtId="2" fontId="0" fillId="0" borderId="0" xfId="0" applyNumberFormat="1" applyFill="1" applyBorder="1"/>
    <xf numFmtId="2" fontId="0" fillId="0" borderId="2" xfId="0" applyNumberFormat="1" applyFill="1" applyBorder="1"/>
    <xf numFmtId="2" fontId="0" fillId="0" borderId="9" xfId="0" applyNumberFormat="1" applyFill="1" applyBorder="1"/>
    <xf numFmtId="2" fontId="0" fillId="0" borderId="24" xfId="0" applyNumberFormat="1" applyFill="1" applyBorder="1"/>
    <xf numFmtId="2" fontId="0" fillId="0" borderId="10" xfId="0" applyNumberFormat="1" applyFill="1" applyBorder="1"/>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7" fillId="0" borderId="0" xfId="0" applyFont="1" applyFill="1" applyBorder="1"/>
    <xf numFmtId="0" fontId="2" fillId="0" borderId="0" xfId="0" applyFont="1" applyFill="1" applyBorder="1" applyAlignment="1">
      <alignment vertical="center"/>
    </xf>
    <xf numFmtId="0" fontId="2" fillId="0" borderId="0" xfId="0" applyFont="1" applyFill="1" applyBorder="1" applyAlignment="1">
      <alignment vertical="center" wrapText="1"/>
    </xf>
    <xf numFmtId="0" fontId="22" fillId="0" borderId="0" xfId="0" applyFont="1" applyFill="1"/>
    <xf numFmtId="0" fontId="13" fillId="7" borderId="0" xfId="0" applyFont="1" applyFill="1" applyBorder="1" applyAlignment="1">
      <alignment horizontal="justify" vertical="top" wrapText="1"/>
    </xf>
    <xf numFmtId="0" fontId="13" fillId="7" borderId="0" xfId="0" applyFont="1" applyFill="1" applyBorder="1" applyAlignment="1">
      <alignment horizontal="center" vertical="top" wrapText="1"/>
    </xf>
    <xf numFmtId="0" fontId="0" fillId="4" borderId="0" xfId="0" applyFill="1" applyBorder="1" applyAlignment="1"/>
    <xf numFmtId="0" fontId="11" fillId="4" borderId="0" xfId="0" applyFont="1" applyFill="1" applyBorder="1" applyAlignment="1">
      <alignment horizontal="left" vertical="center"/>
    </xf>
    <xf numFmtId="0" fontId="1" fillId="4" borderId="0" xfId="0" applyFont="1" applyFill="1"/>
    <xf numFmtId="0" fontId="5" fillId="0" borderId="0" xfId="0" applyFont="1" applyFill="1" applyBorder="1"/>
    <xf numFmtId="0" fontId="0" fillId="8" borderId="0" xfId="0" applyFill="1"/>
    <xf numFmtId="0" fontId="1" fillId="8" borderId="0" xfId="0" applyFont="1" applyFill="1" applyBorder="1"/>
    <xf numFmtId="0" fontId="0" fillId="0" borderId="0" xfId="0" applyFont="1" applyFill="1" applyBorder="1"/>
    <xf numFmtId="0" fontId="0" fillId="0" borderId="0" xfId="0" applyFont="1" applyFill="1"/>
    <xf numFmtId="0" fontId="2" fillId="8" borderId="0" xfId="0" applyFont="1" applyFill="1" applyBorder="1" applyAlignment="1">
      <alignment horizontal="left"/>
    </xf>
    <xf numFmtId="0" fontId="0" fillId="8" borderId="0" xfId="0" applyFill="1" applyBorder="1"/>
    <xf numFmtId="2" fontId="0" fillId="8" borderId="0" xfId="0" applyNumberFormat="1" applyFill="1"/>
    <xf numFmtId="0" fontId="2" fillId="4" borderId="5" xfId="0" applyFont="1" applyFill="1" applyBorder="1" applyAlignment="1">
      <alignment horizontal="center" vertical="center" wrapText="1"/>
    </xf>
    <xf numFmtId="0" fontId="26" fillId="4" borderId="0" xfId="0" applyFont="1" applyFill="1"/>
    <xf numFmtId="0" fontId="5" fillId="0" borderId="27" xfId="0" applyNumberFormat="1" applyFont="1" applyFill="1" applyBorder="1" applyAlignment="1" applyProtection="1">
      <alignment wrapText="1"/>
      <protection locked="0"/>
    </xf>
    <xf numFmtId="167" fontId="5" fillId="0" borderId="28" xfId="0" applyNumberFormat="1" applyFont="1" applyFill="1" applyBorder="1" applyAlignment="1" applyProtection="1">
      <alignment horizontal="right"/>
      <protection locked="0"/>
    </xf>
    <xf numFmtId="0" fontId="5" fillId="0" borderId="28" xfId="0" applyNumberFormat="1" applyFont="1" applyFill="1" applyBorder="1" applyAlignment="1" applyProtection="1">
      <protection locked="0"/>
    </xf>
    <xf numFmtId="0" fontId="0" fillId="9" borderId="0" xfId="0" applyFill="1"/>
    <xf numFmtId="0" fontId="0" fillId="5" borderId="3" xfId="0" applyFill="1" applyBorder="1" applyAlignment="1"/>
    <xf numFmtId="0" fontId="0" fillId="0" borderId="3" xfId="0" applyFont="1" applyFill="1" applyBorder="1"/>
    <xf numFmtId="0" fontId="1" fillId="0" borderId="5" xfId="0" applyFont="1" applyFill="1" applyBorder="1"/>
    <xf numFmtId="0" fontId="2" fillId="0" borderId="5" xfId="0" applyFont="1" applyFill="1" applyBorder="1" applyAlignment="1">
      <alignment horizontal="left"/>
    </xf>
    <xf numFmtId="0" fontId="2" fillId="0" borderId="6" xfId="0" applyFont="1" applyFill="1" applyBorder="1" applyAlignment="1">
      <alignment horizontal="left"/>
    </xf>
    <xf numFmtId="0" fontId="2" fillId="0" borderId="7" xfId="0" applyFont="1" applyFill="1" applyBorder="1" applyAlignment="1">
      <alignment horizontal="left"/>
    </xf>
    <xf numFmtId="1" fontId="1" fillId="5" borderId="3" xfId="0" applyNumberFormat="1" applyFont="1" applyFill="1" applyBorder="1" applyAlignment="1">
      <alignment horizontal="center"/>
    </xf>
    <xf numFmtId="0" fontId="1" fillId="4" borderId="0" xfId="0" applyFont="1" applyFill="1" applyAlignment="1">
      <alignment horizontal="center"/>
    </xf>
    <xf numFmtId="0" fontId="1" fillId="4" borderId="0" xfId="0" applyFont="1" applyFill="1" applyAlignment="1">
      <alignment horizontal="right"/>
    </xf>
    <xf numFmtId="0" fontId="2" fillId="4" borderId="0" xfId="0" applyFont="1" applyFill="1" applyBorder="1" applyAlignment="1">
      <alignment horizontal="right"/>
    </xf>
    <xf numFmtId="0" fontId="2" fillId="5" borderId="7" xfId="0" applyFont="1" applyFill="1" applyBorder="1" applyAlignment="1">
      <alignment horizontal="center"/>
    </xf>
    <xf numFmtId="1" fontId="2" fillId="5" borderId="3" xfId="0" applyNumberFormat="1" applyFont="1" applyFill="1" applyBorder="1" applyAlignment="1">
      <alignment horizontal="center"/>
    </xf>
    <xf numFmtId="168" fontId="2" fillId="5" borderId="3" xfId="0" applyNumberFormat="1" applyFont="1" applyFill="1" applyBorder="1" applyAlignment="1">
      <alignment horizontal="center"/>
    </xf>
    <xf numFmtId="0" fontId="0" fillId="5" borderId="3" xfId="0" applyFill="1" applyBorder="1" applyAlignment="1">
      <alignment horizontal="center"/>
    </xf>
    <xf numFmtId="0" fontId="0" fillId="4" borderId="3" xfId="0" applyFill="1" applyBorder="1" applyAlignment="1">
      <alignment horizontal="center"/>
    </xf>
    <xf numFmtId="0" fontId="13" fillId="4" borderId="3" xfId="0" applyFont="1" applyFill="1" applyBorder="1"/>
    <xf numFmtId="0" fontId="13" fillId="4" borderId="3" xfId="0" applyFont="1" applyFill="1" applyBorder="1" applyAlignment="1">
      <alignment horizontal="center"/>
    </xf>
    <xf numFmtId="0" fontId="2" fillId="5" borderId="5" xfId="0" applyFont="1" applyFill="1" applyBorder="1" applyAlignment="1">
      <alignment horizontal="center"/>
    </xf>
    <xf numFmtId="168" fontId="2" fillId="4" borderId="0" xfId="0" applyNumberFormat="1" applyFont="1" applyFill="1" applyBorder="1" applyAlignment="1">
      <alignment horizontal="center"/>
    </xf>
    <xf numFmtId="0" fontId="26" fillId="5" borderId="3" xfId="0" applyFont="1" applyFill="1" applyBorder="1" applyAlignment="1">
      <alignment horizontal="center"/>
    </xf>
    <xf numFmtId="0" fontId="1" fillId="4" borderId="0" xfId="0" applyFont="1" applyFill="1" applyAlignment="1">
      <alignment horizontal="left" wrapText="1"/>
    </xf>
    <xf numFmtId="0" fontId="3" fillId="4" borderId="0" xfId="0" applyFont="1" applyFill="1" applyBorder="1" applyAlignment="1">
      <alignment horizontal="center"/>
    </xf>
    <xf numFmtId="0" fontId="3" fillId="4" borderId="0" xfId="0" applyFont="1" applyFill="1" applyBorder="1"/>
    <xf numFmtId="166" fontId="0" fillId="0" borderId="0" xfId="0" applyNumberFormat="1" applyFill="1"/>
    <xf numFmtId="0" fontId="0" fillId="0" borderId="9" xfId="0" applyBorder="1"/>
    <xf numFmtId="0" fontId="0" fillId="0" borderId="24" xfId="0" applyBorder="1"/>
    <xf numFmtId="0" fontId="0" fillId="0" borderId="10" xfId="0" applyBorder="1"/>
    <xf numFmtId="0" fontId="2" fillId="8" borderId="10" xfId="0" applyFont="1" applyFill="1" applyBorder="1" applyAlignment="1">
      <alignment horizontal="left"/>
    </xf>
    <xf numFmtId="0" fontId="1" fillId="8" borderId="0" xfId="0" applyFont="1" applyFill="1"/>
    <xf numFmtId="0" fontId="1" fillId="0" borderId="1" xfId="0" applyFont="1" applyFill="1" applyBorder="1" applyAlignment="1">
      <alignment horizontal="left"/>
    </xf>
    <xf numFmtId="0" fontId="1" fillId="4" borderId="3" xfId="0" applyFont="1" applyFill="1" applyBorder="1" applyAlignment="1">
      <alignment wrapText="1"/>
    </xf>
    <xf numFmtId="0" fontId="5" fillId="0" borderId="0" xfId="0" applyFont="1" applyFill="1" applyAlignment="1">
      <alignment wrapText="1"/>
    </xf>
    <xf numFmtId="0" fontId="1" fillId="4" borderId="3" xfId="0" applyFont="1" applyFill="1" applyBorder="1" applyAlignment="1">
      <alignment horizontal="left"/>
    </xf>
    <xf numFmtId="0" fontId="1" fillId="4" borderId="3" xfId="0" applyFont="1" applyFill="1" applyBorder="1" applyAlignment="1"/>
    <xf numFmtId="0" fontId="0" fillId="10" borderId="3" xfId="0" applyFill="1" applyBorder="1"/>
    <xf numFmtId="0" fontId="1" fillId="4" borderId="7" xfId="0" applyFont="1" applyFill="1" applyBorder="1" applyAlignment="1">
      <alignment horizontal="center" vertical="center" wrapText="1"/>
    </xf>
    <xf numFmtId="9" fontId="7" fillId="0" borderId="0" xfId="0" applyNumberFormat="1" applyFont="1"/>
    <xf numFmtId="165" fontId="0" fillId="0" borderId="0" xfId="0" applyNumberFormat="1"/>
    <xf numFmtId="0" fontId="13" fillId="4" borderId="6" xfId="0" applyFont="1" applyFill="1" applyBorder="1" applyAlignment="1">
      <alignment horizontal="center"/>
    </xf>
    <xf numFmtId="0" fontId="31" fillId="9" borderId="0" xfId="3" applyFont="1" applyFill="1"/>
    <xf numFmtId="0" fontId="32" fillId="0" borderId="0" xfId="3" applyFont="1"/>
    <xf numFmtId="0" fontId="30" fillId="5" borderId="0" xfId="3" applyFont="1" applyFill="1" applyBorder="1" applyAlignment="1">
      <alignment horizontal="center"/>
    </xf>
    <xf numFmtId="0" fontId="30" fillId="4" borderId="0" xfId="3" applyFont="1" applyFill="1" applyBorder="1"/>
    <xf numFmtId="0" fontId="27" fillId="0" borderId="0" xfId="3" applyFont="1" applyFill="1"/>
    <xf numFmtId="0" fontId="30" fillId="0" borderId="0" xfId="3" applyFont="1" applyFill="1"/>
    <xf numFmtId="0" fontId="27" fillId="0" borderId="4" xfId="3" applyFont="1" applyBorder="1"/>
    <xf numFmtId="0" fontId="27" fillId="0" borderId="25" xfId="3" applyFont="1" applyBorder="1"/>
    <xf numFmtId="0" fontId="27" fillId="0" borderId="26" xfId="3" applyFont="1" applyBorder="1"/>
    <xf numFmtId="0" fontId="27" fillId="0" borderId="1" xfId="3" applyFont="1" applyBorder="1"/>
    <xf numFmtId="0" fontId="27" fillId="0" borderId="0" xfId="3" applyFont="1" applyBorder="1"/>
    <xf numFmtId="0" fontId="27" fillId="0" borderId="2" xfId="3" applyFont="1" applyBorder="1"/>
    <xf numFmtId="0" fontId="27" fillId="0" borderId="9" xfId="3" applyFont="1" applyBorder="1"/>
    <xf numFmtId="0" fontId="27" fillId="0" borderId="24" xfId="3" applyFont="1" applyBorder="1"/>
    <xf numFmtId="0" fontId="27" fillId="0" borderId="10" xfId="3" applyFont="1" applyBorder="1"/>
    <xf numFmtId="0" fontId="30" fillId="5" borderId="9" xfId="3" applyFont="1" applyFill="1" applyBorder="1" applyAlignment="1">
      <alignment horizontal="center"/>
    </xf>
    <xf numFmtId="2" fontId="27" fillId="0" borderId="0" xfId="3" applyNumberFormat="1" applyFont="1"/>
    <xf numFmtId="0" fontId="30" fillId="4" borderId="24" xfId="3" applyFont="1" applyFill="1" applyBorder="1"/>
    <xf numFmtId="0" fontId="29" fillId="4" borderId="29" xfId="3" applyFont="1" applyFill="1" applyBorder="1"/>
    <xf numFmtId="0" fontId="29" fillId="4" borderId="30" xfId="3" applyFont="1" applyFill="1" applyBorder="1"/>
    <xf numFmtId="0" fontId="29" fillId="4" borderId="31" xfId="3" applyFont="1" applyFill="1" applyBorder="1"/>
    <xf numFmtId="0" fontId="29" fillId="4" borderId="15" xfId="3" applyFont="1" applyFill="1" applyBorder="1"/>
    <xf numFmtId="0" fontId="30" fillId="4" borderId="31" xfId="3" applyFont="1" applyFill="1" applyBorder="1"/>
    <xf numFmtId="0" fontId="30" fillId="4" borderId="15" xfId="3" applyFont="1" applyFill="1" applyBorder="1" applyAlignment="1">
      <alignment horizontal="center"/>
    </xf>
    <xf numFmtId="0" fontId="30" fillId="4" borderId="15" xfId="3" applyFont="1" applyFill="1" applyBorder="1" applyAlignment="1">
      <alignment horizontal="left"/>
    </xf>
    <xf numFmtId="0" fontId="30" fillId="4" borderId="32" xfId="3" applyFont="1" applyFill="1" applyBorder="1"/>
    <xf numFmtId="0" fontId="31" fillId="4" borderId="0" xfId="3" applyFont="1" applyFill="1"/>
    <xf numFmtId="0" fontId="30" fillId="4" borderId="3" xfId="3" applyFont="1" applyFill="1" applyBorder="1"/>
    <xf numFmtId="0" fontId="26" fillId="4" borderId="0" xfId="3" applyFont="1" applyFill="1"/>
    <xf numFmtId="0" fontId="30" fillId="4" borderId="0" xfId="3" applyFont="1" applyFill="1" applyAlignment="1">
      <alignment horizontal="left"/>
    </xf>
    <xf numFmtId="0" fontId="30" fillId="4" borderId="16" xfId="3" applyFont="1" applyFill="1" applyBorder="1"/>
    <xf numFmtId="0" fontId="14" fillId="0" borderId="11" xfId="0" applyFont="1" applyBorder="1" applyAlignment="1">
      <alignment horizontal="right" vertical="top" wrapText="1"/>
    </xf>
    <xf numFmtId="0" fontId="14" fillId="0" borderId="23" xfId="0" applyFont="1" applyBorder="1" applyAlignment="1">
      <alignment horizontal="right" vertical="top" wrapText="1"/>
    </xf>
    <xf numFmtId="2" fontId="5" fillId="0" borderId="0" xfId="0" applyNumberFormat="1" applyFont="1"/>
    <xf numFmtId="0" fontId="14" fillId="0" borderId="33" xfId="0" applyFont="1" applyBorder="1" applyAlignment="1">
      <alignment horizontal="right" vertical="top" wrapText="1"/>
    </xf>
    <xf numFmtId="0" fontId="14" fillId="0" borderId="34" xfId="0" applyFont="1" applyBorder="1" applyAlignment="1">
      <alignment horizontal="right" vertical="top" wrapText="1"/>
    </xf>
    <xf numFmtId="0" fontId="14" fillId="0" borderId="35" xfId="0" applyFont="1" applyBorder="1" applyAlignment="1">
      <alignment horizontal="right" vertical="top" wrapText="1"/>
    </xf>
    <xf numFmtId="0" fontId="14" fillId="0" borderId="36" xfId="0" applyFont="1" applyBorder="1" applyAlignment="1">
      <alignment horizontal="right" vertical="top" wrapText="1"/>
    </xf>
    <xf numFmtId="0" fontId="14" fillId="0" borderId="37" xfId="0" applyFont="1" applyBorder="1" applyAlignment="1">
      <alignment horizontal="right" vertical="top" wrapText="1"/>
    </xf>
    <xf numFmtId="0" fontId="15" fillId="0" borderId="0" xfId="0" applyFont="1" applyFill="1" applyBorder="1" applyAlignment="1">
      <alignment horizontal="justify" vertical="top" wrapText="1"/>
    </xf>
    <xf numFmtId="0" fontId="0" fillId="0" borderId="4" xfId="0" applyBorder="1"/>
    <xf numFmtId="0" fontId="0" fillId="0" borderId="25" xfId="0" applyBorder="1"/>
    <xf numFmtId="0" fontId="0" fillId="0" borderId="26" xfId="0" applyBorder="1"/>
    <xf numFmtId="0" fontId="1" fillId="0" borderId="0" xfId="0" applyFont="1" applyFill="1" applyBorder="1" applyAlignment="1">
      <alignment horizontal="left"/>
    </xf>
    <xf numFmtId="0" fontId="2" fillId="4" borderId="0" xfId="0" applyFont="1" applyFill="1" applyBorder="1" applyAlignment="1">
      <alignment horizontal="center" vertical="top"/>
    </xf>
    <xf numFmtId="0" fontId="2" fillId="4" borderId="0" xfId="0" applyFont="1" applyFill="1" applyBorder="1" applyAlignment="1">
      <alignment horizontal="center" vertical="top" wrapText="1"/>
    </xf>
    <xf numFmtId="0" fontId="10" fillId="4" borderId="9" xfId="0" applyFont="1" applyFill="1" applyBorder="1" applyAlignment="1">
      <alignment horizontal="center"/>
    </xf>
    <xf numFmtId="0" fontId="3" fillId="0" borderId="3" xfId="0" applyFont="1" applyBorder="1" applyAlignment="1">
      <alignment wrapText="1"/>
    </xf>
    <xf numFmtId="0" fontId="1" fillId="0" borderId="1" xfId="0" applyNumberFormat="1" applyFont="1" applyBorder="1"/>
    <xf numFmtId="0" fontId="1" fillId="0" borderId="3" xfId="0" applyNumberFormat="1" applyFont="1" applyBorder="1"/>
    <xf numFmtId="165" fontId="1" fillId="0" borderId="3" xfId="0" applyNumberFormat="1" applyFont="1" applyBorder="1"/>
    <xf numFmtId="1" fontId="1" fillId="0" borderId="3" xfId="0" applyNumberFormat="1" applyFont="1" applyBorder="1"/>
    <xf numFmtId="0" fontId="0" fillId="0" borderId="3" xfId="0" applyBorder="1"/>
    <xf numFmtId="0" fontId="38" fillId="0" borderId="3" xfId="0" applyFont="1" applyBorder="1" applyAlignment="1">
      <alignment horizontal="center" vertical="top"/>
    </xf>
    <xf numFmtId="0" fontId="33" fillId="0" borderId="3" xfId="0" applyFont="1" applyBorder="1" applyAlignment="1">
      <alignment horizontal="center" vertical="center"/>
    </xf>
    <xf numFmtId="0" fontId="33" fillId="0" borderId="3" xfId="0" applyFont="1" applyBorder="1" applyAlignment="1">
      <alignment horizontal="center" vertical="center" wrapText="1"/>
    </xf>
    <xf numFmtId="0" fontId="33" fillId="0" borderId="3" xfId="0" applyFont="1" applyBorder="1"/>
    <xf numFmtId="0" fontId="0" fillId="0" borderId="3" xfId="0" applyBorder="1" applyAlignment="1">
      <alignment horizontal="center"/>
    </xf>
    <xf numFmtId="3" fontId="13" fillId="0" borderId="3" xfId="0" applyNumberFormat="1" applyFont="1" applyBorder="1" applyAlignment="1">
      <alignment horizontal="center"/>
    </xf>
    <xf numFmtId="3" fontId="13" fillId="0" borderId="3" xfId="0" applyNumberFormat="1" applyFont="1" applyBorder="1" applyAlignment="1">
      <alignment horizontal="left"/>
    </xf>
    <xf numFmtId="4" fontId="13" fillId="0" borderId="3" xfId="0" applyNumberFormat="1" applyFont="1" applyBorder="1" applyAlignment="1">
      <alignment horizontal="center"/>
    </xf>
    <xf numFmtId="0" fontId="5" fillId="0" borderId="3" xfId="0" applyFont="1" applyFill="1" applyBorder="1"/>
    <xf numFmtId="0" fontId="3" fillId="0" borderId="3" xfId="0" applyFont="1" applyBorder="1" applyAlignment="1">
      <alignment horizontal="justify" vertical="top" wrapText="1"/>
    </xf>
    <xf numFmtId="0" fontId="3" fillId="0" borderId="1" xfId="0" applyNumberFormat="1" applyFont="1" applyBorder="1"/>
    <xf numFmtId="0" fontId="37" fillId="0" borderId="0" xfId="0" applyFont="1"/>
    <xf numFmtId="0" fontId="37" fillId="0" borderId="0" xfId="0" applyFont="1" applyFill="1"/>
    <xf numFmtId="0" fontId="0" fillId="0" borderId="6" xfId="0" applyFill="1" applyBorder="1"/>
    <xf numFmtId="0" fontId="5" fillId="0" borderId="3" xfId="0" applyFont="1" applyBorder="1" applyAlignment="1">
      <alignment horizontal="center" wrapText="1"/>
    </xf>
    <xf numFmtId="0" fontId="14" fillId="0" borderId="3" xfId="0" applyFont="1" applyBorder="1" applyAlignment="1">
      <alignment horizontal="justify" vertical="top" wrapText="1"/>
    </xf>
    <xf numFmtId="0" fontId="13" fillId="0" borderId="3" xfId="0" applyFont="1" applyBorder="1" applyAlignment="1">
      <alignment horizontal="justify" vertical="top" wrapText="1"/>
    </xf>
    <xf numFmtId="0" fontId="14" fillId="0" borderId="3" xfId="0" applyFont="1" applyBorder="1" applyAlignment="1">
      <alignment vertical="top" wrapText="1"/>
    </xf>
    <xf numFmtId="0" fontId="0" fillId="0" borderId="0" xfId="0" applyFill="1" applyBorder="1" applyAlignment="1">
      <alignment horizontal="center"/>
    </xf>
    <xf numFmtId="0" fontId="13" fillId="0" borderId="3" xfId="0" applyFont="1" applyBorder="1" applyAlignment="1">
      <alignment horizontal="center" vertical="center" wrapText="1"/>
    </xf>
    <xf numFmtId="0" fontId="30" fillId="5" borderId="3" xfId="3" applyFont="1" applyFill="1" applyBorder="1"/>
    <xf numFmtId="0" fontId="43" fillId="4" borderId="0" xfId="0" applyFont="1" applyFill="1" applyBorder="1" applyProtection="1"/>
    <xf numFmtId="0" fontId="1" fillId="4" borderId="0" xfId="0" applyFont="1" applyFill="1" applyProtection="1">
      <protection locked="0"/>
    </xf>
    <xf numFmtId="0" fontId="5" fillId="4" borderId="0" xfId="0" applyFont="1" applyFill="1" applyProtection="1">
      <protection locked="0"/>
    </xf>
    <xf numFmtId="0" fontId="0" fillId="4" borderId="0" xfId="0" applyFill="1" applyProtection="1">
      <protection locked="0"/>
    </xf>
    <xf numFmtId="0" fontId="0" fillId="0" borderId="0" xfId="0" applyProtection="1">
      <protection locked="0"/>
    </xf>
    <xf numFmtId="0" fontId="1" fillId="4" borderId="0" xfId="0" applyFont="1" applyFill="1" applyAlignment="1" applyProtection="1">
      <alignment wrapText="1"/>
      <protection locked="0"/>
    </xf>
    <xf numFmtId="0" fontId="0" fillId="5" borderId="3" xfId="0" applyFill="1" applyBorder="1" applyProtection="1">
      <protection locked="0"/>
    </xf>
    <xf numFmtId="0" fontId="0" fillId="4" borderId="3" xfId="0" applyFill="1" applyBorder="1" applyAlignment="1" applyProtection="1">
      <alignment horizontal="center"/>
      <protection locked="0"/>
    </xf>
    <xf numFmtId="0" fontId="0" fillId="4" borderId="3" xfId="0" applyFill="1" applyBorder="1" applyProtection="1">
      <protection locked="0"/>
    </xf>
    <xf numFmtId="0" fontId="0" fillId="10" borderId="3" xfId="0" applyFill="1" applyBorder="1" applyProtection="1">
      <protection locked="0"/>
    </xf>
    <xf numFmtId="0" fontId="37" fillId="5" borderId="3" xfId="0" applyFont="1" applyFill="1" applyBorder="1" applyProtection="1">
      <protection locked="0"/>
    </xf>
    <xf numFmtId="0" fontId="10" fillId="4" borderId="0" xfId="0" applyFont="1" applyFill="1" applyProtection="1">
      <protection locked="0"/>
    </xf>
    <xf numFmtId="0" fontId="1" fillId="4" borderId="0" xfId="0" applyFont="1" applyFill="1" applyAlignment="1" applyProtection="1">
      <alignment horizontal="center" wrapText="1"/>
      <protection locked="0"/>
    </xf>
    <xf numFmtId="0" fontId="23" fillId="4" borderId="0" xfId="0" applyFont="1" applyFill="1" applyProtection="1">
      <protection locked="0"/>
    </xf>
    <xf numFmtId="0" fontId="5" fillId="4" borderId="0" xfId="0" applyFont="1" applyFill="1" applyAlignment="1" applyProtection="1">
      <alignment wrapText="1"/>
      <protection locked="0"/>
    </xf>
    <xf numFmtId="0" fontId="5" fillId="5" borderId="3" xfId="0" applyFont="1" applyFill="1" applyBorder="1" applyProtection="1">
      <protection locked="0"/>
    </xf>
    <xf numFmtId="0" fontId="5" fillId="5" borderId="0" xfId="0" applyFont="1" applyFill="1" applyAlignment="1"/>
    <xf numFmtId="0" fontId="7" fillId="5" borderId="0" xfId="0" applyFont="1" applyFill="1" applyAlignment="1"/>
    <xf numFmtId="0" fontId="1" fillId="5" borderId="3" xfId="0" applyFont="1" applyFill="1" applyBorder="1"/>
    <xf numFmtId="2" fontId="2" fillId="5" borderId="3" xfId="0" applyNumberFormat="1" applyFont="1" applyFill="1" applyBorder="1" applyAlignment="1">
      <alignment horizontal="center"/>
    </xf>
    <xf numFmtId="2" fontId="2" fillId="5" borderId="3" xfId="0" applyNumberFormat="1" applyFont="1" applyFill="1" applyBorder="1"/>
    <xf numFmtId="2" fontId="0" fillId="5" borderId="3" xfId="0" applyNumberFormat="1" applyFill="1" applyBorder="1"/>
    <xf numFmtId="2" fontId="5" fillId="5" borderId="3" xfId="0" applyNumberFormat="1" applyFont="1" applyFill="1" applyBorder="1" applyAlignment="1" applyProtection="1">
      <alignment horizontal="center"/>
      <protection locked="0"/>
    </xf>
    <xf numFmtId="2" fontId="0" fillId="4" borderId="3" xfId="0" applyNumberFormat="1" applyFill="1" applyBorder="1" applyAlignment="1" applyProtection="1">
      <alignment horizontal="center"/>
      <protection locked="0"/>
    </xf>
    <xf numFmtId="0" fontId="1" fillId="0" borderId="6" xfId="0" applyFont="1" applyFill="1" applyBorder="1"/>
    <xf numFmtId="0" fontId="1" fillId="0" borderId="1" xfId="0" applyFont="1" applyBorder="1"/>
    <xf numFmtId="0" fontId="14" fillId="0" borderId="3" xfId="0" applyFont="1" applyBorder="1"/>
    <xf numFmtId="0" fontId="0" fillId="0" borderId="0" xfId="0" applyFill="1" applyProtection="1">
      <protection locked="0"/>
    </xf>
    <xf numFmtId="0" fontId="0" fillId="11" borderId="3" xfId="0" applyFill="1" applyBorder="1" applyProtection="1">
      <protection locked="0"/>
    </xf>
    <xf numFmtId="2" fontId="0" fillId="11" borderId="3" xfId="0" applyNumberFormat="1" applyFill="1" applyBorder="1" applyAlignment="1" applyProtection="1">
      <alignment horizontal="center"/>
      <protection locked="0"/>
    </xf>
    <xf numFmtId="0" fontId="44" fillId="4" borderId="0" xfId="0" applyFont="1" applyFill="1"/>
    <xf numFmtId="0" fontId="44" fillId="4" borderId="0" xfId="0" applyFont="1" applyFill="1" applyBorder="1" applyAlignment="1"/>
    <xf numFmtId="0" fontId="44" fillId="4" borderId="0" xfId="3" applyFont="1" applyFill="1"/>
    <xf numFmtId="0" fontId="1" fillId="4" borderId="4" xfId="0" applyFont="1" applyFill="1" applyBorder="1" applyAlignment="1">
      <alignment horizontal="center"/>
    </xf>
    <xf numFmtId="2" fontId="1" fillId="5" borderId="3" xfId="0" applyNumberFormat="1" applyFont="1" applyFill="1" applyBorder="1" applyAlignment="1">
      <alignment horizontal="center"/>
    </xf>
    <xf numFmtId="0" fontId="30" fillId="12" borderId="0" xfId="3" applyFont="1" applyFill="1" applyAlignment="1">
      <alignment horizontal="left"/>
    </xf>
    <xf numFmtId="0" fontId="45" fillId="4" borderId="0" xfId="3" applyFont="1" applyFill="1"/>
    <xf numFmtId="0" fontId="6" fillId="4" borderId="0" xfId="3" applyFont="1" applyFill="1"/>
    <xf numFmtId="1" fontId="30" fillId="5" borderId="3" xfId="3" applyNumberFormat="1" applyFont="1" applyFill="1" applyBorder="1" applyAlignment="1">
      <alignment horizontal="center"/>
    </xf>
    <xf numFmtId="1" fontId="30" fillId="5" borderId="3" xfId="3" applyNumberFormat="1" applyFont="1" applyFill="1" applyBorder="1"/>
    <xf numFmtId="0" fontId="44" fillId="4" borderId="0" xfId="0" applyFont="1" applyFill="1" applyProtection="1">
      <protection locked="0"/>
    </xf>
    <xf numFmtId="0" fontId="46" fillId="0" borderId="0" xfId="0" applyFont="1"/>
    <xf numFmtId="0" fontId="44" fillId="4" borderId="0" xfId="3" applyFont="1" applyFill="1" applyBorder="1"/>
    <xf numFmtId="0" fontId="0" fillId="0" borderId="0" xfId="0" applyBorder="1" applyAlignment="1">
      <alignment horizontal="center"/>
    </xf>
    <xf numFmtId="0" fontId="3" fillId="0" borderId="3" xfId="0" applyFont="1" applyBorder="1" applyAlignment="1">
      <alignment horizontal="center" wrapText="1"/>
    </xf>
    <xf numFmtId="0" fontId="5" fillId="4" borderId="3" xfId="0" applyFont="1" applyFill="1" applyBorder="1"/>
    <xf numFmtId="1" fontId="0" fillId="4" borderId="3" xfId="0" applyNumberFormat="1" applyFill="1" applyBorder="1" applyAlignment="1">
      <alignment horizontal="center"/>
    </xf>
    <xf numFmtId="0" fontId="5" fillId="4" borderId="3" xfId="0" applyFont="1" applyFill="1" applyBorder="1" applyAlignment="1">
      <alignment wrapText="1"/>
    </xf>
    <xf numFmtId="0" fontId="5" fillId="4" borderId="3" xfId="0" applyFont="1" applyFill="1" applyBorder="1" applyAlignment="1">
      <alignment horizontal="right"/>
    </xf>
    <xf numFmtId="0" fontId="10" fillId="4" borderId="3" xfId="0" applyFont="1" applyFill="1" applyBorder="1"/>
    <xf numFmtId="0" fontId="10" fillId="4" borderId="3" xfId="0" applyFont="1" applyFill="1" applyBorder="1" applyAlignment="1">
      <alignment horizontal="center"/>
    </xf>
    <xf numFmtId="9" fontId="0" fillId="4" borderId="3" xfId="0" applyNumberFormat="1" applyFill="1" applyBorder="1" applyAlignment="1">
      <alignment horizontal="center"/>
    </xf>
    <xf numFmtId="0" fontId="10" fillId="4" borderId="0" xfId="0" applyFont="1" applyFill="1"/>
    <xf numFmtId="0" fontId="14" fillId="4" borderId="0" xfId="0" applyFont="1" applyFill="1"/>
    <xf numFmtId="0" fontId="13" fillId="4" borderId="0" xfId="0" applyFont="1" applyFill="1"/>
    <xf numFmtId="0" fontId="47" fillId="10" borderId="0" xfId="0" applyFont="1" applyFill="1"/>
    <xf numFmtId="0" fontId="38" fillId="4" borderId="31" xfId="3" applyFont="1" applyFill="1" applyBorder="1"/>
    <xf numFmtId="0" fontId="33" fillId="4" borderId="0" xfId="3" applyFont="1" applyFill="1" applyBorder="1"/>
    <xf numFmtId="0" fontId="38" fillId="4" borderId="0" xfId="3" applyFont="1" applyFill="1" applyBorder="1"/>
    <xf numFmtId="0" fontId="25" fillId="4" borderId="0" xfId="0" applyFont="1" applyFill="1"/>
    <xf numFmtId="0" fontId="43" fillId="4" borderId="0" xfId="0" applyFont="1" applyFill="1"/>
    <xf numFmtId="0" fontId="48" fillId="10" borderId="3" xfId="0" applyFont="1" applyFill="1" applyBorder="1" applyAlignment="1">
      <alignment horizontal="center"/>
    </xf>
    <xf numFmtId="10" fontId="5" fillId="4" borderId="3" xfId="0" applyNumberFormat="1" applyFont="1" applyFill="1" applyBorder="1"/>
    <xf numFmtId="0" fontId="0" fillId="5" borderId="9" xfId="0" applyFill="1" applyBorder="1" applyAlignment="1"/>
    <xf numFmtId="2" fontId="48" fillId="10" borderId="3" xfId="0" applyNumberFormat="1" applyFont="1" applyFill="1" applyBorder="1" applyAlignment="1" applyProtection="1">
      <alignment horizontal="center"/>
      <protection locked="0"/>
    </xf>
    <xf numFmtId="0" fontId="1" fillId="4" borderId="3" xfId="0" applyFont="1" applyFill="1" applyBorder="1" applyAlignment="1">
      <alignment horizontal="right"/>
    </xf>
    <xf numFmtId="0" fontId="3" fillId="4" borderId="3" xfId="0" applyFont="1" applyFill="1" applyBorder="1"/>
    <xf numFmtId="0" fontId="1" fillId="4" borderId="0" xfId="0" applyFont="1" applyFill="1" applyAlignment="1">
      <alignment wrapText="1"/>
    </xf>
    <xf numFmtId="0" fontId="3" fillId="4" borderId="3" xfId="0" applyFont="1" applyFill="1" applyBorder="1" applyAlignment="1">
      <alignment horizontal="center"/>
    </xf>
    <xf numFmtId="0" fontId="3" fillId="4" borderId="3" xfId="0" applyFont="1" applyFill="1" applyBorder="1" applyAlignment="1">
      <alignment horizontal="center" wrapText="1"/>
    </xf>
    <xf numFmtId="0" fontId="50" fillId="4" borderId="0" xfId="0" applyFont="1" applyFill="1"/>
    <xf numFmtId="0" fontId="1" fillId="4" borderId="3" xfId="0" applyFont="1" applyFill="1" applyBorder="1" applyAlignment="1">
      <alignment horizontal="center"/>
    </xf>
    <xf numFmtId="0" fontId="49" fillId="10" borderId="3" xfId="0" applyFont="1" applyFill="1" applyBorder="1" applyAlignment="1">
      <alignment horizontal="center"/>
    </xf>
    <xf numFmtId="166" fontId="1" fillId="4" borderId="3" xfId="0" applyNumberFormat="1" applyFont="1" applyFill="1" applyBorder="1" applyAlignment="1">
      <alignment horizontal="center"/>
    </xf>
    <xf numFmtId="1" fontId="1" fillId="4" borderId="3" xfId="0" applyNumberFormat="1" applyFont="1" applyFill="1" applyBorder="1" applyAlignment="1">
      <alignment horizontal="center"/>
    </xf>
    <xf numFmtId="0" fontId="1" fillId="4" borderId="0" xfId="0" applyFont="1" applyFill="1" applyBorder="1"/>
    <xf numFmtId="165" fontId="1" fillId="4" borderId="0" xfId="0" applyNumberFormat="1" applyFont="1" applyFill="1"/>
    <xf numFmtId="0" fontId="30" fillId="4" borderId="31" xfId="3" applyFont="1" applyFill="1" applyBorder="1" applyAlignment="1">
      <alignment horizontal="right"/>
    </xf>
    <xf numFmtId="0" fontId="30" fillId="4" borderId="3" xfId="3" applyFont="1" applyFill="1" applyBorder="1" applyAlignment="1">
      <alignment horizontal="center"/>
    </xf>
    <xf numFmtId="0" fontId="30" fillId="4" borderId="3" xfId="3" applyFont="1" applyFill="1" applyBorder="1" applyAlignment="1">
      <alignment horizontal="left"/>
    </xf>
    <xf numFmtId="1" fontId="50" fillId="4" borderId="0" xfId="0" applyNumberFormat="1" applyFont="1" applyFill="1"/>
    <xf numFmtId="0" fontId="50" fillId="4" borderId="0" xfId="0" applyFont="1" applyFill="1" applyBorder="1"/>
    <xf numFmtId="165" fontId="50" fillId="4" borderId="0" xfId="0" applyNumberFormat="1" applyFont="1" applyFill="1"/>
    <xf numFmtId="0" fontId="51" fillId="4" borderId="0" xfId="0" applyFont="1" applyFill="1"/>
    <xf numFmtId="1" fontId="43" fillId="4" borderId="0" xfId="0" applyNumberFormat="1" applyFont="1" applyFill="1"/>
    <xf numFmtId="0" fontId="48" fillId="10" borderId="3" xfId="0" applyFont="1" applyFill="1" applyBorder="1"/>
    <xf numFmtId="0" fontId="49" fillId="10" borderId="15" xfId="3" applyFont="1" applyFill="1" applyBorder="1" applyAlignment="1">
      <alignment horizontal="center"/>
    </xf>
    <xf numFmtId="0" fontId="14" fillId="0" borderId="0" xfId="0" applyFont="1" applyBorder="1"/>
    <xf numFmtId="3" fontId="13" fillId="0" borderId="0" xfId="0" applyNumberFormat="1" applyFont="1" applyBorder="1" applyAlignment="1">
      <alignment horizontal="center"/>
    </xf>
    <xf numFmtId="3" fontId="13" fillId="0" borderId="0" xfId="0" applyNumberFormat="1" applyFont="1" applyBorder="1" applyAlignment="1">
      <alignment horizontal="left"/>
    </xf>
    <xf numFmtId="4" fontId="13" fillId="0" borderId="0" xfId="0" applyNumberFormat="1" applyFont="1" applyBorder="1" applyAlignment="1">
      <alignment horizontal="center"/>
    </xf>
    <xf numFmtId="0" fontId="13" fillId="0" borderId="14" xfId="0" applyFont="1" applyBorder="1" applyAlignment="1">
      <alignment horizontal="justify" vertical="top" wrapText="1"/>
    </xf>
    <xf numFmtId="0" fontId="0" fillId="0" borderId="3" xfId="0" applyBorder="1" applyAlignment="1">
      <alignment horizontal="center" vertical="center"/>
    </xf>
    <xf numFmtId="0" fontId="44" fillId="0" borderId="3" xfId="0" applyFont="1" applyBorder="1" applyAlignment="1">
      <alignment horizontal="justify" vertical="top" wrapText="1"/>
    </xf>
    <xf numFmtId="0" fontId="3" fillId="0" borderId="3" xfId="0" applyFont="1" applyBorder="1" applyAlignment="1">
      <alignment horizontal="center" vertical="center" wrapText="1"/>
    </xf>
    <xf numFmtId="0" fontId="13" fillId="0" borderId="3" xfId="0" applyFont="1" applyBorder="1" applyAlignment="1">
      <alignment horizontal="right" vertical="center" wrapText="1"/>
    </xf>
    <xf numFmtId="0" fontId="13" fillId="0" borderId="38" xfId="0" applyFont="1" applyBorder="1" applyAlignment="1">
      <alignment horizontal="justify" vertical="top" wrapText="1"/>
    </xf>
    <xf numFmtId="0" fontId="13" fillId="0" borderId="39" xfId="0" applyFont="1" applyBorder="1" applyAlignment="1">
      <alignment horizontal="justify" vertical="top" wrapText="1"/>
    </xf>
    <xf numFmtId="0" fontId="14" fillId="0" borderId="0" xfId="0" applyFont="1" applyFill="1" applyBorder="1" applyAlignment="1">
      <alignment horizontal="right" vertical="top" wrapText="1"/>
    </xf>
    <xf numFmtId="0" fontId="14" fillId="0" borderId="1" xfId="0" applyFont="1" applyFill="1" applyBorder="1" applyAlignment="1">
      <alignment horizontal="right" vertical="top" wrapText="1"/>
    </xf>
    <xf numFmtId="9" fontId="1" fillId="0" borderId="13" xfId="0" applyNumberFormat="1" applyFont="1" applyBorder="1" applyAlignment="1">
      <alignment horizontal="right" wrapText="1"/>
    </xf>
    <xf numFmtId="9" fontId="1" fillId="0" borderId="3" xfId="0" applyNumberFormat="1" applyFont="1" applyBorder="1" applyAlignment="1">
      <alignment horizontal="center" vertical="center" wrapText="1"/>
    </xf>
    <xf numFmtId="0" fontId="14" fillId="0" borderId="38" xfId="0" applyFont="1" applyBorder="1" applyAlignment="1">
      <alignment vertical="top" wrapText="1"/>
    </xf>
    <xf numFmtId="0" fontId="14" fillId="0" borderId="39" xfId="0" applyFont="1" applyBorder="1" applyAlignment="1">
      <alignment vertical="top" wrapText="1"/>
    </xf>
    <xf numFmtId="0" fontId="10" fillId="0" borderId="39" xfId="0" applyFont="1" applyBorder="1" applyAlignment="1">
      <alignment horizontal="center" wrapText="1"/>
    </xf>
    <xf numFmtId="0" fontId="52" fillId="0" borderId="13" xfId="0" applyFont="1" applyBorder="1" applyAlignment="1">
      <alignment vertical="top" wrapText="1"/>
    </xf>
    <xf numFmtId="0" fontId="12" fillId="0" borderId="40" xfId="0" applyFont="1" applyBorder="1" applyAlignment="1">
      <alignment horizontal="center" wrapText="1"/>
    </xf>
    <xf numFmtId="0" fontId="0" fillId="0" borderId="40" xfId="0" applyBorder="1" applyAlignment="1">
      <alignment wrapText="1"/>
    </xf>
    <xf numFmtId="0" fontId="0" fillId="0" borderId="13" xfId="0" applyBorder="1" applyAlignment="1">
      <alignment wrapText="1"/>
    </xf>
    <xf numFmtId="165" fontId="12" fillId="0" borderId="40" xfId="0" applyNumberFormat="1" applyFont="1" applyBorder="1" applyAlignment="1">
      <alignment horizontal="center" wrapText="1"/>
    </xf>
    <xf numFmtId="0" fontId="12" fillId="0" borderId="0" xfId="0" applyFont="1" applyBorder="1" applyAlignment="1">
      <alignment horizontal="center" wrapText="1"/>
    </xf>
    <xf numFmtId="0" fontId="14"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14" fillId="0" borderId="3" xfId="0" applyFont="1" applyBorder="1" applyAlignment="1">
      <alignment vertical="center" wrapText="1"/>
    </xf>
    <xf numFmtId="0" fontId="30" fillId="7" borderId="0" xfId="3" applyFont="1" applyFill="1"/>
    <xf numFmtId="0" fontId="30" fillId="4" borderId="0" xfId="3" applyFont="1" applyFill="1" applyAlignment="1">
      <alignment horizontal="right"/>
    </xf>
    <xf numFmtId="0" fontId="25" fillId="4" borderId="0" xfId="0" applyFont="1" applyFill="1" applyProtection="1">
      <protection locked="0"/>
    </xf>
    <xf numFmtId="0" fontId="42" fillId="4" borderId="0" xfId="3" applyFont="1" applyFill="1"/>
    <xf numFmtId="0" fontId="1" fillId="0" borderId="3" xfId="0" applyFont="1" applyBorder="1" applyAlignment="1">
      <alignment vertical="top" wrapText="1"/>
    </xf>
    <xf numFmtId="0" fontId="5" fillId="0" borderId="0" xfId="0" applyFont="1" applyBorder="1" applyAlignment="1">
      <alignment wrapText="1"/>
    </xf>
    <xf numFmtId="0" fontId="5" fillId="0" borderId="7" xfId="0" applyFont="1" applyBorder="1" applyAlignment="1">
      <alignment wrapText="1"/>
    </xf>
    <xf numFmtId="0" fontId="14" fillId="0" borderId="0" xfId="0" applyFont="1" applyFill="1" applyBorder="1" applyAlignment="1">
      <alignment vertical="top" wrapText="1"/>
    </xf>
    <xf numFmtId="0" fontId="14" fillId="0" borderId="0" xfId="0" applyFont="1" applyFill="1" applyBorder="1" applyAlignment="1">
      <alignment horizontal="center" vertical="top" wrapText="1"/>
    </xf>
    <xf numFmtId="0" fontId="14" fillId="0" borderId="0" xfId="0" applyFont="1" applyFill="1" applyBorder="1" applyAlignment="1">
      <alignment horizontal="center" wrapText="1"/>
    </xf>
    <xf numFmtId="0" fontId="14" fillId="0" borderId="0" xfId="0" applyFont="1" applyFill="1" applyBorder="1" applyAlignment="1">
      <alignment horizontal="right" wrapText="1"/>
    </xf>
    <xf numFmtId="0" fontId="29" fillId="0" borderId="0" xfId="3" applyFont="1"/>
    <xf numFmtId="0" fontId="56" fillId="4" borderId="0" xfId="3" applyFont="1" applyFill="1"/>
    <xf numFmtId="0" fontId="57" fillId="0" borderId="0" xfId="3" applyFont="1"/>
    <xf numFmtId="0" fontId="23" fillId="0" borderId="0" xfId="0" applyFont="1"/>
    <xf numFmtId="0" fontId="57" fillId="4" borderId="0" xfId="3" applyFont="1" applyFill="1"/>
    <xf numFmtId="0" fontId="58" fillId="14" borderId="51" xfId="0" applyFont="1" applyFill="1" applyBorder="1" applyAlignment="1">
      <alignment wrapText="1"/>
    </xf>
    <xf numFmtId="0" fontId="58" fillId="14" borderId="52" xfId="0" applyFont="1" applyFill="1" applyBorder="1" applyAlignment="1">
      <alignment wrapText="1"/>
    </xf>
    <xf numFmtId="0" fontId="58" fillId="14" borderId="53" xfId="0" applyFont="1" applyFill="1" applyBorder="1" applyAlignment="1">
      <alignment wrapText="1"/>
    </xf>
    <xf numFmtId="0" fontId="58" fillId="14" borderId="54" xfId="0" applyFont="1" applyFill="1" applyBorder="1" applyAlignment="1">
      <alignment wrapText="1"/>
    </xf>
    <xf numFmtId="0" fontId="59" fillId="14" borderId="55" xfId="0" applyFont="1" applyFill="1" applyBorder="1" applyAlignment="1">
      <alignment wrapText="1"/>
    </xf>
    <xf numFmtId="169" fontId="59" fillId="14" borderId="56" xfId="0" applyNumberFormat="1" applyFont="1" applyFill="1" applyBorder="1" applyAlignment="1">
      <alignment wrapText="1"/>
    </xf>
    <xf numFmtId="169" fontId="59" fillId="14" borderId="57" xfId="0" applyNumberFormat="1" applyFont="1" applyFill="1" applyBorder="1" applyAlignment="1">
      <alignment wrapText="1"/>
    </xf>
    <xf numFmtId="169" fontId="0" fillId="0" borderId="0" xfId="0" applyNumberFormat="1"/>
    <xf numFmtId="0" fontId="59" fillId="14" borderId="53" xfId="0" applyFont="1" applyFill="1" applyBorder="1" applyAlignment="1">
      <alignment wrapText="1"/>
    </xf>
    <xf numFmtId="169" fontId="59" fillId="14" borderId="58" xfId="0" applyNumberFormat="1" applyFont="1" applyFill="1" applyBorder="1" applyAlignment="1">
      <alignment wrapText="1"/>
    </xf>
    <xf numFmtId="169" fontId="59" fillId="14" borderId="54" xfId="0" applyNumberFormat="1" applyFont="1" applyFill="1" applyBorder="1" applyAlignment="1">
      <alignment wrapText="1"/>
    </xf>
    <xf numFmtId="0" fontId="60" fillId="14" borderId="53" xfId="0" applyFont="1" applyFill="1" applyBorder="1" applyAlignment="1">
      <alignment wrapText="1"/>
    </xf>
    <xf numFmtId="0" fontId="60" fillId="14" borderId="54" xfId="0" applyFont="1" applyFill="1" applyBorder="1" applyAlignment="1">
      <alignment wrapText="1"/>
    </xf>
    <xf numFmtId="169" fontId="61" fillId="14" borderId="56" xfId="0" applyNumberFormat="1" applyFont="1" applyFill="1" applyBorder="1" applyAlignment="1">
      <alignment wrapText="1"/>
    </xf>
    <xf numFmtId="169" fontId="61" fillId="14" borderId="57" xfId="0" applyNumberFormat="1" applyFont="1" applyFill="1" applyBorder="1" applyAlignment="1">
      <alignment wrapText="1"/>
    </xf>
    <xf numFmtId="169" fontId="61" fillId="14" borderId="58" xfId="0" applyNumberFormat="1" applyFont="1" applyFill="1" applyBorder="1" applyAlignment="1">
      <alignment wrapText="1"/>
    </xf>
    <xf numFmtId="169" fontId="61" fillId="14" borderId="54" xfId="0" applyNumberFormat="1" applyFont="1" applyFill="1" applyBorder="1" applyAlignment="1">
      <alignment wrapText="1"/>
    </xf>
    <xf numFmtId="169" fontId="2" fillId="2" borderId="0" xfId="0" applyNumberFormat="1" applyFont="1" applyFill="1"/>
    <xf numFmtId="0" fontId="3" fillId="4" borderId="0" xfId="0" applyFont="1" applyFill="1" applyAlignment="1">
      <alignment wrapText="1"/>
    </xf>
    <xf numFmtId="0" fontId="3" fillId="4" borderId="0" xfId="0" applyFont="1" applyFill="1" applyAlignment="1">
      <alignment horizontal="center" wrapText="1"/>
    </xf>
    <xf numFmtId="0" fontId="26" fillId="4" borderId="0" xfId="0" applyFont="1" applyFill="1" applyAlignment="1">
      <alignment horizontal="left" wrapText="1"/>
    </xf>
    <xf numFmtId="0" fontId="2" fillId="15" borderId="3" xfId="0" applyFont="1" applyFill="1" applyBorder="1"/>
    <xf numFmtId="165" fontId="2" fillId="4" borderId="0" xfId="0" applyNumberFormat="1" applyFont="1" applyFill="1"/>
    <xf numFmtId="3" fontId="3" fillId="4" borderId="3" xfId="0" applyNumberFormat="1" applyFont="1" applyFill="1" applyBorder="1" applyAlignment="1">
      <alignment horizontal="center"/>
    </xf>
    <xf numFmtId="165" fontId="3" fillId="4" borderId="3" xfId="0" applyNumberFormat="1" applyFont="1" applyFill="1" applyBorder="1" applyAlignment="1">
      <alignment horizontal="center"/>
    </xf>
    <xf numFmtId="0" fontId="3" fillId="4" borderId="3" xfId="0" applyFont="1" applyFill="1" applyBorder="1" applyAlignment="1">
      <alignment horizontal="center" vertical="center"/>
    </xf>
    <xf numFmtId="0" fontId="3" fillId="4" borderId="3" xfId="0" applyFont="1" applyFill="1" applyBorder="1" applyAlignment="1">
      <alignment horizontal="center" vertical="center" wrapText="1"/>
    </xf>
    <xf numFmtId="3" fontId="1" fillId="4" borderId="3" xfId="0" applyNumberFormat="1" applyFont="1" applyFill="1" applyBorder="1" applyAlignment="1">
      <alignment horizontal="center"/>
    </xf>
    <xf numFmtId="165" fontId="1" fillId="4" borderId="3" xfId="0" applyNumberFormat="1" applyFont="1" applyFill="1" applyBorder="1" applyAlignment="1">
      <alignment horizontal="center"/>
    </xf>
    <xf numFmtId="1" fontId="2" fillId="4" borderId="0" xfId="0" applyNumberFormat="1" applyFont="1" applyFill="1"/>
    <xf numFmtId="0" fontId="57" fillId="4" borderId="0" xfId="0" applyFont="1" applyFill="1"/>
    <xf numFmtId="170" fontId="2" fillId="4" borderId="0" xfId="0" applyNumberFormat="1" applyFont="1" applyFill="1"/>
    <xf numFmtId="0" fontId="6" fillId="4" borderId="0" xfId="0" applyFont="1" applyFill="1" applyAlignment="1">
      <alignment horizontal="left" wrapText="1"/>
    </xf>
    <xf numFmtId="0" fontId="10" fillId="4" borderId="0" xfId="0" applyFont="1" applyFill="1" applyAlignment="1">
      <alignment horizontal="left"/>
    </xf>
    <xf numFmtId="0" fontId="3" fillId="4" borderId="0" xfId="0" applyFont="1" applyFill="1" applyBorder="1" applyAlignment="1">
      <alignment wrapText="1"/>
    </xf>
    <xf numFmtId="166" fontId="2" fillId="4" borderId="0" xfId="0" applyNumberFormat="1" applyFont="1" applyFill="1"/>
    <xf numFmtId="0" fontId="63" fillId="0" borderId="0" xfId="0" applyFont="1" applyAlignment="1">
      <alignment wrapText="1"/>
    </xf>
    <xf numFmtId="0" fontId="5" fillId="17" borderId="0" xfId="0" applyFont="1" applyFill="1" applyAlignment="1">
      <alignment vertical="center" wrapText="1"/>
    </xf>
    <xf numFmtId="0" fontId="40" fillId="13" borderId="0" xfId="4" applyFont="1" applyFill="1" applyAlignment="1">
      <alignment vertical="center" wrapText="1"/>
    </xf>
    <xf numFmtId="0" fontId="64" fillId="17" borderId="0" xfId="4" applyFont="1" applyFill="1" applyAlignment="1">
      <alignment vertical="center" wrapText="1"/>
    </xf>
    <xf numFmtId="0" fontId="2" fillId="4" borderId="5" xfId="0" applyFont="1" applyFill="1" applyBorder="1" applyAlignment="1">
      <alignment horizontal="center" vertical="center" wrapText="1"/>
    </xf>
    <xf numFmtId="0" fontId="2" fillId="4" borderId="7" xfId="0" applyFont="1" applyFill="1" applyBorder="1" applyAlignment="1">
      <alignment horizontal="center" vertical="center"/>
    </xf>
    <xf numFmtId="0" fontId="10" fillId="4" borderId="0" xfId="0" applyFont="1" applyFill="1" applyAlignment="1">
      <alignment horizontal="center" wrapText="1"/>
    </xf>
    <xf numFmtId="0" fontId="10" fillId="4" borderId="15" xfId="0" applyFont="1" applyFill="1" applyBorder="1" applyAlignment="1">
      <alignment horizontal="center" wrapText="1"/>
    </xf>
    <xf numFmtId="0" fontId="1" fillId="4" borderId="3" xfId="0" applyFont="1" applyFill="1" applyBorder="1" applyAlignment="1">
      <alignment horizontal="center"/>
    </xf>
    <xf numFmtId="0" fontId="2" fillId="4" borderId="3" xfId="0" applyFont="1" applyFill="1" applyBorder="1" applyAlignment="1">
      <alignment horizontal="center"/>
    </xf>
    <xf numFmtId="0" fontId="7" fillId="5" borderId="0" xfId="0" applyFont="1" applyFill="1" applyAlignment="1">
      <alignment horizontal="center"/>
    </xf>
    <xf numFmtId="165" fontId="1" fillId="4" borderId="5" xfId="0" applyNumberFormat="1" applyFont="1" applyFill="1" applyBorder="1" applyAlignment="1">
      <alignment horizontal="center"/>
    </xf>
    <xf numFmtId="165" fontId="1" fillId="4" borderId="7" xfId="0" applyNumberFormat="1" applyFont="1" applyFill="1" applyBorder="1" applyAlignment="1">
      <alignment horizont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0" fontId="5" fillId="4" borderId="3" xfId="0" applyFont="1" applyFill="1" applyBorder="1" applyAlignment="1">
      <alignment horizontal="left"/>
    </xf>
    <xf numFmtId="0" fontId="10" fillId="4" borderId="3" xfId="0" applyFont="1" applyFill="1" applyBorder="1" applyAlignment="1">
      <alignment horizontal="left"/>
    </xf>
    <xf numFmtId="0" fontId="3" fillId="4" borderId="9" xfId="0" applyFont="1" applyFill="1" applyBorder="1" applyAlignment="1">
      <alignment horizontal="left"/>
    </xf>
    <xf numFmtId="0" fontId="3" fillId="4" borderId="24" xfId="0" applyFont="1" applyFill="1" applyBorder="1" applyAlignment="1">
      <alignment horizontal="left"/>
    </xf>
    <xf numFmtId="0" fontId="3" fillId="4" borderId="10" xfId="0" applyFont="1" applyFill="1" applyBorder="1" applyAlignment="1">
      <alignment horizontal="left"/>
    </xf>
    <xf numFmtId="0" fontId="5" fillId="0" borderId="41" xfId="0" applyFont="1" applyBorder="1" applyAlignment="1">
      <alignment horizontal="center"/>
    </xf>
    <xf numFmtId="0" fontId="5" fillId="0" borderId="42" xfId="0" applyFont="1" applyBorder="1" applyAlignment="1">
      <alignment horizontal="center"/>
    </xf>
    <xf numFmtId="0" fontId="5" fillId="0" borderId="37" xfId="0" applyFont="1" applyBorder="1" applyAlignment="1">
      <alignment horizontal="center"/>
    </xf>
    <xf numFmtId="0" fontId="2" fillId="0" borderId="9" xfId="0" applyFont="1" applyFill="1" applyBorder="1" applyAlignment="1">
      <alignment horizontal="center"/>
    </xf>
    <xf numFmtId="0" fontId="2" fillId="0" borderId="10" xfId="0" applyFont="1" applyFill="1" applyBorder="1" applyAlignment="1">
      <alignment horizontal="center"/>
    </xf>
    <xf numFmtId="0" fontId="1" fillId="0" borderId="9" xfId="0" applyFont="1" applyFill="1" applyBorder="1" applyAlignment="1">
      <alignment horizontal="center"/>
    </xf>
    <xf numFmtId="0" fontId="1" fillId="0" borderId="10" xfId="0" applyFont="1" applyFill="1" applyBorder="1" applyAlignment="1">
      <alignment horizontal="center"/>
    </xf>
    <xf numFmtId="0" fontId="2" fillId="0" borderId="3" xfId="0" applyFont="1" applyFill="1" applyBorder="1" applyAlignment="1">
      <alignment horizontal="center"/>
    </xf>
    <xf numFmtId="0" fontId="10" fillId="0" borderId="0" xfId="0" applyFont="1" applyFill="1" applyAlignment="1">
      <alignment horizontal="center"/>
    </xf>
    <xf numFmtId="0" fontId="5" fillId="0" borderId="0" xfId="0" applyFont="1" applyAlignment="1">
      <alignment horizontal="center"/>
    </xf>
    <xf numFmtId="0" fontId="3" fillId="3" borderId="0" xfId="0" applyFont="1" applyFill="1" applyBorder="1" applyAlignment="1">
      <alignment horizontal="center"/>
    </xf>
    <xf numFmtId="0" fontId="1" fillId="0" borderId="3" xfId="0" applyFont="1" applyFill="1" applyBorder="1" applyAlignment="1">
      <alignment horizontal="center"/>
    </xf>
    <xf numFmtId="9" fontId="49" fillId="10" borderId="9" xfId="0" applyNumberFormat="1" applyFont="1" applyFill="1" applyBorder="1" applyAlignment="1">
      <alignment horizontal="center" wrapText="1"/>
    </xf>
    <xf numFmtId="0" fontId="49" fillId="10" borderId="10" xfId="0" applyFont="1" applyFill="1" applyBorder="1" applyAlignment="1">
      <alignment horizontal="center" wrapText="1"/>
    </xf>
    <xf numFmtId="0" fontId="1" fillId="4" borderId="5" xfId="0" applyFont="1" applyFill="1" applyBorder="1" applyAlignment="1">
      <alignment horizontal="center" wrapText="1"/>
    </xf>
    <xf numFmtId="0" fontId="2" fillId="4" borderId="7" xfId="0" applyFont="1" applyFill="1" applyBorder="1" applyAlignment="1">
      <alignment horizontal="center" wrapText="1"/>
    </xf>
    <xf numFmtId="0" fontId="1" fillId="4" borderId="4"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26" fillId="4" borderId="0" xfId="0" applyFont="1" applyFill="1" applyBorder="1" applyAlignment="1">
      <alignment horizontal="left" vertical="top" wrapText="1"/>
    </xf>
    <xf numFmtId="0" fontId="1" fillId="4" borderId="3" xfId="0" applyFont="1" applyFill="1" applyBorder="1" applyAlignment="1">
      <alignment horizontal="center" wrapText="1"/>
    </xf>
    <xf numFmtId="0" fontId="0" fillId="4" borderId="8" xfId="0" applyFill="1" applyBorder="1" applyAlignment="1">
      <alignment horizontal="center"/>
    </xf>
    <xf numFmtId="0" fontId="0" fillId="4" borderId="22" xfId="0" applyFill="1" applyBorder="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4" xfId="0" applyFill="1" applyBorder="1" applyAlignment="1">
      <alignment horizontal="center"/>
    </xf>
    <xf numFmtId="0" fontId="0" fillId="4" borderId="26" xfId="0" applyFill="1" applyBorder="1" applyAlignment="1">
      <alignment horizontal="center"/>
    </xf>
    <xf numFmtId="0" fontId="2" fillId="4" borderId="9" xfId="0" applyFont="1" applyFill="1" applyBorder="1" applyAlignment="1">
      <alignment horizontal="center"/>
    </xf>
    <xf numFmtId="0" fontId="2" fillId="4" borderId="24" xfId="0" applyFont="1" applyFill="1" applyBorder="1" applyAlignment="1">
      <alignment horizontal="center"/>
    </xf>
    <xf numFmtId="0" fontId="2" fillId="4" borderId="10" xfId="0" applyFont="1" applyFill="1" applyBorder="1" applyAlignment="1">
      <alignment horizontal="center"/>
    </xf>
    <xf numFmtId="0" fontId="2" fillId="4" borderId="7" xfId="0" applyFont="1" applyFill="1" applyBorder="1" applyAlignment="1">
      <alignment horizontal="center" vertical="center" wrapText="1"/>
    </xf>
    <xf numFmtId="0" fontId="3" fillId="4" borderId="0" xfId="0" applyFont="1" applyFill="1" applyBorder="1" applyAlignment="1">
      <alignment horizontal="center" wrapText="1"/>
    </xf>
    <xf numFmtId="0" fontId="3" fillId="4" borderId="0" xfId="0" applyFont="1" applyFill="1" applyAlignment="1">
      <alignment horizontal="center" wrapText="1"/>
    </xf>
    <xf numFmtId="0" fontId="10" fillId="4" borderId="0" xfId="0" applyFont="1" applyFill="1" applyBorder="1" applyAlignment="1">
      <alignment horizontal="left" vertical="center"/>
    </xf>
    <xf numFmtId="0" fontId="0" fillId="4" borderId="5" xfId="0" applyFill="1" applyBorder="1" applyAlignment="1">
      <alignment horizontal="center"/>
    </xf>
    <xf numFmtId="0" fontId="0" fillId="4" borderId="7" xfId="0" applyFill="1" applyBorder="1" applyAlignment="1">
      <alignment horizontal="center"/>
    </xf>
    <xf numFmtId="0" fontId="1" fillId="4" borderId="0" xfId="0" applyFont="1" applyFill="1" applyBorder="1" applyAlignment="1">
      <alignment horizontal="center" wrapText="1"/>
    </xf>
    <xf numFmtId="0" fontId="2" fillId="4" borderId="0" xfId="0" applyFont="1" applyFill="1" applyBorder="1" applyAlignment="1">
      <alignment horizontal="center"/>
    </xf>
    <xf numFmtId="0" fontId="2" fillId="5" borderId="3" xfId="0" applyFont="1" applyFill="1" applyBorder="1" applyAlignment="1">
      <alignment horizontal="center"/>
    </xf>
    <xf numFmtId="0" fontId="5" fillId="4" borderId="5" xfId="0" applyFont="1" applyFill="1" applyBorder="1" applyAlignment="1">
      <alignment horizontal="center" wrapText="1"/>
    </xf>
    <xf numFmtId="0" fontId="5" fillId="4" borderId="7" xfId="0" applyFont="1" applyFill="1" applyBorder="1" applyAlignment="1">
      <alignment horizontal="center"/>
    </xf>
    <xf numFmtId="0" fontId="2" fillId="4" borderId="3" xfId="0" applyFont="1" applyFill="1" applyBorder="1" applyAlignment="1">
      <alignment horizontal="center" vertical="center"/>
    </xf>
    <xf numFmtId="0" fontId="2" fillId="4" borderId="3" xfId="0" applyFont="1" applyFill="1" applyBorder="1" applyAlignment="1">
      <alignment horizontal="center" vertical="center" wrapText="1"/>
    </xf>
    <xf numFmtId="0" fontId="62" fillId="16" borderId="3" xfId="0" applyFont="1" applyFill="1" applyBorder="1" applyAlignment="1">
      <alignment horizontal="center"/>
    </xf>
    <xf numFmtId="0" fontId="3" fillId="4" borderId="0" xfId="0" applyFont="1" applyFill="1" applyBorder="1" applyAlignment="1">
      <alignment horizontal="center"/>
    </xf>
    <xf numFmtId="0" fontId="2" fillId="4" borderId="5" xfId="0" applyFont="1" applyFill="1" applyBorder="1" applyAlignment="1">
      <alignment horizontal="center" vertical="center"/>
    </xf>
    <xf numFmtId="0" fontId="6" fillId="4" borderId="0" xfId="0" applyFont="1" applyFill="1" applyAlignment="1">
      <alignment horizontal="center" wrapText="1"/>
    </xf>
    <xf numFmtId="0" fontId="10" fillId="4" borderId="0" xfId="0" applyFont="1" applyFill="1" applyAlignment="1">
      <alignment horizontal="center"/>
    </xf>
    <xf numFmtId="0" fontId="0" fillId="4" borderId="0" xfId="0" applyFill="1" applyAlignment="1">
      <alignment horizontal="center"/>
    </xf>
    <xf numFmtId="0" fontId="1" fillId="4" borderId="0" xfId="0" applyFont="1" applyFill="1" applyAlignment="1" applyProtection="1">
      <alignment horizontal="left" wrapText="1"/>
      <protection locked="0"/>
    </xf>
    <xf numFmtId="0" fontId="1" fillId="4" borderId="21" xfId="0" applyFont="1" applyFill="1" applyBorder="1" applyAlignment="1" applyProtection="1">
      <alignment horizontal="left" wrapText="1"/>
      <protection locked="0"/>
    </xf>
    <xf numFmtId="0" fontId="1" fillId="4" borderId="0" xfId="0" applyFont="1" applyFill="1" applyAlignment="1" applyProtection="1">
      <alignment horizontal="center" wrapText="1"/>
      <protection locked="0"/>
    </xf>
    <xf numFmtId="0" fontId="1" fillId="4" borderId="21" xfId="0" applyFont="1" applyFill="1" applyBorder="1" applyAlignment="1" applyProtection="1">
      <alignment horizontal="center" wrapText="1"/>
      <protection locked="0"/>
    </xf>
    <xf numFmtId="0" fontId="26" fillId="4" borderId="0" xfId="0" applyFont="1" applyFill="1" applyAlignment="1" applyProtection="1">
      <alignment horizontal="left" vertical="top" wrapText="1"/>
      <protection locked="0"/>
    </xf>
    <xf numFmtId="0" fontId="10" fillId="4" borderId="3" xfId="0" applyFont="1" applyFill="1" applyBorder="1" applyAlignment="1">
      <alignment horizontal="center"/>
    </xf>
    <xf numFmtId="0" fontId="10" fillId="4" borderId="9" xfId="0" applyFont="1" applyFill="1" applyBorder="1" applyAlignment="1">
      <alignment horizontal="center"/>
    </xf>
    <xf numFmtId="0" fontId="1" fillId="4" borderId="4" xfId="0" applyFont="1" applyFill="1" applyBorder="1" applyAlignment="1">
      <alignment horizontal="center" wrapText="1"/>
    </xf>
    <xf numFmtId="0" fontId="2" fillId="4" borderId="8" xfId="0" applyFont="1" applyFill="1" applyBorder="1" applyAlignment="1">
      <alignment horizontal="center"/>
    </xf>
    <xf numFmtId="0" fontId="1" fillId="4" borderId="7" xfId="0" applyFont="1" applyFill="1" applyBorder="1" applyAlignment="1">
      <alignment horizontal="center"/>
    </xf>
    <xf numFmtId="0" fontId="10" fillId="4" borderId="9" xfId="0" applyFont="1" applyFill="1" applyBorder="1" applyAlignment="1">
      <alignment horizontal="left"/>
    </xf>
    <xf numFmtId="0" fontId="10" fillId="4" borderId="24" xfId="0" applyFont="1" applyFill="1" applyBorder="1" applyAlignment="1">
      <alignment horizontal="left"/>
    </xf>
    <xf numFmtId="0" fontId="10" fillId="4" borderId="10" xfId="0" applyFont="1" applyFill="1" applyBorder="1" applyAlignment="1">
      <alignment horizontal="left"/>
    </xf>
    <xf numFmtId="0" fontId="5" fillId="0" borderId="0" xfId="0" applyFont="1" applyFill="1" applyAlignment="1">
      <alignment horizontal="center"/>
    </xf>
    <xf numFmtId="0" fontId="0" fillId="0" borderId="9" xfId="0" applyFill="1" applyBorder="1" applyAlignment="1">
      <alignment horizontal="center"/>
    </xf>
    <xf numFmtId="0" fontId="0" fillId="0" borderId="24" xfId="0" applyFill="1" applyBorder="1" applyAlignment="1">
      <alignment horizontal="center"/>
    </xf>
    <xf numFmtId="0" fontId="0" fillId="0" borderId="10" xfId="0" applyFill="1" applyBorder="1" applyAlignment="1">
      <alignment horizontal="center"/>
    </xf>
    <xf numFmtId="0" fontId="13" fillId="0" borderId="43" xfId="0" applyFont="1" applyBorder="1" applyAlignment="1">
      <alignment vertical="top" wrapText="1"/>
    </xf>
    <xf numFmtId="0" fontId="13" fillId="0" borderId="44" xfId="0" applyFont="1" applyBorder="1" applyAlignment="1">
      <alignment vertical="top" wrapText="1"/>
    </xf>
    <xf numFmtId="0" fontId="13" fillId="0" borderId="14" xfId="0" applyFont="1" applyBorder="1" applyAlignment="1">
      <alignment vertical="top" wrapText="1"/>
    </xf>
    <xf numFmtId="0" fontId="7" fillId="0" borderId="0" xfId="0" applyFont="1" applyFill="1" applyAlignment="1">
      <alignment horizontal="center"/>
    </xf>
    <xf numFmtId="0" fontId="0" fillId="0" borderId="0" xfId="0" applyFill="1" applyAlignment="1">
      <alignment horizontal="center"/>
    </xf>
    <xf numFmtId="0" fontId="0" fillId="0" borderId="2" xfId="0" applyFill="1" applyBorder="1" applyAlignment="1">
      <alignment horizontal="center"/>
    </xf>
    <xf numFmtId="0" fontId="32" fillId="4" borderId="0" xfId="3" applyFont="1" applyFill="1" applyAlignment="1">
      <alignment horizontal="center"/>
    </xf>
    <xf numFmtId="0" fontId="30" fillId="4" borderId="0" xfId="3" applyFont="1" applyFill="1" applyAlignment="1">
      <alignment horizontal="center"/>
    </xf>
    <xf numFmtId="0" fontId="30" fillId="5" borderId="0" xfId="3" applyFont="1" applyFill="1" applyAlignment="1">
      <alignment horizontal="center"/>
    </xf>
    <xf numFmtId="0" fontId="29" fillId="4" borderId="0" xfId="3" applyFont="1" applyFill="1" applyAlignment="1">
      <alignment horizontal="left"/>
    </xf>
    <xf numFmtId="0" fontId="2" fillId="0" borderId="3" xfId="0" applyFont="1" applyBorder="1" applyAlignment="1">
      <alignment horizontal="center" vertical="center"/>
    </xf>
    <xf numFmtId="0" fontId="2" fillId="3" borderId="3" xfId="0" applyFont="1" applyFill="1" applyBorder="1" applyAlignment="1">
      <alignment horizontal="center" vertical="center" wrapText="1"/>
    </xf>
    <xf numFmtId="0" fontId="5" fillId="0" borderId="3" xfId="0" applyFont="1" applyBorder="1" applyAlignment="1">
      <alignment horizontal="center"/>
    </xf>
    <xf numFmtId="0" fontId="5" fillId="0" borderId="4" xfId="0" applyFont="1" applyBorder="1" applyAlignment="1">
      <alignment horizontal="center"/>
    </xf>
    <xf numFmtId="0" fontId="5" fillId="0" borderId="25" xfId="0" applyFont="1" applyBorder="1" applyAlignment="1">
      <alignment horizontal="center"/>
    </xf>
    <xf numFmtId="0" fontId="5" fillId="0" borderId="26" xfId="0" applyFont="1" applyBorder="1" applyAlignment="1">
      <alignment horizontal="center"/>
    </xf>
    <xf numFmtId="0" fontId="27" fillId="0" borderId="0" xfId="3" applyFont="1" applyAlignment="1">
      <alignment horizontal="center"/>
    </xf>
    <xf numFmtId="0" fontId="10" fillId="0" borderId="0" xfId="0" applyFont="1" applyFill="1" applyAlignment="1">
      <alignment horizontal="left" wrapText="1"/>
    </xf>
    <xf numFmtId="0" fontId="13" fillId="0" borderId="3" xfId="0" applyFont="1" applyBorder="1" applyAlignment="1">
      <alignment horizontal="justify" vertical="top" wrapText="1"/>
    </xf>
    <xf numFmtId="0" fontId="13" fillId="0" borderId="3" xfId="0" applyFont="1" applyBorder="1" applyAlignment="1">
      <alignment horizontal="center" wrapText="1"/>
    </xf>
    <xf numFmtId="0" fontId="3" fillId="0" borderId="5" xfId="0" applyFont="1" applyBorder="1" applyAlignment="1">
      <alignment horizontal="left"/>
    </xf>
    <xf numFmtId="0" fontId="3" fillId="0" borderId="7" xfId="0" applyFont="1" applyBorder="1" applyAlignment="1">
      <alignment horizontal="left"/>
    </xf>
    <xf numFmtId="0" fontId="33" fillId="0" borderId="3" xfId="0" applyFont="1" applyBorder="1" applyAlignment="1">
      <alignment horizontal="center" vertical="center" wrapText="1"/>
    </xf>
    <xf numFmtId="0" fontId="3" fillId="0" borderId="3" xfId="0" applyFont="1" applyBorder="1" applyAlignment="1">
      <alignment horizontal="center" wrapText="1"/>
    </xf>
    <xf numFmtId="0" fontId="5" fillId="0" borderId="3" xfId="0" applyFont="1" applyBorder="1" applyAlignment="1">
      <alignment horizontal="center" wrapText="1"/>
    </xf>
    <xf numFmtId="0" fontId="13" fillId="0" borderId="3" xfId="0" applyFont="1" applyBorder="1" applyAlignment="1">
      <alignment horizontal="center" vertical="center" wrapText="1"/>
    </xf>
    <xf numFmtId="0" fontId="12" fillId="0" borderId="6" xfId="0" applyFont="1" applyBorder="1" applyAlignment="1">
      <alignment horizontal="center" wrapText="1"/>
    </xf>
    <xf numFmtId="0" fontId="0" fillId="0" borderId="3" xfId="0" applyBorder="1" applyAlignment="1">
      <alignment horizontal="center"/>
    </xf>
    <xf numFmtId="0" fontId="13" fillId="0" borderId="3" xfId="0" applyFont="1" applyBorder="1" applyAlignment="1">
      <alignment vertical="top" wrapText="1"/>
    </xf>
    <xf numFmtId="2" fontId="33" fillId="0" borderId="3" xfId="0" applyNumberFormat="1" applyFont="1" applyBorder="1" applyAlignment="1">
      <alignment horizontal="center" vertical="center" wrapText="1"/>
    </xf>
    <xf numFmtId="0" fontId="3" fillId="0" borderId="4" xfId="0" applyFont="1" applyBorder="1" applyAlignment="1">
      <alignment horizontal="center" wrapText="1"/>
    </xf>
    <xf numFmtId="0" fontId="3" fillId="0" borderId="26" xfId="0" applyFont="1" applyBorder="1" applyAlignment="1">
      <alignment horizontal="center" wrapText="1"/>
    </xf>
    <xf numFmtId="0" fontId="3" fillId="0" borderId="8" xfId="0" applyFont="1" applyBorder="1" applyAlignment="1">
      <alignment horizontal="center" wrapText="1"/>
    </xf>
    <xf numFmtId="0" fontId="3" fillId="0" borderId="22" xfId="0" applyFont="1" applyBorder="1" applyAlignment="1">
      <alignment horizontal="center" wrapText="1"/>
    </xf>
    <xf numFmtId="0" fontId="33" fillId="0" borderId="3" xfId="0" applyFont="1" applyBorder="1" applyAlignment="1">
      <alignment horizontal="center" vertical="center"/>
    </xf>
    <xf numFmtId="0" fontId="14" fillId="0" borderId="3" xfId="0" applyFont="1" applyBorder="1" applyAlignment="1">
      <alignment horizontal="center" vertical="top" wrapText="1"/>
    </xf>
    <xf numFmtId="0" fontId="15" fillId="7" borderId="3" xfId="0" applyFont="1" applyFill="1" applyBorder="1" applyAlignment="1">
      <alignment horizontal="center" vertical="top" wrapText="1"/>
    </xf>
    <xf numFmtId="0" fontId="16" fillId="7" borderId="49" xfId="0" applyFont="1" applyFill="1" applyBorder="1" applyAlignment="1">
      <alignment horizontal="center" vertical="top" wrapText="1"/>
    </xf>
    <xf numFmtId="0" fontId="16" fillId="7" borderId="50" xfId="0" applyFont="1" applyFill="1" applyBorder="1" applyAlignment="1">
      <alignment horizontal="center" vertical="top" wrapText="1"/>
    </xf>
    <xf numFmtId="0" fontId="15" fillId="7" borderId="0" xfId="0" applyFont="1" applyFill="1" applyBorder="1" applyAlignment="1">
      <alignment horizontal="left" vertical="top" wrapText="1"/>
    </xf>
    <xf numFmtId="0" fontId="15" fillId="0" borderId="21" xfId="0" applyFont="1" applyFill="1" applyBorder="1" applyAlignment="1">
      <alignment horizontal="center" vertical="top" wrapText="1"/>
    </xf>
    <xf numFmtId="0" fontId="16" fillId="7" borderId="3" xfId="0" applyFont="1" applyFill="1" applyBorder="1" applyAlignment="1">
      <alignment horizontal="center" vertical="top" wrapText="1"/>
    </xf>
    <xf numFmtId="0" fontId="16" fillId="0" borderId="43" xfId="0" applyFont="1" applyBorder="1" applyAlignment="1">
      <alignment horizontal="justify" vertical="top" wrapText="1"/>
    </xf>
    <xf numFmtId="0" fontId="16" fillId="0" borderId="14" xfId="0" applyFont="1" applyBorder="1" applyAlignment="1">
      <alignment horizontal="justify" vertical="top" wrapText="1"/>
    </xf>
    <xf numFmtId="0" fontId="16" fillId="0" borderId="43" xfId="0" applyFont="1" applyBorder="1" applyAlignment="1">
      <alignment horizontal="center" vertical="top" wrapText="1"/>
    </xf>
    <xf numFmtId="0" fontId="16" fillId="0" borderId="14" xfId="0" applyFont="1" applyBorder="1" applyAlignment="1">
      <alignment horizontal="center" vertical="top" wrapText="1"/>
    </xf>
    <xf numFmtId="0" fontId="16" fillId="7" borderId="45" xfId="0" applyFont="1" applyFill="1" applyBorder="1" applyAlignment="1">
      <alignment horizontal="justify" vertical="top" wrapText="1"/>
    </xf>
    <xf numFmtId="0" fontId="16" fillId="7" borderId="17" xfId="0" applyFont="1" applyFill="1" applyBorder="1" applyAlignment="1">
      <alignment horizontal="justify" vertical="top" wrapText="1"/>
    </xf>
    <xf numFmtId="0" fontId="16" fillId="0" borderId="32" xfId="0" applyFont="1" applyBorder="1" applyAlignment="1">
      <alignment horizontal="center" vertical="top" wrapText="1"/>
    </xf>
    <xf numFmtId="0" fontId="16" fillId="0" borderId="46" xfId="0" applyFont="1" applyBorder="1" applyAlignment="1">
      <alignment horizontal="center" vertical="top" wrapText="1"/>
    </xf>
    <xf numFmtId="0" fontId="16" fillId="0" borderId="16" xfId="0" applyFont="1" applyBorder="1" applyAlignment="1">
      <alignment horizontal="center" vertical="top" wrapText="1"/>
    </xf>
    <xf numFmtId="0" fontId="15" fillId="7" borderId="47" xfId="0" applyFont="1" applyFill="1" applyBorder="1" applyAlignment="1">
      <alignment horizontal="center" vertical="top" wrapText="1"/>
    </xf>
    <xf numFmtId="0" fontId="15" fillId="7" borderId="48" xfId="0" applyFont="1" applyFill="1" applyBorder="1" applyAlignment="1">
      <alignment horizontal="center" vertical="top" wrapText="1"/>
    </xf>
    <xf numFmtId="0" fontId="15" fillId="7" borderId="23" xfId="0" applyFont="1" applyFill="1" applyBorder="1" applyAlignment="1">
      <alignment horizontal="center" vertical="top" wrapText="1"/>
    </xf>
    <xf numFmtId="0" fontId="16" fillId="7" borderId="47" xfId="0" applyFont="1" applyFill="1" applyBorder="1" applyAlignment="1">
      <alignment horizontal="center" vertical="top" wrapText="1"/>
    </xf>
    <xf numFmtId="0" fontId="16" fillId="7" borderId="48" xfId="0" applyFont="1" applyFill="1" applyBorder="1" applyAlignment="1">
      <alignment horizontal="center" vertical="top" wrapText="1"/>
    </xf>
    <xf numFmtId="0" fontId="16" fillId="7" borderId="23" xfId="0" applyFont="1" applyFill="1" applyBorder="1" applyAlignment="1">
      <alignment horizontal="center" vertical="top" wrapText="1"/>
    </xf>
    <xf numFmtId="0" fontId="16" fillId="0" borderId="3" xfId="0" applyFont="1" applyFill="1" applyBorder="1" applyAlignment="1">
      <alignment horizontal="center" vertical="top" wrapText="1"/>
    </xf>
    <xf numFmtId="0" fontId="0" fillId="0" borderId="0" xfId="0" applyAlignment="1">
      <alignment wrapText="1"/>
    </xf>
  </cellXfs>
  <cellStyles count="5">
    <cellStyle name="Hyperlink" xfId="1" builtinId="8"/>
    <cellStyle name="Procent 2" xfId="2"/>
    <cellStyle name="Standaard" xfId="0" builtinId="0"/>
    <cellStyle name="Standaard 2" xfId="3"/>
    <cellStyle name="Standaard_Blad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Drop" dropStyle="combo" dx="16" fmlaLink="'Verwerken Algemeen'!$B$2" fmlaRange="'Verwerken Algemeen'!$A$17:$A$19" sel="2" val="0"/>
</file>

<file path=xl/ctrlProps/ctrlProp10.xml><?xml version="1.0" encoding="utf-8"?>
<formControlPr xmlns="http://schemas.microsoft.com/office/spreadsheetml/2009/9/main" objectType="Drop" dropStyle="combo" dx="16" fmlaLink="'Energiebelasting en transport'!$A$19" fmlaRange="'Energiebelasting en transport'!$A$17:$A$18" sel="2" val="0"/>
</file>

<file path=xl/ctrlProps/ctrlProp100.xml><?xml version="1.0" encoding="utf-8"?>
<formControlPr xmlns="http://schemas.microsoft.com/office/spreadsheetml/2009/9/main" objectType="Drop" dropStyle="combo" dx="16" fmlaLink="'Verwerking Bouwdelen'!$B$13" fmlaRange="'Verwerking Bouwdelen'!$G$59:$G$68" val="0"/>
</file>

<file path=xl/ctrlProps/ctrlProp1000.xml><?xml version="1.0" encoding="utf-8"?>
<formControlPr xmlns="http://schemas.microsoft.com/office/spreadsheetml/2009/9/main" objectType="Drop" dropStyle="combo" dx="16" fmlaLink="'Verwerken verlichting'!$AF$26" fmlaRange="'Verwerken verlichting'!$H$31:$H$33" val="0"/>
</file>

<file path=xl/ctrlProps/ctrlProp1001.xml><?xml version="1.0" encoding="utf-8"?>
<formControlPr xmlns="http://schemas.microsoft.com/office/spreadsheetml/2009/9/main" objectType="Drop" dropStyle="combo" dx="16" fmlaLink="'Verwerken verlichting'!$AF$27" fmlaRange="'Verwerken verlichting'!$H$31:$H$33" val="0"/>
</file>

<file path=xl/ctrlProps/ctrlProp1002.xml><?xml version="1.0" encoding="utf-8"?>
<formControlPr xmlns="http://schemas.microsoft.com/office/spreadsheetml/2009/9/main" objectType="Drop" dropStyle="combo" dx="16" fmlaLink="'Verwerken verlichting'!$AF$26" fmlaRange="'Verwerken verlichting'!$H$31:$H$33" val="0"/>
</file>

<file path=xl/ctrlProps/ctrlProp1003.xml><?xml version="1.0" encoding="utf-8"?>
<formControlPr xmlns="http://schemas.microsoft.com/office/spreadsheetml/2009/9/main" objectType="Drop" dropStyle="combo" dx="16" fmlaLink="'Verwerken verlichting'!$AF$27" fmlaRange="'Verwerken verlichting'!$H$31:$H$33" val="0"/>
</file>

<file path=xl/ctrlProps/ctrlProp1004.xml><?xml version="1.0" encoding="utf-8"?>
<formControlPr xmlns="http://schemas.microsoft.com/office/spreadsheetml/2009/9/main" objectType="Drop" dropStyle="combo" dx="16" fmlaLink="'Verwerken verlichting'!$AF$5" fmlaRange="'Verwerken verlichting'!$H$31:$H$33" val="0"/>
</file>

<file path=xl/ctrlProps/ctrlProp1005.xml><?xml version="1.0" encoding="utf-8"?>
<formControlPr xmlns="http://schemas.microsoft.com/office/spreadsheetml/2009/9/main" objectType="Drop" dropStyle="combo" dx="16" fmlaLink="'Verwerken verlichting'!$AF$6" fmlaRange="'Verwerken verlichting'!$H$31:$H$33" val="0"/>
</file>

<file path=xl/ctrlProps/ctrlProp1006.xml><?xml version="1.0" encoding="utf-8"?>
<formControlPr xmlns="http://schemas.microsoft.com/office/spreadsheetml/2009/9/main" objectType="Drop" dropStyle="combo" dx="16" fmlaLink="'Verwerken verlichting'!$AF$27" fmlaRange="'Verwerken verlichting'!$H$31:$H$33" val="0"/>
</file>

<file path=xl/ctrlProps/ctrlProp1007.xml><?xml version="1.0" encoding="utf-8"?>
<formControlPr xmlns="http://schemas.microsoft.com/office/spreadsheetml/2009/9/main" objectType="Drop" dropStyle="combo" dx="16" fmlaLink="'Verwerken verlichting'!$AF$5" fmlaRange="'Verwerken verlichting'!$H$31:$H$33" val="0"/>
</file>

<file path=xl/ctrlProps/ctrlProp1008.xml><?xml version="1.0" encoding="utf-8"?>
<formControlPr xmlns="http://schemas.microsoft.com/office/spreadsheetml/2009/9/main" objectType="Drop" dropStyle="combo" dx="16" fmlaLink="'Verwerken verlichting'!$AF$6" fmlaRange="'Verwerken verlichting'!$H$31:$H$33" val="0"/>
</file>

<file path=xl/ctrlProps/ctrlProp1009.xml><?xml version="1.0" encoding="utf-8"?>
<formControlPr xmlns="http://schemas.microsoft.com/office/spreadsheetml/2009/9/main" objectType="Drop" dropStyle="combo" dx="16" fmlaLink="'Verwerken verlichting'!$AF$28" fmlaRange="'Verwerken verlichting'!$H$31:$H$33" val="0"/>
</file>

<file path=xl/ctrlProps/ctrlProp101.xml><?xml version="1.0" encoding="utf-8"?>
<formControlPr xmlns="http://schemas.microsoft.com/office/spreadsheetml/2009/9/main" objectType="Drop" dropStyle="combo" dx="16" fmlaLink="'Verwerking Bouwdelen'!$B$14" fmlaRange="'Verwerking Bouwdelen'!$G$59:$G$68" val="0"/>
</file>

<file path=xl/ctrlProps/ctrlProp1010.xml><?xml version="1.0" encoding="utf-8"?>
<formControlPr xmlns="http://schemas.microsoft.com/office/spreadsheetml/2009/9/main" objectType="Drop" dropStyle="combo" dx="16" fmlaLink="'binnenklimaatlabel type 1'!$B$2" fmlaRange="'Menu´s Binnenklimaat'!$B$22:$B$27" sel="4" val="0"/>
</file>

<file path=xl/ctrlProps/ctrlProp1011.xml><?xml version="1.0" encoding="utf-8"?>
<formControlPr xmlns="http://schemas.microsoft.com/office/spreadsheetml/2009/9/main" objectType="Drop" dropStyle="combo" dx="16" fmlaLink="'binnenklimaatlabel type 1'!$B$5" fmlaRange="'Menu´s Binnenklimaat'!$B$30:$B$34" val="0"/>
</file>

<file path=xl/ctrlProps/ctrlProp1012.xml><?xml version="1.0" encoding="utf-8"?>
<formControlPr xmlns="http://schemas.microsoft.com/office/spreadsheetml/2009/9/main" objectType="Drop" dropStyle="combo" dx="16" fmlaLink="'binnenklimaatlabel type 1'!$B$6" fmlaRange="'Menu´s Binnenklimaat'!$B$30:$B$34" val="0"/>
</file>

<file path=xl/ctrlProps/ctrlProp1013.xml><?xml version="1.0" encoding="utf-8"?>
<formControlPr xmlns="http://schemas.microsoft.com/office/spreadsheetml/2009/9/main" objectType="Drop" dropStyle="combo" dx="16" fmlaLink="'binnenklimaatlabel type 1'!$B$7" fmlaRange="'Menu´s Binnenklimaat'!$B$30:$B$34" val="0"/>
</file>

<file path=xl/ctrlProps/ctrlProp1014.xml><?xml version="1.0" encoding="utf-8"?>
<formControlPr xmlns="http://schemas.microsoft.com/office/spreadsheetml/2009/9/main" objectType="Drop" dropStyle="combo" dx="16" fmlaLink="'binnenklimaatlabel type 1'!$B$10" fmlaRange="'Menu´s Binnenklimaat'!$B$38:$B$42" val="0"/>
</file>

<file path=xl/ctrlProps/ctrlProp1015.xml><?xml version="1.0" encoding="utf-8"?>
<formControlPr xmlns="http://schemas.microsoft.com/office/spreadsheetml/2009/9/main" objectType="Drop" dropStyle="combo" dx="16" fmlaLink="'binnenklimaatlabel type 1'!$B$11" fmlaRange="'Menu´s Binnenklimaat'!$B$38:$B$42" val="0"/>
</file>

<file path=xl/ctrlProps/ctrlProp1016.xml><?xml version="1.0" encoding="utf-8"?>
<formControlPr xmlns="http://schemas.microsoft.com/office/spreadsheetml/2009/9/main" objectType="Drop" dropStyle="combo" dx="16" fmlaLink="'binnenklimaatlabel type 1'!$B$12" fmlaRange="'Menu´s Binnenklimaat'!$B$38:$B$42" val="0"/>
</file>

<file path=xl/ctrlProps/ctrlProp1017.xml><?xml version="1.0" encoding="utf-8"?>
<formControlPr xmlns="http://schemas.microsoft.com/office/spreadsheetml/2009/9/main" objectType="Drop" dropStyle="combo" dx="16" fmlaLink="'binnenklimaatlabel type 1'!$B$14" fmlaRange="'Menu´s Binnenklimaat'!$B$54:$B$58" val="0"/>
</file>

<file path=xl/ctrlProps/ctrlProp1018.xml><?xml version="1.0" encoding="utf-8"?>
<formControlPr xmlns="http://schemas.microsoft.com/office/spreadsheetml/2009/9/main" objectType="Drop" dropStyle="combo" dx="16" fmlaLink="'binnenklimaatlabel type 1'!$B$15" fmlaRange="'Menu´s Binnenklimaat'!$B$61:$B$65" val="0"/>
</file>

<file path=xl/ctrlProps/ctrlProp1019.xml><?xml version="1.0" encoding="utf-8"?>
<formControlPr xmlns="http://schemas.microsoft.com/office/spreadsheetml/2009/9/main" objectType="Drop" dropStyle="combo" dx="16" fmlaLink="'binnenklimaatlabel type 1'!$B$16" fmlaRange="'Menu´s Binnenklimaat'!$C$61:$C$64" val="0"/>
</file>

<file path=xl/ctrlProps/ctrlProp102.xml><?xml version="1.0" encoding="utf-8"?>
<formControlPr xmlns="http://schemas.microsoft.com/office/spreadsheetml/2009/9/main" objectType="Drop" dropStyle="combo" dx="16" fmlaLink="'Verwerking Bouwdelen'!$B$15" fmlaRange="'Verwerking Bouwdelen'!$G$59:$G$68" val="0"/>
</file>

<file path=xl/ctrlProps/ctrlProp1020.xml><?xml version="1.0" encoding="utf-8"?>
<formControlPr xmlns="http://schemas.microsoft.com/office/spreadsheetml/2009/9/main" objectType="Drop" dropStyle="combo" dx="16" fmlaLink="'binnenklimaatlabel type 1'!$B$17" fmlaRange="'Menu´s Binnenklimaat'!$B$68:$B$75" val="0"/>
</file>

<file path=xl/ctrlProps/ctrlProp1021.xml><?xml version="1.0" encoding="utf-8"?>
<formControlPr xmlns="http://schemas.microsoft.com/office/spreadsheetml/2009/9/main" objectType="Drop" dropStyle="combo" dx="16" fmlaLink="'binnenklimaatlabel type 1'!$B$18" fmlaRange="'Menu´s Binnenklimaat'!$B$78:$B$79" val="0"/>
</file>

<file path=xl/ctrlProps/ctrlProp1022.xml><?xml version="1.0" encoding="utf-8"?>
<formControlPr xmlns="http://schemas.microsoft.com/office/spreadsheetml/2009/9/main" objectType="Drop" dropStyle="combo" dx="16" fmlaLink="'binnenklimaatlabel type 1'!$B$13" fmlaRange="'Menu´s Binnenklimaat'!$B$45:$B$51" sel="7" val="0"/>
</file>

<file path=xl/ctrlProps/ctrlProp1023.xml><?xml version="1.0" encoding="utf-8"?>
<formControlPr xmlns="http://schemas.microsoft.com/office/spreadsheetml/2009/9/main" objectType="Drop" dropStyle="combo" dx="16" fmlaLink="'binnenklimaatlabel type 1'!$B$19" fmlaRange="'Menu´s Binnenklimaat'!$B$82:$B$85" val="0"/>
</file>

<file path=xl/ctrlProps/ctrlProp1024.xml><?xml version="1.0" encoding="utf-8"?>
<formControlPr xmlns="http://schemas.microsoft.com/office/spreadsheetml/2009/9/main" objectType="Drop" dropStyle="combo" dx="16" fmlaLink="'binnenklimaatlabel type 1'!$C$2" fmlaRange="'Menu´s Binnenklimaat'!$B$22:$B$27" val="0"/>
</file>

<file path=xl/ctrlProps/ctrlProp1025.xml><?xml version="1.0" encoding="utf-8"?>
<formControlPr xmlns="http://schemas.microsoft.com/office/spreadsheetml/2009/9/main" objectType="Drop" dropStyle="combo" dx="16" fmlaLink="'binnenklimaatlabel type 1'!$C$5" fmlaRange="'Menu´s Binnenklimaat'!$B$30:$B$34" val="0"/>
</file>

<file path=xl/ctrlProps/ctrlProp1026.xml><?xml version="1.0" encoding="utf-8"?>
<formControlPr xmlns="http://schemas.microsoft.com/office/spreadsheetml/2009/9/main" objectType="Drop" dropStyle="combo" dx="16" fmlaLink="'binnenklimaatlabel type 1'!$C$6" fmlaRange="'Menu´s Binnenklimaat'!$B$30:$B$34" val="0"/>
</file>

<file path=xl/ctrlProps/ctrlProp1027.xml><?xml version="1.0" encoding="utf-8"?>
<formControlPr xmlns="http://schemas.microsoft.com/office/spreadsheetml/2009/9/main" objectType="Drop" dropStyle="combo" dx="16" fmlaLink="'binnenklimaatlabel type 1'!$C$7" fmlaRange="'Menu´s Binnenklimaat'!$B$30:$B$34" val="0"/>
</file>

<file path=xl/ctrlProps/ctrlProp1028.xml><?xml version="1.0" encoding="utf-8"?>
<formControlPr xmlns="http://schemas.microsoft.com/office/spreadsheetml/2009/9/main" objectType="Drop" dropStyle="combo" dx="16" fmlaLink="'binnenklimaatlabel type 1'!$C$10" fmlaRange="'Menu´s Binnenklimaat'!$B$38:$B$42" val="0"/>
</file>

<file path=xl/ctrlProps/ctrlProp1029.xml><?xml version="1.0" encoding="utf-8"?>
<formControlPr xmlns="http://schemas.microsoft.com/office/spreadsheetml/2009/9/main" objectType="Drop" dropStyle="combo" dx="16" fmlaLink="'binnenklimaatlabel type 1'!$C$11" fmlaRange="'Menu´s Binnenklimaat'!$B$38:$B$42" val="0"/>
</file>

<file path=xl/ctrlProps/ctrlProp103.xml><?xml version="1.0" encoding="utf-8"?>
<formControlPr xmlns="http://schemas.microsoft.com/office/spreadsheetml/2009/9/main" objectType="Drop" dropStyle="combo" dx="16" fmlaLink="'Verwerking Bouwdelen'!$B$16" fmlaRange="'Verwerking Bouwdelen'!$G$59:$G$68" val="0"/>
</file>

<file path=xl/ctrlProps/ctrlProp1030.xml><?xml version="1.0" encoding="utf-8"?>
<formControlPr xmlns="http://schemas.microsoft.com/office/spreadsheetml/2009/9/main" objectType="Drop" dropStyle="combo" dx="16" fmlaLink="'binnenklimaatlabel type 1'!$C$12" fmlaRange="'Menu´s Binnenklimaat'!$B$38:$B$42" val="0"/>
</file>

<file path=xl/ctrlProps/ctrlProp1031.xml><?xml version="1.0" encoding="utf-8"?>
<formControlPr xmlns="http://schemas.microsoft.com/office/spreadsheetml/2009/9/main" objectType="Drop" dropStyle="combo" dx="16" fmlaLink="'binnenklimaatlabel type 1'!$C$13" fmlaRange="'Menu´s Binnenklimaat'!$B$45:$B$51" val="0"/>
</file>

<file path=xl/ctrlProps/ctrlProp1032.xml><?xml version="1.0" encoding="utf-8"?>
<formControlPr xmlns="http://schemas.microsoft.com/office/spreadsheetml/2009/9/main" objectType="Drop" dropStyle="combo" dx="16" fmlaLink="'binnenklimaatlabel type 1'!$C$14" fmlaRange="'Menu´s Binnenklimaat'!$B$54:$B$58" val="0"/>
</file>

<file path=xl/ctrlProps/ctrlProp1033.xml><?xml version="1.0" encoding="utf-8"?>
<formControlPr xmlns="http://schemas.microsoft.com/office/spreadsheetml/2009/9/main" objectType="Drop" dropStyle="combo" dx="16" fmlaLink="'binnenklimaatlabel type 1'!$C$15" fmlaRange="'Menu´s Binnenklimaat'!$B$61:$B$65" val="0"/>
</file>

<file path=xl/ctrlProps/ctrlProp1034.xml><?xml version="1.0" encoding="utf-8"?>
<formControlPr xmlns="http://schemas.microsoft.com/office/spreadsheetml/2009/9/main" objectType="Drop" dropStyle="combo" dx="16" fmlaLink="'binnenklimaatlabel type 1'!$C$16" fmlaRange="'Menu´s Binnenklimaat'!$C$61:$C$64" sel="3" val="0"/>
</file>

<file path=xl/ctrlProps/ctrlProp1035.xml><?xml version="1.0" encoding="utf-8"?>
<formControlPr xmlns="http://schemas.microsoft.com/office/spreadsheetml/2009/9/main" objectType="Drop" dropStyle="combo" dx="16" fmlaLink="'binnenklimaatlabel type 1'!$C$17" fmlaRange="'Menu´s Binnenklimaat'!$B$68:$B$75" val="0"/>
</file>

<file path=xl/ctrlProps/ctrlProp1036.xml><?xml version="1.0" encoding="utf-8"?>
<formControlPr xmlns="http://schemas.microsoft.com/office/spreadsheetml/2009/9/main" objectType="Drop" dropStyle="combo" dx="16" fmlaLink="'binnenklimaatlabel type 1'!$C$18" fmlaRange="'Menu´s Binnenklimaat'!$B$78:$B$79" val="0"/>
</file>

<file path=xl/ctrlProps/ctrlProp1037.xml><?xml version="1.0" encoding="utf-8"?>
<formControlPr xmlns="http://schemas.microsoft.com/office/spreadsheetml/2009/9/main" objectType="Drop" dropStyle="combo" dx="16" fmlaLink="'binnenklimaatlabel type 1'!$C$19" fmlaRange="'Menu´s Binnenklimaat'!$B$82:$B$85" val="0"/>
</file>

<file path=xl/ctrlProps/ctrlProp1038.xml><?xml version="1.0" encoding="utf-8"?>
<formControlPr xmlns="http://schemas.microsoft.com/office/spreadsheetml/2009/9/main" objectType="Drop" dropStyle="combo" dx="16" fmlaLink="'binnenklimaatlabel type 1'!$B$4" fmlaRange="'Menu´s Binnenklimaat'!$D$22:$D$24" val="0"/>
</file>

<file path=xl/ctrlProps/ctrlProp1039.xml><?xml version="1.0" encoding="utf-8"?>
<formControlPr xmlns="http://schemas.microsoft.com/office/spreadsheetml/2009/9/main" objectType="Drop" dropStyle="combo" dx="16" fmlaLink="'binnenklimaatlabel type 1'!$C$4" fmlaRange="'Menu´s Binnenklimaat'!$D$22:$D$24" val="0"/>
</file>

<file path=xl/ctrlProps/ctrlProp104.xml><?xml version="1.0" encoding="utf-8"?>
<formControlPr xmlns="http://schemas.microsoft.com/office/spreadsheetml/2009/9/main" objectType="Drop" dropStyle="combo" dx="16" fmlaLink="'Verwerking Bouwdelen'!$B$17" fmlaRange="'Verwerking Bouwdelen'!$G$59:$G$68" val="0"/>
</file>

<file path=xl/ctrlProps/ctrlProp1040.xml><?xml version="1.0" encoding="utf-8"?>
<formControlPr xmlns="http://schemas.microsoft.com/office/spreadsheetml/2009/9/main" objectType="Drop" dropStyle="combo" dx="16" fmlaLink="'binnenklimaatlabel type 1'!$F$5" fmlaRange="'Menu´s Binnenklimaat'!$D$30:$D$32" val="0"/>
</file>

<file path=xl/ctrlProps/ctrlProp1041.xml><?xml version="1.0" encoding="utf-8"?>
<formControlPr xmlns="http://schemas.microsoft.com/office/spreadsheetml/2009/9/main" objectType="Drop" dropStyle="combo" dx="16" fmlaLink="'binnenklimaatlabel type 1'!$F$6" fmlaRange="'Menu´s Binnenklimaat'!$D$38:$D$40" val="0"/>
</file>

<file path=xl/ctrlProps/ctrlProp1042.xml><?xml version="1.0" encoding="utf-8"?>
<formControlPr xmlns="http://schemas.microsoft.com/office/spreadsheetml/2009/9/main" objectType="Drop" dropStyle="combo" dx="16" fmlaLink="'binnenklimaatlabel type 1'!$F$17" fmlaRange="'Menu´s Binnenklimaat'!$D$82:$D$84" val="0"/>
</file>

<file path=xl/ctrlProps/ctrlProp1043.xml><?xml version="1.0" encoding="utf-8"?>
<formControlPr xmlns="http://schemas.microsoft.com/office/spreadsheetml/2009/9/main" objectType="Drop" dropStyle="combo" dx="16" fmlaLink="'binnenklimaatlabel type 1'!$B$3" fmlaRange="'Menu´s Binnenklimaat'!$F$22:$F$26" val="0"/>
</file>

<file path=xl/ctrlProps/ctrlProp1044.xml><?xml version="1.0" encoding="utf-8"?>
<formControlPr xmlns="http://schemas.microsoft.com/office/spreadsheetml/2009/9/main" objectType="Drop" dropStyle="combo" dx="16" fmlaLink="'binnenklimaatlabel type 1'!$C$3" fmlaRange="'Menu´s Binnenklimaat'!$F$22:$F$26" val="0"/>
</file>

<file path=xl/ctrlProps/ctrlProp1045.xml><?xml version="1.0" encoding="utf-8"?>
<formControlPr xmlns="http://schemas.microsoft.com/office/spreadsheetml/2009/9/main" objectType="Drop" dropStyle="combo" dx="16" fmlaLink="'binnenklimaatlabel type 1'!$K$5" fmlaRange="'Menu´s Binnenklimaat'!$G$36:$G$39" val="0"/>
</file>

<file path=xl/ctrlProps/ctrlProp1046.xml><?xml version="1.0" encoding="utf-8"?>
<formControlPr xmlns="http://schemas.microsoft.com/office/spreadsheetml/2009/9/main" objectType="Drop" dropStyle="combo" dx="16" fmlaLink="'binnenklimaatlabel type 1'!$K$6" fmlaRange="'Menu´s Binnenklimaat'!$G$36:$G$39" val="0"/>
</file>

<file path=xl/ctrlProps/ctrlProp1047.xml><?xml version="1.0" encoding="utf-8"?>
<formControlPr xmlns="http://schemas.microsoft.com/office/spreadsheetml/2009/9/main" objectType="Drop" dropStyle="combo" dx="16" fmlaLink="'binnenklimaatlabel type 1'!$K$7" fmlaRange="'Menu´s Binnenklimaat'!$G$36:$G$39" val="0"/>
</file>

<file path=xl/ctrlProps/ctrlProp1048.xml><?xml version="1.0" encoding="utf-8"?>
<formControlPr xmlns="http://schemas.microsoft.com/office/spreadsheetml/2009/9/main" objectType="Drop" dropStyle="combo" dx="16" fmlaLink="'binnenklimaatlabel type 1'!$K$8" fmlaRange="'Menu´s Binnenklimaat'!$G$36:$G$39" val="0"/>
</file>

<file path=xl/ctrlProps/ctrlProp1049.xml><?xml version="1.0" encoding="utf-8"?>
<formControlPr xmlns="http://schemas.microsoft.com/office/spreadsheetml/2009/9/main" objectType="Drop" dropStyle="combo" dx="16" fmlaLink="'binnenklimaatlabel type 1'!$K$9" fmlaRange="'Menu´s Binnenklimaat'!$G$36:$G$39" val="0"/>
</file>

<file path=xl/ctrlProps/ctrlProp105.xml><?xml version="1.0" encoding="utf-8"?>
<formControlPr xmlns="http://schemas.microsoft.com/office/spreadsheetml/2009/9/main" objectType="Drop" dropStyle="combo" dx="16" fmlaLink="'Verwerking Bouwdelen'!$B$18" fmlaRange="'Verwerking Bouwdelen'!$G$59:$G$68" val="0"/>
</file>

<file path=xl/ctrlProps/ctrlProp1050.xml><?xml version="1.0" encoding="utf-8"?>
<formControlPr xmlns="http://schemas.microsoft.com/office/spreadsheetml/2009/9/main" objectType="Drop" dropStyle="combo" dx="16" fmlaLink="'binnenklimaatlabel type 1'!$B$8" fmlaRange="'Menu´s Binnenklimaat'!$B$30:$B$34" val="0"/>
</file>

<file path=xl/ctrlProps/ctrlProp1051.xml><?xml version="1.0" encoding="utf-8"?>
<formControlPr xmlns="http://schemas.microsoft.com/office/spreadsheetml/2009/9/main" objectType="Drop" dropStyle="combo" dx="16" fmlaLink="'binnenklimaatlabel type 1'!$B$9" fmlaRange="'Menu´s Binnenklimaat'!$B$30:$B$34" val="0"/>
</file>

<file path=xl/ctrlProps/ctrlProp1052.xml><?xml version="1.0" encoding="utf-8"?>
<formControlPr xmlns="http://schemas.microsoft.com/office/spreadsheetml/2009/9/main" objectType="Drop" dropStyle="combo" dx="16" fmlaLink="'binnenklimaatlabel type 1'!$C$8" fmlaRange="'Menu´s Binnenklimaat'!$B$30:$B$34" val="0"/>
</file>

<file path=xl/ctrlProps/ctrlProp1053.xml><?xml version="1.0" encoding="utf-8"?>
<formControlPr xmlns="http://schemas.microsoft.com/office/spreadsheetml/2009/9/main" objectType="Drop" dropStyle="combo" dx="16" fmlaLink="'binnenklimaatlabel type 1'!$C$9" fmlaRange="'Menu´s Binnenklimaat'!$B$30:$B$34" val="0"/>
</file>

<file path=xl/ctrlProps/ctrlProp1054.xml><?xml version="1.0" encoding="utf-8"?>
<formControlPr xmlns="http://schemas.microsoft.com/office/spreadsheetml/2009/9/main" objectType="Drop" dropStyle="combo" dx="16" fmlaLink="'binnenklimaatlabel type 1'!$W$5" fmlaRange="'Menu´s Binnenklimaat'!$G$36:$G$39" val="0"/>
</file>

<file path=xl/ctrlProps/ctrlProp1055.xml><?xml version="1.0" encoding="utf-8"?>
<formControlPr xmlns="http://schemas.microsoft.com/office/spreadsheetml/2009/9/main" objectType="Drop" dropStyle="combo" dx="16" fmlaLink="'binnenklimaatlabel type 1'!$W$6" fmlaRange="'Menu´s Binnenklimaat'!$G$36:$G$39" val="0"/>
</file>

<file path=xl/ctrlProps/ctrlProp1056.xml><?xml version="1.0" encoding="utf-8"?>
<formControlPr xmlns="http://schemas.microsoft.com/office/spreadsheetml/2009/9/main" objectType="Drop" dropStyle="combo" dx="16" fmlaLink="'binnenklimaatlabel type 1'!$W$7" fmlaRange="'Menu´s Binnenklimaat'!$G$36:$G$39" val="0"/>
</file>

<file path=xl/ctrlProps/ctrlProp1057.xml><?xml version="1.0" encoding="utf-8"?>
<formControlPr xmlns="http://schemas.microsoft.com/office/spreadsheetml/2009/9/main" objectType="Drop" dropStyle="combo" dx="16" fmlaLink="'binnenklimaatlabel type 1'!$W$8" fmlaRange="'Menu´s Binnenklimaat'!$G$36:$G$39" val="0"/>
</file>

<file path=xl/ctrlProps/ctrlProp1058.xml><?xml version="1.0" encoding="utf-8"?>
<formControlPr xmlns="http://schemas.microsoft.com/office/spreadsheetml/2009/9/main" objectType="Drop" dropStyle="combo" dx="16" fmlaLink="'binnenklimaatlabel type 1'!$W$9" fmlaRange="'Menu´s Binnenklimaat'!$G$36:$G$39" val="0"/>
</file>

<file path=xl/ctrlProps/ctrlProp1059.xml><?xml version="1.0" encoding="utf-8"?>
<formControlPr xmlns="http://schemas.microsoft.com/office/spreadsheetml/2009/9/main" objectType="Drop" dropStyle="combo" dx="16" fmlaLink="'binnenklimaatlabel type 1'!$AI$5" fmlaRange="'Menu´s Binnenklimaat'!$G$36:$G$39" val="0"/>
</file>

<file path=xl/ctrlProps/ctrlProp106.xml><?xml version="1.0" encoding="utf-8"?>
<formControlPr xmlns="http://schemas.microsoft.com/office/spreadsheetml/2009/9/main" objectType="Drop" dropStyle="combo" dx="16" fmlaLink="'Verwerking Bouwdelen'!$B$19" fmlaRange="'Verwerking Bouwdelen'!$G$59:$G$68" val="0"/>
</file>

<file path=xl/ctrlProps/ctrlProp1060.xml><?xml version="1.0" encoding="utf-8"?>
<formControlPr xmlns="http://schemas.microsoft.com/office/spreadsheetml/2009/9/main" objectType="Drop" dropStyle="combo" dx="16" fmlaLink="'binnenklimaatlabel type 1'!$AI$6" fmlaRange="'Menu´s Binnenklimaat'!$G$36:$G$39" val="0"/>
</file>

<file path=xl/ctrlProps/ctrlProp1061.xml><?xml version="1.0" encoding="utf-8"?>
<formControlPr xmlns="http://schemas.microsoft.com/office/spreadsheetml/2009/9/main" objectType="Drop" dropStyle="combo" dx="16" fmlaLink="'binnenklimaatlabel type 1'!$AI$7" fmlaRange="'Menu´s Binnenklimaat'!$G$36:$G$39" val="0"/>
</file>

<file path=xl/ctrlProps/ctrlProp1062.xml><?xml version="1.0" encoding="utf-8"?>
<formControlPr xmlns="http://schemas.microsoft.com/office/spreadsheetml/2009/9/main" objectType="Drop" dropStyle="combo" dx="16" fmlaLink="'binnenklimaatlabel type 1'!$AU$5" fmlaRange="'Menu´s Binnenklimaat'!$G$36:$G$39" val="0"/>
</file>

<file path=xl/ctrlProps/ctrlProp1063.xml><?xml version="1.0" encoding="utf-8"?>
<formControlPr xmlns="http://schemas.microsoft.com/office/spreadsheetml/2009/9/main" objectType="Drop" dropStyle="combo" dx="16" fmlaLink="'binnenklimaatlabel type 1'!$AU$6" fmlaRange="'Menu´s Binnenklimaat'!$G$36:$G$39" val="0"/>
</file>

<file path=xl/ctrlProps/ctrlProp1064.xml><?xml version="1.0" encoding="utf-8"?>
<formControlPr xmlns="http://schemas.microsoft.com/office/spreadsheetml/2009/9/main" objectType="Drop" dropStyle="combo" dx="16" fmlaLink="'binnenklimaatlabel type 1'!$AU$7" fmlaRange="'Menu´s Binnenklimaat'!$G$36:$G$39" val="0"/>
</file>

<file path=xl/ctrlProps/ctrlProp1065.xml><?xml version="1.0" encoding="utf-8"?>
<formControlPr xmlns="http://schemas.microsoft.com/office/spreadsheetml/2009/9/main" objectType="Drop" dropStyle="combo" dx="16" fmlaLink="'binnenklimaatlabel type 2'!$B$2" fmlaRange="'Menu´s Binnenklimaat'!$B$22:$B$27" val="0"/>
</file>

<file path=xl/ctrlProps/ctrlProp1066.xml><?xml version="1.0" encoding="utf-8"?>
<formControlPr xmlns="http://schemas.microsoft.com/office/spreadsheetml/2009/9/main" objectType="Drop" dropStyle="combo" dx="16" fmlaLink="'binnenklimaatlabel type 2'!$B$5" fmlaRange="'Menu´s Binnenklimaat'!$B$30:$B$34" val="0"/>
</file>

<file path=xl/ctrlProps/ctrlProp1067.xml><?xml version="1.0" encoding="utf-8"?>
<formControlPr xmlns="http://schemas.microsoft.com/office/spreadsheetml/2009/9/main" objectType="Drop" dropStyle="combo" dx="16" fmlaLink="'binnenklimaatlabel type 2'!$B$6" fmlaRange="'Menu´s Binnenklimaat'!$B$30:$B$34" val="0"/>
</file>

<file path=xl/ctrlProps/ctrlProp1068.xml><?xml version="1.0" encoding="utf-8"?>
<formControlPr xmlns="http://schemas.microsoft.com/office/spreadsheetml/2009/9/main" objectType="Drop" dropStyle="combo" dx="16" fmlaLink="'binnenklimaatlabel type 2'!$B$7" fmlaRange="'Menu´s Binnenklimaat'!$B$30:$B$34" val="0"/>
</file>

<file path=xl/ctrlProps/ctrlProp1069.xml><?xml version="1.0" encoding="utf-8"?>
<formControlPr xmlns="http://schemas.microsoft.com/office/spreadsheetml/2009/9/main" objectType="Drop" dropStyle="combo" dx="16" fmlaLink="'binnenklimaatlabel type 2'!$B$10" fmlaRange="'Menu´s Binnenklimaat'!$B$38:$B$42" val="0"/>
</file>

<file path=xl/ctrlProps/ctrlProp107.xml><?xml version="1.0" encoding="utf-8"?>
<formControlPr xmlns="http://schemas.microsoft.com/office/spreadsheetml/2009/9/main" objectType="Drop" dropStyle="combo" dx="16" fmlaLink="'Verwerking Bouwdelen'!$B$20" fmlaRange="'Verwerking Bouwdelen'!$G$59:$G$68" val="0"/>
</file>

<file path=xl/ctrlProps/ctrlProp1070.xml><?xml version="1.0" encoding="utf-8"?>
<formControlPr xmlns="http://schemas.microsoft.com/office/spreadsheetml/2009/9/main" objectType="Drop" dropStyle="combo" dx="16" fmlaLink="'binnenklimaatlabel type 2'!$B$11" fmlaRange="'Menu´s Binnenklimaat'!$B$38:$B$42" val="0"/>
</file>

<file path=xl/ctrlProps/ctrlProp1071.xml><?xml version="1.0" encoding="utf-8"?>
<formControlPr xmlns="http://schemas.microsoft.com/office/spreadsheetml/2009/9/main" objectType="Drop" dropStyle="combo" dx="16" fmlaLink="'binnenklimaatlabel type 2'!$B$12" fmlaRange="'Menu´s Binnenklimaat'!$B$38:$B$42" val="0"/>
</file>

<file path=xl/ctrlProps/ctrlProp1072.xml><?xml version="1.0" encoding="utf-8"?>
<formControlPr xmlns="http://schemas.microsoft.com/office/spreadsheetml/2009/9/main" objectType="Drop" dropStyle="combo" dx="16" fmlaLink="'binnenklimaatlabel type 2'!$B$14" fmlaRange="'Menu´s Binnenklimaat'!$B$54:$B$58" val="0"/>
</file>

<file path=xl/ctrlProps/ctrlProp1073.xml><?xml version="1.0" encoding="utf-8"?>
<formControlPr xmlns="http://schemas.microsoft.com/office/spreadsheetml/2009/9/main" objectType="Drop" dropStyle="combo" dx="16" fmlaLink="'binnenklimaatlabel type 2'!$B$15" fmlaRange="'Menu´s Binnenklimaat'!$B$61:$B$65" val="0"/>
</file>

<file path=xl/ctrlProps/ctrlProp1074.xml><?xml version="1.0" encoding="utf-8"?>
<formControlPr xmlns="http://schemas.microsoft.com/office/spreadsheetml/2009/9/main" objectType="Drop" dropStyle="combo" dx="16" fmlaLink="'binnenklimaatlabel type 2'!$B$16" fmlaRange="'Menu´s Binnenklimaat'!$C$61:$C$64" sel="3" val="0"/>
</file>

<file path=xl/ctrlProps/ctrlProp1075.xml><?xml version="1.0" encoding="utf-8"?>
<formControlPr xmlns="http://schemas.microsoft.com/office/spreadsheetml/2009/9/main" objectType="Drop" dropStyle="combo" dx="16" fmlaLink="'binnenklimaatlabel type 2'!$B$17" fmlaRange="'Menu´s Binnenklimaat'!$B$68:$B$75" val="0"/>
</file>

<file path=xl/ctrlProps/ctrlProp1076.xml><?xml version="1.0" encoding="utf-8"?>
<formControlPr xmlns="http://schemas.microsoft.com/office/spreadsheetml/2009/9/main" objectType="Drop" dropStyle="combo" dx="16" fmlaLink="'binnenklimaatlabel type 2'!$B$18" fmlaRange="'Menu´s Binnenklimaat'!$B$78:$B$79" val="0"/>
</file>

<file path=xl/ctrlProps/ctrlProp1077.xml><?xml version="1.0" encoding="utf-8"?>
<formControlPr xmlns="http://schemas.microsoft.com/office/spreadsheetml/2009/9/main" objectType="Drop" dropStyle="combo" dx="16" fmlaLink="'binnenklimaatlabel type 2'!$B$13" fmlaRange="'Menu´s Binnenklimaat'!$B$45:$B$51" val="0"/>
</file>

<file path=xl/ctrlProps/ctrlProp1078.xml><?xml version="1.0" encoding="utf-8"?>
<formControlPr xmlns="http://schemas.microsoft.com/office/spreadsheetml/2009/9/main" objectType="Drop" dropStyle="combo" dx="16" fmlaLink="'binnenklimaatlabel type 2'!$B$19" fmlaRange="'Menu´s Binnenklimaat'!$B$82:$B$85" val="0"/>
</file>

<file path=xl/ctrlProps/ctrlProp1079.xml><?xml version="1.0" encoding="utf-8"?>
<formControlPr xmlns="http://schemas.microsoft.com/office/spreadsheetml/2009/9/main" objectType="Drop" dropStyle="combo" dx="16" fmlaLink="'binnenklimaatlabel type 2'!$C$2" fmlaRange="'Menu´s Binnenklimaat'!$B$22:$B$27" val="0"/>
</file>

<file path=xl/ctrlProps/ctrlProp108.xml><?xml version="1.0" encoding="utf-8"?>
<formControlPr xmlns="http://schemas.microsoft.com/office/spreadsheetml/2009/9/main" objectType="Drop" dropStyle="combo" dx="16" fmlaLink="'Verwerking Bouwdelen'!$B$21" fmlaRange="'Verwerking Bouwdelen'!$G$59:$G$68" val="0"/>
</file>

<file path=xl/ctrlProps/ctrlProp1080.xml><?xml version="1.0" encoding="utf-8"?>
<formControlPr xmlns="http://schemas.microsoft.com/office/spreadsheetml/2009/9/main" objectType="Drop" dropStyle="combo" dx="16" fmlaLink="'binnenklimaatlabel type 2'!$C$5" fmlaRange="'Menu´s Binnenklimaat'!$B$30:$B$34" val="0"/>
</file>

<file path=xl/ctrlProps/ctrlProp1081.xml><?xml version="1.0" encoding="utf-8"?>
<formControlPr xmlns="http://schemas.microsoft.com/office/spreadsheetml/2009/9/main" objectType="Drop" dropStyle="combo" dx="16" fmlaLink="'binnenklimaatlabel type 2'!$C$6" fmlaRange="'Menu´s Binnenklimaat'!$B$30:$B$34" val="0"/>
</file>

<file path=xl/ctrlProps/ctrlProp1082.xml><?xml version="1.0" encoding="utf-8"?>
<formControlPr xmlns="http://schemas.microsoft.com/office/spreadsheetml/2009/9/main" objectType="Drop" dropStyle="combo" dx="16" fmlaLink="'binnenklimaatlabel type 2'!$C$7" fmlaRange="'Menu´s Binnenklimaat'!$B$30:$B$34" val="0"/>
</file>

<file path=xl/ctrlProps/ctrlProp1083.xml><?xml version="1.0" encoding="utf-8"?>
<formControlPr xmlns="http://schemas.microsoft.com/office/spreadsheetml/2009/9/main" objectType="Drop" dropStyle="combo" dx="16" fmlaLink="'binnenklimaatlabel type 2'!$C$10" fmlaRange="'Menu´s Binnenklimaat'!$B$38:$B$42" val="0"/>
</file>

<file path=xl/ctrlProps/ctrlProp1084.xml><?xml version="1.0" encoding="utf-8"?>
<formControlPr xmlns="http://schemas.microsoft.com/office/spreadsheetml/2009/9/main" objectType="Drop" dropStyle="combo" dx="16" fmlaLink="'binnenklimaatlabel type 2'!$C$11" fmlaRange="'Menu´s Binnenklimaat'!$B$38:$B$42" val="0"/>
</file>

<file path=xl/ctrlProps/ctrlProp1085.xml><?xml version="1.0" encoding="utf-8"?>
<formControlPr xmlns="http://schemas.microsoft.com/office/spreadsheetml/2009/9/main" objectType="Drop" dropStyle="combo" dx="16" fmlaLink="'binnenklimaatlabel type 2'!$C$12" fmlaRange="'Menu´s Binnenklimaat'!$B$38:$B$42" val="0"/>
</file>

<file path=xl/ctrlProps/ctrlProp1086.xml><?xml version="1.0" encoding="utf-8"?>
<formControlPr xmlns="http://schemas.microsoft.com/office/spreadsheetml/2009/9/main" objectType="Drop" dropStyle="combo" dx="16" fmlaLink="'binnenklimaatlabel type 2'!$C$13" fmlaRange="'Menu´s Binnenklimaat'!$B$45:$B$51" val="0"/>
</file>

<file path=xl/ctrlProps/ctrlProp1087.xml><?xml version="1.0" encoding="utf-8"?>
<formControlPr xmlns="http://schemas.microsoft.com/office/spreadsheetml/2009/9/main" objectType="Drop" dropStyle="combo" dx="16" fmlaLink="'binnenklimaatlabel type 2'!$C$14" fmlaRange="'Menu´s Binnenklimaat'!$B$54:$B$58" val="0"/>
</file>

<file path=xl/ctrlProps/ctrlProp1088.xml><?xml version="1.0" encoding="utf-8"?>
<formControlPr xmlns="http://schemas.microsoft.com/office/spreadsheetml/2009/9/main" objectType="Drop" dropStyle="combo" dx="16" fmlaLink="'binnenklimaatlabel type 2'!$C$15" fmlaRange="'Menu´s Binnenklimaat'!$B$61:$B$65" val="0"/>
</file>

<file path=xl/ctrlProps/ctrlProp1089.xml><?xml version="1.0" encoding="utf-8"?>
<formControlPr xmlns="http://schemas.microsoft.com/office/spreadsheetml/2009/9/main" objectType="Drop" dropStyle="combo" dx="16" fmlaLink="'binnenklimaatlabel type 2'!$C$16" fmlaRange="'Menu´s Binnenklimaat'!$C$61:$C$64" sel="3" val="0"/>
</file>

<file path=xl/ctrlProps/ctrlProp109.xml><?xml version="1.0" encoding="utf-8"?>
<formControlPr xmlns="http://schemas.microsoft.com/office/spreadsheetml/2009/9/main" objectType="Drop" dropStyle="combo" dx="16" fmlaLink="'Verwerking Bouwdelen'!$B$22" fmlaRange="'Verwerking Bouwdelen'!$G$59:$G$68" val="0"/>
</file>

<file path=xl/ctrlProps/ctrlProp1090.xml><?xml version="1.0" encoding="utf-8"?>
<formControlPr xmlns="http://schemas.microsoft.com/office/spreadsheetml/2009/9/main" objectType="Drop" dropStyle="combo" dx="16" fmlaLink="'binnenklimaatlabel type 2'!$C$17" fmlaRange="'Menu´s Binnenklimaat'!$B$68:$B$75" val="0"/>
</file>

<file path=xl/ctrlProps/ctrlProp1091.xml><?xml version="1.0" encoding="utf-8"?>
<formControlPr xmlns="http://schemas.microsoft.com/office/spreadsheetml/2009/9/main" objectType="Drop" dropStyle="combo" dx="16" fmlaLink="'binnenklimaatlabel type 2'!$C$18" fmlaRange="'Menu´s Binnenklimaat'!$B$78:$B$79" val="0"/>
</file>

<file path=xl/ctrlProps/ctrlProp1092.xml><?xml version="1.0" encoding="utf-8"?>
<formControlPr xmlns="http://schemas.microsoft.com/office/spreadsheetml/2009/9/main" objectType="Drop" dropStyle="combo" dx="16" fmlaLink="'binnenklimaatlabel type 2'!$C$19" fmlaRange="'Menu´s Binnenklimaat'!$B$82:$B$85" val="0"/>
</file>

<file path=xl/ctrlProps/ctrlProp1093.xml><?xml version="1.0" encoding="utf-8"?>
<formControlPr xmlns="http://schemas.microsoft.com/office/spreadsheetml/2009/9/main" objectType="Drop" dropStyle="combo" dx="16" fmlaLink="'binnenklimaatlabel type 2'!$B$4" fmlaRange="'Menu´s Binnenklimaat'!$D$22:$D$24" val="0"/>
</file>

<file path=xl/ctrlProps/ctrlProp1094.xml><?xml version="1.0" encoding="utf-8"?>
<formControlPr xmlns="http://schemas.microsoft.com/office/spreadsheetml/2009/9/main" objectType="Drop" dropStyle="combo" dx="16" fmlaLink="'binnenklimaatlabel type 2'!$C$4" fmlaRange="'Menu´s Binnenklimaat'!$D$22:$D$24" val="0"/>
</file>

<file path=xl/ctrlProps/ctrlProp1095.xml><?xml version="1.0" encoding="utf-8"?>
<formControlPr xmlns="http://schemas.microsoft.com/office/spreadsheetml/2009/9/main" objectType="Drop" dropStyle="combo" dx="16" fmlaLink="'binnenklimaatlabel type 2'!$F$5" fmlaRange="'Menu´s Binnenklimaat'!$D$30:$D$32" val="0"/>
</file>

<file path=xl/ctrlProps/ctrlProp1096.xml><?xml version="1.0" encoding="utf-8"?>
<formControlPr xmlns="http://schemas.microsoft.com/office/spreadsheetml/2009/9/main" objectType="Drop" dropStyle="combo" dx="16" fmlaLink="'binnenklimaatlabel type 2'!$F$6" fmlaRange="'Menu´s Binnenklimaat'!$D$38:$D$40" val="0"/>
</file>

<file path=xl/ctrlProps/ctrlProp1097.xml><?xml version="1.0" encoding="utf-8"?>
<formControlPr xmlns="http://schemas.microsoft.com/office/spreadsheetml/2009/9/main" objectType="Drop" dropStyle="combo" dx="16" fmlaLink="'binnenklimaatlabel type 2'!$F$17" fmlaRange="'Menu´s Binnenklimaat'!$D$82:$D$84" val="0"/>
</file>

<file path=xl/ctrlProps/ctrlProp1098.xml><?xml version="1.0" encoding="utf-8"?>
<formControlPr xmlns="http://schemas.microsoft.com/office/spreadsheetml/2009/9/main" objectType="Drop" dropStyle="combo" dx="16" fmlaLink="'binnenklimaatlabel type 2'!$B$3" fmlaRange="'Menu´s Binnenklimaat'!$F$22:$F$26" val="0"/>
</file>

<file path=xl/ctrlProps/ctrlProp1099.xml><?xml version="1.0" encoding="utf-8"?>
<formControlPr xmlns="http://schemas.microsoft.com/office/spreadsheetml/2009/9/main" objectType="Drop" dropStyle="combo" dx="16" fmlaLink="'binnenklimaatlabel type 2'!$C$3" fmlaRange="'Menu´s Binnenklimaat'!$F$22:$F$26" val="0"/>
</file>

<file path=xl/ctrlProps/ctrlProp11.xml><?xml version="1.0" encoding="utf-8"?>
<formControlPr xmlns="http://schemas.microsoft.com/office/spreadsheetml/2009/9/main" objectType="Drop" dropStyle="combo" dx="16" fmlaLink="'Energiebelasting en transport'!$A$24" fmlaRange="'Energiebelasting en transport'!$A$22:$A$23" sel="2" val="0"/>
</file>

<file path=xl/ctrlProps/ctrlProp110.xml><?xml version="1.0" encoding="utf-8"?>
<formControlPr xmlns="http://schemas.microsoft.com/office/spreadsheetml/2009/9/main" objectType="Drop" dropStyle="combo" dx="16" fmlaLink="'Verwerking Bouwdelen'!$B$23" fmlaRange="'Verwerking Bouwdelen'!$G$59:$G$68" val="0"/>
</file>

<file path=xl/ctrlProps/ctrlProp1100.xml><?xml version="1.0" encoding="utf-8"?>
<formControlPr xmlns="http://schemas.microsoft.com/office/spreadsheetml/2009/9/main" objectType="Drop" dropStyle="combo" dx="16" fmlaLink="'binnenklimaatlabel type 2'!$K$5" fmlaRange="'Menu´s Binnenklimaat'!$G$36:$G$39" val="0"/>
</file>

<file path=xl/ctrlProps/ctrlProp1101.xml><?xml version="1.0" encoding="utf-8"?>
<formControlPr xmlns="http://schemas.microsoft.com/office/spreadsheetml/2009/9/main" objectType="Drop" dropStyle="combo" dx="16" fmlaLink="'binnenklimaatlabel type 2'!$B$8" fmlaRange="'Menu´s Binnenklimaat'!$B$30:$B$34" val="0"/>
</file>

<file path=xl/ctrlProps/ctrlProp1102.xml><?xml version="1.0" encoding="utf-8"?>
<formControlPr xmlns="http://schemas.microsoft.com/office/spreadsheetml/2009/9/main" objectType="Drop" dropStyle="combo" dx="16" fmlaLink="'binnenklimaatlabel type 2'!$B$9" fmlaRange="'Menu´s Binnenklimaat'!$B$30:$B$34" val="0"/>
</file>

<file path=xl/ctrlProps/ctrlProp1103.xml><?xml version="1.0" encoding="utf-8"?>
<formControlPr xmlns="http://schemas.microsoft.com/office/spreadsheetml/2009/9/main" objectType="Drop" dropStyle="combo" dx="16" fmlaLink="'binnenklimaatlabel type 2'!$K$6" fmlaRange="'Menu´s Binnenklimaat'!$G$36:$G$39" val="0"/>
</file>

<file path=xl/ctrlProps/ctrlProp1104.xml><?xml version="1.0" encoding="utf-8"?>
<formControlPr xmlns="http://schemas.microsoft.com/office/spreadsheetml/2009/9/main" objectType="Drop" dropStyle="combo" dx="16" fmlaLink="'binnenklimaatlabel type 2'!$K$7" fmlaRange="'Menu´s Binnenklimaat'!$G$36:$G$39" val="0"/>
</file>

<file path=xl/ctrlProps/ctrlProp1105.xml><?xml version="1.0" encoding="utf-8"?>
<formControlPr xmlns="http://schemas.microsoft.com/office/spreadsheetml/2009/9/main" objectType="Drop" dropStyle="combo" dx="16" fmlaLink="'binnenklimaatlabel type 2'!$K$8" fmlaRange="'Menu´s Binnenklimaat'!$G$36:$G$39" val="0"/>
</file>

<file path=xl/ctrlProps/ctrlProp1106.xml><?xml version="1.0" encoding="utf-8"?>
<formControlPr xmlns="http://schemas.microsoft.com/office/spreadsheetml/2009/9/main" objectType="Drop" dropStyle="combo" dx="16" fmlaLink="'binnenklimaatlabel type 2'!$K$9" fmlaRange="'Menu´s Binnenklimaat'!$G$36:$G$39" val="0"/>
</file>

<file path=xl/ctrlProps/ctrlProp1107.xml><?xml version="1.0" encoding="utf-8"?>
<formControlPr xmlns="http://schemas.microsoft.com/office/spreadsheetml/2009/9/main" objectType="Drop" dropStyle="combo" dx="16" fmlaLink="'binnenklimaatlabel type 2'!$C$8" fmlaRange="'Menu´s Binnenklimaat'!$B$30:$B$34" val="0"/>
</file>

<file path=xl/ctrlProps/ctrlProp1108.xml><?xml version="1.0" encoding="utf-8"?>
<formControlPr xmlns="http://schemas.microsoft.com/office/spreadsheetml/2009/9/main" objectType="Drop" dropStyle="combo" dx="16" fmlaLink="'binnenklimaatlabel type 2'!$C$9" fmlaRange="'Menu´s Binnenklimaat'!$B$30:$B$34" val="0"/>
</file>

<file path=xl/ctrlProps/ctrlProp1109.xml><?xml version="1.0" encoding="utf-8"?>
<formControlPr xmlns="http://schemas.microsoft.com/office/spreadsheetml/2009/9/main" objectType="Drop" dropStyle="combo" dx="16" fmlaLink="'binnenklimaatlabel type 2'!$W$5" fmlaRange="'Menu´s Binnenklimaat'!$G$36:$G$39" val="0"/>
</file>

<file path=xl/ctrlProps/ctrlProp111.xml><?xml version="1.0" encoding="utf-8"?>
<formControlPr xmlns="http://schemas.microsoft.com/office/spreadsheetml/2009/9/main" objectType="Drop" dropStyle="combo" dx="16" fmlaLink="'Verwerking Bouwdelen'!$B$44" fmlaRange="'Verwerking Bouwdelen'!$G$59:$G$68" val="0"/>
</file>

<file path=xl/ctrlProps/ctrlProp1110.xml><?xml version="1.0" encoding="utf-8"?>
<formControlPr xmlns="http://schemas.microsoft.com/office/spreadsheetml/2009/9/main" objectType="Drop" dropStyle="combo" dx="16" fmlaLink="'binnenklimaatlabel type 2'!$W$6" fmlaRange="'Menu´s Binnenklimaat'!$G$36:$G$39" val="0"/>
</file>

<file path=xl/ctrlProps/ctrlProp1111.xml><?xml version="1.0" encoding="utf-8"?>
<formControlPr xmlns="http://schemas.microsoft.com/office/spreadsheetml/2009/9/main" objectType="Drop" dropStyle="combo" dx="16" fmlaLink="'binnenklimaatlabel type 2'!$W$7" fmlaRange="'Menu´s Binnenklimaat'!$G$36:$G$39" val="0"/>
</file>

<file path=xl/ctrlProps/ctrlProp1112.xml><?xml version="1.0" encoding="utf-8"?>
<formControlPr xmlns="http://schemas.microsoft.com/office/spreadsheetml/2009/9/main" objectType="Drop" dropStyle="combo" dx="16" fmlaLink="'binnenklimaatlabel type 2'!$W$8" fmlaRange="'Menu´s Binnenklimaat'!$G$36:$G$39" val="0"/>
</file>

<file path=xl/ctrlProps/ctrlProp1113.xml><?xml version="1.0" encoding="utf-8"?>
<formControlPr xmlns="http://schemas.microsoft.com/office/spreadsheetml/2009/9/main" objectType="Drop" dropStyle="combo" dx="16" fmlaLink="'binnenklimaatlabel type 2'!$W$9" fmlaRange="'Menu´s Binnenklimaat'!$G$36:$G$39" val="0"/>
</file>

<file path=xl/ctrlProps/ctrlProp1114.xml><?xml version="1.0" encoding="utf-8"?>
<formControlPr xmlns="http://schemas.microsoft.com/office/spreadsheetml/2009/9/main" objectType="Drop" dropStyle="combo" dx="16" fmlaLink="'binnenklimaatlabel type 2'!$AI$5" fmlaRange="'Menu´s Binnenklimaat'!$G$36:$G$39" val="0"/>
</file>

<file path=xl/ctrlProps/ctrlProp1115.xml><?xml version="1.0" encoding="utf-8"?>
<formControlPr xmlns="http://schemas.microsoft.com/office/spreadsheetml/2009/9/main" objectType="Drop" dropStyle="combo" dx="16" fmlaLink="'binnenklimaatlabel type 2'!$AI$7" fmlaRange="'Menu´s Binnenklimaat'!$G$36:$G$39" val="0"/>
</file>

<file path=xl/ctrlProps/ctrlProp1116.xml><?xml version="1.0" encoding="utf-8"?>
<formControlPr xmlns="http://schemas.microsoft.com/office/spreadsheetml/2009/9/main" objectType="Drop" dropStyle="combo" dx="16" fmlaLink="'binnenklimaatlabel type 2'!$AI$6" fmlaRange="'Menu´s Binnenklimaat'!$G$36:$G$39" val="0"/>
</file>

<file path=xl/ctrlProps/ctrlProp1117.xml><?xml version="1.0" encoding="utf-8"?>
<formControlPr xmlns="http://schemas.microsoft.com/office/spreadsheetml/2009/9/main" objectType="Drop" dropStyle="combo" dx="16" fmlaLink="'binnenklimaatlabel type 2'!$AU$5" fmlaRange="'Menu´s Binnenklimaat'!$G$36:$G$39" val="0"/>
</file>

<file path=xl/ctrlProps/ctrlProp1118.xml><?xml version="1.0" encoding="utf-8"?>
<formControlPr xmlns="http://schemas.microsoft.com/office/spreadsheetml/2009/9/main" objectType="Drop" dropStyle="combo" dx="16" fmlaLink="'binnenklimaatlabel type 2'!$AU$6" fmlaRange="'Menu´s Binnenklimaat'!$G$36:$G$39" val="0"/>
</file>

<file path=xl/ctrlProps/ctrlProp1119.xml><?xml version="1.0" encoding="utf-8"?>
<formControlPr xmlns="http://schemas.microsoft.com/office/spreadsheetml/2009/9/main" objectType="Drop" dropStyle="combo" dx="16" fmlaLink="'binnenklimaatlabel type 2'!$AU$7" fmlaRange="'Menu´s Binnenklimaat'!$G$36:$G$39" val="0"/>
</file>

<file path=xl/ctrlProps/ctrlProp112.xml><?xml version="1.0" encoding="utf-8"?>
<formControlPr xmlns="http://schemas.microsoft.com/office/spreadsheetml/2009/9/main" objectType="Drop" dropStyle="combo" dx="16" fmlaLink="'Verwerking Bouwdelen'!$CX$3" fmlaRange="'Verwerking Bouwdelen'!$AA$59:$AA$70" val="0"/>
</file>

<file path=xl/ctrlProps/ctrlProp1120.xml><?xml version="1.0" encoding="utf-8"?>
<formControlPr xmlns="http://schemas.microsoft.com/office/spreadsheetml/2009/9/main" objectType="Drop" dropStyle="combo" dx="16" fmlaLink="'binnenklimaatlabel type 3'!$B$2" fmlaRange="'Menu´s Binnenklimaat'!$B$22:$B$27" val="0"/>
</file>

<file path=xl/ctrlProps/ctrlProp1121.xml><?xml version="1.0" encoding="utf-8"?>
<formControlPr xmlns="http://schemas.microsoft.com/office/spreadsheetml/2009/9/main" objectType="Drop" dropStyle="combo" dx="16" fmlaLink="'binnenklimaatlabel type 3'!$B$5" fmlaRange="'Menu´s Binnenklimaat'!$B$30:$B$34" val="0"/>
</file>

<file path=xl/ctrlProps/ctrlProp1122.xml><?xml version="1.0" encoding="utf-8"?>
<formControlPr xmlns="http://schemas.microsoft.com/office/spreadsheetml/2009/9/main" objectType="Drop" dropStyle="combo" dx="16" fmlaLink="'binnenklimaatlabel type 3'!$B$6" fmlaRange="'Menu´s Binnenklimaat'!$B$30:$B$34" val="0"/>
</file>

<file path=xl/ctrlProps/ctrlProp1123.xml><?xml version="1.0" encoding="utf-8"?>
<formControlPr xmlns="http://schemas.microsoft.com/office/spreadsheetml/2009/9/main" objectType="Drop" dropStyle="combo" dx="16" fmlaLink="'binnenklimaatlabel type 3'!$B$7" fmlaRange="'Menu´s Binnenklimaat'!$B$30:$B$34" val="0"/>
</file>

<file path=xl/ctrlProps/ctrlProp1124.xml><?xml version="1.0" encoding="utf-8"?>
<formControlPr xmlns="http://schemas.microsoft.com/office/spreadsheetml/2009/9/main" objectType="Drop" dropStyle="combo" dx="16" fmlaLink="'binnenklimaatlabel type 3'!$B$10" fmlaRange="'Menu´s Binnenklimaat'!$B$38:$B$42" val="0"/>
</file>

<file path=xl/ctrlProps/ctrlProp1125.xml><?xml version="1.0" encoding="utf-8"?>
<formControlPr xmlns="http://schemas.microsoft.com/office/spreadsheetml/2009/9/main" objectType="Drop" dropStyle="combo" dx="16" fmlaLink="'binnenklimaatlabel type 3'!$B$11" fmlaRange="'Menu´s Binnenklimaat'!$B$38:$B$42" val="0"/>
</file>

<file path=xl/ctrlProps/ctrlProp1126.xml><?xml version="1.0" encoding="utf-8"?>
<formControlPr xmlns="http://schemas.microsoft.com/office/spreadsheetml/2009/9/main" objectType="Drop" dropStyle="combo" dx="16" fmlaLink="'binnenklimaatlabel type 3'!$B$12" fmlaRange="'Menu´s Binnenklimaat'!$B$38:$B$42" val="0"/>
</file>

<file path=xl/ctrlProps/ctrlProp1127.xml><?xml version="1.0" encoding="utf-8"?>
<formControlPr xmlns="http://schemas.microsoft.com/office/spreadsheetml/2009/9/main" objectType="Drop" dropStyle="combo" dx="16" fmlaLink="'binnenklimaatlabel type 3'!$B$14" fmlaRange="'Menu´s Binnenklimaat'!$B$54:$B$58" val="0"/>
</file>

<file path=xl/ctrlProps/ctrlProp1128.xml><?xml version="1.0" encoding="utf-8"?>
<formControlPr xmlns="http://schemas.microsoft.com/office/spreadsheetml/2009/9/main" objectType="Drop" dropStyle="combo" dx="16" fmlaLink="'binnenklimaatlabel type 3'!$B$15" fmlaRange="'Menu´s Binnenklimaat'!$B$61:$B$65" val="0"/>
</file>

<file path=xl/ctrlProps/ctrlProp1129.xml><?xml version="1.0" encoding="utf-8"?>
<formControlPr xmlns="http://schemas.microsoft.com/office/spreadsheetml/2009/9/main" objectType="Drop" dropStyle="combo" dx="16" fmlaLink="'binnenklimaatlabel type 3'!$B$16" fmlaRange="'Menu´s Binnenklimaat'!$C$61:$C$64" sel="3" val="0"/>
</file>

<file path=xl/ctrlProps/ctrlProp113.xml><?xml version="1.0" encoding="utf-8"?>
<formControlPr xmlns="http://schemas.microsoft.com/office/spreadsheetml/2009/9/main" objectType="Drop" dropStyle="combo" dx="16" fmlaLink="'Verwerking Bouwdelen'!$CY$3" fmlaRange="'Verwerking Bouwdelen'!$AG$59:$AG$62" val="0"/>
</file>

<file path=xl/ctrlProps/ctrlProp1130.xml><?xml version="1.0" encoding="utf-8"?>
<formControlPr xmlns="http://schemas.microsoft.com/office/spreadsheetml/2009/9/main" objectType="Drop" dropStyle="combo" dx="16" fmlaLink="'binnenklimaatlabel type 3'!$B$17" fmlaRange="'Menu´s Binnenklimaat'!$B$68:$B$75" val="0"/>
</file>

<file path=xl/ctrlProps/ctrlProp1131.xml><?xml version="1.0" encoding="utf-8"?>
<formControlPr xmlns="http://schemas.microsoft.com/office/spreadsheetml/2009/9/main" objectType="Drop" dropStyle="combo" dx="16" fmlaLink="'binnenklimaatlabel type 3'!$B$18" fmlaRange="'Menu´s Binnenklimaat'!$B$78:$B$79" val="0"/>
</file>

<file path=xl/ctrlProps/ctrlProp1132.xml><?xml version="1.0" encoding="utf-8"?>
<formControlPr xmlns="http://schemas.microsoft.com/office/spreadsheetml/2009/9/main" objectType="Drop" dropStyle="combo" dx="16" fmlaLink="'binnenklimaatlabel type 3'!$B$13" fmlaRange="'Menu´s Binnenklimaat'!$B$45:$B$51" val="0"/>
</file>

<file path=xl/ctrlProps/ctrlProp1133.xml><?xml version="1.0" encoding="utf-8"?>
<formControlPr xmlns="http://schemas.microsoft.com/office/spreadsheetml/2009/9/main" objectType="Drop" dropStyle="combo" dx="16" fmlaLink="'binnenklimaatlabel type 3'!$B$19" fmlaRange="'Menu´s Binnenklimaat'!$B$82:$B$85" val="0"/>
</file>

<file path=xl/ctrlProps/ctrlProp1134.xml><?xml version="1.0" encoding="utf-8"?>
<formControlPr xmlns="http://schemas.microsoft.com/office/spreadsheetml/2009/9/main" objectType="Drop" dropStyle="combo" dx="16" fmlaLink="'binnenklimaatlabel type 3'!$C$2" fmlaRange="'Menu´s Binnenklimaat'!$B$22:$B$27" val="0"/>
</file>

<file path=xl/ctrlProps/ctrlProp1135.xml><?xml version="1.0" encoding="utf-8"?>
<formControlPr xmlns="http://schemas.microsoft.com/office/spreadsheetml/2009/9/main" objectType="Drop" dropStyle="combo" dx="16" fmlaLink="'binnenklimaatlabel type 3'!$C$5" fmlaRange="'Menu´s Binnenklimaat'!$B$30:$B$34" val="0"/>
</file>

<file path=xl/ctrlProps/ctrlProp1136.xml><?xml version="1.0" encoding="utf-8"?>
<formControlPr xmlns="http://schemas.microsoft.com/office/spreadsheetml/2009/9/main" objectType="Drop" dropStyle="combo" dx="16" fmlaLink="'binnenklimaatlabel type 3'!$C$6" fmlaRange="'Menu´s Binnenklimaat'!$B$30:$B$34" val="0"/>
</file>

<file path=xl/ctrlProps/ctrlProp1137.xml><?xml version="1.0" encoding="utf-8"?>
<formControlPr xmlns="http://schemas.microsoft.com/office/spreadsheetml/2009/9/main" objectType="Drop" dropStyle="combo" dx="16" fmlaLink="'binnenklimaatlabel type 3'!$C$7" fmlaRange="'Menu´s Binnenklimaat'!$B$30:$B$34" val="0"/>
</file>

<file path=xl/ctrlProps/ctrlProp1138.xml><?xml version="1.0" encoding="utf-8"?>
<formControlPr xmlns="http://schemas.microsoft.com/office/spreadsheetml/2009/9/main" objectType="Drop" dropStyle="combo" dx="16" fmlaLink="'binnenklimaatlabel type 3'!$C$10" fmlaRange="'Menu´s Binnenklimaat'!$B$38:$B$42" val="0"/>
</file>

<file path=xl/ctrlProps/ctrlProp1139.xml><?xml version="1.0" encoding="utf-8"?>
<formControlPr xmlns="http://schemas.microsoft.com/office/spreadsheetml/2009/9/main" objectType="Drop" dropStyle="combo" dx="16" fmlaLink="'binnenklimaatlabel type 3'!$C$11" fmlaRange="'Menu´s Binnenklimaat'!$B$38:$B$42" val="0"/>
</file>

<file path=xl/ctrlProps/ctrlProp114.xml><?xml version="1.0" encoding="utf-8"?>
<formControlPr xmlns="http://schemas.microsoft.com/office/spreadsheetml/2009/9/main" objectType="Drop" dropStyle="combo" dx="16" fmlaLink="'Verwerking Bouwdelen'!$CZ$3" fmlaRange="'Verwerking Bouwdelen'!$AN$59:$AN$62" val="0"/>
</file>

<file path=xl/ctrlProps/ctrlProp1140.xml><?xml version="1.0" encoding="utf-8"?>
<formControlPr xmlns="http://schemas.microsoft.com/office/spreadsheetml/2009/9/main" objectType="Drop" dropStyle="combo" dx="16" fmlaLink="'binnenklimaatlabel type 3'!$C$12" fmlaRange="'Menu´s Binnenklimaat'!$B$38:$B$42" val="0"/>
</file>

<file path=xl/ctrlProps/ctrlProp1141.xml><?xml version="1.0" encoding="utf-8"?>
<formControlPr xmlns="http://schemas.microsoft.com/office/spreadsheetml/2009/9/main" objectType="Drop" dropStyle="combo" dx="16" fmlaLink="'binnenklimaatlabel type 3'!$C$13" fmlaRange="'Menu´s Binnenklimaat'!$B$45:$B$51" val="0"/>
</file>

<file path=xl/ctrlProps/ctrlProp1142.xml><?xml version="1.0" encoding="utf-8"?>
<formControlPr xmlns="http://schemas.microsoft.com/office/spreadsheetml/2009/9/main" objectType="Drop" dropStyle="combo" dx="16" fmlaLink="'binnenklimaatlabel type 3'!$C$14" fmlaRange="'Menu´s Binnenklimaat'!$B$54:$B$58" val="0"/>
</file>

<file path=xl/ctrlProps/ctrlProp1143.xml><?xml version="1.0" encoding="utf-8"?>
<formControlPr xmlns="http://schemas.microsoft.com/office/spreadsheetml/2009/9/main" objectType="Drop" dropStyle="combo" dx="16" fmlaLink="'binnenklimaatlabel type 3'!$C$15" fmlaRange="'Menu´s Binnenklimaat'!$B$61:$B$65" val="0"/>
</file>

<file path=xl/ctrlProps/ctrlProp1144.xml><?xml version="1.0" encoding="utf-8"?>
<formControlPr xmlns="http://schemas.microsoft.com/office/spreadsheetml/2009/9/main" objectType="Drop" dropStyle="combo" dx="16" fmlaLink="'binnenklimaatlabel type 3'!$C$16" fmlaRange="'Menu´s Binnenklimaat'!$C$61:$C$64" sel="3" val="0"/>
</file>

<file path=xl/ctrlProps/ctrlProp1145.xml><?xml version="1.0" encoding="utf-8"?>
<formControlPr xmlns="http://schemas.microsoft.com/office/spreadsheetml/2009/9/main" objectType="Drop" dropStyle="combo" dx="16" fmlaLink="'binnenklimaatlabel type 3'!$C$17" fmlaRange="'Menu´s Binnenklimaat'!$B$68:$B$75" val="0"/>
</file>

<file path=xl/ctrlProps/ctrlProp1146.xml><?xml version="1.0" encoding="utf-8"?>
<formControlPr xmlns="http://schemas.microsoft.com/office/spreadsheetml/2009/9/main" objectType="Drop" dropStyle="combo" dx="16" fmlaLink="'binnenklimaatlabel type 3'!$C$18" fmlaRange="'Menu´s Binnenklimaat'!$B$78:$B$79" val="0"/>
</file>

<file path=xl/ctrlProps/ctrlProp1147.xml><?xml version="1.0" encoding="utf-8"?>
<formControlPr xmlns="http://schemas.microsoft.com/office/spreadsheetml/2009/9/main" objectType="Drop" dropStyle="combo" dx="16" fmlaLink="'binnenklimaatlabel type 3'!$C$19" fmlaRange="'Menu´s Binnenklimaat'!$B$82:$B$85" val="0"/>
</file>

<file path=xl/ctrlProps/ctrlProp1148.xml><?xml version="1.0" encoding="utf-8"?>
<formControlPr xmlns="http://schemas.microsoft.com/office/spreadsheetml/2009/9/main" objectType="Drop" dropStyle="combo" dx="16" fmlaLink="'binnenklimaatlabel type 3'!$B$4" fmlaRange="'Menu´s Binnenklimaat'!$D$22:$D$24" val="0"/>
</file>

<file path=xl/ctrlProps/ctrlProp1149.xml><?xml version="1.0" encoding="utf-8"?>
<formControlPr xmlns="http://schemas.microsoft.com/office/spreadsheetml/2009/9/main" objectType="Drop" dropStyle="combo" dx="16" fmlaLink="'binnenklimaatlabel type 3'!$C$4" fmlaRange="'Menu´s Binnenklimaat'!$D$22:$D$24" val="0"/>
</file>

<file path=xl/ctrlProps/ctrlProp115.xml><?xml version="1.0" encoding="utf-8"?>
<formControlPr xmlns="http://schemas.microsoft.com/office/spreadsheetml/2009/9/main" objectType="Drop" dropStyle="combo" dx="16" fmlaLink="'Verwerking Bouwdelen'!$E$4" fmlaRange="'Verwerking Bouwdelen'!$C$79:$C$103" val="0"/>
</file>

<file path=xl/ctrlProps/ctrlProp1150.xml><?xml version="1.0" encoding="utf-8"?>
<formControlPr xmlns="http://schemas.microsoft.com/office/spreadsheetml/2009/9/main" objectType="Drop" dropStyle="combo" dx="16" fmlaLink="'binnenklimaatlabel type 3'!$F$5" fmlaRange="'Menu´s Binnenklimaat'!$D$30:$D$32" val="0"/>
</file>

<file path=xl/ctrlProps/ctrlProp1151.xml><?xml version="1.0" encoding="utf-8"?>
<formControlPr xmlns="http://schemas.microsoft.com/office/spreadsheetml/2009/9/main" objectType="Drop" dropStyle="combo" dx="16" fmlaLink="'binnenklimaatlabel type 3'!$F$6" fmlaRange="'Menu´s Binnenklimaat'!$D$38:$D$40" val="0"/>
</file>

<file path=xl/ctrlProps/ctrlProp1152.xml><?xml version="1.0" encoding="utf-8"?>
<formControlPr xmlns="http://schemas.microsoft.com/office/spreadsheetml/2009/9/main" objectType="Drop" dropStyle="combo" dx="16" fmlaLink="'binnenklimaatlabel type 3'!$F$17" fmlaRange="'Menu´s Binnenklimaat'!$D$82:$D$84" val="0"/>
</file>

<file path=xl/ctrlProps/ctrlProp1153.xml><?xml version="1.0" encoding="utf-8"?>
<formControlPr xmlns="http://schemas.microsoft.com/office/spreadsheetml/2009/9/main" objectType="Drop" dropStyle="combo" dx="16" fmlaLink="'binnenklimaatlabel type 3'!$B$3" fmlaRange="'Menu´s Binnenklimaat'!$F$22:$F$26" val="0"/>
</file>

<file path=xl/ctrlProps/ctrlProp1154.xml><?xml version="1.0" encoding="utf-8"?>
<formControlPr xmlns="http://schemas.microsoft.com/office/spreadsheetml/2009/9/main" objectType="Drop" dropStyle="combo" dx="16" fmlaLink="'binnenklimaatlabel type 3'!$C$3" fmlaRange="'Menu´s Binnenklimaat'!$F$22:$F$26" val="0"/>
</file>

<file path=xl/ctrlProps/ctrlProp1155.xml><?xml version="1.0" encoding="utf-8"?>
<formControlPr xmlns="http://schemas.microsoft.com/office/spreadsheetml/2009/9/main" objectType="Drop" dropStyle="combo" dx="16" fmlaLink="'binnenklimaatlabel type 3'!$B$8" fmlaRange="'Menu´s Binnenklimaat'!$B$30:$B$34" val="0"/>
</file>

<file path=xl/ctrlProps/ctrlProp1156.xml><?xml version="1.0" encoding="utf-8"?>
<formControlPr xmlns="http://schemas.microsoft.com/office/spreadsheetml/2009/9/main" objectType="Drop" dropStyle="combo" dx="16" fmlaLink="'binnenklimaatlabel type 3'!$B$9" fmlaRange="'Menu´s Binnenklimaat'!$B$30:$B$34" val="0"/>
</file>

<file path=xl/ctrlProps/ctrlProp1157.xml><?xml version="1.0" encoding="utf-8"?>
<formControlPr xmlns="http://schemas.microsoft.com/office/spreadsheetml/2009/9/main" objectType="Drop" dropStyle="combo" dx="16" fmlaLink="'binnenklimaatlabel type 3'!$K$5" fmlaRange="'Menu´s Binnenklimaat'!$G$36:$G$39" val="0"/>
</file>

<file path=xl/ctrlProps/ctrlProp1158.xml><?xml version="1.0" encoding="utf-8"?>
<formControlPr xmlns="http://schemas.microsoft.com/office/spreadsheetml/2009/9/main" objectType="Drop" dropStyle="combo" dx="16" fmlaLink="'binnenklimaatlabel type 3'!$K$6" fmlaRange="'Menu´s Binnenklimaat'!$G$36:$G$39" val="0"/>
</file>

<file path=xl/ctrlProps/ctrlProp1159.xml><?xml version="1.0" encoding="utf-8"?>
<formControlPr xmlns="http://schemas.microsoft.com/office/spreadsheetml/2009/9/main" objectType="Drop" dropStyle="combo" dx="16" fmlaLink="'binnenklimaatlabel type 3'!$K$7" fmlaRange="'Menu´s Binnenklimaat'!$G$36:$G$39" val="0"/>
</file>

<file path=xl/ctrlProps/ctrlProp116.xml><?xml version="1.0" encoding="utf-8"?>
<formControlPr xmlns="http://schemas.microsoft.com/office/spreadsheetml/2009/9/main" objectType="Drop" dropStyle="combo" dx="16" fmlaLink="'Verwerking Bouwdelen'!$E$5" fmlaRange="'Verwerking Bouwdelen'!$E$79:$E$103" val="0"/>
</file>

<file path=xl/ctrlProps/ctrlProp1160.xml><?xml version="1.0" encoding="utf-8"?>
<formControlPr xmlns="http://schemas.microsoft.com/office/spreadsheetml/2009/9/main" objectType="Drop" dropStyle="combo" dx="16" fmlaLink="'binnenklimaatlabel type 3'!$K$8" fmlaRange="'Menu´s Binnenklimaat'!$G$36:$G$39" val="0"/>
</file>

<file path=xl/ctrlProps/ctrlProp1161.xml><?xml version="1.0" encoding="utf-8"?>
<formControlPr xmlns="http://schemas.microsoft.com/office/spreadsheetml/2009/9/main" objectType="Drop" dropStyle="combo" dx="16" fmlaLink="'binnenklimaatlabel type 3'!$K$9" fmlaRange="'Menu´s Binnenklimaat'!$G$36:$G$39" val="0"/>
</file>

<file path=xl/ctrlProps/ctrlProp1162.xml><?xml version="1.0" encoding="utf-8"?>
<formControlPr xmlns="http://schemas.microsoft.com/office/spreadsheetml/2009/9/main" objectType="Drop" dropStyle="combo" dx="16" fmlaLink="'binnenklimaatlabel type 3'!$C$8" fmlaRange="'Menu´s Binnenklimaat'!$B$30:$B$34" val="0"/>
</file>

<file path=xl/ctrlProps/ctrlProp1163.xml><?xml version="1.0" encoding="utf-8"?>
<formControlPr xmlns="http://schemas.microsoft.com/office/spreadsheetml/2009/9/main" objectType="Drop" dropStyle="combo" dx="16" fmlaLink="'binnenklimaatlabel type 3'!$C$9" fmlaRange="'Menu´s Binnenklimaat'!$B$30:$B$34" val="0"/>
</file>

<file path=xl/ctrlProps/ctrlProp1164.xml><?xml version="1.0" encoding="utf-8"?>
<formControlPr xmlns="http://schemas.microsoft.com/office/spreadsheetml/2009/9/main" objectType="Drop" dropStyle="combo" dx="16" fmlaLink="'binnenklimaatlabel type 3'!$W$5" fmlaRange="'Menu´s Binnenklimaat'!$G$36:$G$39" val="0"/>
</file>

<file path=xl/ctrlProps/ctrlProp1165.xml><?xml version="1.0" encoding="utf-8"?>
<formControlPr xmlns="http://schemas.microsoft.com/office/spreadsheetml/2009/9/main" objectType="Drop" dropStyle="combo" dx="16" fmlaLink="'binnenklimaatlabel type 3'!$W$6" fmlaRange="'Menu´s Binnenklimaat'!$G$36:$G$39" val="0"/>
</file>

<file path=xl/ctrlProps/ctrlProp1166.xml><?xml version="1.0" encoding="utf-8"?>
<formControlPr xmlns="http://schemas.microsoft.com/office/spreadsheetml/2009/9/main" objectType="Drop" dropStyle="combo" dx="16" fmlaLink="'binnenklimaatlabel type 3'!$W$7" fmlaRange="'Menu´s Binnenklimaat'!$G$36:$G$39" val="0"/>
</file>

<file path=xl/ctrlProps/ctrlProp1167.xml><?xml version="1.0" encoding="utf-8"?>
<formControlPr xmlns="http://schemas.microsoft.com/office/spreadsheetml/2009/9/main" objectType="Drop" dropStyle="combo" dx="16" fmlaLink="'binnenklimaatlabel type 3'!$W$8" fmlaRange="'Menu´s Binnenklimaat'!$G$36:$G$39" val="0"/>
</file>

<file path=xl/ctrlProps/ctrlProp1168.xml><?xml version="1.0" encoding="utf-8"?>
<formControlPr xmlns="http://schemas.microsoft.com/office/spreadsheetml/2009/9/main" objectType="Drop" dropStyle="combo" dx="16" fmlaLink="'binnenklimaatlabel type 3'!$W$9" fmlaRange="'Menu´s Binnenklimaat'!$G$36:$G$39" val="0"/>
</file>

<file path=xl/ctrlProps/ctrlProp1169.xml><?xml version="1.0" encoding="utf-8"?>
<formControlPr xmlns="http://schemas.microsoft.com/office/spreadsheetml/2009/9/main" objectType="Drop" dropStyle="combo" dx="16" fmlaLink="'binnenklimaatlabel type 3'!$AI$5" fmlaRange="'Menu´s Binnenklimaat'!$G$36:$G$39" val="0"/>
</file>

<file path=xl/ctrlProps/ctrlProp117.xml><?xml version="1.0" encoding="utf-8"?>
<formControlPr xmlns="http://schemas.microsoft.com/office/spreadsheetml/2009/9/main" objectType="Drop" dropStyle="combo" dx="16" fmlaLink="'Verwerking Bouwdelen'!$E$6" fmlaRange="'Verwerking Bouwdelen'!$G$79:$G$103" val="0"/>
</file>

<file path=xl/ctrlProps/ctrlProp1170.xml><?xml version="1.0" encoding="utf-8"?>
<formControlPr xmlns="http://schemas.microsoft.com/office/spreadsheetml/2009/9/main" objectType="Drop" dropStyle="combo" dx="16" fmlaLink="'binnenklimaatlabel type 3'!$AI$6" fmlaRange="'Menu´s Binnenklimaat'!$G$36:$G$39" val="0"/>
</file>

<file path=xl/ctrlProps/ctrlProp1171.xml><?xml version="1.0" encoding="utf-8"?>
<formControlPr xmlns="http://schemas.microsoft.com/office/spreadsheetml/2009/9/main" objectType="Drop" dropStyle="combo" dx="16" fmlaLink="'binnenklimaatlabel type 3'!$AI$7" fmlaRange="'Menu´s Binnenklimaat'!$G$36:$G$39" val="0"/>
</file>

<file path=xl/ctrlProps/ctrlProp1172.xml><?xml version="1.0" encoding="utf-8"?>
<formControlPr xmlns="http://schemas.microsoft.com/office/spreadsheetml/2009/9/main" objectType="Drop" dropStyle="combo" dx="16" fmlaLink="'binnenklimaatlabel type 3'!$AU$5" fmlaRange="'Menu´s Binnenklimaat'!$G$36:$G$39" val="0"/>
</file>

<file path=xl/ctrlProps/ctrlProp1173.xml><?xml version="1.0" encoding="utf-8"?>
<formControlPr xmlns="http://schemas.microsoft.com/office/spreadsheetml/2009/9/main" objectType="Drop" dropStyle="combo" dx="16" fmlaLink="'binnenklimaatlabel type 3'!$AU$6" fmlaRange="'Menu´s Binnenklimaat'!$G$36:$G$39" val="0"/>
</file>

<file path=xl/ctrlProps/ctrlProp1174.xml><?xml version="1.0" encoding="utf-8"?>
<formControlPr xmlns="http://schemas.microsoft.com/office/spreadsheetml/2009/9/main" objectType="Drop" dropStyle="combo" dx="16" fmlaLink="'binnenklimaatlabel type 3'!$AU$7" fmlaRange="'Menu´s Binnenklimaat'!$G$36:$G$39" val="0"/>
</file>

<file path=xl/ctrlProps/ctrlProp1175.xml><?xml version="1.0" encoding="utf-8"?>
<formControlPr xmlns="http://schemas.microsoft.com/office/spreadsheetml/2009/9/main" objectType="Drop" dropStyle="combo" dx="16" fmlaLink="'binnenklimaatlabel type 4'!$B$2" fmlaRange="'Menu´s Binnenklimaat'!$B$22:$B$27" val="0"/>
</file>

<file path=xl/ctrlProps/ctrlProp1176.xml><?xml version="1.0" encoding="utf-8"?>
<formControlPr xmlns="http://schemas.microsoft.com/office/spreadsheetml/2009/9/main" objectType="Drop" dropStyle="combo" dx="16" fmlaLink="'binnenklimaatlabel type 4'!$B$5" fmlaRange="'Menu´s Binnenklimaat'!$B$30:$B$34" val="0"/>
</file>

<file path=xl/ctrlProps/ctrlProp1177.xml><?xml version="1.0" encoding="utf-8"?>
<formControlPr xmlns="http://schemas.microsoft.com/office/spreadsheetml/2009/9/main" objectType="Drop" dropStyle="combo" dx="16" fmlaLink="'binnenklimaatlabel type 4'!$B$6" fmlaRange="'Menu´s Binnenklimaat'!$B$30:$B$34" val="0"/>
</file>

<file path=xl/ctrlProps/ctrlProp1178.xml><?xml version="1.0" encoding="utf-8"?>
<formControlPr xmlns="http://schemas.microsoft.com/office/spreadsheetml/2009/9/main" objectType="Drop" dropStyle="combo" dx="16" fmlaLink="'binnenklimaatlabel type 4'!$B$7" fmlaRange="'Menu´s Binnenklimaat'!$B$30:$B$34" val="0"/>
</file>

<file path=xl/ctrlProps/ctrlProp1179.xml><?xml version="1.0" encoding="utf-8"?>
<formControlPr xmlns="http://schemas.microsoft.com/office/spreadsheetml/2009/9/main" objectType="Drop" dropStyle="combo" dx="16" fmlaLink="'binnenklimaatlabel type 4'!$B$10" fmlaRange="'Menu´s Binnenklimaat'!$B$38:$B$42" val="0"/>
</file>

<file path=xl/ctrlProps/ctrlProp118.xml><?xml version="1.0" encoding="utf-8"?>
<formControlPr xmlns="http://schemas.microsoft.com/office/spreadsheetml/2009/9/main" objectType="Drop" dropStyle="combo" dx="16" fmlaLink="'Verwerking Bouwdelen'!$E$7" fmlaRange="'Verwerking Bouwdelen'!$I$79:$I$103" val="0"/>
</file>

<file path=xl/ctrlProps/ctrlProp1180.xml><?xml version="1.0" encoding="utf-8"?>
<formControlPr xmlns="http://schemas.microsoft.com/office/spreadsheetml/2009/9/main" objectType="Drop" dropStyle="combo" dx="16" fmlaLink="'binnenklimaatlabel type 4'!$B$11" fmlaRange="'Menu´s Binnenklimaat'!$B$38:$B$42" val="0"/>
</file>

<file path=xl/ctrlProps/ctrlProp1181.xml><?xml version="1.0" encoding="utf-8"?>
<formControlPr xmlns="http://schemas.microsoft.com/office/spreadsheetml/2009/9/main" objectType="Drop" dropStyle="combo" dx="16" fmlaLink="'binnenklimaatlabel type 4'!$B$12" fmlaRange="'Menu´s Binnenklimaat'!$B$38:$B$42" val="0"/>
</file>

<file path=xl/ctrlProps/ctrlProp1182.xml><?xml version="1.0" encoding="utf-8"?>
<formControlPr xmlns="http://schemas.microsoft.com/office/spreadsheetml/2009/9/main" objectType="Drop" dropStyle="combo" dx="16" fmlaLink="'binnenklimaatlabel type 4'!$B$14" fmlaRange="'Menu´s Binnenklimaat'!$B$54:$B$58" val="0"/>
</file>

<file path=xl/ctrlProps/ctrlProp1183.xml><?xml version="1.0" encoding="utf-8"?>
<formControlPr xmlns="http://schemas.microsoft.com/office/spreadsheetml/2009/9/main" objectType="Drop" dropStyle="combo" dx="16" fmlaLink="'binnenklimaatlabel type 4'!$B$15" fmlaRange="'Menu´s Binnenklimaat'!$B$61:$B$65" val="0"/>
</file>

<file path=xl/ctrlProps/ctrlProp1184.xml><?xml version="1.0" encoding="utf-8"?>
<formControlPr xmlns="http://schemas.microsoft.com/office/spreadsheetml/2009/9/main" objectType="Drop" dropStyle="combo" dx="16" fmlaLink="'binnenklimaatlabel type 4'!$B$16" fmlaRange="'Menu´s Binnenklimaat'!$C$61:$C$64" sel="3" val="0"/>
</file>

<file path=xl/ctrlProps/ctrlProp1185.xml><?xml version="1.0" encoding="utf-8"?>
<formControlPr xmlns="http://schemas.microsoft.com/office/spreadsheetml/2009/9/main" objectType="Drop" dropStyle="combo" dx="16" fmlaLink="'binnenklimaatlabel type 4'!$B$17" fmlaRange="'Menu´s Binnenklimaat'!$B$68:$B$75" val="0"/>
</file>

<file path=xl/ctrlProps/ctrlProp1186.xml><?xml version="1.0" encoding="utf-8"?>
<formControlPr xmlns="http://schemas.microsoft.com/office/spreadsheetml/2009/9/main" objectType="Drop" dropStyle="combo" dx="16" fmlaLink="'binnenklimaatlabel type 4'!$B$18" fmlaRange="'Menu´s Binnenklimaat'!$B$78:$B$79" val="0"/>
</file>

<file path=xl/ctrlProps/ctrlProp1187.xml><?xml version="1.0" encoding="utf-8"?>
<formControlPr xmlns="http://schemas.microsoft.com/office/spreadsheetml/2009/9/main" objectType="Drop" dropStyle="combo" dx="16" fmlaLink="'binnenklimaatlabel type 4'!$B$13" fmlaRange="'Menu´s Binnenklimaat'!$B$45:$B$51" val="0"/>
</file>

<file path=xl/ctrlProps/ctrlProp1188.xml><?xml version="1.0" encoding="utf-8"?>
<formControlPr xmlns="http://schemas.microsoft.com/office/spreadsheetml/2009/9/main" objectType="Drop" dropStyle="combo" dx="16" fmlaLink="'binnenklimaatlabel type 4'!$B$19" fmlaRange="'Menu´s Binnenklimaat'!$B$82:$B$85" val="0"/>
</file>

<file path=xl/ctrlProps/ctrlProp1189.xml><?xml version="1.0" encoding="utf-8"?>
<formControlPr xmlns="http://schemas.microsoft.com/office/spreadsheetml/2009/9/main" objectType="Drop" dropStyle="combo" dx="16" fmlaLink="'binnenklimaatlabel type 4'!$C$2" fmlaRange="'Menu´s Binnenklimaat'!$B$22:$B$27" val="0"/>
</file>

<file path=xl/ctrlProps/ctrlProp119.xml><?xml version="1.0" encoding="utf-8"?>
<formControlPr xmlns="http://schemas.microsoft.com/office/spreadsheetml/2009/9/main" objectType="Drop" dropStyle="combo" dx="16" fmlaLink="'Verwerking Bouwdelen'!$E$8" fmlaRange="'Verwerking Bouwdelen'!$K$79:$K$103" val="0"/>
</file>

<file path=xl/ctrlProps/ctrlProp1190.xml><?xml version="1.0" encoding="utf-8"?>
<formControlPr xmlns="http://schemas.microsoft.com/office/spreadsheetml/2009/9/main" objectType="Drop" dropStyle="combo" dx="16" fmlaLink="'binnenklimaatlabel type 4'!$C$5" fmlaRange="'Menu´s Binnenklimaat'!$B$30:$B$34" val="0"/>
</file>

<file path=xl/ctrlProps/ctrlProp1191.xml><?xml version="1.0" encoding="utf-8"?>
<formControlPr xmlns="http://schemas.microsoft.com/office/spreadsheetml/2009/9/main" objectType="Drop" dropStyle="combo" dx="16" fmlaLink="'binnenklimaatlabel type 4'!$C$6" fmlaRange="'Menu´s Binnenklimaat'!$B$30:$B$34" val="0"/>
</file>

<file path=xl/ctrlProps/ctrlProp1192.xml><?xml version="1.0" encoding="utf-8"?>
<formControlPr xmlns="http://schemas.microsoft.com/office/spreadsheetml/2009/9/main" objectType="Drop" dropStyle="combo" dx="16" fmlaLink="'binnenklimaatlabel type 4'!$C$7" fmlaRange="'Menu´s Binnenklimaat'!$B$30:$B$34" val="0"/>
</file>

<file path=xl/ctrlProps/ctrlProp1193.xml><?xml version="1.0" encoding="utf-8"?>
<formControlPr xmlns="http://schemas.microsoft.com/office/spreadsheetml/2009/9/main" objectType="Drop" dropStyle="combo" dx="16" fmlaLink="'binnenklimaatlabel type 4'!$C$10" fmlaRange="'Menu´s Binnenklimaat'!$B$38:$B$42" val="0"/>
</file>

<file path=xl/ctrlProps/ctrlProp1194.xml><?xml version="1.0" encoding="utf-8"?>
<formControlPr xmlns="http://schemas.microsoft.com/office/spreadsheetml/2009/9/main" objectType="Drop" dropStyle="combo" dx="16" fmlaLink="'binnenklimaatlabel type 4'!$C$11" fmlaRange="'Menu´s Binnenklimaat'!$B$38:$B$42" val="0"/>
</file>

<file path=xl/ctrlProps/ctrlProp1195.xml><?xml version="1.0" encoding="utf-8"?>
<formControlPr xmlns="http://schemas.microsoft.com/office/spreadsheetml/2009/9/main" objectType="Drop" dropStyle="combo" dx="16" fmlaLink="'binnenklimaatlabel type 4'!$C$12" fmlaRange="'Menu´s Binnenklimaat'!$B$38:$B$42" val="0"/>
</file>

<file path=xl/ctrlProps/ctrlProp1196.xml><?xml version="1.0" encoding="utf-8"?>
<formControlPr xmlns="http://schemas.microsoft.com/office/spreadsheetml/2009/9/main" objectType="Drop" dropStyle="combo" dx="16" fmlaLink="'binnenklimaatlabel type 4'!$C$13" fmlaRange="'Menu´s Binnenklimaat'!$B$45:$B$51" val="0"/>
</file>

<file path=xl/ctrlProps/ctrlProp1197.xml><?xml version="1.0" encoding="utf-8"?>
<formControlPr xmlns="http://schemas.microsoft.com/office/spreadsheetml/2009/9/main" objectType="Drop" dropStyle="combo" dx="16" fmlaLink="'binnenklimaatlabel type 4'!$C$14" fmlaRange="'Menu´s Binnenklimaat'!$B$54:$B$58" val="0"/>
</file>

<file path=xl/ctrlProps/ctrlProp1198.xml><?xml version="1.0" encoding="utf-8"?>
<formControlPr xmlns="http://schemas.microsoft.com/office/spreadsheetml/2009/9/main" objectType="Drop" dropStyle="combo" dx="16" fmlaLink="'binnenklimaatlabel type 4'!$C$15" fmlaRange="'Menu´s Binnenklimaat'!$B$61:$B$65" val="0"/>
</file>

<file path=xl/ctrlProps/ctrlProp1199.xml><?xml version="1.0" encoding="utf-8"?>
<formControlPr xmlns="http://schemas.microsoft.com/office/spreadsheetml/2009/9/main" objectType="Drop" dropStyle="combo" dx="16" fmlaLink="'binnenklimaatlabel type 4'!$C$16" fmlaRange="'Menu´s Binnenklimaat'!$C$61:$C$64" sel="3" val="0"/>
</file>

<file path=xl/ctrlProps/ctrlProp12.xml><?xml version="1.0" encoding="utf-8"?>
<formControlPr xmlns="http://schemas.microsoft.com/office/spreadsheetml/2009/9/main" objectType="Drop" dropStyle="combo" dx="16" fmlaLink="'Verwerken eigenopwekking'!$C$6" fmlaRange="'Verwerken eigenopwekking'!$A$18:$A$20" sel="2" val="0"/>
</file>

<file path=xl/ctrlProps/ctrlProp120.xml><?xml version="1.0" encoding="utf-8"?>
<formControlPr xmlns="http://schemas.microsoft.com/office/spreadsheetml/2009/9/main" objectType="Drop" dropStyle="combo" dx="16" fmlaLink="'Verwerking Bouwdelen'!$E$9" fmlaRange="'Verwerking Bouwdelen'!$M$79:$M$103" val="0"/>
</file>

<file path=xl/ctrlProps/ctrlProp1200.xml><?xml version="1.0" encoding="utf-8"?>
<formControlPr xmlns="http://schemas.microsoft.com/office/spreadsheetml/2009/9/main" objectType="Drop" dropStyle="combo" dx="16" fmlaLink="'binnenklimaatlabel type 4'!$C$17" fmlaRange="'Menu´s Binnenklimaat'!$B$68:$B$75" val="0"/>
</file>

<file path=xl/ctrlProps/ctrlProp1201.xml><?xml version="1.0" encoding="utf-8"?>
<formControlPr xmlns="http://schemas.microsoft.com/office/spreadsheetml/2009/9/main" objectType="Drop" dropStyle="combo" dx="16" fmlaLink="'binnenklimaatlabel type 4'!$C$18" fmlaRange="'Menu´s Binnenklimaat'!$B$78:$B$79" val="0"/>
</file>

<file path=xl/ctrlProps/ctrlProp1202.xml><?xml version="1.0" encoding="utf-8"?>
<formControlPr xmlns="http://schemas.microsoft.com/office/spreadsheetml/2009/9/main" objectType="Drop" dropStyle="combo" dx="16" fmlaLink="'binnenklimaatlabel type 4'!$C$19" fmlaRange="'Menu´s Binnenklimaat'!$B$82:$B$85" val="0"/>
</file>

<file path=xl/ctrlProps/ctrlProp1203.xml><?xml version="1.0" encoding="utf-8"?>
<formControlPr xmlns="http://schemas.microsoft.com/office/spreadsheetml/2009/9/main" objectType="Drop" dropStyle="combo" dx="16" fmlaLink="'binnenklimaatlabel type 4'!$B$4" fmlaRange="'Menu´s Binnenklimaat'!$D$22:$D$24" val="0"/>
</file>

<file path=xl/ctrlProps/ctrlProp1204.xml><?xml version="1.0" encoding="utf-8"?>
<formControlPr xmlns="http://schemas.microsoft.com/office/spreadsheetml/2009/9/main" objectType="Drop" dropStyle="combo" dx="16" fmlaLink="'binnenklimaatlabel type 4'!$C$4" fmlaRange="'Menu´s Binnenklimaat'!$D$22:$D$24" val="0"/>
</file>

<file path=xl/ctrlProps/ctrlProp1205.xml><?xml version="1.0" encoding="utf-8"?>
<formControlPr xmlns="http://schemas.microsoft.com/office/spreadsheetml/2009/9/main" objectType="Drop" dropStyle="combo" dx="16" fmlaLink="'binnenklimaatlabel type 4'!$F$5" fmlaRange="'Menu´s Binnenklimaat'!$D$30:$D$32" val="0"/>
</file>

<file path=xl/ctrlProps/ctrlProp1206.xml><?xml version="1.0" encoding="utf-8"?>
<formControlPr xmlns="http://schemas.microsoft.com/office/spreadsheetml/2009/9/main" objectType="Drop" dropStyle="combo" dx="16" fmlaLink="'binnenklimaatlabel type 4'!$F$6" fmlaRange="'Menu´s Binnenklimaat'!$D$38:$D$40" val="0"/>
</file>

<file path=xl/ctrlProps/ctrlProp1207.xml><?xml version="1.0" encoding="utf-8"?>
<formControlPr xmlns="http://schemas.microsoft.com/office/spreadsheetml/2009/9/main" objectType="Drop" dropStyle="combo" dx="16" fmlaLink="'binnenklimaatlabel type 4'!$F$17" fmlaRange="'Menu´s Binnenklimaat'!$D$82:$D$84" val="0"/>
</file>

<file path=xl/ctrlProps/ctrlProp1208.xml><?xml version="1.0" encoding="utf-8"?>
<formControlPr xmlns="http://schemas.microsoft.com/office/spreadsheetml/2009/9/main" objectType="Drop" dropStyle="combo" dx="16" fmlaLink="'binnenklimaatlabel type 4'!$B$3" fmlaRange="'Menu´s Binnenklimaat'!$F$22:$F$26" val="0"/>
</file>

<file path=xl/ctrlProps/ctrlProp1209.xml><?xml version="1.0" encoding="utf-8"?>
<formControlPr xmlns="http://schemas.microsoft.com/office/spreadsheetml/2009/9/main" objectType="Drop" dropStyle="combo" dx="16" fmlaLink="'binnenklimaatlabel type 4'!$C$3" fmlaRange="'Menu´s Binnenklimaat'!$F$22:$F$26" val="0"/>
</file>

<file path=xl/ctrlProps/ctrlProp121.xml><?xml version="1.0" encoding="utf-8"?>
<formControlPr xmlns="http://schemas.microsoft.com/office/spreadsheetml/2009/9/main" objectType="Drop" dropStyle="combo" dx="16" fmlaLink="'Verwerking Bouwdelen'!$E$10" fmlaRange="'Verwerking Bouwdelen'!$O$79:$O$103" val="0"/>
</file>

<file path=xl/ctrlProps/ctrlProp1210.xml><?xml version="1.0" encoding="utf-8"?>
<formControlPr xmlns="http://schemas.microsoft.com/office/spreadsheetml/2009/9/main" objectType="Drop" dropStyle="combo" dx="16" fmlaLink="'binnenklimaatlabel type 4'!$B$8" fmlaRange="'Menu´s Binnenklimaat'!$B$30:$B$34" val="0"/>
</file>

<file path=xl/ctrlProps/ctrlProp1211.xml><?xml version="1.0" encoding="utf-8"?>
<formControlPr xmlns="http://schemas.microsoft.com/office/spreadsheetml/2009/9/main" objectType="Drop" dropStyle="combo" dx="16" fmlaLink="'binnenklimaatlabel type 4'!$B$9" fmlaRange="'Menu´s Binnenklimaat'!$B$30:$B$34" val="0"/>
</file>

<file path=xl/ctrlProps/ctrlProp1212.xml><?xml version="1.0" encoding="utf-8"?>
<formControlPr xmlns="http://schemas.microsoft.com/office/spreadsheetml/2009/9/main" objectType="Drop" dropStyle="combo" dx="16" fmlaLink="'binnenklimaatlabel type 4'!$K$5" fmlaRange="'Menu´s Binnenklimaat'!$G$36:$G$39" val="0"/>
</file>

<file path=xl/ctrlProps/ctrlProp1213.xml><?xml version="1.0" encoding="utf-8"?>
<formControlPr xmlns="http://schemas.microsoft.com/office/spreadsheetml/2009/9/main" objectType="Drop" dropStyle="combo" dx="16" fmlaLink="'binnenklimaatlabel type 4'!$K$6" fmlaRange="'Menu´s Binnenklimaat'!$G$36:$G$39" val="0"/>
</file>

<file path=xl/ctrlProps/ctrlProp1214.xml><?xml version="1.0" encoding="utf-8"?>
<formControlPr xmlns="http://schemas.microsoft.com/office/spreadsheetml/2009/9/main" objectType="Drop" dropStyle="combo" dx="16" fmlaLink="'binnenklimaatlabel type 4'!$K$7" fmlaRange="'Menu´s Binnenklimaat'!$G$36:$G$39" val="0"/>
</file>

<file path=xl/ctrlProps/ctrlProp1215.xml><?xml version="1.0" encoding="utf-8"?>
<formControlPr xmlns="http://schemas.microsoft.com/office/spreadsheetml/2009/9/main" objectType="Drop" dropStyle="combo" dx="16" fmlaLink="'binnenklimaatlabel type 4'!$K$8" fmlaRange="'Menu´s Binnenklimaat'!$G$36:$G$39" val="0"/>
</file>

<file path=xl/ctrlProps/ctrlProp1216.xml><?xml version="1.0" encoding="utf-8"?>
<formControlPr xmlns="http://schemas.microsoft.com/office/spreadsheetml/2009/9/main" objectType="Drop" dropStyle="combo" dx="16" fmlaLink="'binnenklimaatlabel type 4'!$K$9" fmlaRange="'Menu´s Binnenklimaat'!$G$36:$G$39" val="0"/>
</file>

<file path=xl/ctrlProps/ctrlProp1217.xml><?xml version="1.0" encoding="utf-8"?>
<formControlPr xmlns="http://schemas.microsoft.com/office/spreadsheetml/2009/9/main" objectType="Drop" dropStyle="combo" dx="16" fmlaLink="'binnenklimaatlabel type 4'!$C$8" fmlaRange="'Menu´s Binnenklimaat'!$B$30:$B$34" val="0"/>
</file>

<file path=xl/ctrlProps/ctrlProp1218.xml><?xml version="1.0" encoding="utf-8"?>
<formControlPr xmlns="http://schemas.microsoft.com/office/spreadsheetml/2009/9/main" objectType="Drop" dropStyle="combo" dx="16" fmlaLink="'binnenklimaatlabel type 4'!$C$9" fmlaRange="'Menu´s Binnenklimaat'!$B$30:$B$34" val="0"/>
</file>

<file path=xl/ctrlProps/ctrlProp1219.xml><?xml version="1.0" encoding="utf-8"?>
<formControlPr xmlns="http://schemas.microsoft.com/office/spreadsheetml/2009/9/main" objectType="Drop" dropStyle="combo" dx="16" fmlaLink="'binnenklimaatlabel type 4'!$W$5" fmlaRange="'Menu´s Binnenklimaat'!$G$36:$G$39" val="0"/>
</file>

<file path=xl/ctrlProps/ctrlProp122.xml><?xml version="1.0" encoding="utf-8"?>
<formControlPr xmlns="http://schemas.microsoft.com/office/spreadsheetml/2009/9/main" objectType="Drop" dropStyle="combo" dx="16" fmlaLink="'Verwerking Bouwdelen'!$E$11" fmlaRange="'Verwerking Bouwdelen'!$Q$79:$Q$103" val="0"/>
</file>

<file path=xl/ctrlProps/ctrlProp1220.xml><?xml version="1.0" encoding="utf-8"?>
<formControlPr xmlns="http://schemas.microsoft.com/office/spreadsheetml/2009/9/main" objectType="Drop" dropStyle="combo" dx="16" fmlaLink="'binnenklimaatlabel type 4'!$W$6" fmlaRange="'Menu´s Binnenklimaat'!$G$36:$G$39" val="0"/>
</file>

<file path=xl/ctrlProps/ctrlProp1221.xml><?xml version="1.0" encoding="utf-8"?>
<formControlPr xmlns="http://schemas.microsoft.com/office/spreadsheetml/2009/9/main" objectType="Drop" dropStyle="combo" dx="16" fmlaLink="'binnenklimaatlabel type 4'!$W$7" fmlaRange="'Menu´s Binnenklimaat'!$G$36:$G$39" val="0"/>
</file>

<file path=xl/ctrlProps/ctrlProp1222.xml><?xml version="1.0" encoding="utf-8"?>
<formControlPr xmlns="http://schemas.microsoft.com/office/spreadsheetml/2009/9/main" objectType="Drop" dropStyle="combo" dx="16" fmlaLink="'binnenklimaatlabel type 4'!$W$8" fmlaRange="'Menu´s Binnenklimaat'!$G$36:$G$39" val="0"/>
</file>

<file path=xl/ctrlProps/ctrlProp1223.xml><?xml version="1.0" encoding="utf-8"?>
<formControlPr xmlns="http://schemas.microsoft.com/office/spreadsheetml/2009/9/main" objectType="Drop" dropStyle="combo" dx="16" fmlaLink="'binnenklimaatlabel type 4'!$W$9" fmlaRange="'Menu´s Binnenklimaat'!$G$36:$G$39" val="0"/>
</file>

<file path=xl/ctrlProps/ctrlProp1224.xml><?xml version="1.0" encoding="utf-8"?>
<formControlPr xmlns="http://schemas.microsoft.com/office/spreadsheetml/2009/9/main" objectType="Drop" dropStyle="combo" dx="16" fmlaLink="'binnenklimaatlabel type 4'!$AI$5" fmlaRange="'Menu´s Binnenklimaat'!$G$36:$G$39" val="0"/>
</file>

<file path=xl/ctrlProps/ctrlProp1225.xml><?xml version="1.0" encoding="utf-8"?>
<formControlPr xmlns="http://schemas.microsoft.com/office/spreadsheetml/2009/9/main" objectType="Drop" dropStyle="combo" dx="16" fmlaLink="'binnenklimaatlabel type 4'!$AI$6" fmlaRange="'Menu´s Binnenklimaat'!$G$36:$G$39" val="0"/>
</file>

<file path=xl/ctrlProps/ctrlProp1226.xml><?xml version="1.0" encoding="utf-8"?>
<formControlPr xmlns="http://schemas.microsoft.com/office/spreadsheetml/2009/9/main" objectType="Drop" dropStyle="combo" dx="16" fmlaLink="'binnenklimaatlabel type 4'!$AI$7" fmlaRange="'Menu´s Binnenklimaat'!$G$36:$G$39" val="0"/>
</file>

<file path=xl/ctrlProps/ctrlProp1227.xml><?xml version="1.0" encoding="utf-8"?>
<formControlPr xmlns="http://schemas.microsoft.com/office/spreadsheetml/2009/9/main" objectType="Drop" dropStyle="combo" dx="16" fmlaLink="'binnenklimaatlabel type 4'!$AU$5" fmlaRange="'Menu´s Binnenklimaat'!$G$36:$G$39" val="0"/>
</file>

<file path=xl/ctrlProps/ctrlProp1228.xml><?xml version="1.0" encoding="utf-8"?>
<formControlPr xmlns="http://schemas.microsoft.com/office/spreadsheetml/2009/9/main" objectType="Drop" dropStyle="combo" dx="16" fmlaLink="'binnenklimaatlabel type 4'!$AU$6" fmlaRange="'Menu´s Binnenklimaat'!$G$36:$G$39" val="0"/>
</file>

<file path=xl/ctrlProps/ctrlProp1229.xml><?xml version="1.0" encoding="utf-8"?>
<formControlPr xmlns="http://schemas.microsoft.com/office/spreadsheetml/2009/9/main" objectType="Drop" dropStyle="combo" dx="16" fmlaLink="'binnenklimaatlabel type 4'!$AU$7" fmlaRange="'Menu´s Binnenklimaat'!$G$36:$G$39" val="0"/>
</file>

<file path=xl/ctrlProps/ctrlProp123.xml><?xml version="1.0" encoding="utf-8"?>
<formControlPr xmlns="http://schemas.microsoft.com/office/spreadsheetml/2009/9/main" objectType="Drop" dropStyle="combo" dx="16" fmlaLink="'Verwerking Bouwdelen'!$E$12" fmlaRange="'Verwerking Bouwdelen'!$S$79:$S$103" val="0"/>
</file>

<file path=xl/ctrlProps/ctrlProp124.xml><?xml version="1.0" encoding="utf-8"?>
<formControlPr xmlns="http://schemas.microsoft.com/office/spreadsheetml/2009/9/main" objectType="Drop" dropStyle="combo" dx="16" fmlaLink="'Verwerking Bouwdelen'!$E$13" fmlaRange="'Verwerking Bouwdelen'!$U$79:$U$103" val="0"/>
</file>

<file path=xl/ctrlProps/ctrlProp125.xml><?xml version="1.0" encoding="utf-8"?>
<formControlPr xmlns="http://schemas.microsoft.com/office/spreadsheetml/2009/9/main" objectType="Drop" dropStyle="combo" dx="16" fmlaLink="'Verwerking Bouwdelen'!$E$14" fmlaRange="'Verwerking Bouwdelen'!$W$79:$W$103" val="0"/>
</file>

<file path=xl/ctrlProps/ctrlProp126.xml><?xml version="1.0" encoding="utf-8"?>
<formControlPr xmlns="http://schemas.microsoft.com/office/spreadsheetml/2009/9/main" objectType="Drop" dropStyle="combo" dx="16" fmlaLink="'Verwerking Bouwdelen'!$E$15" fmlaRange="'Verwerking Bouwdelen'!$Y$79:$Y$103" val="0"/>
</file>

<file path=xl/ctrlProps/ctrlProp127.xml><?xml version="1.0" encoding="utf-8"?>
<formControlPr xmlns="http://schemas.microsoft.com/office/spreadsheetml/2009/9/main" objectType="Drop" dropStyle="combo" dx="16" fmlaLink="'Verwerking Bouwdelen'!$E$16" fmlaRange="'Verwerking Bouwdelen'!$AA$79:$AA$103" val="0"/>
</file>

<file path=xl/ctrlProps/ctrlProp128.xml><?xml version="1.0" encoding="utf-8"?>
<formControlPr xmlns="http://schemas.microsoft.com/office/spreadsheetml/2009/9/main" objectType="Drop" dropStyle="combo" dx="16" fmlaLink="'Verwerking Bouwdelen'!$E$17" fmlaRange="'Verwerking Bouwdelen'!$AC$79:$AC$103" val="0"/>
</file>

<file path=xl/ctrlProps/ctrlProp129.xml><?xml version="1.0" encoding="utf-8"?>
<formControlPr xmlns="http://schemas.microsoft.com/office/spreadsheetml/2009/9/main" objectType="Drop" dropStyle="combo" dx="16" fmlaLink="'Verwerking Bouwdelen'!$E$18" fmlaRange="'Verwerking Bouwdelen'!$AE$79:$AE$103" val="0"/>
</file>

<file path=xl/ctrlProps/ctrlProp13.xml><?xml version="1.0" encoding="utf-8"?>
<formControlPr xmlns="http://schemas.microsoft.com/office/spreadsheetml/2009/9/main" objectType="Drop" dropStyle="combo" dx="16" fmlaLink="'Verwerken eigenopwekking'!$C$8" fmlaRange="'Verwerken eigenopwekking'!$A$18:$A$20" sel="2" val="0"/>
</file>

<file path=xl/ctrlProps/ctrlProp130.xml><?xml version="1.0" encoding="utf-8"?>
<formControlPr xmlns="http://schemas.microsoft.com/office/spreadsheetml/2009/9/main" objectType="Drop" dropStyle="combo" dx="16" fmlaLink="'Verwerking Bouwdelen'!$E$19" fmlaRange="'Verwerking Bouwdelen'!$AG$79:$AG$103" val="0"/>
</file>

<file path=xl/ctrlProps/ctrlProp131.xml><?xml version="1.0" encoding="utf-8"?>
<formControlPr xmlns="http://schemas.microsoft.com/office/spreadsheetml/2009/9/main" objectType="Drop" dropStyle="combo" dx="16" fmlaLink="'Verwerking Bouwdelen'!$E$20" fmlaRange="'Verwerking Bouwdelen'!$AI$79:$AI$103" val="0"/>
</file>

<file path=xl/ctrlProps/ctrlProp132.xml><?xml version="1.0" encoding="utf-8"?>
<formControlPr xmlns="http://schemas.microsoft.com/office/spreadsheetml/2009/9/main" objectType="Drop" dropStyle="combo" dx="16" fmlaLink="'Verwerking Bouwdelen'!$E$21" fmlaRange="'Verwerking Bouwdelen'!$AK$79:$AK$103" val="0"/>
</file>

<file path=xl/ctrlProps/ctrlProp133.xml><?xml version="1.0" encoding="utf-8"?>
<formControlPr xmlns="http://schemas.microsoft.com/office/spreadsheetml/2009/9/main" objectType="Drop" dropStyle="combo" dx="16" fmlaLink="'Verwerking Bouwdelen'!$E$22" fmlaRange="'Verwerking Bouwdelen'!$AM$79:$AM$103" val="0"/>
</file>

<file path=xl/ctrlProps/ctrlProp134.xml><?xml version="1.0" encoding="utf-8"?>
<formControlPr xmlns="http://schemas.microsoft.com/office/spreadsheetml/2009/9/main" objectType="Drop" dropStyle="combo" dx="16" fmlaLink="'Verwerking Bouwdelen'!$E$23" fmlaRange="'Verwerking Bouwdelen'!$AO$79:$AO$103" val="0"/>
</file>

<file path=xl/ctrlProps/ctrlProp135.xml><?xml version="1.0" encoding="utf-8"?>
<formControlPr xmlns="http://schemas.microsoft.com/office/spreadsheetml/2009/9/main" objectType="Drop" dropStyle="combo" dx="16" fmlaLink="'Verwerking Bouwdelen'!$E$44" fmlaRange="'Verwerking Bouwdelen'!$AQ$79:$AQ$103" val="0"/>
</file>

<file path=xl/ctrlProps/ctrlProp136.xml><?xml version="1.0" encoding="utf-8"?>
<formControlPr xmlns="http://schemas.microsoft.com/office/spreadsheetml/2009/9/main" objectType="Drop" dropStyle="combo" dx="16" fmlaLink="'Verwerking Bouwdelen'!$F$4" fmlaRange="'Verwerking Bouwdelen'!$K$59:$K$64" val="0"/>
</file>

<file path=xl/ctrlProps/ctrlProp137.xml><?xml version="1.0" encoding="utf-8"?>
<formControlPr xmlns="http://schemas.microsoft.com/office/spreadsheetml/2009/9/main" objectType="Drop" dropStyle="combo" dx="16" fmlaLink="'Verwerking Bouwdelen'!$F$5" fmlaRange="'Verwerking Bouwdelen'!$K$59:$K$64" val="0"/>
</file>

<file path=xl/ctrlProps/ctrlProp138.xml><?xml version="1.0" encoding="utf-8"?>
<formControlPr xmlns="http://schemas.microsoft.com/office/spreadsheetml/2009/9/main" objectType="Drop" dropStyle="combo" dx="16" fmlaLink="'Verwerking Bouwdelen'!$F$6" fmlaRange="'Verwerking Bouwdelen'!$K$59:$K$64" val="0"/>
</file>

<file path=xl/ctrlProps/ctrlProp139.xml><?xml version="1.0" encoding="utf-8"?>
<formControlPr xmlns="http://schemas.microsoft.com/office/spreadsheetml/2009/9/main" objectType="Drop" dropStyle="combo" dx="16" fmlaLink="'Verwerking Bouwdelen'!$F$7" fmlaRange="'Verwerking Bouwdelen'!$K$59:$K$64" val="0"/>
</file>

<file path=xl/ctrlProps/ctrlProp14.xml><?xml version="1.0" encoding="utf-8"?>
<formControlPr xmlns="http://schemas.microsoft.com/office/spreadsheetml/2009/9/main" objectType="Drop" dropStyle="combo" dx="16" fmlaLink="'Verwerken eigenopwekking'!$C$7" fmlaRange="'Verwerken eigenopwekking'!$A$18:$A$20" sel="2" val="0"/>
</file>

<file path=xl/ctrlProps/ctrlProp140.xml><?xml version="1.0" encoding="utf-8"?>
<formControlPr xmlns="http://schemas.microsoft.com/office/spreadsheetml/2009/9/main" objectType="Drop" dropStyle="combo" dx="16" fmlaLink="'Verwerking Bouwdelen'!$F$8" fmlaRange="'Verwerking Bouwdelen'!$K$59:$K$64" val="0"/>
</file>

<file path=xl/ctrlProps/ctrlProp141.xml><?xml version="1.0" encoding="utf-8"?>
<formControlPr xmlns="http://schemas.microsoft.com/office/spreadsheetml/2009/9/main" objectType="Drop" dropStyle="combo" dx="16" fmlaLink="'Verwerking Bouwdelen'!$F$9" fmlaRange="'Verwerking Bouwdelen'!$K$59:$K$64" val="0"/>
</file>

<file path=xl/ctrlProps/ctrlProp142.xml><?xml version="1.0" encoding="utf-8"?>
<formControlPr xmlns="http://schemas.microsoft.com/office/spreadsheetml/2009/9/main" objectType="Drop" dropStyle="combo" dx="16" fmlaLink="'Verwerking Bouwdelen'!$F$10" fmlaRange="'Verwerking Bouwdelen'!$K$59:$K$64" val="0"/>
</file>

<file path=xl/ctrlProps/ctrlProp143.xml><?xml version="1.0" encoding="utf-8"?>
<formControlPr xmlns="http://schemas.microsoft.com/office/spreadsheetml/2009/9/main" objectType="Drop" dropStyle="combo" dx="16" fmlaLink="'Verwerking Bouwdelen'!$F$11" fmlaRange="'Verwerking Bouwdelen'!$K$59:$K$64" val="0"/>
</file>

<file path=xl/ctrlProps/ctrlProp144.xml><?xml version="1.0" encoding="utf-8"?>
<formControlPr xmlns="http://schemas.microsoft.com/office/spreadsheetml/2009/9/main" objectType="Drop" dropStyle="combo" dx="16" fmlaLink="'Verwerking Bouwdelen'!$F$12" fmlaRange="'Verwerking Bouwdelen'!$K$59:$K$64" val="0"/>
</file>

<file path=xl/ctrlProps/ctrlProp145.xml><?xml version="1.0" encoding="utf-8"?>
<formControlPr xmlns="http://schemas.microsoft.com/office/spreadsheetml/2009/9/main" objectType="Drop" dropStyle="combo" dx="16" fmlaLink="'Verwerking Bouwdelen'!$F$13" fmlaRange="'Verwerking Bouwdelen'!$K$59:$K$64" val="0"/>
</file>

<file path=xl/ctrlProps/ctrlProp146.xml><?xml version="1.0" encoding="utf-8"?>
<formControlPr xmlns="http://schemas.microsoft.com/office/spreadsheetml/2009/9/main" objectType="Drop" dropStyle="combo" dx="16" fmlaLink="'Verwerking Bouwdelen'!$F$14" fmlaRange="'Verwerking Bouwdelen'!$K$59:$K$64" val="0"/>
</file>

<file path=xl/ctrlProps/ctrlProp147.xml><?xml version="1.0" encoding="utf-8"?>
<formControlPr xmlns="http://schemas.microsoft.com/office/spreadsheetml/2009/9/main" objectType="Drop" dropStyle="combo" dx="16" fmlaLink="'Verwerking Bouwdelen'!$F$15" fmlaRange="'Verwerking Bouwdelen'!$K$59:$K$64" val="0"/>
</file>

<file path=xl/ctrlProps/ctrlProp148.xml><?xml version="1.0" encoding="utf-8"?>
<formControlPr xmlns="http://schemas.microsoft.com/office/spreadsheetml/2009/9/main" objectType="Drop" dropStyle="combo" dx="16" fmlaLink="'Verwerking Bouwdelen'!$F$16" fmlaRange="'Verwerking Bouwdelen'!$K$59:$K$64" val="0"/>
</file>

<file path=xl/ctrlProps/ctrlProp149.xml><?xml version="1.0" encoding="utf-8"?>
<formControlPr xmlns="http://schemas.microsoft.com/office/spreadsheetml/2009/9/main" objectType="Drop" dropStyle="combo" dx="16" fmlaLink="'Verwerking Bouwdelen'!$F$17" fmlaRange="'Verwerking Bouwdelen'!$K$59:$K$64" val="0"/>
</file>

<file path=xl/ctrlProps/ctrlProp15.xml><?xml version="1.0" encoding="utf-8"?>
<formControlPr xmlns="http://schemas.microsoft.com/office/spreadsheetml/2009/9/main" objectType="Drop" dropStyle="combo" dx="16" fmlaLink="'Verwerken eigenopwekking'!$C$9" fmlaRange="'Verwerken eigenopwekking'!$A$18:$A$20" sel="2" val="0"/>
</file>

<file path=xl/ctrlProps/ctrlProp150.xml><?xml version="1.0" encoding="utf-8"?>
<formControlPr xmlns="http://schemas.microsoft.com/office/spreadsheetml/2009/9/main" objectType="Drop" dropStyle="combo" dx="16" fmlaLink="'Verwerking Bouwdelen'!$F$18" fmlaRange="'Verwerking Bouwdelen'!$K$59:$K$64" val="0"/>
</file>

<file path=xl/ctrlProps/ctrlProp151.xml><?xml version="1.0" encoding="utf-8"?>
<formControlPr xmlns="http://schemas.microsoft.com/office/spreadsheetml/2009/9/main" objectType="Drop" dropStyle="combo" dx="16" fmlaLink="'Verwerking Bouwdelen'!$F$19" fmlaRange="'Verwerking Bouwdelen'!$K$59:$K$64" val="0"/>
</file>

<file path=xl/ctrlProps/ctrlProp152.xml><?xml version="1.0" encoding="utf-8"?>
<formControlPr xmlns="http://schemas.microsoft.com/office/spreadsheetml/2009/9/main" objectType="Drop" dropStyle="combo" dx="16" fmlaLink="'Verwerking Bouwdelen'!$F$20" fmlaRange="'Verwerking Bouwdelen'!$K$59:$K$64" val="0"/>
</file>

<file path=xl/ctrlProps/ctrlProp153.xml><?xml version="1.0" encoding="utf-8"?>
<formControlPr xmlns="http://schemas.microsoft.com/office/spreadsheetml/2009/9/main" objectType="Drop" dropStyle="combo" dx="16" fmlaLink="'Verwerking Bouwdelen'!$F$21" fmlaRange="'Verwerking Bouwdelen'!$K$59:$K$64" val="0"/>
</file>

<file path=xl/ctrlProps/ctrlProp154.xml><?xml version="1.0" encoding="utf-8"?>
<formControlPr xmlns="http://schemas.microsoft.com/office/spreadsheetml/2009/9/main" objectType="Drop" dropStyle="combo" dx="16" fmlaLink="'Verwerking Bouwdelen'!$F$22" fmlaRange="'Verwerking Bouwdelen'!$K$59:$K$64" val="0"/>
</file>

<file path=xl/ctrlProps/ctrlProp155.xml><?xml version="1.0" encoding="utf-8"?>
<formControlPr xmlns="http://schemas.microsoft.com/office/spreadsheetml/2009/9/main" objectType="Drop" dropStyle="combo" dx="16" fmlaLink="'Verwerking Bouwdelen'!$F$23" fmlaRange="'Verwerking Bouwdelen'!$K$59:$K$64" val="0"/>
</file>

<file path=xl/ctrlProps/ctrlProp156.xml><?xml version="1.0" encoding="utf-8"?>
<formControlPr xmlns="http://schemas.microsoft.com/office/spreadsheetml/2009/9/main" objectType="Drop" dropStyle="combo" dx="16" fmlaLink="'Verwerking Bouwdelen'!$F$44" fmlaRange="'Verwerking Bouwdelen'!$K$59:$K$64" val="0"/>
</file>

<file path=xl/ctrlProps/ctrlProp157.xml><?xml version="1.0" encoding="utf-8"?>
<formControlPr xmlns="http://schemas.microsoft.com/office/spreadsheetml/2009/9/main" objectType="Drop" dropStyle="combo" dx="16" fmlaLink="'Verwerking Bouwdelen'!$H$4" fmlaRange="'Verwerking Bouwdelen'!$W$106:$W$130" val="0"/>
</file>

<file path=xl/ctrlProps/ctrlProp158.xml><?xml version="1.0" encoding="utf-8"?>
<formControlPr xmlns="http://schemas.microsoft.com/office/spreadsheetml/2009/9/main" objectType="Drop" dropStyle="combo" dx="16" fmlaLink="'Verwerking Bouwdelen'!$H$5" fmlaRange="'Verwerking Bouwdelen'!$W$106:$W$130" val="0"/>
</file>

<file path=xl/ctrlProps/ctrlProp159.xml><?xml version="1.0" encoding="utf-8"?>
<formControlPr xmlns="http://schemas.microsoft.com/office/spreadsheetml/2009/9/main" objectType="Drop" dropStyle="combo" dx="16" fmlaLink="'Verwerking Bouwdelen'!$H$6" fmlaRange="'Verwerking Bouwdelen'!$W$106:$W$130" val="0"/>
</file>

<file path=xl/ctrlProps/ctrlProp16.xml><?xml version="1.0" encoding="utf-8"?>
<formControlPr xmlns="http://schemas.microsoft.com/office/spreadsheetml/2009/9/main" objectType="Drop" dropStyle="combo" dx="16" fmlaLink="'Verwerken eigenopwekking'!$C$10" fmlaRange="'Verwerken eigenopwekking'!$A$18:$A$20" sel="2" val="0"/>
</file>

<file path=xl/ctrlProps/ctrlProp160.xml><?xml version="1.0" encoding="utf-8"?>
<formControlPr xmlns="http://schemas.microsoft.com/office/spreadsheetml/2009/9/main" objectType="Drop" dropStyle="combo" dx="16" fmlaLink="'Verwerking Bouwdelen'!$H$7" fmlaRange="'Verwerking Bouwdelen'!$W$106:$W$130" val="0"/>
</file>

<file path=xl/ctrlProps/ctrlProp161.xml><?xml version="1.0" encoding="utf-8"?>
<formControlPr xmlns="http://schemas.microsoft.com/office/spreadsheetml/2009/9/main" objectType="Drop" dropStyle="combo" dx="16" fmlaLink="'Verwerking Bouwdelen'!$H$8" fmlaRange="'Verwerking Bouwdelen'!$W$106:$W$130" val="0"/>
</file>

<file path=xl/ctrlProps/ctrlProp162.xml><?xml version="1.0" encoding="utf-8"?>
<formControlPr xmlns="http://schemas.microsoft.com/office/spreadsheetml/2009/9/main" objectType="Drop" dropStyle="combo" dx="16" fmlaLink="'Verwerking Bouwdelen'!$H$9" fmlaRange="'Verwerking Bouwdelen'!$W$106:$W$130" val="0"/>
</file>

<file path=xl/ctrlProps/ctrlProp163.xml><?xml version="1.0" encoding="utf-8"?>
<formControlPr xmlns="http://schemas.microsoft.com/office/spreadsheetml/2009/9/main" objectType="Drop" dropStyle="combo" dx="16" fmlaLink="'Verwerking Bouwdelen'!$H$10" fmlaRange="'Verwerking Bouwdelen'!$W$106:$W$130" val="0"/>
</file>

<file path=xl/ctrlProps/ctrlProp164.xml><?xml version="1.0" encoding="utf-8"?>
<formControlPr xmlns="http://schemas.microsoft.com/office/spreadsheetml/2009/9/main" objectType="Drop" dropStyle="combo" dx="16" fmlaLink="'Verwerking Bouwdelen'!$H$11" fmlaRange="'Verwerking Bouwdelen'!$W$106:$W$130" val="0"/>
</file>

<file path=xl/ctrlProps/ctrlProp165.xml><?xml version="1.0" encoding="utf-8"?>
<formControlPr xmlns="http://schemas.microsoft.com/office/spreadsheetml/2009/9/main" objectType="Drop" dropStyle="combo" dx="16" fmlaLink="'Verwerking Bouwdelen'!$H$12" fmlaRange="'Verwerking Bouwdelen'!$W$106:$W$130" val="0"/>
</file>

<file path=xl/ctrlProps/ctrlProp166.xml><?xml version="1.0" encoding="utf-8"?>
<formControlPr xmlns="http://schemas.microsoft.com/office/spreadsheetml/2009/9/main" objectType="Drop" dropStyle="combo" dx="16" fmlaLink="'Verwerking Bouwdelen'!$H$13" fmlaRange="'Verwerking Bouwdelen'!$W$106:$W$130" val="0"/>
</file>

<file path=xl/ctrlProps/ctrlProp167.xml><?xml version="1.0" encoding="utf-8"?>
<formControlPr xmlns="http://schemas.microsoft.com/office/spreadsheetml/2009/9/main" objectType="Drop" dropStyle="combo" dx="16" fmlaLink="'Verwerking Bouwdelen'!$H$14" fmlaRange="'Verwerking Bouwdelen'!$W$106:$W$130" val="0"/>
</file>

<file path=xl/ctrlProps/ctrlProp168.xml><?xml version="1.0" encoding="utf-8"?>
<formControlPr xmlns="http://schemas.microsoft.com/office/spreadsheetml/2009/9/main" objectType="Drop" dropStyle="combo" dx="16" fmlaLink="'Verwerking Bouwdelen'!$H$15" fmlaRange="'Verwerking Bouwdelen'!$W$106:$W$130" val="0"/>
</file>

<file path=xl/ctrlProps/ctrlProp169.xml><?xml version="1.0" encoding="utf-8"?>
<formControlPr xmlns="http://schemas.microsoft.com/office/spreadsheetml/2009/9/main" objectType="Drop" dropStyle="combo" dx="16" fmlaLink="'Verwerking Bouwdelen'!$H$16" fmlaRange="'Verwerking Bouwdelen'!$W$106:$W$130" val="0"/>
</file>

<file path=xl/ctrlProps/ctrlProp17.xml><?xml version="1.0" encoding="utf-8"?>
<formControlPr xmlns="http://schemas.microsoft.com/office/spreadsheetml/2009/9/main" objectType="Drop" dropStyle="combo" dx="16" fmlaLink="'Verwerken eigenopwekking'!$D$6" fmlaRange="'Verwerken eigenopwekking'!$C$36:$C$54" val="0"/>
</file>

<file path=xl/ctrlProps/ctrlProp170.xml><?xml version="1.0" encoding="utf-8"?>
<formControlPr xmlns="http://schemas.microsoft.com/office/spreadsheetml/2009/9/main" objectType="Drop" dropStyle="combo" dx="16" fmlaLink="'Verwerking Bouwdelen'!$H$17" fmlaRange="'Verwerking Bouwdelen'!$W$106:$W$130" val="0"/>
</file>

<file path=xl/ctrlProps/ctrlProp171.xml><?xml version="1.0" encoding="utf-8"?>
<formControlPr xmlns="http://schemas.microsoft.com/office/spreadsheetml/2009/9/main" objectType="Drop" dropStyle="combo" dx="16" fmlaLink="'Verwerking Bouwdelen'!$H$18" fmlaRange="'Verwerking Bouwdelen'!$W$106:$W$130" val="0"/>
</file>

<file path=xl/ctrlProps/ctrlProp172.xml><?xml version="1.0" encoding="utf-8"?>
<formControlPr xmlns="http://schemas.microsoft.com/office/spreadsheetml/2009/9/main" objectType="Drop" dropStyle="combo" dx="16" fmlaLink="'Verwerking Bouwdelen'!$H$19" fmlaRange="'Verwerking Bouwdelen'!$W$106:$W$130" val="0"/>
</file>

<file path=xl/ctrlProps/ctrlProp173.xml><?xml version="1.0" encoding="utf-8"?>
<formControlPr xmlns="http://schemas.microsoft.com/office/spreadsheetml/2009/9/main" objectType="Drop" dropStyle="combo" dx="16" fmlaLink="'Verwerking Bouwdelen'!$H$20" fmlaRange="'Verwerking Bouwdelen'!$W$106:$W$130" val="0"/>
</file>

<file path=xl/ctrlProps/ctrlProp174.xml><?xml version="1.0" encoding="utf-8"?>
<formControlPr xmlns="http://schemas.microsoft.com/office/spreadsheetml/2009/9/main" objectType="Drop" dropStyle="combo" dx="16" fmlaLink="'Verwerking Bouwdelen'!$H$21" fmlaRange="'Verwerking Bouwdelen'!$W$106:$W$130" val="0"/>
</file>

<file path=xl/ctrlProps/ctrlProp175.xml><?xml version="1.0" encoding="utf-8"?>
<formControlPr xmlns="http://schemas.microsoft.com/office/spreadsheetml/2009/9/main" objectType="Drop" dropStyle="combo" dx="16" fmlaLink="'Verwerking Bouwdelen'!$H$22" fmlaRange="'Verwerking Bouwdelen'!$W$106:$W$130" val="0"/>
</file>

<file path=xl/ctrlProps/ctrlProp176.xml><?xml version="1.0" encoding="utf-8"?>
<formControlPr xmlns="http://schemas.microsoft.com/office/spreadsheetml/2009/9/main" objectType="Drop" dropStyle="combo" dx="16" fmlaLink="'Verwerking Bouwdelen'!$H$23" fmlaRange="'Verwerking Bouwdelen'!$W$106:$W$130" val="0"/>
</file>

<file path=xl/ctrlProps/ctrlProp177.xml><?xml version="1.0" encoding="utf-8"?>
<formControlPr xmlns="http://schemas.microsoft.com/office/spreadsheetml/2009/9/main" objectType="Drop" dropStyle="combo" dx="16" fmlaLink="'Verwerking Bouwdelen'!$H$44" fmlaRange="'Verwerking Bouwdelen'!$W$106:$W$130" val="0"/>
</file>

<file path=xl/ctrlProps/ctrlProp178.xml><?xml version="1.0" encoding="utf-8"?>
<formControlPr xmlns="http://schemas.microsoft.com/office/spreadsheetml/2009/9/main" objectType="Drop" dropStyle="combo" dx="16" fmlaLink="'Verwerking Bouwdelen'!$I$4" fmlaRange="'Verwerking Bouwdelen'!$M$59:$M$66" val="0"/>
</file>

<file path=xl/ctrlProps/ctrlProp179.xml><?xml version="1.0" encoding="utf-8"?>
<formControlPr xmlns="http://schemas.microsoft.com/office/spreadsheetml/2009/9/main" objectType="Drop" dropStyle="combo" dx="16" fmlaLink="'Verwerking Bouwdelen'!$I$5" fmlaRange="'Verwerking Bouwdelen'!$M$59:$M$66" val="0"/>
</file>

<file path=xl/ctrlProps/ctrlProp18.xml><?xml version="1.0" encoding="utf-8"?>
<formControlPr xmlns="http://schemas.microsoft.com/office/spreadsheetml/2009/9/main" objectType="Drop" dropStyle="combo" dx="16" fmlaLink="'Verwerken eigenopwekking'!$D$7" fmlaRange="'Verwerken eigenopwekking'!$C$36:$C$54" val="0"/>
</file>

<file path=xl/ctrlProps/ctrlProp180.xml><?xml version="1.0" encoding="utf-8"?>
<formControlPr xmlns="http://schemas.microsoft.com/office/spreadsheetml/2009/9/main" objectType="Drop" dropStyle="combo" dx="16" fmlaLink="'Verwerking Bouwdelen'!$I$6" fmlaRange="'Verwerking Bouwdelen'!$M$59:$M$66" val="0"/>
</file>

<file path=xl/ctrlProps/ctrlProp181.xml><?xml version="1.0" encoding="utf-8"?>
<formControlPr xmlns="http://schemas.microsoft.com/office/spreadsheetml/2009/9/main" objectType="Drop" dropStyle="combo" dx="16" fmlaLink="'Verwerking Bouwdelen'!$I$7" fmlaRange="'Verwerking Bouwdelen'!$M$59:$M$66" val="0"/>
</file>

<file path=xl/ctrlProps/ctrlProp182.xml><?xml version="1.0" encoding="utf-8"?>
<formControlPr xmlns="http://schemas.microsoft.com/office/spreadsheetml/2009/9/main" objectType="Drop" dropStyle="combo" dx="16" fmlaLink="'Verwerking Bouwdelen'!$I$8" fmlaRange="'Verwerking Bouwdelen'!$M$59:$M$66" val="0"/>
</file>

<file path=xl/ctrlProps/ctrlProp183.xml><?xml version="1.0" encoding="utf-8"?>
<formControlPr xmlns="http://schemas.microsoft.com/office/spreadsheetml/2009/9/main" objectType="Drop" dropStyle="combo" dx="16" fmlaLink="'Verwerking Bouwdelen'!$I$9" fmlaRange="'Verwerking Bouwdelen'!$M$59:$M$66" val="0"/>
</file>

<file path=xl/ctrlProps/ctrlProp184.xml><?xml version="1.0" encoding="utf-8"?>
<formControlPr xmlns="http://schemas.microsoft.com/office/spreadsheetml/2009/9/main" objectType="Drop" dropStyle="combo" dx="16" fmlaLink="'Verwerking Bouwdelen'!$I$10" fmlaRange="'Verwerking Bouwdelen'!$M$59:$M$66" val="0"/>
</file>

<file path=xl/ctrlProps/ctrlProp185.xml><?xml version="1.0" encoding="utf-8"?>
<formControlPr xmlns="http://schemas.microsoft.com/office/spreadsheetml/2009/9/main" objectType="Drop" dropStyle="combo" dx="16" fmlaLink="'Verwerking Bouwdelen'!$I$11" fmlaRange="'Verwerking Bouwdelen'!$M$59:$M$66" val="0"/>
</file>

<file path=xl/ctrlProps/ctrlProp186.xml><?xml version="1.0" encoding="utf-8"?>
<formControlPr xmlns="http://schemas.microsoft.com/office/spreadsheetml/2009/9/main" objectType="Drop" dropStyle="combo" dx="16" fmlaLink="'Verwerking Bouwdelen'!$I$12" fmlaRange="'Verwerking Bouwdelen'!$M$59:$M$66" val="0"/>
</file>

<file path=xl/ctrlProps/ctrlProp187.xml><?xml version="1.0" encoding="utf-8"?>
<formControlPr xmlns="http://schemas.microsoft.com/office/spreadsheetml/2009/9/main" objectType="Drop" dropStyle="combo" dx="16" fmlaLink="'Verwerking Bouwdelen'!$I$13" fmlaRange="'Verwerking Bouwdelen'!$M$59:$M$66" val="0"/>
</file>

<file path=xl/ctrlProps/ctrlProp188.xml><?xml version="1.0" encoding="utf-8"?>
<formControlPr xmlns="http://schemas.microsoft.com/office/spreadsheetml/2009/9/main" objectType="Drop" dropStyle="combo" dx="16" fmlaLink="'Verwerking Bouwdelen'!$I$14" fmlaRange="'Verwerking Bouwdelen'!$M$59:$M$66" val="0"/>
</file>

<file path=xl/ctrlProps/ctrlProp189.xml><?xml version="1.0" encoding="utf-8"?>
<formControlPr xmlns="http://schemas.microsoft.com/office/spreadsheetml/2009/9/main" objectType="Drop" dropStyle="combo" dx="16" fmlaLink="'Verwerking Bouwdelen'!$I$15" fmlaRange="'Verwerking Bouwdelen'!$M$59:$M$66" val="0"/>
</file>

<file path=xl/ctrlProps/ctrlProp19.xml><?xml version="1.0" encoding="utf-8"?>
<formControlPr xmlns="http://schemas.microsoft.com/office/spreadsheetml/2009/9/main" objectType="Drop" dropStyle="combo" dx="16" fmlaLink="'Verwerken eigenopwekking'!$D$10" fmlaRange="'Verwerken eigenopwekking'!$C$36:$C$54" val="0"/>
</file>

<file path=xl/ctrlProps/ctrlProp190.xml><?xml version="1.0" encoding="utf-8"?>
<formControlPr xmlns="http://schemas.microsoft.com/office/spreadsheetml/2009/9/main" objectType="Drop" dropStyle="combo" dx="16" fmlaLink="'Verwerking Bouwdelen'!$I$16" fmlaRange="'Verwerking Bouwdelen'!$M$59:$M$66" val="0"/>
</file>

<file path=xl/ctrlProps/ctrlProp191.xml><?xml version="1.0" encoding="utf-8"?>
<formControlPr xmlns="http://schemas.microsoft.com/office/spreadsheetml/2009/9/main" objectType="Drop" dropStyle="combo" dx="16" fmlaLink="'Verwerking Bouwdelen'!$I$17" fmlaRange="'Verwerking Bouwdelen'!$M$59:$M$66" val="0"/>
</file>

<file path=xl/ctrlProps/ctrlProp192.xml><?xml version="1.0" encoding="utf-8"?>
<formControlPr xmlns="http://schemas.microsoft.com/office/spreadsheetml/2009/9/main" objectType="Drop" dropStyle="combo" dx="16" fmlaLink="'Verwerking Bouwdelen'!$I$18" fmlaRange="'Verwerking Bouwdelen'!$M$59:$M$66" val="0"/>
</file>

<file path=xl/ctrlProps/ctrlProp193.xml><?xml version="1.0" encoding="utf-8"?>
<formControlPr xmlns="http://schemas.microsoft.com/office/spreadsheetml/2009/9/main" objectType="Drop" dropStyle="combo" dx="16" fmlaLink="'Verwerking Bouwdelen'!$I$19" fmlaRange="'Verwerking Bouwdelen'!$M$59:$M$66" val="0"/>
</file>

<file path=xl/ctrlProps/ctrlProp194.xml><?xml version="1.0" encoding="utf-8"?>
<formControlPr xmlns="http://schemas.microsoft.com/office/spreadsheetml/2009/9/main" objectType="Drop" dropStyle="combo" dx="16" fmlaLink="'Verwerking Bouwdelen'!$I$20" fmlaRange="'Verwerking Bouwdelen'!$M$59:$M$66" val="0"/>
</file>

<file path=xl/ctrlProps/ctrlProp195.xml><?xml version="1.0" encoding="utf-8"?>
<formControlPr xmlns="http://schemas.microsoft.com/office/spreadsheetml/2009/9/main" objectType="Drop" dropStyle="combo" dx="16" fmlaLink="'Verwerking Bouwdelen'!$I$21" fmlaRange="'Verwerking Bouwdelen'!$M$59:$M$66" val="0"/>
</file>

<file path=xl/ctrlProps/ctrlProp196.xml><?xml version="1.0" encoding="utf-8"?>
<formControlPr xmlns="http://schemas.microsoft.com/office/spreadsheetml/2009/9/main" objectType="Drop" dropStyle="combo" dx="16" fmlaLink="'Verwerking Bouwdelen'!$I$22" fmlaRange="'Verwerking Bouwdelen'!$M$59:$M$66" val="0"/>
</file>

<file path=xl/ctrlProps/ctrlProp197.xml><?xml version="1.0" encoding="utf-8"?>
<formControlPr xmlns="http://schemas.microsoft.com/office/spreadsheetml/2009/9/main" objectType="Drop" dropStyle="combo" dx="16" fmlaLink="'Verwerking Bouwdelen'!$I$23" fmlaRange="'Verwerking Bouwdelen'!$M$59:$M$66" val="0"/>
</file>

<file path=xl/ctrlProps/ctrlProp198.xml><?xml version="1.0" encoding="utf-8"?>
<formControlPr xmlns="http://schemas.microsoft.com/office/spreadsheetml/2009/9/main" objectType="Drop" dropStyle="combo" dx="16" fmlaLink="'Verwerking Bouwdelen'!$I$44" fmlaRange="'Verwerking Bouwdelen'!$M$59:$M$66" val="0"/>
</file>

<file path=xl/ctrlProps/ctrlProp199.xml><?xml version="1.0" encoding="utf-8"?>
<formControlPr xmlns="http://schemas.microsoft.com/office/spreadsheetml/2009/9/main" objectType="Drop" dropStyle="combo" dx="16" fmlaLink="'Verwerking Bouwdelen'!$CY$4" fmlaRange="'Verwerking Bouwdelen'!$AG$59:$AG$62" val="0"/>
</file>

<file path=xl/ctrlProps/ctrlProp2.xml><?xml version="1.0" encoding="utf-8"?>
<formControlPr xmlns="http://schemas.microsoft.com/office/spreadsheetml/2009/9/main" objectType="Drop" dropStyle="combo" dx="16" fmlaLink="'Verwerken ventilatie'!$P$36" fmlaRange="'Verwerken Algemeen'!$A$24:$A$27" val="0"/>
</file>

<file path=xl/ctrlProps/ctrlProp20.xml><?xml version="1.0" encoding="utf-8"?>
<formControlPr xmlns="http://schemas.microsoft.com/office/spreadsheetml/2009/9/main" objectType="Drop" dropStyle="combo" dx="16" fmlaLink="'Verwerken eigenopwekking'!$D$8" fmlaRange="'Verwerken eigenopwekking'!$C$36:$C$54" val="0"/>
</file>

<file path=xl/ctrlProps/ctrlProp200.xml><?xml version="1.0" encoding="utf-8"?>
<formControlPr xmlns="http://schemas.microsoft.com/office/spreadsheetml/2009/9/main" objectType="Drop" dropStyle="combo" dx="16" fmlaLink="'Verwerking Bouwdelen'!$CY$5" fmlaRange="'Verwerking Bouwdelen'!$AG$59:$AG$62" val="0"/>
</file>

<file path=xl/ctrlProps/ctrlProp201.xml><?xml version="1.0" encoding="utf-8"?>
<formControlPr xmlns="http://schemas.microsoft.com/office/spreadsheetml/2009/9/main" objectType="Drop" dropStyle="combo" dx="16" fmlaLink="'Verwerking Bouwdelen'!$CY$6" fmlaRange="'Verwerking Bouwdelen'!$AG$59:$AG$62" val="0"/>
</file>

<file path=xl/ctrlProps/ctrlProp202.xml><?xml version="1.0" encoding="utf-8"?>
<formControlPr xmlns="http://schemas.microsoft.com/office/spreadsheetml/2009/9/main" objectType="Drop" dropStyle="combo" dx="16" fmlaLink="'Verwerking Bouwdelen'!$CY$7" fmlaRange="'Verwerking Bouwdelen'!$AG$59:$AG$62" val="0"/>
</file>

<file path=xl/ctrlProps/ctrlProp203.xml><?xml version="1.0" encoding="utf-8"?>
<formControlPr xmlns="http://schemas.microsoft.com/office/spreadsheetml/2009/9/main" objectType="Drop" dropStyle="combo" dx="16" fmlaLink="'Verwerking Bouwdelen'!$CY$8" fmlaRange="'Verwerking Bouwdelen'!$AG$59:$AG$62" val="0"/>
</file>

<file path=xl/ctrlProps/ctrlProp204.xml><?xml version="1.0" encoding="utf-8"?>
<formControlPr xmlns="http://schemas.microsoft.com/office/spreadsheetml/2009/9/main" objectType="Drop" dropStyle="combo" dx="16" fmlaLink="'Verwerking Bouwdelen'!$CY$9" fmlaRange="'Verwerking Bouwdelen'!$AG$59:$AG$62" val="0"/>
</file>

<file path=xl/ctrlProps/ctrlProp205.xml><?xml version="1.0" encoding="utf-8"?>
<formControlPr xmlns="http://schemas.microsoft.com/office/spreadsheetml/2009/9/main" objectType="Drop" dropStyle="combo" dx="16" fmlaLink="'Verwerking Bouwdelen'!$CY$10" fmlaRange="'Verwerking Bouwdelen'!$AG$59:$AG$62" val="0"/>
</file>

<file path=xl/ctrlProps/ctrlProp206.xml><?xml version="1.0" encoding="utf-8"?>
<formControlPr xmlns="http://schemas.microsoft.com/office/spreadsheetml/2009/9/main" objectType="Drop" dropStyle="combo" dx="16" fmlaLink="'Verwerking Bouwdelen'!$CY$11" fmlaRange="'Verwerking Bouwdelen'!$AG$59:$AG$62" val="0"/>
</file>

<file path=xl/ctrlProps/ctrlProp207.xml><?xml version="1.0" encoding="utf-8"?>
<formControlPr xmlns="http://schemas.microsoft.com/office/spreadsheetml/2009/9/main" objectType="Drop" dropStyle="combo" dx="16" fmlaLink="'Verwerking Bouwdelen'!$CY$12" fmlaRange="'Verwerking Bouwdelen'!$AG$59:$AG$62" val="0"/>
</file>

<file path=xl/ctrlProps/ctrlProp208.xml><?xml version="1.0" encoding="utf-8"?>
<formControlPr xmlns="http://schemas.microsoft.com/office/spreadsheetml/2009/9/main" objectType="Drop" dropStyle="combo" dx="16" fmlaLink="'Verwerking Bouwdelen'!$CY$13" fmlaRange="'Verwerking Bouwdelen'!$AG$59:$AG$62" val="0"/>
</file>

<file path=xl/ctrlProps/ctrlProp209.xml><?xml version="1.0" encoding="utf-8"?>
<formControlPr xmlns="http://schemas.microsoft.com/office/spreadsheetml/2009/9/main" objectType="Drop" dropStyle="combo" dx="16" fmlaLink="'Verwerking Bouwdelen'!$CY$14" fmlaRange="'Verwerking Bouwdelen'!$AG$59:$AG$62" val="0"/>
</file>

<file path=xl/ctrlProps/ctrlProp21.xml><?xml version="1.0" encoding="utf-8"?>
<formControlPr xmlns="http://schemas.microsoft.com/office/spreadsheetml/2009/9/main" objectType="Drop" dropStyle="combo" dx="16" fmlaLink="'Verwerken eigenopwekking'!$D$9" fmlaRange="'Verwerken eigenopwekking'!$C$36:$C$54" val="0"/>
</file>

<file path=xl/ctrlProps/ctrlProp210.xml><?xml version="1.0" encoding="utf-8"?>
<formControlPr xmlns="http://schemas.microsoft.com/office/spreadsheetml/2009/9/main" objectType="Drop" dropStyle="combo" dx="16" fmlaLink="'Verwerking Bouwdelen'!$CY$15" fmlaRange="'Verwerking Bouwdelen'!$AG$59:$AG$62" val="0"/>
</file>

<file path=xl/ctrlProps/ctrlProp211.xml><?xml version="1.0" encoding="utf-8"?>
<formControlPr xmlns="http://schemas.microsoft.com/office/spreadsheetml/2009/9/main" objectType="Drop" dropStyle="combo" dx="16" fmlaLink="'Verwerking Bouwdelen'!$CY$16" fmlaRange="'Verwerking Bouwdelen'!$AG$59:$AG$62" val="0"/>
</file>

<file path=xl/ctrlProps/ctrlProp212.xml><?xml version="1.0" encoding="utf-8"?>
<formControlPr xmlns="http://schemas.microsoft.com/office/spreadsheetml/2009/9/main" objectType="Drop" dropStyle="combo" dx="16" fmlaLink="'Verwerking Bouwdelen'!$CY$17" fmlaRange="'Verwerking Bouwdelen'!$AG$59:$AG$62" val="0"/>
</file>

<file path=xl/ctrlProps/ctrlProp213.xml><?xml version="1.0" encoding="utf-8"?>
<formControlPr xmlns="http://schemas.microsoft.com/office/spreadsheetml/2009/9/main" objectType="Drop" dropStyle="combo" dx="16" fmlaLink="'Verwerking Bouwdelen'!$CY$18" fmlaRange="'Verwerking Bouwdelen'!$AG$59:$AG$62" val="0"/>
</file>

<file path=xl/ctrlProps/ctrlProp214.xml><?xml version="1.0" encoding="utf-8"?>
<formControlPr xmlns="http://schemas.microsoft.com/office/spreadsheetml/2009/9/main" objectType="Drop" dropStyle="combo" dx="16" fmlaLink="'Verwerking Bouwdelen'!$CY$19" fmlaRange="'Verwerking Bouwdelen'!$AG$59:$AG$62" val="0"/>
</file>

<file path=xl/ctrlProps/ctrlProp215.xml><?xml version="1.0" encoding="utf-8"?>
<formControlPr xmlns="http://schemas.microsoft.com/office/spreadsheetml/2009/9/main" objectType="Drop" dropStyle="combo" dx="16" fmlaLink="'Verwerking Bouwdelen'!$CY$20" fmlaRange="'Verwerking Bouwdelen'!$AG$59:$AG$62" val="0"/>
</file>

<file path=xl/ctrlProps/ctrlProp216.xml><?xml version="1.0" encoding="utf-8"?>
<formControlPr xmlns="http://schemas.microsoft.com/office/spreadsheetml/2009/9/main" objectType="Drop" dropStyle="combo" dx="16" fmlaLink="'Verwerking Bouwdelen'!$CY$21" fmlaRange="'Verwerking Bouwdelen'!$AG$59:$AG$62" val="0"/>
</file>

<file path=xl/ctrlProps/ctrlProp217.xml><?xml version="1.0" encoding="utf-8"?>
<formControlPr xmlns="http://schemas.microsoft.com/office/spreadsheetml/2009/9/main" objectType="Drop" dropStyle="combo" dx="16" fmlaLink="'Verwerking Bouwdelen'!$CY$22" fmlaRange="'Verwerking Bouwdelen'!$AG$59:$AG$62" val="0"/>
</file>

<file path=xl/ctrlProps/ctrlProp218.xml><?xml version="1.0" encoding="utf-8"?>
<formControlPr xmlns="http://schemas.microsoft.com/office/spreadsheetml/2009/9/main" objectType="Drop" dropStyle="combo" dx="16" fmlaLink="'Verwerking Bouwdelen'!$CY$23" fmlaRange="'Verwerking Bouwdelen'!$AG$59:$AG$62" val="0"/>
</file>

<file path=xl/ctrlProps/ctrlProp219.xml><?xml version="1.0" encoding="utf-8"?>
<formControlPr xmlns="http://schemas.microsoft.com/office/spreadsheetml/2009/9/main" objectType="Drop" dropStyle="combo" dx="16" fmlaLink="'Verwerking Bouwdelen'!$CY$44" fmlaRange="'Verwerking Bouwdelen'!$AG$59:$AG$62" val="0"/>
</file>

<file path=xl/ctrlProps/ctrlProp22.xml><?xml version="1.0" encoding="utf-8"?>
<formControlPr xmlns="http://schemas.microsoft.com/office/spreadsheetml/2009/9/main" objectType="Drop" dropStyle="combo" dx="16" fmlaLink="'Verwerken eigenopwekking'!$E$6" fmlaRange="'Verwerken eigenopwekking'!$A$35:$A$39" val="0"/>
</file>

<file path=xl/ctrlProps/ctrlProp220.xml><?xml version="1.0" encoding="utf-8"?>
<formControlPr xmlns="http://schemas.microsoft.com/office/spreadsheetml/2009/9/main" objectType="Drop" dropStyle="combo" dx="16" fmlaLink="'Verwerking Bouwdelen'!$CZ$4" fmlaRange="'Verwerking Bouwdelen'!$AN$59:$AN$62" val="0"/>
</file>

<file path=xl/ctrlProps/ctrlProp221.xml><?xml version="1.0" encoding="utf-8"?>
<formControlPr xmlns="http://schemas.microsoft.com/office/spreadsheetml/2009/9/main" objectType="Drop" dropStyle="combo" dx="16" fmlaLink="'Verwerking Bouwdelen'!$CZ$5" fmlaRange="'Verwerking Bouwdelen'!$AN$59:$AN$62" val="0"/>
</file>

<file path=xl/ctrlProps/ctrlProp222.xml><?xml version="1.0" encoding="utf-8"?>
<formControlPr xmlns="http://schemas.microsoft.com/office/spreadsheetml/2009/9/main" objectType="Drop" dropStyle="combo" dx="16" fmlaLink="'Verwerking Bouwdelen'!$CZ$6" fmlaRange="'Verwerking Bouwdelen'!$AN$59:$AN$62" val="0"/>
</file>

<file path=xl/ctrlProps/ctrlProp223.xml><?xml version="1.0" encoding="utf-8"?>
<formControlPr xmlns="http://schemas.microsoft.com/office/spreadsheetml/2009/9/main" objectType="Drop" dropStyle="combo" dx="16" fmlaLink="'Verwerking Bouwdelen'!$CZ$7" fmlaRange="'Verwerking Bouwdelen'!$AN$59:$AN$62" val="0"/>
</file>

<file path=xl/ctrlProps/ctrlProp224.xml><?xml version="1.0" encoding="utf-8"?>
<formControlPr xmlns="http://schemas.microsoft.com/office/spreadsheetml/2009/9/main" objectType="Drop" dropStyle="combo" dx="16" fmlaLink="'Verwerking Bouwdelen'!$CZ$8" fmlaRange="'Verwerking Bouwdelen'!$AN$59:$AN$62" val="0"/>
</file>

<file path=xl/ctrlProps/ctrlProp225.xml><?xml version="1.0" encoding="utf-8"?>
<formControlPr xmlns="http://schemas.microsoft.com/office/spreadsheetml/2009/9/main" objectType="Drop" dropStyle="combo" dx="16" fmlaLink="'Verwerking Bouwdelen'!$CZ$9" fmlaRange="'Verwerking Bouwdelen'!$AN$59:$AN$62" val="0"/>
</file>

<file path=xl/ctrlProps/ctrlProp226.xml><?xml version="1.0" encoding="utf-8"?>
<formControlPr xmlns="http://schemas.microsoft.com/office/spreadsheetml/2009/9/main" objectType="Drop" dropStyle="combo" dx="16" fmlaLink="'Verwerking Bouwdelen'!$CZ$10" fmlaRange="'Verwerking Bouwdelen'!$AN$59:$AN$62" val="0"/>
</file>

<file path=xl/ctrlProps/ctrlProp227.xml><?xml version="1.0" encoding="utf-8"?>
<formControlPr xmlns="http://schemas.microsoft.com/office/spreadsheetml/2009/9/main" objectType="Drop" dropStyle="combo" dx="16" fmlaLink="'Verwerking Bouwdelen'!$CZ$11" fmlaRange="'Verwerking Bouwdelen'!$AN$59:$AN$62" val="0"/>
</file>

<file path=xl/ctrlProps/ctrlProp228.xml><?xml version="1.0" encoding="utf-8"?>
<formControlPr xmlns="http://schemas.microsoft.com/office/spreadsheetml/2009/9/main" objectType="Drop" dropStyle="combo" dx="16" fmlaLink="'Verwerking Bouwdelen'!$CZ$12" fmlaRange="'Verwerking Bouwdelen'!$AN$59:$AN$62" val="0"/>
</file>

<file path=xl/ctrlProps/ctrlProp229.xml><?xml version="1.0" encoding="utf-8"?>
<formControlPr xmlns="http://schemas.microsoft.com/office/spreadsheetml/2009/9/main" objectType="Drop" dropStyle="combo" dx="16" fmlaLink="'Verwerking Bouwdelen'!$CZ$13" fmlaRange="'Verwerking Bouwdelen'!$AN$59:$AN$62" val="0"/>
</file>

<file path=xl/ctrlProps/ctrlProp23.xml><?xml version="1.0" encoding="utf-8"?>
<formControlPr xmlns="http://schemas.microsoft.com/office/spreadsheetml/2009/9/main" objectType="Drop" dropStyle="combo" dx="16" fmlaLink="'Verwerken eigenopwekking'!$E$10" fmlaRange="'Verwerken eigenopwekking'!$A$35:$A$39" val="0"/>
</file>

<file path=xl/ctrlProps/ctrlProp230.xml><?xml version="1.0" encoding="utf-8"?>
<formControlPr xmlns="http://schemas.microsoft.com/office/spreadsheetml/2009/9/main" objectType="Drop" dropStyle="combo" dx="16" fmlaLink="'Verwerking Bouwdelen'!$CZ$14" fmlaRange="'Verwerking Bouwdelen'!$AN$59:$AN$62" val="0"/>
</file>

<file path=xl/ctrlProps/ctrlProp231.xml><?xml version="1.0" encoding="utf-8"?>
<formControlPr xmlns="http://schemas.microsoft.com/office/spreadsheetml/2009/9/main" objectType="Drop" dropStyle="combo" dx="16" fmlaLink="'Verwerking Bouwdelen'!$CZ$15" fmlaRange="'Verwerking Bouwdelen'!$AN$59:$AN$62" val="0"/>
</file>

<file path=xl/ctrlProps/ctrlProp232.xml><?xml version="1.0" encoding="utf-8"?>
<formControlPr xmlns="http://schemas.microsoft.com/office/spreadsheetml/2009/9/main" objectType="Drop" dropStyle="combo" dx="16" fmlaLink="'Verwerking Bouwdelen'!$CZ$16" fmlaRange="'Verwerking Bouwdelen'!$AN$59:$AN$62" val="0"/>
</file>

<file path=xl/ctrlProps/ctrlProp233.xml><?xml version="1.0" encoding="utf-8"?>
<formControlPr xmlns="http://schemas.microsoft.com/office/spreadsheetml/2009/9/main" objectType="Drop" dropStyle="combo" dx="16" fmlaLink="'Verwerking Bouwdelen'!$CZ$17" fmlaRange="'Verwerking Bouwdelen'!$AN$59:$AN$62" val="0"/>
</file>

<file path=xl/ctrlProps/ctrlProp234.xml><?xml version="1.0" encoding="utf-8"?>
<formControlPr xmlns="http://schemas.microsoft.com/office/spreadsheetml/2009/9/main" objectType="Drop" dropStyle="combo" dx="16" fmlaLink="'Verwerking Bouwdelen'!$CZ$18" fmlaRange="'Verwerking Bouwdelen'!$AN$59:$AN$62" val="0"/>
</file>

<file path=xl/ctrlProps/ctrlProp235.xml><?xml version="1.0" encoding="utf-8"?>
<formControlPr xmlns="http://schemas.microsoft.com/office/spreadsheetml/2009/9/main" objectType="Drop" dropStyle="combo" dx="16" fmlaLink="'Verwerking Bouwdelen'!$CZ$19" fmlaRange="'Verwerking Bouwdelen'!$AN$59:$AN$62" val="0"/>
</file>

<file path=xl/ctrlProps/ctrlProp236.xml><?xml version="1.0" encoding="utf-8"?>
<formControlPr xmlns="http://schemas.microsoft.com/office/spreadsheetml/2009/9/main" objectType="Drop" dropStyle="combo" dx="16" fmlaLink="'Verwerking Bouwdelen'!$CZ$20" fmlaRange="'Verwerking Bouwdelen'!$AN$59:$AN$62" val="0"/>
</file>

<file path=xl/ctrlProps/ctrlProp237.xml><?xml version="1.0" encoding="utf-8"?>
<formControlPr xmlns="http://schemas.microsoft.com/office/spreadsheetml/2009/9/main" objectType="Drop" dropStyle="combo" dx="16" fmlaLink="'Verwerking Bouwdelen'!$CZ$21" fmlaRange="'Verwerking Bouwdelen'!$AN$59:$AN$62" val="0"/>
</file>

<file path=xl/ctrlProps/ctrlProp238.xml><?xml version="1.0" encoding="utf-8"?>
<formControlPr xmlns="http://schemas.microsoft.com/office/spreadsheetml/2009/9/main" objectType="Drop" dropStyle="combo" dx="16" fmlaLink="'Verwerking Bouwdelen'!$CZ$22" fmlaRange="'Verwerking Bouwdelen'!$AN$59:$AN$62" val="0"/>
</file>

<file path=xl/ctrlProps/ctrlProp239.xml><?xml version="1.0" encoding="utf-8"?>
<formControlPr xmlns="http://schemas.microsoft.com/office/spreadsheetml/2009/9/main" objectType="Drop" dropStyle="combo" dx="16" fmlaLink="'Verwerking Bouwdelen'!$CZ$23" fmlaRange="'Verwerking Bouwdelen'!$AN$59:$AN$62" val="0"/>
</file>

<file path=xl/ctrlProps/ctrlProp24.xml><?xml version="1.0" encoding="utf-8"?>
<formControlPr xmlns="http://schemas.microsoft.com/office/spreadsheetml/2009/9/main" objectType="Drop" dropStyle="combo" dx="16" fmlaLink="'Verwerken eigenopwekking'!$E$7" fmlaRange="'Verwerken eigenopwekking'!$A$35:$A$39" val="0"/>
</file>

<file path=xl/ctrlProps/ctrlProp240.xml><?xml version="1.0" encoding="utf-8"?>
<formControlPr xmlns="http://schemas.microsoft.com/office/spreadsheetml/2009/9/main" objectType="Drop" dropStyle="combo" dx="16" fmlaLink="'Verwerking Bouwdelen'!$CZ$44" fmlaRange="'Verwerking Bouwdelen'!$AN$59:$AN$62" val="0"/>
</file>

<file path=xl/ctrlProps/ctrlProp241.xml><?xml version="1.0" encoding="utf-8"?>
<formControlPr xmlns="http://schemas.microsoft.com/office/spreadsheetml/2009/9/main" objectType="Drop" dropStyle="combo" dx="16" fmlaLink="'Verwerking Bouwdelen'!$E$4" fmlaRange="'Verwerking Bouwdelen'!$C$79:$C$103" val="0"/>
</file>

<file path=xl/ctrlProps/ctrlProp242.xml><?xml version="1.0" encoding="utf-8"?>
<formControlPr xmlns="http://schemas.microsoft.com/office/spreadsheetml/2009/9/main" objectType="Drop" dropStyle="combo" dx="16" fmlaLink="'Verwerking Bouwdelen'!$E$5" fmlaRange="'Verwerking Bouwdelen'!$E$79:$E$103" val="0"/>
</file>

<file path=xl/ctrlProps/ctrlProp243.xml><?xml version="1.0" encoding="utf-8"?>
<formControlPr xmlns="http://schemas.microsoft.com/office/spreadsheetml/2009/9/main" objectType="Drop" dropStyle="combo" dx="16" fmlaLink="'Verwerking Bouwdelen'!$E$6" fmlaRange="'Verwerking Bouwdelen'!$G$79:$G$103" val="0"/>
</file>

<file path=xl/ctrlProps/ctrlProp244.xml><?xml version="1.0" encoding="utf-8"?>
<formControlPr xmlns="http://schemas.microsoft.com/office/spreadsheetml/2009/9/main" objectType="Drop" dropStyle="combo" dx="16" fmlaLink="'Verwerking Bouwdelen'!$E$7" fmlaRange="'Verwerking Bouwdelen'!$I$79:$I$103" val="0"/>
</file>

<file path=xl/ctrlProps/ctrlProp245.xml><?xml version="1.0" encoding="utf-8"?>
<formControlPr xmlns="http://schemas.microsoft.com/office/spreadsheetml/2009/9/main" objectType="Drop" dropStyle="combo" dx="16" fmlaLink="'Verwerking Bouwdelen'!$E$8" fmlaRange="'Verwerking Bouwdelen'!$K$79:$K$103" val="0"/>
</file>

<file path=xl/ctrlProps/ctrlProp246.xml><?xml version="1.0" encoding="utf-8"?>
<formControlPr xmlns="http://schemas.microsoft.com/office/spreadsheetml/2009/9/main" objectType="Drop" dropStyle="combo" dx="16" fmlaLink="'Verwerking Bouwdelen'!$E$9" fmlaRange="'Verwerking Bouwdelen'!$M$79:$M$103" val="0"/>
</file>

<file path=xl/ctrlProps/ctrlProp247.xml><?xml version="1.0" encoding="utf-8"?>
<formControlPr xmlns="http://schemas.microsoft.com/office/spreadsheetml/2009/9/main" objectType="Drop" dropStyle="combo" dx="16" fmlaLink="'Verwerking Bouwdelen'!$E$10" fmlaRange="'Verwerking Bouwdelen'!$O$79:$O$103" val="0"/>
</file>

<file path=xl/ctrlProps/ctrlProp248.xml><?xml version="1.0" encoding="utf-8"?>
<formControlPr xmlns="http://schemas.microsoft.com/office/spreadsheetml/2009/9/main" objectType="Drop" dropStyle="combo" dx="16" fmlaLink="'Verwerking Bouwdelen'!$E$11" fmlaRange="'Verwerking Bouwdelen'!$Q$79:$Q$103" val="0"/>
</file>

<file path=xl/ctrlProps/ctrlProp249.xml><?xml version="1.0" encoding="utf-8"?>
<formControlPr xmlns="http://schemas.microsoft.com/office/spreadsheetml/2009/9/main" objectType="Drop" dropStyle="combo" dx="16" fmlaLink="'Verwerking Bouwdelen'!$E$12" fmlaRange="'Verwerking Bouwdelen'!$S$79:$S$103" val="0"/>
</file>

<file path=xl/ctrlProps/ctrlProp25.xml><?xml version="1.0" encoding="utf-8"?>
<formControlPr xmlns="http://schemas.microsoft.com/office/spreadsheetml/2009/9/main" objectType="Drop" dropStyle="combo" dx="16" fmlaLink="'Verwerken eigenopwekking'!$E$8" fmlaRange="'Verwerken eigenopwekking'!$A$35:$A$39" val="0"/>
</file>

<file path=xl/ctrlProps/ctrlProp250.xml><?xml version="1.0" encoding="utf-8"?>
<formControlPr xmlns="http://schemas.microsoft.com/office/spreadsheetml/2009/9/main" objectType="Drop" dropStyle="combo" dx="16" fmlaLink="'Verwerking Bouwdelen'!$E$13" fmlaRange="'Verwerking Bouwdelen'!$U$79:$U$103" val="0"/>
</file>

<file path=xl/ctrlProps/ctrlProp251.xml><?xml version="1.0" encoding="utf-8"?>
<formControlPr xmlns="http://schemas.microsoft.com/office/spreadsheetml/2009/9/main" objectType="Drop" dropStyle="combo" dx="16" fmlaLink="'Verwerking Bouwdelen'!$E$14" fmlaRange="'Verwerking Bouwdelen'!$W$79:$W$103" val="0"/>
</file>

<file path=xl/ctrlProps/ctrlProp252.xml><?xml version="1.0" encoding="utf-8"?>
<formControlPr xmlns="http://schemas.microsoft.com/office/spreadsheetml/2009/9/main" objectType="Drop" dropStyle="combo" dx="16" fmlaLink="'Verwerking Bouwdelen'!$E$15" fmlaRange="'Verwerking Bouwdelen'!$Y$79:$Y$103" val="0"/>
</file>

<file path=xl/ctrlProps/ctrlProp253.xml><?xml version="1.0" encoding="utf-8"?>
<formControlPr xmlns="http://schemas.microsoft.com/office/spreadsheetml/2009/9/main" objectType="Drop" dropStyle="combo" dx="16" fmlaLink="'Verwerking Bouwdelen'!$E$16" fmlaRange="'Verwerking Bouwdelen'!$AA$79:$AA$103" val="0"/>
</file>

<file path=xl/ctrlProps/ctrlProp254.xml><?xml version="1.0" encoding="utf-8"?>
<formControlPr xmlns="http://schemas.microsoft.com/office/spreadsheetml/2009/9/main" objectType="Drop" dropStyle="combo" dx="16" fmlaLink="'Verwerking Bouwdelen'!$E$17" fmlaRange="'Verwerking Bouwdelen'!$AC$79:$AC$103" val="0"/>
</file>

<file path=xl/ctrlProps/ctrlProp255.xml><?xml version="1.0" encoding="utf-8"?>
<formControlPr xmlns="http://schemas.microsoft.com/office/spreadsheetml/2009/9/main" objectType="Drop" dropStyle="combo" dx="16" fmlaLink="'Verwerking Bouwdelen'!$E$18" fmlaRange="'Verwerking Bouwdelen'!$AE$79:$AE$103" val="0"/>
</file>

<file path=xl/ctrlProps/ctrlProp256.xml><?xml version="1.0" encoding="utf-8"?>
<formControlPr xmlns="http://schemas.microsoft.com/office/spreadsheetml/2009/9/main" objectType="Drop" dropStyle="combo" dx="16" fmlaLink="'Verwerking Bouwdelen'!$E$19" fmlaRange="'Verwerking Bouwdelen'!$AG$79:$AG$103" val="0"/>
</file>

<file path=xl/ctrlProps/ctrlProp257.xml><?xml version="1.0" encoding="utf-8"?>
<formControlPr xmlns="http://schemas.microsoft.com/office/spreadsheetml/2009/9/main" objectType="Drop" dropStyle="combo" dx="16" fmlaLink="'Verwerking Bouwdelen'!$E$20" fmlaRange="'Verwerking Bouwdelen'!$AI$79:$AI$103" val="0"/>
</file>

<file path=xl/ctrlProps/ctrlProp258.xml><?xml version="1.0" encoding="utf-8"?>
<formControlPr xmlns="http://schemas.microsoft.com/office/spreadsheetml/2009/9/main" objectType="Drop" dropStyle="combo" dx="16" fmlaLink="'Verwerking Bouwdelen'!$E$21" fmlaRange="'Verwerking Bouwdelen'!$AK$79:$AK$103" val="0"/>
</file>

<file path=xl/ctrlProps/ctrlProp259.xml><?xml version="1.0" encoding="utf-8"?>
<formControlPr xmlns="http://schemas.microsoft.com/office/spreadsheetml/2009/9/main" objectType="Drop" dropStyle="combo" dx="16" fmlaLink="'Verwerking Bouwdelen'!$E$22" fmlaRange="'Verwerking Bouwdelen'!$AM$79:$AM$103" val="0"/>
</file>

<file path=xl/ctrlProps/ctrlProp26.xml><?xml version="1.0" encoding="utf-8"?>
<formControlPr xmlns="http://schemas.microsoft.com/office/spreadsheetml/2009/9/main" objectType="Drop" dropStyle="combo" dx="16" fmlaLink="'Verwerken eigenopwekking'!$E$9" fmlaRange="'Verwerken eigenopwekking'!$A$35:$A$39" val="0"/>
</file>

<file path=xl/ctrlProps/ctrlProp260.xml><?xml version="1.0" encoding="utf-8"?>
<formControlPr xmlns="http://schemas.microsoft.com/office/spreadsheetml/2009/9/main" objectType="Drop" dropStyle="combo" dx="16" fmlaLink="'Verwerking Bouwdelen'!$E$23" fmlaRange="'Verwerking Bouwdelen'!$AO$79:$AO$103" val="0"/>
</file>

<file path=xl/ctrlProps/ctrlProp261.xml><?xml version="1.0" encoding="utf-8"?>
<formControlPr xmlns="http://schemas.microsoft.com/office/spreadsheetml/2009/9/main" objectType="Drop" dropStyle="combo" dx="16" fmlaLink="'Verwerking Bouwdelen'!$E$44" fmlaRange="'Verwerking Bouwdelen'!$CE$79:$CE$103" val="0"/>
</file>

<file path=xl/ctrlProps/ctrlProp262.xml><?xml version="1.0" encoding="utf-8"?>
<formControlPr xmlns="http://schemas.microsoft.com/office/spreadsheetml/2009/9/main" objectType="Drop" dropStyle="combo" dx="16" fmlaLink="'Verwerking Bouwdelen'!$CX$4" fmlaRange="'Verwerking Bouwdelen'!$AA$59:$AA$70" val="2"/>
</file>

<file path=xl/ctrlProps/ctrlProp263.xml><?xml version="1.0" encoding="utf-8"?>
<formControlPr xmlns="http://schemas.microsoft.com/office/spreadsheetml/2009/9/main" objectType="Drop" dropStyle="combo" dx="16" fmlaLink="'Verwerking Bouwdelen'!$CX$5" fmlaRange="'Verwerking Bouwdelen'!$AA$59:$AA$70" val="0"/>
</file>

<file path=xl/ctrlProps/ctrlProp264.xml><?xml version="1.0" encoding="utf-8"?>
<formControlPr xmlns="http://schemas.microsoft.com/office/spreadsheetml/2009/9/main" objectType="Drop" dropStyle="combo" dx="16" fmlaLink="'Verwerking Bouwdelen'!$CX$6" fmlaRange="'Verwerking Bouwdelen'!$AA$59:$AA$70" val="0"/>
</file>

<file path=xl/ctrlProps/ctrlProp265.xml><?xml version="1.0" encoding="utf-8"?>
<formControlPr xmlns="http://schemas.microsoft.com/office/spreadsheetml/2009/9/main" objectType="Drop" dropStyle="combo" dx="16" fmlaLink="'Verwerking Bouwdelen'!$CX$7" fmlaRange="'Verwerking Bouwdelen'!$AA$59:$AA$70" val="0"/>
</file>

<file path=xl/ctrlProps/ctrlProp266.xml><?xml version="1.0" encoding="utf-8"?>
<formControlPr xmlns="http://schemas.microsoft.com/office/spreadsheetml/2009/9/main" objectType="Drop" dropStyle="combo" dx="16" fmlaLink="'Verwerking Bouwdelen'!$CX$8" fmlaRange="'Verwerking Bouwdelen'!$AA$59:$AA$70" val="0"/>
</file>

<file path=xl/ctrlProps/ctrlProp267.xml><?xml version="1.0" encoding="utf-8"?>
<formControlPr xmlns="http://schemas.microsoft.com/office/spreadsheetml/2009/9/main" objectType="Drop" dropStyle="combo" dx="16" fmlaLink="'Verwerking Bouwdelen'!$CX$9" fmlaRange="'Verwerking Bouwdelen'!$AA$59:$AA$70" val="0"/>
</file>

<file path=xl/ctrlProps/ctrlProp268.xml><?xml version="1.0" encoding="utf-8"?>
<formControlPr xmlns="http://schemas.microsoft.com/office/spreadsheetml/2009/9/main" objectType="Drop" dropStyle="combo" dx="16" fmlaLink="'Verwerking Bouwdelen'!$CX$10" fmlaRange="'Verwerking Bouwdelen'!$AA$59:$AA$70" val="0"/>
</file>

<file path=xl/ctrlProps/ctrlProp269.xml><?xml version="1.0" encoding="utf-8"?>
<formControlPr xmlns="http://schemas.microsoft.com/office/spreadsheetml/2009/9/main" objectType="Drop" dropStyle="combo" dx="16" fmlaLink="'Verwerking Bouwdelen'!$CX$11" fmlaRange="'Verwerking Bouwdelen'!$AA$59:$AA$70" val="0"/>
</file>

<file path=xl/ctrlProps/ctrlProp27.xml><?xml version="1.0" encoding="utf-8"?>
<formControlPr xmlns="http://schemas.microsoft.com/office/spreadsheetml/2009/9/main" objectType="Drop" dropStyle="combo" dx="16" fmlaLink="'Verwerken eigenopwekking'!$P$6" fmlaRange="'Verwerken eigenopwekking'!$A$18:$A$20" sel="2" val="0"/>
</file>

<file path=xl/ctrlProps/ctrlProp270.xml><?xml version="1.0" encoding="utf-8"?>
<formControlPr xmlns="http://schemas.microsoft.com/office/spreadsheetml/2009/9/main" objectType="Drop" dropStyle="combo" dx="16" fmlaLink="'Verwerking Bouwdelen'!$CX$12" fmlaRange="'Verwerking Bouwdelen'!$AA$59:$AA$70" val="0"/>
</file>

<file path=xl/ctrlProps/ctrlProp271.xml><?xml version="1.0" encoding="utf-8"?>
<formControlPr xmlns="http://schemas.microsoft.com/office/spreadsheetml/2009/9/main" objectType="Drop" dropStyle="combo" dx="16" fmlaLink="'Verwerking Bouwdelen'!$CX$13" fmlaRange="'Verwerking Bouwdelen'!$AA$59:$AA$70" val="0"/>
</file>

<file path=xl/ctrlProps/ctrlProp272.xml><?xml version="1.0" encoding="utf-8"?>
<formControlPr xmlns="http://schemas.microsoft.com/office/spreadsheetml/2009/9/main" objectType="Drop" dropStyle="combo" dx="16" fmlaLink="'Verwerking Bouwdelen'!$CX$14" fmlaRange="'Verwerking Bouwdelen'!$AA$59:$AA$70" val="0"/>
</file>

<file path=xl/ctrlProps/ctrlProp273.xml><?xml version="1.0" encoding="utf-8"?>
<formControlPr xmlns="http://schemas.microsoft.com/office/spreadsheetml/2009/9/main" objectType="Drop" dropStyle="combo" dx="16" fmlaLink="'Verwerking Bouwdelen'!$CX$15" fmlaRange="'Verwerking Bouwdelen'!$AA$59:$AA$70" val="0"/>
</file>

<file path=xl/ctrlProps/ctrlProp274.xml><?xml version="1.0" encoding="utf-8"?>
<formControlPr xmlns="http://schemas.microsoft.com/office/spreadsheetml/2009/9/main" objectType="Drop" dropStyle="combo" dx="16" fmlaLink="'Verwerking Bouwdelen'!$CX$16" fmlaRange="'Verwerking Bouwdelen'!$AA$59:$AA$70" val="0"/>
</file>

<file path=xl/ctrlProps/ctrlProp275.xml><?xml version="1.0" encoding="utf-8"?>
<formControlPr xmlns="http://schemas.microsoft.com/office/spreadsheetml/2009/9/main" objectType="Drop" dropStyle="combo" dx="16" fmlaLink="'Verwerking Bouwdelen'!$CX$17" fmlaRange="'Verwerking Bouwdelen'!$AA$59:$AA$70" val="0"/>
</file>

<file path=xl/ctrlProps/ctrlProp276.xml><?xml version="1.0" encoding="utf-8"?>
<formControlPr xmlns="http://schemas.microsoft.com/office/spreadsheetml/2009/9/main" objectType="Drop" dropStyle="combo" dx="16" fmlaLink="'Verwerking Bouwdelen'!$CX$18" fmlaRange="'Verwerking Bouwdelen'!$AA$59:$AA$70" val="0"/>
</file>

<file path=xl/ctrlProps/ctrlProp277.xml><?xml version="1.0" encoding="utf-8"?>
<formControlPr xmlns="http://schemas.microsoft.com/office/spreadsheetml/2009/9/main" objectType="Drop" dropStyle="combo" dx="16" fmlaLink="'Verwerking Bouwdelen'!$CX$19" fmlaRange="'Verwerking Bouwdelen'!$AA$59:$AA$70" val="0"/>
</file>

<file path=xl/ctrlProps/ctrlProp278.xml><?xml version="1.0" encoding="utf-8"?>
<formControlPr xmlns="http://schemas.microsoft.com/office/spreadsheetml/2009/9/main" objectType="Drop" dropStyle="combo" dx="16" fmlaLink="'Verwerking Bouwdelen'!$CX$20" fmlaRange="'Verwerking Bouwdelen'!$AA$59:$AA$70" val="0"/>
</file>

<file path=xl/ctrlProps/ctrlProp279.xml><?xml version="1.0" encoding="utf-8"?>
<formControlPr xmlns="http://schemas.microsoft.com/office/spreadsheetml/2009/9/main" objectType="Drop" dropStyle="combo" dx="16" fmlaLink="'Verwerking Bouwdelen'!$CX$21" fmlaRange="'Verwerking Bouwdelen'!$AA$59:$AA$70" val="0"/>
</file>

<file path=xl/ctrlProps/ctrlProp28.xml><?xml version="1.0" encoding="utf-8"?>
<formControlPr xmlns="http://schemas.microsoft.com/office/spreadsheetml/2009/9/main" objectType="Drop" dropStyle="combo" dx="16" fmlaLink="'Verwerken eigenopwekking'!$P$8" fmlaRange="'Verwerken eigenopwekking'!$A$18:$A$20" sel="2" val="0"/>
</file>

<file path=xl/ctrlProps/ctrlProp280.xml><?xml version="1.0" encoding="utf-8"?>
<formControlPr xmlns="http://schemas.microsoft.com/office/spreadsheetml/2009/9/main" objectType="Drop" dropStyle="combo" dx="16" fmlaLink="'Verwerking Bouwdelen'!$CX$22" fmlaRange="'Verwerking Bouwdelen'!$AA$59:$AA$70" val="0"/>
</file>

<file path=xl/ctrlProps/ctrlProp281.xml><?xml version="1.0" encoding="utf-8"?>
<formControlPr xmlns="http://schemas.microsoft.com/office/spreadsheetml/2009/9/main" objectType="Drop" dropStyle="combo" dx="16" fmlaLink="'Verwerking Bouwdelen'!$CX$23" fmlaRange="'Verwerking Bouwdelen'!$AA$59:$AA$70" val="0"/>
</file>

<file path=xl/ctrlProps/ctrlProp282.xml><?xml version="1.0" encoding="utf-8"?>
<formControlPr xmlns="http://schemas.microsoft.com/office/spreadsheetml/2009/9/main" objectType="Drop" dropStyle="combo" dx="16" fmlaLink="'Verwerking Bouwdelen'!$CX$44" fmlaRange="'Verwerking Bouwdelen'!$AA$59:$AA$70" val="0"/>
</file>

<file path=xl/ctrlProps/ctrlProp283.xml><?xml version="1.0" encoding="utf-8"?>
<formControlPr xmlns="http://schemas.microsoft.com/office/spreadsheetml/2009/9/main" objectType="Drop" dropStyle="combo" dx="16" fmlaLink="'Verwerking Bouwdelen'!$A$24" fmlaRange="'Verwerking Bouwdelen'!$E$59:$E$63" val="0"/>
</file>

<file path=xl/ctrlProps/ctrlProp284.xml><?xml version="1.0" encoding="utf-8"?>
<formControlPr xmlns="http://schemas.microsoft.com/office/spreadsheetml/2009/9/main" objectType="Drop" dropStyle="combo" dx="16" fmlaLink="'Verwerking Bouwdelen'!$A$25" fmlaRange="'Verwerking Bouwdelen'!$E$59:$E$63" val="0"/>
</file>

<file path=xl/ctrlProps/ctrlProp285.xml><?xml version="1.0" encoding="utf-8"?>
<formControlPr xmlns="http://schemas.microsoft.com/office/spreadsheetml/2009/9/main" objectType="Drop" dropStyle="combo" dx="16" fmlaLink="'Verwerking Bouwdelen'!$A$26" fmlaRange="'Verwerking Bouwdelen'!$E$59:$E$63" val="0"/>
</file>

<file path=xl/ctrlProps/ctrlProp286.xml><?xml version="1.0" encoding="utf-8"?>
<formControlPr xmlns="http://schemas.microsoft.com/office/spreadsheetml/2009/9/main" objectType="Drop" dropStyle="combo" dx="16" fmlaLink="'Verwerking Bouwdelen'!$A$27" fmlaRange="'Verwerking Bouwdelen'!$E$59:$E$63" val="0"/>
</file>

<file path=xl/ctrlProps/ctrlProp287.xml><?xml version="1.0" encoding="utf-8"?>
<formControlPr xmlns="http://schemas.microsoft.com/office/spreadsheetml/2009/9/main" objectType="Drop" dropStyle="combo" dx="16" fmlaLink="'Verwerking Bouwdelen'!$A$28" fmlaRange="'Verwerking Bouwdelen'!$E$59:$E$63" val="0"/>
</file>

<file path=xl/ctrlProps/ctrlProp288.xml><?xml version="1.0" encoding="utf-8"?>
<formControlPr xmlns="http://schemas.microsoft.com/office/spreadsheetml/2009/9/main" objectType="Drop" dropStyle="combo" dx="16" fmlaLink="'Verwerking Bouwdelen'!$A$29" fmlaRange="'Verwerking Bouwdelen'!$E$59:$E$63" val="0"/>
</file>

<file path=xl/ctrlProps/ctrlProp289.xml><?xml version="1.0" encoding="utf-8"?>
<formControlPr xmlns="http://schemas.microsoft.com/office/spreadsheetml/2009/9/main" objectType="Drop" dropStyle="combo" dx="16" fmlaLink="'Verwerking Bouwdelen'!$A$30" fmlaRange="'Verwerking Bouwdelen'!$E$59:$E$63" val="0"/>
</file>

<file path=xl/ctrlProps/ctrlProp29.xml><?xml version="1.0" encoding="utf-8"?>
<formControlPr xmlns="http://schemas.microsoft.com/office/spreadsheetml/2009/9/main" objectType="Drop" dropStyle="combo" dx="16" fmlaLink="'Verwerken eigenopwekking'!$P$7" fmlaRange="'Verwerken eigenopwekking'!$A$18:$A$20" sel="2" val="0"/>
</file>

<file path=xl/ctrlProps/ctrlProp290.xml><?xml version="1.0" encoding="utf-8"?>
<formControlPr xmlns="http://schemas.microsoft.com/office/spreadsheetml/2009/9/main" objectType="Drop" dropStyle="combo" dx="16" fmlaLink="'Verwerking Bouwdelen'!$A$31" fmlaRange="'Verwerking Bouwdelen'!$E$59:$E$63" val="0"/>
</file>

<file path=xl/ctrlProps/ctrlProp291.xml><?xml version="1.0" encoding="utf-8"?>
<formControlPr xmlns="http://schemas.microsoft.com/office/spreadsheetml/2009/9/main" objectType="Drop" dropStyle="combo" dx="16" fmlaLink="'Verwerking Bouwdelen'!$A$32" fmlaRange="'Verwerking Bouwdelen'!$E$59:$E$63" val="0"/>
</file>

<file path=xl/ctrlProps/ctrlProp292.xml><?xml version="1.0" encoding="utf-8"?>
<formControlPr xmlns="http://schemas.microsoft.com/office/spreadsheetml/2009/9/main" objectType="Drop" dropStyle="combo" dx="16" fmlaLink="'Verwerking Bouwdelen'!$A$33" fmlaRange="'Verwerking Bouwdelen'!$E$59:$E$63" val="0"/>
</file>

<file path=xl/ctrlProps/ctrlProp293.xml><?xml version="1.0" encoding="utf-8"?>
<formControlPr xmlns="http://schemas.microsoft.com/office/spreadsheetml/2009/9/main" objectType="Drop" dropStyle="combo" dx="16" fmlaLink="'Verwerking Bouwdelen'!$A$34" fmlaRange="'Verwerking Bouwdelen'!$E$59:$E$63" val="0"/>
</file>

<file path=xl/ctrlProps/ctrlProp294.xml><?xml version="1.0" encoding="utf-8"?>
<formControlPr xmlns="http://schemas.microsoft.com/office/spreadsheetml/2009/9/main" objectType="Drop" dropStyle="combo" dx="16" fmlaLink="'Verwerking Bouwdelen'!$A$35" fmlaRange="'Verwerking Bouwdelen'!$E$59:$E$63" val="0"/>
</file>

<file path=xl/ctrlProps/ctrlProp295.xml><?xml version="1.0" encoding="utf-8"?>
<formControlPr xmlns="http://schemas.microsoft.com/office/spreadsheetml/2009/9/main" objectType="Drop" dropStyle="combo" dx="16" fmlaLink="'Verwerking Bouwdelen'!$A$36" fmlaRange="'Verwerking Bouwdelen'!$E$59:$E$63" val="0"/>
</file>

<file path=xl/ctrlProps/ctrlProp296.xml><?xml version="1.0" encoding="utf-8"?>
<formControlPr xmlns="http://schemas.microsoft.com/office/spreadsheetml/2009/9/main" objectType="Drop" dropStyle="combo" dx="16" fmlaLink="'Verwerking Bouwdelen'!$A$37" fmlaRange="'Verwerking Bouwdelen'!$E$59:$E$63" val="0"/>
</file>

<file path=xl/ctrlProps/ctrlProp297.xml><?xml version="1.0" encoding="utf-8"?>
<formControlPr xmlns="http://schemas.microsoft.com/office/spreadsheetml/2009/9/main" objectType="Drop" dropStyle="combo" dx="16" fmlaLink="'Verwerking Bouwdelen'!$A$38" fmlaRange="'Verwerking Bouwdelen'!$E$59:$E$63" val="0"/>
</file>

<file path=xl/ctrlProps/ctrlProp298.xml><?xml version="1.0" encoding="utf-8"?>
<formControlPr xmlns="http://schemas.microsoft.com/office/spreadsheetml/2009/9/main" objectType="Drop" dropStyle="combo" dx="16" fmlaLink="'Verwerking Bouwdelen'!$A$39" fmlaRange="'Verwerking Bouwdelen'!$E$59:$E$63" val="0"/>
</file>

<file path=xl/ctrlProps/ctrlProp299.xml><?xml version="1.0" encoding="utf-8"?>
<formControlPr xmlns="http://schemas.microsoft.com/office/spreadsheetml/2009/9/main" objectType="Drop" dropStyle="combo" dx="16" fmlaLink="'Verwerking Bouwdelen'!$A$40" fmlaRange="'Verwerking Bouwdelen'!$E$59:$E$63" val="0"/>
</file>

<file path=xl/ctrlProps/ctrlProp3.xml><?xml version="1.0" encoding="utf-8"?>
<formControlPr xmlns="http://schemas.microsoft.com/office/spreadsheetml/2009/9/main" objectType="Drop" dropStyle="combo" dx="16" fmlaLink="'Verwerken ventilatie'!$P$37" fmlaRange="'Verwerken Algemeen'!$A$24:$A$27" val="0"/>
</file>

<file path=xl/ctrlProps/ctrlProp30.xml><?xml version="1.0" encoding="utf-8"?>
<formControlPr xmlns="http://schemas.microsoft.com/office/spreadsheetml/2009/9/main" objectType="Drop" dropStyle="combo" dx="16" fmlaLink="'Verwerken eigenopwekking'!$P$9" fmlaRange="'Verwerken eigenopwekking'!$A$18:$A$20" sel="2" val="0"/>
</file>

<file path=xl/ctrlProps/ctrlProp300.xml><?xml version="1.0" encoding="utf-8"?>
<formControlPr xmlns="http://schemas.microsoft.com/office/spreadsheetml/2009/9/main" objectType="Drop" dropStyle="combo" dx="16" fmlaLink="'Verwerking Bouwdelen'!$A$41" fmlaRange="'Verwerking Bouwdelen'!$E$59:$E$63" val="0"/>
</file>

<file path=xl/ctrlProps/ctrlProp301.xml><?xml version="1.0" encoding="utf-8"?>
<formControlPr xmlns="http://schemas.microsoft.com/office/spreadsheetml/2009/9/main" objectType="Drop" dropStyle="combo" dx="16" fmlaLink="'Verwerking Bouwdelen'!$A$42" fmlaRange="'Verwerking Bouwdelen'!$E$59:$E$63" val="0"/>
</file>

<file path=xl/ctrlProps/ctrlProp302.xml><?xml version="1.0" encoding="utf-8"?>
<formControlPr xmlns="http://schemas.microsoft.com/office/spreadsheetml/2009/9/main" objectType="Drop" dropStyle="combo" dx="16" fmlaLink="'Verwerking Bouwdelen'!$A$43" fmlaRange="'Verwerking Bouwdelen'!$E$59:$E$63" val="0"/>
</file>

<file path=xl/ctrlProps/ctrlProp303.xml><?xml version="1.0" encoding="utf-8"?>
<formControlPr xmlns="http://schemas.microsoft.com/office/spreadsheetml/2009/9/main" objectType="Drop" dropStyle="combo" dx="16" fmlaLink="'Verwerking Bouwdelen'!$B$24" fmlaRange="'Verwerking Bouwdelen'!$G$59:$G$68" val="0"/>
</file>

<file path=xl/ctrlProps/ctrlProp304.xml><?xml version="1.0" encoding="utf-8"?>
<formControlPr xmlns="http://schemas.microsoft.com/office/spreadsheetml/2009/9/main" objectType="Drop" dropStyle="combo" dx="16" fmlaLink="'Verwerking Bouwdelen'!$B$25" fmlaRange="'Verwerking Bouwdelen'!$G$59:$G$68" val="0"/>
</file>

<file path=xl/ctrlProps/ctrlProp305.xml><?xml version="1.0" encoding="utf-8"?>
<formControlPr xmlns="http://schemas.microsoft.com/office/spreadsheetml/2009/9/main" objectType="Drop" dropStyle="combo" dx="16" fmlaLink="'Verwerking Bouwdelen'!$B$26" fmlaRange="'Verwerking Bouwdelen'!$G$59:$G$68" val="0"/>
</file>

<file path=xl/ctrlProps/ctrlProp306.xml><?xml version="1.0" encoding="utf-8"?>
<formControlPr xmlns="http://schemas.microsoft.com/office/spreadsheetml/2009/9/main" objectType="Drop" dropStyle="combo" dx="16" fmlaLink="'Verwerking Bouwdelen'!$B$27" fmlaRange="'Verwerking Bouwdelen'!$G$59:$G$68" val="0"/>
</file>

<file path=xl/ctrlProps/ctrlProp307.xml><?xml version="1.0" encoding="utf-8"?>
<formControlPr xmlns="http://schemas.microsoft.com/office/spreadsheetml/2009/9/main" objectType="Drop" dropStyle="combo" dx="16" fmlaLink="'Verwerking Bouwdelen'!$B$28" fmlaRange="'Verwerking Bouwdelen'!$G$59:$G$68" val="0"/>
</file>

<file path=xl/ctrlProps/ctrlProp308.xml><?xml version="1.0" encoding="utf-8"?>
<formControlPr xmlns="http://schemas.microsoft.com/office/spreadsheetml/2009/9/main" objectType="Drop" dropStyle="combo" dx="16" fmlaLink="'Verwerking Bouwdelen'!$B$29" fmlaRange="'Verwerking Bouwdelen'!$G$59:$G$68" val="0"/>
</file>

<file path=xl/ctrlProps/ctrlProp309.xml><?xml version="1.0" encoding="utf-8"?>
<formControlPr xmlns="http://schemas.microsoft.com/office/spreadsheetml/2009/9/main" objectType="Drop" dropStyle="combo" dx="16" fmlaLink="'Verwerking Bouwdelen'!$B$30" fmlaRange="'Verwerking Bouwdelen'!$G$59:$G$68" val="0"/>
</file>

<file path=xl/ctrlProps/ctrlProp31.xml><?xml version="1.0" encoding="utf-8"?>
<formControlPr xmlns="http://schemas.microsoft.com/office/spreadsheetml/2009/9/main" objectType="Drop" dropStyle="combo" dx="16" fmlaLink="'Verwerken eigenopwekking'!$P$10" fmlaRange="'Verwerken eigenopwekking'!$A$18:$A$20" sel="2" val="0"/>
</file>

<file path=xl/ctrlProps/ctrlProp310.xml><?xml version="1.0" encoding="utf-8"?>
<formControlPr xmlns="http://schemas.microsoft.com/office/spreadsheetml/2009/9/main" objectType="Drop" dropStyle="combo" dx="16" fmlaLink="'Verwerking Bouwdelen'!$B$31" fmlaRange="'Verwerking Bouwdelen'!$G$59:$G$68" val="0"/>
</file>

<file path=xl/ctrlProps/ctrlProp311.xml><?xml version="1.0" encoding="utf-8"?>
<formControlPr xmlns="http://schemas.microsoft.com/office/spreadsheetml/2009/9/main" objectType="Drop" dropStyle="combo" dx="16" fmlaLink="'Verwerking Bouwdelen'!$B$32" fmlaRange="'Verwerking Bouwdelen'!$G$59:$G$68" val="0"/>
</file>

<file path=xl/ctrlProps/ctrlProp312.xml><?xml version="1.0" encoding="utf-8"?>
<formControlPr xmlns="http://schemas.microsoft.com/office/spreadsheetml/2009/9/main" objectType="Drop" dropStyle="combo" dx="16" fmlaLink="'Verwerking Bouwdelen'!$B$33" fmlaRange="'Verwerking Bouwdelen'!$G$59:$G$68" val="0"/>
</file>

<file path=xl/ctrlProps/ctrlProp313.xml><?xml version="1.0" encoding="utf-8"?>
<formControlPr xmlns="http://schemas.microsoft.com/office/spreadsheetml/2009/9/main" objectType="Drop" dropStyle="combo" dx="16" fmlaLink="'Verwerking Bouwdelen'!$B$34" fmlaRange="'Verwerking Bouwdelen'!$G$59:$G$68" val="0"/>
</file>

<file path=xl/ctrlProps/ctrlProp314.xml><?xml version="1.0" encoding="utf-8"?>
<formControlPr xmlns="http://schemas.microsoft.com/office/spreadsheetml/2009/9/main" objectType="Drop" dropStyle="combo" dx="16" fmlaLink="'Verwerking Bouwdelen'!$B$35" fmlaRange="'Verwerking Bouwdelen'!$G$59:$G$68" val="0"/>
</file>

<file path=xl/ctrlProps/ctrlProp315.xml><?xml version="1.0" encoding="utf-8"?>
<formControlPr xmlns="http://schemas.microsoft.com/office/spreadsheetml/2009/9/main" objectType="Drop" dropStyle="combo" dx="16" fmlaLink="'Verwerking Bouwdelen'!$B$36" fmlaRange="'Verwerking Bouwdelen'!$G$59:$G$68" val="0"/>
</file>

<file path=xl/ctrlProps/ctrlProp316.xml><?xml version="1.0" encoding="utf-8"?>
<formControlPr xmlns="http://schemas.microsoft.com/office/spreadsheetml/2009/9/main" objectType="Drop" dropStyle="combo" dx="16" fmlaLink="'Verwerking Bouwdelen'!$B$37" fmlaRange="'Verwerking Bouwdelen'!$G$59:$G$68" val="0"/>
</file>

<file path=xl/ctrlProps/ctrlProp317.xml><?xml version="1.0" encoding="utf-8"?>
<formControlPr xmlns="http://schemas.microsoft.com/office/spreadsheetml/2009/9/main" objectType="Drop" dropStyle="combo" dx="16" fmlaLink="'Verwerking Bouwdelen'!$B$38" fmlaRange="'Verwerking Bouwdelen'!$G$59:$G$68" val="0"/>
</file>

<file path=xl/ctrlProps/ctrlProp318.xml><?xml version="1.0" encoding="utf-8"?>
<formControlPr xmlns="http://schemas.microsoft.com/office/spreadsheetml/2009/9/main" objectType="Drop" dropStyle="combo" dx="16" fmlaLink="'Verwerking Bouwdelen'!$B$39" fmlaRange="'Verwerking Bouwdelen'!$G$59:$G$68" val="0"/>
</file>

<file path=xl/ctrlProps/ctrlProp319.xml><?xml version="1.0" encoding="utf-8"?>
<formControlPr xmlns="http://schemas.microsoft.com/office/spreadsheetml/2009/9/main" objectType="Drop" dropStyle="combo" dx="16" fmlaLink="'Verwerking Bouwdelen'!$B$40" fmlaRange="'Verwerking Bouwdelen'!$G$59:$G$68" val="0"/>
</file>

<file path=xl/ctrlProps/ctrlProp32.xml><?xml version="1.0" encoding="utf-8"?>
<formControlPr xmlns="http://schemas.microsoft.com/office/spreadsheetml/2009/9/main" objectType="Drop" dropStyle="combo" dx="16" fmlaLink="'Verwerken eigenopwekking'!$Q$6" fmlaRange="'Verwerken eigenopwekking'!$C$36:$C$54" sel="7" val="0"/>
</file>

<file path=xl/ctrlProps/ctrlProp320.xml><?xml version="1.0" encoding="utf-8"?>
<formControlPr xmlns="http://schemas.microsoft.com/office/spreadsheetml/2009/9/main" objectType="Drop" dropStyle="combo" dx="16" fmlaLink="'Verwerking Bouwdelen'!$B$41" fmlaRange="'Verwerking Bouwdelen'!$G$59:$G$68" val="0"/>
</file>

<file path=xl/ctrlProps/ctrlProp321.xml><?xml version="1.0" encoding="utf-8"?>
<formControlPr xmlns="http://schemas.microsoft.com/office/spreadsheetml/2009/9/main" objectType="Drop" dropStyle="combo" dx="16" fmlaLink="'Verwerking Bouwdelen'!$B$42" fmlaRange="'Verwerking Bouwdelen'!$G$59:$G$68" val="0"/>
</file>

<file path=xl/ctrlProps/ctrlProp322.xml><?xml version="1.0" encoding="utf-8"?>
<formControlPr xmlns="http://schemas.microsoft.com/office/spreadsheetml/2009/9/main" objectType="Drop" dropStyle="combo" dx="16" fmlaLink="'Verwerking Bouwdelen'!$B$43" fmlaRange="'Verwerking Bouwdelen'!$G$59:$G$68" val="0"/>
</file>

<file path=xl/ctrlProps/ctrlProp323.xml><?xml version="1.0" encoding="utf-8"?>
<formControlPr xmlns="http://schemas.microsoft.com/office/spreadsheetml/2009/9/main" objectType="Drop" dropStyle="combo" dx="16" fmlaLink="'Verwerking Bouwdelen'!$C$24" fmlaRange="'Verwerking Bouwdelen'!$I$59:$I$64" val="0"/>
</file>

<file path=xl/ctrlProps/ctrlProp324.xml><?xml version="1.0" encoding="utf-8"?>
<formControlPr xmlns="http://schemas.microsoft.com/office/spreadsheetml/2009/9/main" objectType="Drop" dropStyle="combo" dx="16" fmlaLink="'Verwerking Bouwdelen'!$C$25" fmlaRange="'Verwerking Bouwdelen'!$I$59:$I$64" val="0"/>
</file>

<file path=xl/ctrlProps/ctrlProp325.xml><?xml version="1.0" encoding="utf-8"?>
<formControlPr xmlns="http://schemas.microsoft.com/office/spreadsheetml/2009/9/main" objectType="Drop" dropStyle="combo" dx="16" fmlaLink="'Verwerking Bouwdelen'!$C$26" fmlaRange="'Verwerking Bouwdelen'!$I$59:$I$64" val="0"/>
</file>

<file path=xl/ctrlProps/ctrlProp326.xml><?xml version="1.0" encoding="utf-8"?>
<formControlPr xmlns="http://schemas.microsoft.com/office/spreadsheetml/2009/9/main" objectType="Drop" dropStyle="combo" dx="16" fmlaLink="'Verwerking Bouwdelen'!$C$27" fmlaRange="'Verwerking Bouwdelen'!$I$59:$I$64" val="0"/>
</file>

<file path=xl/ctrlProps/ctrlProp327.xml><?xml version="1.0" encoding="utf-8"?>
<formControlPr xmlns="http://schemas.microsoft.com/office/spreadsheetml/2009/9/main" objectType="Drop" dropStyle="combo" dx="16" fmlaLink="'Verwerking Bouwdelen'!$C$28" fmlaRange="'Verwerking Bouwdelen'!$I$59:$I$64" val="0"/>
</file>

<file path=xl/ctrlProps/ctrlProp328.xml><?xml version="1.0" encoding="utf-8"?>
<formControlPr xmlns="http://schemas.microsoft.com/office/spreadsheetml/2009/9/main" objectType="Drop" dropStyle="combo" dx="16" fmlaLink="'Verwerking Bouwdelen'!$C$29" fmlaRange="'Verwerking Bouwdelen'!$I$59:$I$64" val="0"/>
</file>

<file path=xl/ctrlProps/ctrlProp329.xml><?xml version="1.0" encoding="utf-8"?>
<formControlPr xmlns="http://schemas.microsoft.com/office/spreadsheetml/2009/9/main" objectType="Drop" dropStyle="combo" dx="16" fmlaLink="'Verwerking Bouwdelen'!$C$30" fmlaRange="'Verwerking Bouwdelen'!$I$59:$I$64" val="0"/>
</file>

<file path=xl/ctrlProps/ctrlProp33.xml><?xml version="1.0" encoding="utf-8"?>
<formControlPr xmlns="http://schemas.microsoft.com/office/spreadsheetml/2009/9/main" objectType="Drop" dropStyle="combo" dx="16" fmlaLink="'Verwerken eigenopwekking'!$Q$7" fmlaRange="'Verwerken eigenopwekking'!$C$36:$C$54" val="0"/>
</file>

<file path=xl/ctrlProps/ctrlProp330.xml><?xml version="1.0" encoding="utf-8"?>
<formControlPr xmlns="http://schemas.microsoft.com/office/spreadsheetml/2009/9/main" objectType="Drop" dropStyle="combo" dx="16" fmlaLink="'Verwerking Bouwdelen'!$C$31" fmlaRange="'Verwerking Bouwdelen'!$I$59:$I$64" val="0"/>
</file>

<file path=xl/ctrlProps/ctrlProp331.xml><?xml version="1.0" encoding="utf-8"?>
<formControlPr xmlns="http://schemas.microsoft.com/office/spreadsheetml/2009/9/main" objectType="Drop" dropStyle="combo" dx="16" fmlaLink="'Verwerking Bouwdelen'!$C$32" fmlaRange="'Verwerking Bouwdelen'!$I$59:$I$64" val="0"/>
</file>

<file path=xl/ctrlProps/ctrlProp332.xml><?xml version="1.0" encoding="utf-8"?>
<formControlPr xmlns="http://schemas.microsoft.com/office/spreadsheetml/2009/9/main" objectType="Drop" dropStyle="combo" dx="16" fmlaLink="'Verwerking Bouwdelen'!$C$33" fmlaRange="'Verwerking Bouwdelen'!$I$59:$I$64" val="0"/>
</file>

<file path=xl/ctrlProps/ctrlProp333.xml><?xml version="1.0" encoding="utf-8"?>
<formControlPr xmlns="http://schemas.microsoft.com/office/spreadsheetml/2009/9/main" objectType="Drop" dropStyle="combo" dx="16" fmlaLink="'Verwerking Bouwdelen'!$C$34" fmlaRange="'Verwerking Bouwdelen'!$I$59:$I$64" val="0"/>
</file>

<file path=xl/ctrlProps/ctrlProp334.xml><?xml version="1.0" encoding="utf-8"?>
<formControlPr xmlns="http://schemas.microsoft.com/office/spreadsheetml/2009/9/main" objectType="Drop" dropStyle="combo" dx="16" fmlaLink="'Verwerking Bouwdelen'!$C$35" fmlaRange="'Verwerking Bouwdelen'!$I$59:$I$64" val="0"/>
</file>

<file path=xl/ctrlProps/ctrlProp335.xml><?xml version="1.0" encoding="utf-8"?>
<formControlPr xmlns="http://schemas.microsoft.com/office/spreadsheetml/2009/9/main" objectType="Drop" dropStyle="combo" dx="16" fmlaLink="'Verwerking Bouwdelen'!$C$36" fmlaRange="'Verwerking Bouwdelen'!$I$59:$I$64" val="0"/>
</file>

<file path=xl/ctrlProps/ctrlProp336.xml><?xml version="1.0" encoding="utf-8"?>
<formControlPr xmlns="http://schemas.microsoft.com/office/spreadsheetml/2009/9/main" objectType="Drop" dropStyle="combo" dx="16" fmlaLink="'Verwerking Bouwdelen'!$C$37" fmlaRange="'Verwerking Bouwdelen'!$I$59:$I$64" val="0"/>
</file>

<file path=xl/ctrlProps/ctrlProp337.xml><?xml version="1.0" encoding="utf-8"?>
<formControlPr xmlns="http://schemas.microsoft.com/office/spreadsheetml/2009/9/main" objectType="Drop" dropStyle="combo" dx="16" fmlaLink="'Verwerking Bouwdelen'!$C$38" fmlaRange="'Verwerking Bouwdelen'!$I$59:$I$64" val="0"/>
</file>

<file path=xl/ctrlProps/ctrlProp338.xml><?xml version="1.0" encoding="utf-8"?>
<formControlPr xmlns="http://schemas.microsoft.com/office/spreadsheetml/2009/9/main" objectType="Drop" dropStyle="combo" dx="16" fmlaLink="'Verwerking Bouwdelen'!$C$39" fmlaRange="'Verwerking Bouwdelen'!$I$59:$I$64" val="0"/>
</file>

<file path=xl/ctrlProps/ctrlProp339.xml><?xml version="1.0" encoding="utf-8"?>
<formControlPr xmlns="http://schemas.microsoft.com/office/spreadsheetml/2009/9/main" objectType="Drop" dropStyle="combo" dx="16" fmlaLink="'Verwerking Bouwdelen'!$C$40" fmlaRange="'Verwerking Bouwdelen'!$I$59:$I$64" val="0"/>
</file>

<file path=xl/ctrlProps/ctrlProp34.xml><?xml version="1.0" encoding="utf-8"?>
<formControlPr xmlns="http://schemas.microsoft.com/office/spreadsheetml/2009/9/main" objectType="Drop" dropStyle="combo" dx="16" fmlaLink="'Verwerken eigenopwekking'!$Q$10" fmlaRange="'Verwerken eigenopwekking'!$C$36:$C$54" val="0"/>
</file>

<file path=xl/ctrlProps/ctrlProp340.xml><?xml version="1.0" encoding="utf-8"?>
<formControlPr xmlns="http://schemas.microsoft.com/office/spreadsheetml/2009/9/main" objectType="Drop" dropStyle="combo" dx="16" fmlaLink="'Verwerking Bouwdelen'!$C$41" fmlaRange="'Verwerking Bouwdelen'!$I$59:$I$64" val="0"/>
</file>

<file path=xl/ctrlProps/ctrlProp341.xml><?xml version="1.0" encoding="utf-8"?>
<formControlPr xmlns="http://schemas.microsoft.com/office/spreadsheetml/2009/9/main" objectType="Drop" dropStyle="combo" dx="16" fmlaLink="'Verwerking Bouwdelen'!$C$42" fmlaRange="'Verwerking Bouwdelen'!$I$59:$I$64" val="0"/>
</file>

<file path=xl/ctrlProps/ctrlProp342.xml><?xml version="1.0" encoding="utf-8"?>
<formControlPr xmlns="http://schemas.microsoft.com/office/spreadsheetml/2009/9/main" objectType="Drop" dropStyle="combo" dx="16" fmlaLink="'Verwerking Bouwdelen'!$C$43" fmlaRange="'Verwerking Bouwdelen'!$I$59:$I$64" val="0"/>
</file>

<file path=xl/ctrlProps/ctrlProp343.xml><?xml version="1.0" encoding="utf-8"?>
<formControlPr xmlns="http://schemas.microsoft.com/office/spreadsheetml/2009/9/main" objectType="Drop" dropStyle="combo" dx="16" fmlaLink="'Verwerking Bouwdelen'!$E$24" fmlaRange="'Verwerking Bouwdelen'!$AQ$79:$AQ$103" val="0"/>
</file>

<file path=xl/ctrlProps/ctrlProp344.xml><?xml version="1.0" encoding="utf-8"?>
<formControlPr xmlns="http://schemas.microsoft.com/office/spreadsheetml/2009/9/main" objectType="Drop" dropStyle="combo" dx="16" fmlaLink="'Verwerking Bouwdelen'!$E$25" fmlaRange="'Verwerking Bouwdelen'!$AS$79:$AS$103" val="0"/>
</file>

<file path=xl/ctrlProps/ctrlProp345.xml><?xml version="1.0" encoding="utf-8"?>
<formControlPr xmlns="http://schemas.microsoft.com/office/spreadsheetml/2009/9/main" objectType="Drop" dropStyle="combo" dx="16" fmlaLink="'Verwerking Bouwdelen'!$E$26" fmlaRange="'Verwerking Bouwdelen'!$AU$79:$AU$103" val="0"/>
</file>

<file path=xl/ctrlProps/ctrlProp346.xml><?xml version="1.0" encoding="utf-8"?>
<formControlPr xmlns="http://schemas.microsoft.com/office/spreadsheetml/2009/9/main" objectType="Drop" dropStyle="combo" dx="16" fmlaLink="'Verwerking Bouwdelen'!$E$27" fmlaRange="'Verwerking Bouwdelen'!$AW$79:$AW$103" val="0"/>
</file>

<file path=xl/ctrlProps/ctrlProp347.xml><?xml version="1.0" encoding="utf-8"?>
<formControlPr xmlns="http://schemas.microsoft.com/office/spreadsheetml/2009/9/main" objectType="Drop" dropStyle="combo" dx="16" fmlaLink="'Verwerking Bouwdelen'!$E$28" fmlaRange="'Verwerking Bouwdelen'!$AY$79:$AY$103" val="0"/>
</file>

<file path=xl/ctrlProps/ctrlProp348.xml><?xml version="1.0" encoding="utf-8"?>
<formControlPr xmlns="http://schemas.microsoft.com/office/spreadsheetml/2009/9/main" objectType="Drop" dropStyle="combo" dx="16" fmlaLink="'Verwerking Bouwdelen'!$E$29" fmlaRange="'Verwerking Bouwdelen'!$BA$79:$BA$103" val="0"/>
</file>

<file path=xl/ctrlProps/ctrlProp349.xml><?xml version="1.0" encoding="utf-8"?>
<formControlPr xmlns="http://schemas.microsoft.com/office/spreadsheetml/2009/9/main" objectType="Drop" dropStyle="combo" dx="16" fmlaLink="'Verwerking Bouwdelen'!$E$30" fmlaRange="'Verwerking Bouwdelen'!$BC$79:$BC$103" val="0"/>
</file>

<file path=xl/ctrlProps/ctrlProp35.xml><?xml version="1.0" encoding="utf-8"?>
<formControlPr xmlns="http://schemas.microsoft.com/office/spreadsheetml/2009/9/main" objectType="Drop" dropStyle="combo" dx="16" fmlaLink="'Verwerken eigenopwekking'!$Q$8" fmlaRange="'Verwerken eigenopwekking'!$C$36:$C$54" val="0"/>
</file>

<file path=xl/ctrlProps/ctrlProp350.xml><?xml version="1.0" encoding="utf-8"?>
<formControlPr xmlns="http://schemas.microsoft.com/office/spreadsheetml/2009/9/main" objectType="Drop" dropStyle="combo" dx="16" fmlaLink="'Verwerking Bouwdelen'!$E$31" fmlaRange="'Verwerking Bouwdelen'!$BE$79:$BE$103" val="0"/>
</file>

<file path=xl/ctrlProps/ctrlProp351.xml><?xml version="1.0" encoding="utf-8"?>
<formControlPr xmlns="http://schemas.microsoft.com/office/spreadsheetml/2009/9/main" objectType="Drop" dropStyle="combo" dx="16" fmlaLink="'Verwerking Bouwdelen'!$E$32" fmlaRange="'Verwerking Bouwdelen'!$BG$79:$BG$103" val="0"/>
</file>

<file path=xl/ctrlProps/ctrlProp352.xml><?xml version="1.0" encoding="utf-8"?>
<formControlPr xmlns="http://schemas.microsoft.com/office/spreadsheetml/2009/9/main" objectType="Drop" dropStyle="combo" dx="16" fmlaLink="'Verwerking Bouwdelen'!$E$33" fmlaRange="'Verwerking Bouwdelen'!$BI$79:$BI$103" val="0"/>
</file>

<file path=xl/ctrlProps/ctrlProp353.xml><?xml version="1.0" encoding="utf-8"?>
<formControlPr xmlns="http://schemas.microsoft.com/office/spreadsheetml/2009/9/main" objectType="Drop" dropStyle="combo" dx="16" fmlaLink="'Verwerking Bouwdelen'!$E$34" fmlaRange="'Verwerking Bouwdelen'!$BK$79:$BK$103" val="0"/>
</file>

<file path=xl/ctrlProps/ctrlProp354.xml><?xml version="1.0" encoding="utf-8"?>
<formControlPr xmlns="http://schemas.microsoft.com/office/spreadsheetml/2009/9/main" objectType="Drop" dropStyle="combo" dx="16" fmlaLink="'Verwerking Bouwdelen'!$E$35" fmlaRange="'Verwerking Bouwdelen'!$BM$79:$BM$103" val="0"/>
</file>

<file path=xl/ctrlProps/ctrlProp355.xml><?xml version="1.0" encoding="utf-8"?>
<formControlPr xmlns="http://schemas.microsoft.com/office/spreadsheetml/2009/9/main" objectType="Drop" dropStyle="combo" dx="16" fmlaLink="'Verwerking Bouwdelen'!$E$36" fmlaRange="'Verwerking Bouwdelen'!$BO$79:$BO$103" val="0"/>
</file>

<file path=xl/ctrlProps/ctrlProp356.xml><?xml version="1.0" encoding="utf-8"?>
<formControlPr xmlns="http://schemas.microsoft.com/office/spreadsheetml/2009/9/main" objectType="Drop" dropStyle="combo" dx="16" fmlaLink="'Verwerking Bouwdelen'!$E$37" fmlaRange="'Verwerking Bouwdelen'!$BQ$79:$BQ$103" val="0"/>
</file>

<file path=xl/ctrlProps/ctrlProp357.xml><?xml version="1.0" encoding="utf-8"?>
<formControlPr xmlns="http://schemas.microsoft.com/office/spreadsheetml/2009/9/main" objectType="Drop" dropStyle="combo" dx="16" fmlaLink="'Verwerking Bouwdelen'!$E$38" fmlaRange="'Verwerking Bouwdelen'!$BS$79:$BS$103" val="0"/>
</file>

<file path=xl/ctrlProps/ctrlProp358.xml><?xml version="1.0" encoding="utf-8"?>
<formControlPr xmlns="http://schemas.microsoft.com/office/spreadsheetml/2009/9/main" objectType="Drop" dropStyle="combo" dx="16" fmlaLink="'Verwerking Bouwdelen'!$E$39" fmlaRange="'Verwerking Bouwdelen'!$BW$79:$BW$103" val="0"/>
</file>

<file path=xl/ctrlProps/ctrlProp359.xml><?xml version="1.0" encoding="utf-8"?>
<formControlPr xmlns="http://schemas.microsoft.com/office/spreadsheetml/2009/9/main" objectType="Drop" dropStyle="combo" dx="16" fmlaLink="'Verwerking Bouwdelen'!$E$40" fmlaRange="'Verwerking Bouwdelen'!$BW$79:$BW$103" val="0"/>
</file>

<file path=xl/ctrlProps/ctrlProp36.xml><?xml version="1.0" encoding="utf-8"?>
<formControlPr xmlns="http://schemas.microsoft.com/office/spreadsheetml/2009/9/main" objectType="Drop" dropStyle="combo" dx="16" fmlaLink="'Verwerken eigenopwekking'!$Q$9" fmlaRange="'Verwerken eigenopwekking'!$C$36:$C$54" val="0"/>
</file>

<file path=xl/ctrlProps/ctrlProp360.xml><?xml version="1.0" encoding="utf-8"?>
<formControlPr xmlns="http://schemas.microsoft.com/office/spreadsheetml/2009/9/main" objectType="Drop" dropStyle="combo" dx="16" fmlaLink="'Verwerking Bouwdelen'!$E$41" fmlaRange="'Verwerking Bouwdelen'!$BY$79:$BY$103" val="0"/>
</file>

<file path=xl/ctrlProps/ctrlProp361.xml><?xml version="1.0" encoding="utf-8"?>
<formControlPr xmlns="http://schemas.microsoft.com/office/spreadsheetml/2009/9/main" objectType="Drop" dropStyle="combo" dx="16" fmlaLink="'Verwerking Bouwdelen'!$E$42" fmlaRange="'Verwerking Bouwdelen'!$CA$79:$CA$103" val="0"/>
</file>

<file path=xl/ctrlProps/ctrlProp362.xml><?xml version="1.0" encoding="utf-8"?>
<formControlPr xmlns="http://schemas.microsoft.com/office/spreadsheetml/2009/9/main" objectType="Drop" dropStyle="combo" dx="16" fmlaLink="'Verwerking Bouwdelen'!$E$43" fmlaRange="'Verwerking Bouwdelen'!$CC$79:$CC$103" val="0"/>
</file>

<file path=xl/ctrlProps/ctrlProp363.xml><?xml version="1.0" encoding="utf-8"?>
<formControlPr xmlns="http://schemas.microsoft.com/office/spreadsheetml/2009/9/main" objectType="Drop" dropStyle="combo" dx="16" fmlaLink="'Verwerking Bouwdelen'!$F$24" fmlaRange="'Verwerking Bouwdelen'!$K$59:$K$64" val="0"/>
</file>

<file path=xl/ctrlProps/ctrlProp364.xml><?xml version="1.0" encoding="utf-8"?>
<formControlPr xmlns="http://schemas.microsoft.com/office/spreadsheetml/2009/9/main" objectType="Drop" dropStyle="combo" dx="16" fmlaLink="'Verwerking Bouwdelen'!$F$25" fmlaRange="'Verwerking Bouwdelen'!$K$59:$K$64" val="0"/>
</file>

<file path=xl/ctrlProps/ctrlProp365.xml><?xml version="1.0" encoding="utf-8"?>
<formControlPr xmlns="http://schemas.microsoft.com/office/spreadsheetml/2009/9/main" objectType="Drop" dropStyle="combo" dx="16" fmlaLink="'Verwerking Bouwdelen'!$F$26" fmlaRange="'Verwerking Bouwdelen'!$K$59:$K$64" val="0"/>
</file>

<file path=xl/ctrlProps/ctrlProp366.xml><?xml version="1.0" encoding="utf-8"?>
<formControlPr xmlns="http://schemas.microsoft.com/office/spreadsheetml/2009/9/main" objectType="Drop" dropStyle="combo" dx="16" fmlaLink="'Verwerking Bouwdelen'!$F$27" fmlaRange="'Verwerking Bouwdelen'!$K$59:$K$64" val="0"/>
</file>

<file path=xl/ctrlProps/ctrlProp367.xml><?xml version="1.0" encoding="utf-8"?>
<formControlPr xmlns="http://schemas.microsoft.com/office/spreadsheetml/2009/9/main" objectType="Drop" dropStyle="combo" dx="16" fmlaLink="'Verwerking Bouwdelen'!$F$28" fmlaRange="'Verwerking Bouwdelen'!$K$59:$K$64" val="0"/>
</file>

<file path=xl/ctrlProps/ctrlProp368.xml><?xml version="1.0" encoding="utf-8"?>
<formControlPr xmlns="http://schemas.microsoft.com/office/spreadsheetml/2009/9/main" objectType="Drop" dropStyle="combo" dx="16" fmlaLink="'Verwerking Bouwdelen'!$F$29" fmlaRange="'Verwerking Bouwdelen'!$K$59:$K$64" val="0"/>
</file>

<file path=xl/ctrlProps/ctrlProp369.xml><?xml version="1.0" encoding="utf-8"?>
<formControlPr xmlns="http://schemas.microsoft.com/office/spreadsheetml/2009/9/main" objectType="Drop" dropStyle="combo" dx="16" fmlaLink="'Verwerking Bouwdelen'!$F$30" fmlaRange="'Verwerking Bouwdelen'!$K$59:$K$64" val="0"/>
</file>

<file path=xl/ctrlProps/ctrlProp37.xml><?xml version="1.0" encoding="utf-8"?>
<formControlPr xmlns="http://schemas.microsoft.com/office/spreadsheetml/2009/9/main" objectType="Drop" dropStyle="combo" dx="16" fmlaLink="'Verwerken eigenopwekking'!$R$6" fmlaRange="'Verwerken eigenopwekking'!$A$35:$A$39" sel="3" val="0"/>
</file>

<file path=xl/ctrlProps/ctrlProp370.xml><?xml version="1.0" encoding="utf-8"?>
<formControlPr xmlns="http://schemas.microsoft.com/office/spreadsheetml/2009/9/main" objectType="Drop" dropStyle="combo" dx="16" fmlaLink="'Verwerking Bouwdelen'!$F$31" fmlaRange="'Verwerking Bouwdelen'!$K$59:$K$64" val="0"/>
</file>

<file path=xl/ctrlProps/ctrlProp371.xml><?xml version="1.0" encoding="utf-8"?>
<formControlPr xmlns="http://schemas.microsoft.com/office/spreadsheetml/2009/9/main" objectType="Drop" dropStyle="combo" dx="16" fmlaLink="'Verwerking Bouwdelen'!$F$32" fmlaRange="'Verwerking Bouwdelen'!$K$59:$K$64" val="0"/>
</file>

<file path=xl/ctrlProps/ctrlProp372.xml><?xml version="1.0" encoding="utf-8"?>
<formControlPr xmlns="http://schemas.microsoft.com/office/spreadsheetml/2009/9/main" objectType="Drop" dropStyle="combo" dx="16" fmlaLink="'Verwerking Bouwdelen'!$F$33" fmlaRange="'Verwerking Bouwdelen'!$K$59:$K$64" val="0"/>
</file>

<file path=xl/ctrlProps/ctrlProp373.xml><?xml version="1.0" encoding="utf-8"?>
<formControlPr xmlns="http://schemas.microsoft.com/office/spreadsheetml/2009/9/main" objectType="Drop" dropStyle="combo" dx="16" fmlaLink="'Verwerking Bouwdelen'!$F$34" fmlaRange="'Verwerking Bouwdelen'!$K$59:$K$64" val="0"/>
</file>

<file path=xl/ctrlProps/ctrlProp374.xml><?xml version="1.0" encoding="utf-8"?>
<formControlPr xmlns="http://schemas.microsoft.com/office/spreadsheetml/2009/9/main" objectType="Drop" dropStyle="combo" dx="16" fmlaLink="'Verwerking Bouwdelen'!$F$35" fmlaRange="'Verwerking Bouwdelen'!$K$59:$K$64" val="0"/>
</file>

<file path=xl/ctrlProps/ctrlProp375.xml><?xml version="1.0" encoding="utf-8"?>
<formControlPr xmlns="http://schemas.microsoft.com/office/spreadsheetml/2009/9/main" objectType="Drop" dropStyle="combo" dx="16" fmlaLink="'Verwerking Bouwdelen'!$F$36" fmlaRange="'Verwerking Bouwdelen'!$K$59:$K$64" val="0"/>
</file>

<file path=xl/ctrlProps/ctrlProp376.xml><?xml version="1.0" encoding="utf-8"?>
<formControlPr xmlns="http://schemas.microsoft.com/office/spreadsheetml/2009/9/main" objectType="Drop" dropStyle="combo" dx="16" fmlaLink="'Verwerking Bouwdelen'!$F$37" fmlaRange="'Verwerking Bouwdelen'!$K$59:$K$64" val="0"/>
</file>

<file path=xl/ctrlProps/ctrlProp377.xml><?xml version="1.0" encoding="utf-8"?>
<formControlPr xmlns="http://schemas.microsoft.com/office/spreadsheetml/2009/9/main" objectType="Drop" dropStyle="combo" dx="16" fmlaLink="'Verwerking Bouwdelen'!$F$38" fmlaRange="'Verwerking Bouwdelen'!$K$59:$K$64" val="0"/>
</file>

<file path=xl/ctrlProps/ctrlProp378.xml><?xml version="1.0" encoding="utf-8"?>
<formControlPr xmlns="http://schemas.microsoft.com/office/spreadsheetml/2009/9/main" objectType="Drop" dropStyle="combo" dx="16" fmlaLink="'Verwerking Bouwdelen'!$F$39" fmlaRange="'Verwerking Bouwdelen'!$K$59:$K$64" val="0"/>
</file>

<file path=xl/ctrlProps/ctrlProp379.xml><?xml version="1.0" encoding="utf-8"?>
<formControlPr xmlns="http://schemas.microsoft.com/office/spreadsheetml/2009/9/main" objectType="Drop" dropStyle="combo" dx="16" fmlaLink="'Verwerking Bouwdelen'!$F$40" fmlaRange="'Verwerking Bouwdelen'!$K$59:$K$64" val="0"/>
</file>

<file path=xl/ctrlProps/ctrlProp38.xml><?xml version="1.0" encoding="utf-8"?>
<formControlPr xmlns="http://schemas.microsoft.com/office/spreadsheetml/2009/9/main" objectType="Drop" dropStyle="combo" dx="16" fmlaLink="'Verwerken eigenopwekking'!$R$10" fmlaRange="'Verwerken eigenopwekking'!$A$35:$A$39" val="0"/>
</file>

<file path=xl/ctrlProps/ctrlProp380.xml><?xml version="1.0" encoding="utf-8"?>
<formControlPr xmlns="http://schemas.microsoft.com/office/spreadsheetml/2009/9/main" objectType="Drop" dropStyle="combo" dx="16" fmlaLink="'Verwerking Bouwdelen'!$F$41" fmlaRange="'Verwerking Bouwdelen'!$K$59:$K$64" val="0"/>
</file>

<file path=xl/ctrlProps/ctrlProp381.xml><?xml version="1.0" encoding="utf-8"?>
<formControlPr xmlns="http://schemas.microsoft.com/office/spreadsheetml/2009/9/main" objectType="Drop" dropStyle="combo" dx="16" fmlaLink="'Verwerking Bouwdelen'!$F$42" fmlaRange="'Verwerking Bouwdelen'!$K$59:$K$64" val="0"/>
</file>

<file path=xl/ctrlProps/ctrlProp382.xml><?xml version="1.0" encoding="utf-8"?>
<formControlPr xmlns="http://schemas.microsoft.com/office/spreadsheetml/2009/9/main" objectType="Drop" dropStyle="combo" dx="16" fmlaLink="'Verwerking Bouwdelen'!$F$43" fmlaRange="'Verwerking Bouwdelen'!$K$59:$K$64" val="0"/>
</file>

<file path=xl/ctrlProps/ctrlProp383.xml><?xml version="1.0" encoding="utf-8"?>
<formControlPr xmlns="http://schemas.microsoft.com/office/spreadsheetml/2009/9/main" objectType="Drop" dropStyle="combo" dx="16" fmlaLink="'Verwerking Bouwdelen'!$H$24" fmlaRange="'Verwerking Bouwdelen'!$W$106:$W$130" val="0"/>
</file>

<file path=xl/ctrlProps/ctrlProp384.xml><?xml version="1.0" encoding="utf-8"?>
<formControlPr xmlns="http://schemas.microsoft.com/office/spreadsheetml/2009/9/main" objectType="Drop" dropStyle="combo" dx="16" fmlaLink="'Verwerking Bouwdelen'!$H$25" fmlaRange="'Verwerking Bouwdelen'!$W$106:$W$130" val="0"/>
</file>

<file path=xl/ctrlProps/ctrlProp385.xml><?xml version="1.0" encoding="utf-8"?>
<formControlPr xmlns="http://schemas.microsoft.com/office/spreadsheetml/2009/9/main" objectType="Drop" dropStyle="combo" dx="16" fmlaLink="'Verwerking Bouwdelen'!$H$26" fmlaRange="'Verwerking Bouwdelen'!$W$106:$W$130" val="0"/>
</file>

<file path=xl/ctrlProps/ctrlProp386.xml><?xml version="1.0" encoding="utf-8"?>
<formControlPr xmlns="http://schemas.microsoft.com/office/spreadsheetml/2009/9/main" objectType="Drop" dropStyle="combo" dx="16" fmlaLink="'Verwerking Bouwdelen'!$H$27" fmlaRange="'Verwerking Bouwdelen'!$W$106:$W$130" val="0"/>
</file>

<file path=xl/ctrlProps/ctrlProp387.xml><?xml version="1.0" encoding="utf-8"?>
<formControlPr xmlns="http://schemas.microsoft.com/office/spreadsheetml/2009/9/main" objectType="Drop" dropStyle="combo" dx="16" fmlaLink="'Verwerking Bouwdelen'!$H$28" fmlaRange="'Verwerking Bouwdelen'!$W$106:$W$130" val="0"/>
</file>

<file path=xl/ctrlProps/ctrlProp388.xml><?xml version="1.0" encoding="utf-8"?>
<formControlPr xmlns="http://schemas.microsoft.com/office/spreadsheetml/2009/9/main" objectType="Drop" dropStyle="combo" dx="16" fmlaLink="'Verwerking Bouwdelen'!$H$29" fmlaRange="'Verwerking Bouwdelen'!$W$106:$W$130" val="0"/>
</file>

<file path=xl/ctrlProps/ctrlProp389.xml><?xml version="1.0" encoding="utf-8"?>
<formControlPr xmlns="http://schemas.microsoft.com/office/spreadsheetml/2009/9/main" objectType="Drop" dropStyle="combo" dx="16" fmlaLink="'Verwerking Bouwdelen'!$H$30" fmlaRange="'Verwerking Bouwdelen'!$W$106:$W$130" val="0"/>
</file>

<file path=xl/ctrlProps/ctrlProp39.xml><?xml version="1.0" encoding="utf-8"?>
<formControlPr xmlns="http://schemas.microsoft.com/office/spreadsheetml/2009/9/main" objectType="Drop" dropStyle="combo" dx="16" fmlaLink="'Verwerken eigenopwekking'!$R$7" fmlaRange="'Verwerken eigenopwekking'!$A$35:$A$39" val="0"/>
</file>

<file path=xl/ctrlProps/ctrlProp390.xml><?xml version="1.0" encoding="utf-8"?>
<formControlPr xmlns="http://schemas.microsoft.com/office/spreadsheetml/2009/9/main" objectType="Drop" dropStyle="combo" dx="16" fmlaLink="'Verwerking Bouwdelen'!$H$31" fmlaRange="'Verwerking Bouwdelen'!$W$106:$W$130" val="0"/>
</file>

<file path=xl/ctrlProps/ctrlProp391.xml><?xml version="1.0" encoding="utf-8"?>
<formControlPr xmlns="http://schemas.microsoft.com/office/spreadsheetml/2009/9/main" objectType="Drop" dropStyle="combo" dx="16" fmlaLink="'Verwerking Bouwdelen'!$H$32" fmlaRange="'Verwerking Bouwdelen'!$W$106:$W$130" val="0"/>
</file>

<file path=xl/ctrlProps/ctrlProp392.xml><?xml version="1.0" encoding="utf-8"?>
<formControlPr xmlns="http://schemas.microsoft.com/office/spreadsheetml/2009/9/main" objectType="Drop" dropStyle="combo" dx="16" fmlaLink="'Verwerking Bouwdelen'!$H$33" fmlaRange="'Verwerking Bouwdelen'!$W$106:$W$130" val="0"/>
</file>

<file path=xl/ctrlProps/ctrlProp393.xml><?xml version="1.0" encoding="utf-8"?>
<formControlPr xmlns="http://schemas.microsoft.com/office/spreadsheetml/2009/9/main" objectType="Drop" dropStyle="combo" dx="16" fmlaLink="'Verwerking Bouwdelen'!$H$34" fmlaRange="'Verwerking Bouwdelen'!$W$106:$W$130" val="0"/>
</file>

<file path=xl/ctrlProps/ctrlProp394.xml><?xml version="1.0" encoding="utf-8"?>
<formControlPr xmlns="http://schemas.microsoft.com/office/spreadsheetml/2009/9/main" objectType="Drop" dropStyle="combo" dx="16" fmlaLink="'Verwerking Bouwdelen'!$H$35" fmlaRange="'Verwerking Bouwdelen'!$W$106:$W$130" val="0"/>
</file>

<file path=xl/ctrlProps/ctrlProp395.xml><?xml version="1.0" encoding="utf-8"?>
<formControlPr xmlns="http://schemas.microsoft.com/office/spreadsheetml/2009/9/main" objectType="Drop" dropStyle="combo" dx="16" fmlaLink="'Verwerking Bouwdelen'!$H$36" fmlaRange="'Verwerking Bouwdelen'!$W$106:$W$130" val="0"/>
</file>

<file path=xl/ctrlProps/ctrlProp396.xml><?xml version="1.0" encoding="utf-8"?>
<formControlPr xmlns="http://schemas.microsoft.com/office/spreadsheetml/2009/9/main" objectType="Drop" dropStyle="combo" dx="16" fmlaLink="'Verwerking Bouwdelen'!$H$37" fmlaRange="'Verwerking Bouwdelen'!$W$106:$W$130" val="0"/>
</file>

<file path=xl/ctrlProps/ctrlProp397.xml><?xml version="1.0" encoding="utf-8"?>
<formControlPr xmlns="http://schemas.microsoft.com/office/spreadsheetml/2009/9/main" objectType="Drop" dropStyle="combo" dx="16" fmlaLink="'Verwerking Bouwdelen'!$H$38" fmlaRange="'Verwerking Bouwdelen'!$W$106:$W$130" val="0"/>
</file>

<file path=xl/ctrlProps/ctrlProp398.xml><?xml version="1.0" encoding="utf-8"?>
<formControlPr xmlns="http://schemas.microsoft.com/office/spreadsheetml/2009/9/main" objectType="Drop" dropStyle="combo" dx="16" fmlaLink="'Verwerking Bouwdelen'!$H$39" fmlaRange="'Verwerking Bouwdelen'!$W$106:$W$130" val="0"/>
</file>

<file path=xl/ctrlProps/ctrlProp399.xml><?xml version="1.0" encoding="utf-8"?>
<formControlPr xmlns="http://schemas.microsoft.com/office/spreadsheetml/2009/9/main" objectType="Drop" dropStyle="combo" dx="16" fmlaLink="'Verwerking Bouwdelen'!$H$40" fmlaRange="'Verwerking Bouwdelen'!$W$106:$W$130" val="0"/>
</file>

<file path=xl/ctrlProps/ctrlProp4.xml><?xml version="1.0" encoding="utf-8"?>
<formControlPr xmlns="http://schemas.microsoft.com/office/spreadsheetml/2009/9/main" objectType="Drop" dropStyle="combo" dx="16" fmlaLink="'Verwerken ventilatie'!$P$35" fmlaRange="'Verwerken Algemeen'!$A$24:$A$27" val="0"/>
</file>

<file path=xl/ctrlProps/ctrlProp40.xml><?xml version="1.0" encoding="utf-8"?>
<formControlPr xmlns="http://schemas.microsoft.com/office/spreadsheetml/2009/9/main" objectType="Drop" dropStyle="combo" dx="16" fmlaLink="'Verwerken eigenopwekking'!$R$8" fmlaRange="'Verwerken eigenopwekking'!$A$35:$A$39" val="0"/>
</file>

<file path=xl/ctrlProps/ctrlProp400.xml><?xml version="1.0" encoding="utf-8"?>
<formControlPr xmlns="http://schemas.microsoft.com/office/spreadsheetml/2009/9/main" objectType="Drop" dropStyle="combo" dx="16" fmlaLink="'Verwerking Bouwdelen'!$H$41" fmlaRange="'Verwerking Bouwdelen'!$W$106:$W$130" val="0"/>
</file>

<file path=xl/ctrlProps/ctrlProp401.xml><?xml version="1.0" encoding="utf-8"?>
<formControlPr xmlns="http://schemas.microsoft.com/office/spreadsheetml/2009/9/main" objectType="Drop" dropStyle="combo" dx="16" fmlaLink="'Verwerking Bouwdelen'!$H$42" fmlaRange="'Verwerking Bouwdelen'!$W$106:$W$130" val="0"/>
</file>

<file path=xl/ctrlProps/ctrlProp402.xml><?xml version="1.0" encoding="utf-8"?>
<formControlPr xmlns="http://schemas.microsoft.com/office/spreadsheetml/2009/9/main" objectType="Drop" dropStyle="combo" dx="16" fmlaLink="'Verwerking Bouwdelen'!$H$43" fmlaRange="'Verwerking Bouwdelen'!$W$106:$W$130" val="0"/>
</file>

<file path=xl/ctrlProps/ctrlProp403.xml><?xml version="1.0" encoding="utf-8"?>
<formControlPr xmlns="http://schemas.microsoft.com/office/spreadsheetml/2009/9/main" objectType="Drop" dropStyle="combo" dx="16" fmlaLink="'Verwerking Bouwdelen'!$I$24" fmlaRange="'Verwerking Bouwdelen'!$M$59:$M$66" val="0"/>
</file>

<file path=xl/ctrlProps/ctrlProp404.xml><?xml version="1.0" encoding="utf-8"?>
<formControlPr xmlns="http://schemas.microsoft.com/office/spreadsheetml/2009/9/main" objectType="Drop" dropStyle="combo" dx="16" fmlaLink="'Verwerking Bouwdelen'!$I$25" fmlaRange="'Verwerking Bouwdelen'!$M$59:$M$66" val="0"/>
</file>

<file path=xl/ctrlProps/ctrlProp405.xml><?xml version="1.0" encoding="utf-8"?>
<formControlPr xmlns="http://schemas.microsoft.com/office/spreadsheetml/2009/9/main" objectType="Drop" dropStyle="combo" dx="16" fmlaLink="'Verwerking Bouwdelen'!$I$26" fmlaRange="'Verwerking Bouwdelen'!$M$59:$M$66" val="0"/>
</file>

<file path=xl/ctrlProps/ctrlProp406.xml><?xml version="1.0" encoding="utf-8"?>
<formControlPr xmlns="http://schemas.microsoft.com/office/spreadsheetml/2009/9/main" objectType="Drop" dropStyle="combo" dx="16" fmlaLink="'Verwerking Bouwdelen'!$I$27" fmlaRange="'Verwerking Bouwdelen'!$M$59:$M$66" val="0"/>
</file>

<file path=xl/ctrlProps/ctrlProp407.xml><?xml version="1.0" encoding="utf-8"?>
<formControlPr xmlns="http://schemas.microsoft.com/office/spreadsheetml/2009/9/main" objectType="Drop" dropStyle="combo" dx="16" fmlaLink="'Verwerking Bouwdelen'!$I$28" fmlaRange="'Verwerking Bouwdelen'!$M$59:$M$66" val="0"/>
</file>

<file path=xl/ctrlProps/ctrlProp408.xml><?xml version="1.0" encoding="utf-8"?>
<formControlPr xmlns="http://schemas.microsoft.com/office/spreadsheetml/2009/9/main" objectType="Drop" dropStyle="combo" dx="16" fmlaLink="'Verwerking Bouwdelen'!$I$29" fmlaRange="'Verwerking Bouwdelen'!$M$59:$M$66" val="0"/>
</file>

<file path=xl/ctrlProps/ctrlProp409.xml><?xml version="1.0" encoding="utf-8"?>
<formControlPr xmlns="http://schemas.microsoft.com/office/spreadsheetml/2009/9/main" objectType="Drop" dropStyle="combo" dx="16" fmlaLink="'Verwerking Bouwdelen'!$I$30" fmlaRange="'Verwerking Bouwdelen'!$M$59:$M$66" val="0"/>
</file>

<file path=xl/ctrlProps/ctrlProp41.xml><?xml version="1.0" encoding="utf-8"?>
<formControlPr xmlns="http://schemas.microsoft.com/office/spreadsheetml/2009/9/main" objectType="Drop" dropStyle="combo" dx="16" fmlaLink="'Verwerken eigenopwekking'!$R$9" fmlaRange="'Verwerken eigenopwekking'!$A$35:$A$39" val="0"/>
</file>

<file path=xl/ctrlProps/ctrlProp410.xml><?xml version="1.0" encoding="utf-8"?>
<formControlPr xmlns="http://schemas.microsoft.com/office/spreadsheetml/2009/9/main" objectType="Drop" dropStyle="combo" dx="16" fmlaLink="'Verwerking Bouwdelen'!$I$31" fmlaRange="'Verwerking Bouwdelen'!$M$59:$M$66" val="0"/>
</file>

<file path=xl/ctrlProps/ctrlProp411.xml><?xml version="1.0" encoding="utf-8"?>
<formControlPr xmlns="http://schemas.microsoft.com/office/spreadsheetml/2009/9/main" objectType="Drop" dropStyle="combo" dx="16" fmlaLink="'Verwerking Bouwdelen'!$I$32" fmlaRange="'Verwerking Bouwdelen'!$M$59:$M$66" val="0"/>
</file>

<file path=xl/ctrlProps/ctrlProp412.xml><?xml version="1.0" encoding="utf-8"?>
<formControlPr xmlns="http://schemas.microsoft.com/office/spreadsheetml/2009/9/main" objectType="Drop" dropStyle="combo" dx="16" fmlaLink="'Verwerking Bouwdelen'!$I$33" fmlaRange="'Verwerking Bouwdelen'!$M$59:$M$66" val="0"/>
</file>

<file path=xl/ctrlProps/ctrlProp413.xml><?xml version="1.0" encoding="utf-8"?>
<formControlPr xmlns="http://schemas.microsoft.com/office/spreadsheetml/2009/9/main" objectType="Drop" dropStyle="combo" dx="16" fmlaLink="'Verwerking Bouwdelen'!$I$34" fmlaRange="'Verwerking Bouwdelen'!$M$59:$M$66" val="0"/>
</file>

<file path=xl/ctrlProps/ctrlProp414.xml><?xml version="1.0" encoding="utf-8"?>
<formControlPr xmlns="http://schemas.microsoft.com/office/spreadsheetml/2009/9/main" objectType="Drop" dropStyle="combo" dx="16" fmlaLink="'Verwerking Bouwdelen'!$I$35" fmlaRange="'Verwerking Bouwdelen'!$M$59:$M$66" val="0"/>
</file>

<file path=xl/ctrlProps/ctrlProp415.xml><?xml version="1.0" encoding="utf-8"?>
<formControlPr xmlns="http://schemas.microsoft.com/office/spreadsheetml/2009/9/main" objectType="Drop" dropStyle="combo" dx="16" fmlaLink="'Verwerking Bouwdelen'!$I$36" fmlaRange="'Verwerking Bouwdelen'!$M$59:$M$66" val="0"/>
</file>

<file path=xl/ctrlProps/ctrlProp416.xml><?xml version="1.0" encoding="utf-8"?>
<formControlPr xmlns="http://schemas.microsoft.com/office/spreadsheetml/2009/9/main" objectType="Drop" dropStyle="combo" dx="16" fmlaLink="'Verwerking Bouwdelen'!$I$37" fmlaRange="'Verwerking Bouwdelen'!$M$59:$M$66" val="0"/>
</file>

<file path=xl/ctrlProps/ctrlProp417.xml><?xml version="1.0" encoding="utf-8"?>
<formControlPr xmlns="http://schemas.microsoft.com/office/spreadsheetml/2009/9/main" objectType="Drop" dropStyle="combo" dx="16" fmlaLink="'Verwerking Bouwdelen'!$I$38" fmlaRange="'Verwerking Bouwdelen'!$M$59:$M$66" val="0"/>
</file>

<file path=xl/ctrlProps/ctrlProp418.xml><?xml version="1.0" encoding="utf-8"?>
<formControlPr xmlns="http://schemas.microsoft.com/office/spreadsheetml/2009/9/main" objectType="Drop" dropStyle="combo" dx="16" fmlaLink="'Verwerking Bouwdelen'!$I$39" fmlaRange="'Verwerking Bouwdelen'!$M$59:$M$66" val="0"/>
</file>

<file path=xl/ctrlProps/ctrlProp419.xml><?xml version="1.0" encoding="utf-8"?>
<formControlPr xmlns="http://schemas.microsoft.com/office/spreadsheetml/2009/9/main" objectType="Drop" dropStyle="combo" dx="16" fmlaLink="'Verwerking Bouwdelen'!$I$40" fmlaRange="'Verwerking Bouwdelen'!$M$59:$M$66" val="0"/>
</file>

<file path=xl/ctrlProps/ctrlProp42.xml><?xml version="1.0" encoding="utf-8"?>
<formControlPr xmlns="http://schemas.microsoft.com/office/spreadsheetml/2009/9/main" objectType="Drop" dropStyle="combo" dx="16" fmlaLink="'Verwerking Bouwdelen'!$A$3" fmlaRange="'Verwerking Bouwdelen'!$E$59:$E$63" val="0"/>
</file>

<file path=xl/ctrlProps/ctrlProp420.xml><?xml version="1.0" encoding="utf-8"?>
<formControlPr xmlns="http://schemas.microsoft.com/office/spreadsheetml/2009/9/main" objectType="Drop" dropStyle="combo" dx="16" fmlaLink="'Verwerking Bouwdelen'!$I$41" fmlaRange="'Verwerking Bouwdelen'!$M$59:$M$66" val="0"/>
</file>

<file path=xl/ctrlProps/ctrlProp421.xml><?xml version="1.0" encoding="utf-8"?>
<formControlPr xmlns="http://schemas.microsoft.com/office/spreadsheetml/2009/9/main" objectType="Drop" dropStyle="combo" dx="16" fmlaLink="'Verwerking Bouwdelen'!$I$42" fmlaRange="'Verwerking Bouwdelen'!$M$59:$M$66" val="0"/>
</file>

<file path=xl/ctrlProps/ctrlProp422.xml><?xml version="1.0" encoding="utf-8"?>
<formControlPr xmlns="http://schemas.microsoft.com/office/spreadsheetml/2009/9/main" objectType="Drop" dropStyle="combo" dx="16" fmlaLink="'Verwerking Bouwdelen'!$I$43" fmlaRange="'Verwerking Bouwdelen'!$M$59:$M$66" val="0"/>
</file>

<file path=xl/ctrlProps/ctrlProp423.xml><?xml version="1.0" encoding="utf-8"?>
<formControlPr xmlns="http://schemas.microsoft.com/office/spreadsheetml/2009/9/main" objectType="Drop" dropStyle="combo" dx="16" fmlaLink="'Verwerking Bouwdelen'!$CX$24" fmlaRange="'Verwerking Bouwdelen'!$AA$59:$AA$70" val="0"/>
</file>

<file path=xl/ctrlProps/ctrlProp424.xml><?xml version="1.0" encoding="utf-8"?>
<formControlPr xmlns="http://schemas.microsoft.com/office/spreadsheetml/2009/9/main" objectType="Drop" dropStyle="combo" dx="16" fmlaLink="'Verwerking Bouwdelen'!$CX$25" fmlaRange="'Verwerking Bouwdelen'!$AA$59:$AA$70" val="0"/>
</file>

<file path=xl/ctrlProps/ctrlProp425.xml><?xml version="1.0" encoding="utf-8"?>
<formControlPr xmlns="http://schemas.microsoft.com/office/spreadsheetml/2009/9/main" objectType="Drop" dropStyle="combo" dx="16" fmlaLink="'Verwerking Bouwdelen'!$CX$26" fmlaRange="'Verwerking Bouwdelen'!$AA$59:$AA$70" val="0"/>
</file>

<file path=xl/ctrlProps/ctrlProp426.xml><?xml version="1.0" encoding="utf-8"?>
<formControlPr xmlns="http://schemas.microsoft.com/office/spreadsheetml/2009/9/main" objectType="Drop" dropStyle="combo" dx="16" fmlaLink="'Verwerking Bouwdelen'!$CX$27" fmlaRange="'Verwerking Bouwdelen'!$AA$59:$AA$70" val="0"/>
</file>

<file path=xl/ctrlProps/ctrlProp427.xml><?xml version="1.0" encoding="utf-8"?>
<formControlPr xmlns="http://schemas.microsoft.com/office/spreadsheetml/2009/9/main" objectType="Drop" dropStyle="combo" dx="16" fmlaLink="'Verwerking Bouwdelen'!$CX$28" fmlaRange="'Verwerking Bouwdelen'!$AA$59:$AA$70" val="0"/>
</file>

<file path=xl/ctrlProps/ctrlProp428.xml><?xml version="1.0" encoding="utf-8"?>
<formControlPr xmlns="http://schemas.microsoft.com/office/spreadsheetml/2009/9/main" objectType="Drop" dropStyle="combo" dx="16" fmlaLink="'Verwerking Bouwdelen'!$CX$29" fmlaRange="'Verwerking Bouwdelen'!$AA$59:$AA$70" val="0"/>
</file>

<file path=xl/ctrlProps/ctrlProp429.xml><?xml version="1.0" encoding="utf-8"?>
<formControlPr xmlns="http://schemas.microsoft.com/office/spreadsheetml/2009/9/main" objectType="Drop" dropStyle="combo" dx="16" fmlaLink="'Verwerking Bouwdelen'!$CX$30" fmlaRange="'Verwerking Bouwdelen'!$AA$59:$AA$70" val="0"/>
</file>

<file path=xl/ctrlProps/ctrlProp43.xml><?xml version="1.0" encoding="utf-8"?>
<formControlPr xmlns="http://schemas.microsoft.com/office/spreadsheetml/2009/9/main" objectType="Drop" dropStyle="combo" dx="16" fmlaLink="'Verwerking Bouwdelen'!$B$3" fmlaRange="'Verwerking Bouwdelen'!$G$59:$G$68" val="0"/>
</file>

<file path=xl/ctrlProps/ctrlProp430.xml><?xml version="1.0" encoding="utf-8"?>
<formControlPr xmlns="http://schemas.microsoft.com/office/spreadsheetml/2009/9/main" objectType="Drop" dropStyle="combo" dx="16" fmlaLink="'Verwerking Bouwdelen'!$CX$31" fmlaRange="'Verwerking Bouwdelen'!$AA$59:$AA$70" val="0"/>
</file>

<file path=xl/ctrlProps/ctrlProp431.xml><?xml version="1.0" encoding="utf-8"?>
<formControlPr xmlns="http://schemas.microsoft.com/office/spreadsheetml/2009/9/main" objectType="Drop" dropStyle="combo" dx="16" fmlaLink="'Verwerking Bouwdelen'!$CX$32" fmlaRange="'Verwerking Bouwdelen'!$AA$59:$AA$70" val="0"/>
</file>

<file path=xl/ctrlProps/ctrlProp432.xml><?xml version="1.0" encoding="utf-8"?>
<formControlPr xmlns="http://schemas.microsoft.com/office/spreadsheetml/2009/9/main" objectType="Drop" dropStyle="combo" dx="16" fmlaLink="'Verwerking Bouwdelen'!$CX$33" fmlaRange="'Verwerking Bouwdelen'!$AA$59:$AA$70" val="0"/>
</file>

<file path=xl/ctrlProps/ctrlProp433.xml><?xml version="1.0" encoding="utf-8"?>
<formControlPr xmlns="http://schemas.microsoft.com/office/spreadsheetml/2009/9/main" objectType="Drop" dropStyle="combo" dx="16" fmlaLink="'Verwerking Bouwdelen'!$CX$34" fmlaRange="'Verwerking Bouwdelen'!$AA$59:$AA$70" val="0"/>
</file>

<file path=xl/ctrlProps/ctrlProp434.xml><?xml version="1.0" encoding="utf-8"?>
<formControlPr xmlns="http://schemas.microsoft.com/office/spreadsheetml/2009/9/main" objectType="Drop" dropStyle="combo" dx="16" fmlaLink="'Verwerking Bouwdelen'!$CX$35" fmlaRange="'Verwerking Bouwdelen'!$AA$59:$AA$70" val="0"/>
</file>

<file path=xl/ctrlProps/ctrlProp435.xml><?xml version="1.0" encoding="utf-8"?>
<formControlPr xmlns="http://schemas.microsoft.com/office/spreadsheetml/2009/9/main" objectType="Drop" dropStyle="combo" dx="16" fmlaLink="'Verwerking Bouwdelen'!$CX$36" fmlaRange="'Verwerking Bouwdelen'!$AA$59:$AA$70" val="0"/>
</file>

<file path=xl/ctrlProps/ctrlProp436.xml><?xml version="1.0" encoding="utf-8"?>
<formControlPr xmlns="http://schemas.microsoft.com/office/spreadsheetml/2009/9/main" objectType="Drop" dropStyle="combo" dx="16" fmlaLink="'Verwerking Bouwdelen'!$CX$37" fmlaRange="'Verwerking Bouwdelen'!$AA$59:$AA$70" val="0"/>
</file>

<file path=xl/ctrlProps/ctrlProp437.xml><?xml version="1.0" encoding="utf-8"?>
<formControlPr xmlns="http://schemas.microsoft.com/office/spreadsheetml/2009/9/main" objectType="Drop" dropStyle="combo" dx="16" fmlaLink="'Verwerking Bouwdelen'!$CX$38" fmlaRange="'Verwerking Bouwdelen'!$AA$59:$AA$70" val="0"/>
</file>

<file path=xl/ctrlProps/ctrlProp438.xml><?xml version="1.0" encoding="utf-8"?>
<formControlPr xmlns="http://schemas.microsoft.com/office/spreadsheetml/2009/9/main" objectType="Drop" dropStyle="combo" dx="16" fmlaLink="'Verwerking Bouwdelen'!$CX$39" fmlaRange="'Verwerking Bouwdelen'!$AA$59:$AA$70" val="0"/>
</file>

<file path=xl/ctrlProps/ctrlProp439.xml><?xml version="1.0" encoding="utf-8"?>
<formControlPr xmlns="http://schemas.microsoft.com/office/spreadsheetml/2009/9/main" objectType="Drop" dropStyle="combo" dx="16" fmlaLink="'Verwerking Bouwdelen'!$CX$40" fmlaRange="'Verwerking Bouwdelen'!$AA$59:$AA$70" val="0"/>
</file>

<file path=xl/ctrlProps/ctrlProp44.xml><?xml version="1.0" encoding="utf-8"?>
<formControlPr xmlns="http://schemas.microsoft.com/office/spreadsheetml/2009/9/main" objectType="Drop" dropStyle="combo" dx="16" fmlaLink="'Verwerking Bouwdelen'!$E$3" fmlaRange="'Verwerking Bouwdelen'!$A$79:$A$103" val="0"/>
</file>

<file path=xl/ctrlProps/ctrlProp440.xml><?xml version="1.0" encoding="utf-8"?>
<formControlPr xmlns="http://schemas.microsoft.com/office/spreadsheetml/2009/9/main" objectType="Drop" dropStyle="combo" dx="16" fmlaLink="'Verwerking Bouwdelen'!$CX$41" fmlaRange="'Verwerking Bouwdelen'!$AA$59:$AA$70" val="0"/>
</file>

<file path=xl/ctrlProps/ctrlProp441.xml><?xml version="1.0" encoding="utf-8"?>
<formControlPr xmlns="http://schemas.microsoft.com/office/spreadsheetml/2009/9/main" objectType="Drop" dropStyle="combo" dx="16" fmlaLink="'Verwerking Bouwdelen'!$CX$42" fmlaRange="'Verwerking Bouwdelen'!$AA$59:$AA$70" val="0"/>
</file>

<file path=xl/ctrlProps/ctrlProp442.xml><?xml version="1.0" encoding="utf-8"?>
<formControlPr xmlns="http://schemas.microsoft.com/office/spreadsheetml/2009/9/main" objectType="Drop" dropStyle="combo" dx="16" fmlaLink="'Verwerking Bouwdelen'!$CX$43" fmlaRange="'Verwerking Bouwdelen'!$AA$59:$AA$70" val="0"/>
</file>

<file path=xl/ctrlProps/ctrlProp443.xml><?xml version="1.0" encoding="utf-8"?>
<formControlPr xmlns="http://schemas.microsoft.com/office/spreadsheetml/2009/9/main" objectType="Drop" dropStyle="combo" dx="16" fmlaLink="'Verwerking Bouwdelen'!$CY$24" fmlaRange="'Verwerking Bouwdelen'!$AG$59:$AG$62" val="0"/>
</file>

<file path=xl/ctrlProps/ctrlProp444.xml><?xml version="1.0" encoding="utf-8"?>
<formControlPr xmlns="http://schemas.microsoft.com/office/spreadsheetml/2009/9/main" objectType="Drop" dropStyle="combo" dx="16" fmlaLink="'Verwerking Bouwdelen'!$CY$25" fmlaRange="'Verwerking Bouwdelen'!$AG$59:$AG$62" val="0"/>
</file>

<file path=xl/ctrlProps/ctrlProp445.xml><?xml version="1.0" encoding="utf-8"?>
<formControlPr xmlns="http://schemas.microsoft.com/office/spreadsheetml/2009/9/main" objectType="Drop" dropStyle="combo" dx="16" fmlaLink="'Verwerking Bouwdelen'!$CY$26" fmlaRange="'Verwerking Bouwdelen'!$AG$59:$AG$62" val="0"/>
</file>

<file path=xl/ctrlProps/ctrlProp446.xml><?xml version="1.0" encoding="utf-8"?>
<formControlPr xmlns="http://schemas.microsoft.com/office/spreadsheetml/2009/9/main" objectType="Drop" dropStyle="combo" dx="16" fmlaLink="'Verwerking Bouwdelen'!$CY$27" fmlaRange="'Verwerking Bouwdelen'!$AG$59:$AG$62" val="0"/>
</file>

<file path=xl/ctrlProps/ctrlProp447.xml><?xml version="1.0" encoding="utf-8"?>
<formControlPr xmlns="http://schemas.microsoft.com/office/spreadsheetml/2009/9/main" objectType="Drop" dropStyle="combo" dx="16" fmlaLink="'Verwerking Bouwdelen'!$CY$28" fmlaRange="'Verwerking Bouwdelen'!$AG$59:$AG$62" val="0"/>
</file>

<file path=xl/ctrlProps/ctrlProp448.xml><?xml version="1.0" encoding="utf-8"?>
<formControlPr xmlns="http://schemas.microsoft.com/office/spreadsheetml/2009/9/main" objectType="Drop" dropStyle="combo" dx="16" fmlaLink="'Verwerking Bouwdelen'!$CY$29" fmlaRange="'Verwerking Bouwdelen'!$AG$59:$AG$62" val="0"/>
</file>

<file path=xl/ctrlProps/ctrlProp449.xml><?xml version="1.0" encoding="utf-8"?>
<formControlPr xmlns="http://schemas.microsoft.com/office/spreadsheetml/2009/9/main" objectType="Drop" dropStyle="combo" dx="16" fmlaLink="'Verwerking Bouwdelen'!$CY$30" fmlaRange="'Verwerking Bouwdelen'!$AG$59:$AG$62" val="0"/>
</file>

<file path=xl/ctrlProps/ctrlProp45.xml><?xml version="1.0" encoding="utf-8"?>
<formControlPr xmlns="http://schemas.microsoft.com/office/spreadsheetml/2009/9/main" objectType="Drop" dropStyle="combo" dx="16" fmlaLink="'Verwerking Bouwdelen'!$C$3" fmlaRange="'Verwerking Bouwdelen'!$I$59:$I$64" val="0"/>
</file>

<file path=xl/ctrlProps/ctrlProp450.xml><?xml version="1.0" encoding="utf-8"?>
<formControlPr xmlns="http://schemas.microsoft.com/office/spreadsheetml/2009/9/main" objectType="Drop" dropStyle="combo" dx="16" fmlaLink="'Verwerking Bouwdelen'!$CY$31" fmlaRange="'Verwerking Bouwdelen'!$AG$59:$AG$62" val="0"/>
</file>

<file path=xl/ctrlProps/ctrlProp451.xml><?xml version="1.0" encoding="utf-8"?>
<formControlPr xmlns="http://schemas.microsoft.com/office/spreadsheetml/2009/9/main" objectType="Drop" dropStyle="combo" dx="16" fmlaLink="'Verwerking Bouwdelen'!$CY$32" fmlaRange="'Verwerking Bouwdelen'!$AG$59:$AG$62" val="0"/>
</file>

<file path=xl/ctrlProps/ctrlProp452.xml><?xml version="1.0" encoding="utf-8"?>
<formControlPr xmlns="http://schemas.microsoft.com/office/spreadsheetml/2009/9/main" objectType="Drop" dropStyle="combo" dx="16" fmlaLink="'Verwerking Bouwdelen'!$CY$33" fmlaRange="'Verwerking Bouwdelen'!$AG$59:$AG$62" val="0"/>
</file>

<file path=xl/ctrlProps/ctrlProp453.xml><?xml version="1.0" encoding="utf-8"?>
<formControlPr xmlns="http://schemas.microsoft.com/office/spreadsheetml/2009/9/main" objectType="Drop" dropStyle="combo" dx="16" fmlaLink="'Verwerking Bouwdelen'!$CY$34" fmlaRange="'Verwerking Bouwdelen'!$AG$59:$AG$62" val="0"/>
</file>

<file path=xl/ctrlProps/ctrlProp454.xml><?xml version="1.0" encoding="utf-8"?>
<formControlPr xmlns="http://schemas.microsoft.com/office/spreadsheetml/2009/9/main" objectType="Drop" dropStyle="combo" dx="16" fmlaLink="'Verwerking Bouwdelen'!$CY$35" fmlaRange="'Verwerking Bouwdelen'!$AG$59:$AG$62" val="0"/>
</file>

<file path=xl/ctrlProps/ctrlProp455.xml><?xml version="1.0" encoding="utf-8"?>
<formControlPr xmlns="http://schemas.microsoft.com/office/spreadsheetml/2009/9/main" objectType="Drop" dropStyle="combo" dx="16" fmlaLink="'Verwerking Bouwdelen'!$CY$36" fmlaRange="'Verwerking Bouwdelen'!$AG$59:$AG$62" val="0"/>
</file>

<file path=xl/ctrlProps/ctrlProp456.xml><?xml version="1.0" encoding="utf-8"?>
<formControlPr xmlns="http://schemas.microsoft.com/office/spreadsheetml/2009/9/main" objectType="Drop" dropStyle="combo" dx="16" fmlaLink="'Verwerking Bouwdelen'!$CY$37" fmlaRange="'Verwerking Bouwdelen'!$AG$59:$AG$62" val="0"/>
</file>

<file path=xl/ctrlProps/ctrlProp457.xml><?xml version="1.0" encoding="utf-8"?>
<formControlPr xmlns="http://schemas.microsoft.com/office/spreadsheetml/2009/9/main" objectType="Drop" dropStyle="combo" dx="16" fmlaLink="'Verwerking Bouwdelen'!$CY$38" fmlaRange="'Verwerking Bouwdelen'!$AG$59:$AG$62" val="0"/>
</file>

<file path=xl/ctrlProps/ctrlProp458.xml><?xml version="1.0" encoding="utf-8"?>
<formControlPr xmlns="http://schemas.microsoft.com/office/spreadsheetml/2009/9/main" objectType="Drop" dropStyle="combo" dx="16" fmlaLink="'Verwerking Bouwdelen'!$CY$39" fmlaRange="'Verwerking Bouwdelen'!$AG$59:$AG$62" val="0"/>
</file>

<file path=xl/ctrlProps/ctrlProp459.xml><?xml version="1.0" encoding="utf-8"?>
<formControlPr xmlns="http://schemas.microsoft.com/office/spreadsheetml/2009/9/main" objectType="Drop" dropStyle="combo" dx="16" fmlaLink="'Verwerking Bouwdelen'!$CY$40" fmlaRange="'Verwerking Bouwdelen'!$AG$59:$AG$62" val="0"/>
</file>

<file path=xl/ctrlProps/ctrlProp46.xml><?xml version="1.0" encoding="utf-8"?>
<formControlPr xmlns="http://schemas.microsoft.com/office/spreadsheetml/2009/9/main" objectType="Drop" dropStyle="combo" dx="16" fmlaLink="'Verwerking Bouwdelen'!$A$4" fmlaRange="'Verwerking Bouwdelen'!$E$59:$E$63" val="0"/>
</file>

<file path=xl/ctrlProps/ctrlProp460.xml><?xml version="1.0" encoding="utf-8"?>
<formControlPr xmlns="http://schemas.microsoft.com/office/spreadsheetml/2009/9/main" objectType="Drop" dropStyle="combo" dx="16" fmlaLink="'Verwerking Bouwdelen'!$CY$41" fmlaRange="'Verwerking Bouwdelen'!$AG$59:$AG$62" val="0"/>
</file>

<file path=xl/ctrlProps/ctrlProp461.xml><?xml version="1.0" encoding="utf-8"?>
<formControlPr xmlns="http://schemas.microsoft.com/office/spreadsheetml/2009/9/main" objectType="Drop" dropStyle="combo" dx="16" fmlaLink="'Verwerking Bouwdelen'!$CY$42" fmlaRange="'Verwerking Bouwdelen'!$AG$59:$AG$62" val="0"/>
</file>

<file path=xl/ctrlProps/ctrlProp462.xml><?xml version="1.0" encoding="utf-8"?>
<formControlPr xmlns="http://schemas.microsoft.com/office/spreadsheetml/2009/9/main" objectType="Drop" dropStyle="combo" dx="16" fmlaLink="'Verwerking Bouwdelen'!$CY$43" fmlaRange="'Verwerking Bouwdelen'!$AG$59:$AG$62" val="0"/>
</file>

<file path=xl/ctrlProps/ctrlProp463.xml><?xml version="1.0" encoding="utf-8"?>
<formControlPr xmlns="http://schemas.microsoft.com/office/spreadsheetml/2009/9/main" objectType="Drop" dropStyle="combo" dx="16" fmlaLink="'Verwerking Bouwdelen'!$CZ$24" fmlaRange="'Verwerking Bouwdelen'!$AN$59:$AN$62" val="0"/>
</file>

<file path=xl/ctrlProps/ctrlProp464.xml><?xml version="1.0" encoding="utf-8"?>
<formControlPr xmlns="http://schemas.microsoft.com/office/spreadsheetml/2009/9/main" objectType="Drop" dropStyle="combo" dx="16" fmlaLink="'Verwerking Bouwdelen'!$CZ$25" fmlaRange="'Verwerking Bouwdelen'!$AN$59:$AN$62" val="0"/>
</file>

<file path=xl/ctrlProps/ctrlProp465.xml><?xml version="1.0" encoding="utf-8"?>
<formControlPr xmlns="http://schemas.microsoft.com/office/spreadsheetml/2009/9/main" objectType="Drop" dropStyle="combo" dx="16" fmlaLink="'Verwerking Bouwdelen'!$CZ$26" fmlaRange="'Verwerking Bouwdelen'!$AN$59:$AN$62" val="0"/>
</file>

<file path=xl/ctrlProps/ctrlProp466.xml><?xml version="1.0" encoding="utf-8"?>
<formControlPr xmlns="http://schemas.microsoft.com/office/spreadsheetml/2009/9/main" objectType="Drop" dropStyle="combo" dx="16" fmlaLink="'Verwerking Bouwdelen'!$CZ$27" fmlaRange="'Verwerking Bouwdelen'!$AN$59:$AN$62" val="0"/>
</file>

<file path=xl/ctrlProps/ctrlProp467.xml><?xml version="1.0" encoding="utf-8"?>
<formControlPr xmlns="http://schemas.microsoft.com/office/spreadsheetml/2009/9/main" objectType="Drop" dropStyle="combo" dx="16" fmlaLink="'Verwerking Bouwdelen'!$CZ$28" fmlaRange="'Verwerking Bouwdelen'!$AN$59:$AN$62" val="0"/>
</file>

<file path=xl/ctrlProps/ctrlProp468.xml><?xml version="1.0" encoding="utf-8"?>
<formControlPr xmlns="http://schemas.microsoft.com/office/spreadsheetml/2009/9/main" objectType="Drop" dropStyle="combo" dx="16" fmlaLink="'Verwerking Bouwdelen'!$CZ$29" fmlaRange="'Verwerking Bouwdelen'!$AN$59:$AN$62" val="0"/>
</file>

<file path=xl/ctrlProps/ctrlProp469.xml><?xml version="1.0" encoding="utf-8"?>
<formControlPr xmlns="http://schemas.microsoft.com/office/spreadsheetml/2009/9/main" objectType="Drop" dropStyle="combo" dx="16" fmlaLink="'Verwerking Bouwdelen'!$CZ$30" fmlaRange="'Verwerking Bouwdelen'!$AN$59:$AN$62" val="0"/>
</file>

<file path=xl/ctrlProps/ctrlProp47.xml><?xml version="1.0" encoding="utf-8"?>
<formControlPr xmlns="http://schemas.microsoft.com/office/spreadsheetml/2009/9/main" objectType="Drop" dropStyle="combo" dx="16" fmlaLink="'Verwerking Bouwdelen'!$A$5" fmlaRange="'Verwerking Bouwdelen'!$E$59:$E$63" val="0"/>
</file>

<file path=xl/ctrlProps/ctrlProp470.xml><?xml version="1.0" encoding="utf-8"?>
<formControlPr xmlns="http://schemas.microsoft.com/office/spreadsheetml/2009/9/main" objectType="Drop" dropStyle="combo" dx="16" fmlaLink="'Verwerking Bouwdelen'!$CZ$31" fmlaRange="'Verwerking Bouwdelen'!$AN$59:$AN$62" val="0"/>
</file>

<file path=xl/ctrlProps/ctrlProp471.xml><?xml version="1.0" encoding="utf-8"?>
<formControlPr xmlns="http://schemas.microsoft.com/office/spreadsheetml/2009/9/main" objectType="Drop" dropStyle="combo" dx="16" fmlaLink="'Verwerking Bouwdelen'!$CZ$32" fmlaRange="'Verwerking Bouwdelen'!$AN$59:$AN$62" val="0"/>
</file>

<file path=xl/ctrlProps/ctrlProp472.xml><?xml version="1.0" encoding="utf-8"?>
<formControlPr xmlns="http://schemas.microsoft.com/office/spreadsheetml/2009/9/main" objectType="Drop" dropStyle="combo" dx="16" fmlaLink="'Verwerking Bouwdelen'!$CZ$33" fmlaRange="'Verwerking Bouwdelen'!$AN$59:$AN$62" val="0"/>
</file>

<file path=xl/ctrlProps/ctrlProp473.xml><?xml version="1.0" encoding="utf-8"?>
<formControlPr xmlns="http://schemas.microsoft.com/office/spreadsheetml/2009/9/main" objectType="Drop" dropStyle="combo" dx="16" fmlaLink="'Verwerking Bouwdelen'!$CZ$34" fmlaRange="'Verwerking Bouwdelen'!$AN$59:$AN$62" val="0"/>
</file>

<file path=xl/ctrlProps/ctrlProp474.xml><?xml version="1.0" encoding="utf-8"?>
<formControlPr xmlns="http://schemas.microsoft.com/office/spreadsheetml/2009/9/main" objectType="Drop" dropStyle="combo" dx="16" fmlaLink="'Verwerking Bouwdelen'!$CZ$35" fmlaRange="'Verwerking Bouwdelen'!$AN$59:$AN$62" val="0"/>
</file>

<file path=xl/ctrlProps/ctrlProp475.xml><?xml version="1.0" encoding="utf-8"?>
<formControlPr xmlns="http://schemas.microsoft.com/office/spreadsheetml/2009/9/main" objectType="Drop" dropStyle="combo" dx="16" fmlaLink="'Verwerking Bouwdelen'!$CZ$36" fmlaRange="'Verwerking Bouwdelen'!$AN$59:$AN$62" val="0"/>
</file>

<file path=xl/ctrlProps/ctrlProp476.xml><?xml version="1.0" encoding="utf-8"?>
<formControlPr xmlns="http://schemas.microsoft.com/office/spreadsheetml/2009/9/main" objectType="Drop" dropStyle="combo" dx="16" fmlaLink="'Verwerking Bouwdelen'!$CZ$37" fmlaRange="'Verwerking Bouwdelen'!$AN$59:$AN$62" val="0"/>
</file>

<file path=xl/ctrlProps/ctrlProp477.xml><?xml version="1.0" encoding="utf-8"?>
<formControlPr xmlns="http://schemas.microsoft.com/office/spreadsheetml/2009/9/main" objectType="Drop" dropStyle="combo" dx="16" fmlaLink="'Verwerking Bouwdelen'!$CZ$38" fmlaRange="'Verwerking Bouwdelen'!$AN$59:$AN$62" val="0"/>
</file>

<file path=xl/ctrlProps/ctrlProp478.xml><?xml version="1.0" encoding="utf-8"?>
<formControlPr xmlns="http://schemas.microsoft.com/office/spreadsheetml/2009/9/main" objectType="Drop" dropStyle="combo" dx="16" fmlaLink="'Verwerking Bouwdelen'!$CZ$39" fmlaRange="'Verwerking Bouwdelen'!$AN$59:$AN$62" val="0"/>
</file>

<file path=xl/ctrlProps/ctrlProp479.xml><?xml version="1.0" encoding="utf-8"?>
<formControlPr xmlns="http://schemas.microsoft.com/office/spreadsheetml/2009/9/main" objectType="Drop" dropStyle="combo" dx="16" fmlaLink="'Verwerking Bouwdelen'!$CZ$40" fmlaRange="'Verwerking Bouwdelen'!$AN$59:$AN$62" val="0"/>
</file>

<file path=xl/ctrlProps/ctrlProp48.xml><?xml version="1.0" encoding="utf-8"?>
<formControlPr xmlns="http://schemas.microsoft.com/office/spreadsheetml/2009/9/main" objectType="Drop" dropStyle="combo" dx="16" fmlaLink="'Verwerking Bouwdelen'!$A$6" fmlaRange="'Verwerking Bouwdelen'!$E$59:$E$63" val="0"/>
</file>

<file path=xl/ctrlProps/ctrlProp480.xml><?xml version="1.0" encoding="utf-8"?>
<formControlPr xmlns="http://schemas.microsoft.com/office/spreadsheetml/2009/9/main" objectType="Drop" dropStyle="combo" dx="16" fmlaLink="'Verwerking Bouwdelen'!$CZ$41" fmlaRange="'Verwerking Bouwdelen'!$AN$59:$AN$62" val="0"/>
</file>

<file path=xl/ctrlProps/ctrlProp481.xml><?xml version="1.0" encoding="utf-8"?>
<formControlPr xmlns="http://schemas.microsoft.com/office/spreadsheetml/2009/9/main" objectType="Drop" dropStyle="combo" dx="16" fmlaLink="'Verwerking Bouwdelen'!$CZ$42" fmlaRange="'Verwerking Bouwdelen'!$AN$59:$AN$62" val="0"/>
</file>

<file path=xl/ctrlProps/ctrlProp482.xml><?xml version="1.0" encoding="utf-8"?>
<formControlPr xmlns="http://schemas.microsoft.com/office/spreadsheetml/2009/9/main" objectType="Drop" dropStyle="combo" dx="16" fmlaLink="'Verwerking Bouwdelen'!$CZ$43" fmlaRange="'Verwerking Bouwdelen'!$AN$59:$AN$62" val="0"/>
</file>

<file path=xl/ctrlProps/ctrlProp483.xml><?xml version="1.0" encoding="utf-8"?>
<formControlPr xmlns="http://schemas.microsoft.com/office/spreadsheetml/2009/9/main" objectType="Drop" dropStyle="combo" dx="16" fmlaLink="'Verwerken Verwarming en Tapwate'!$B$3" fmlaRange="'Verwerken Verwarming en Tapwate'!$N$24:$N$34" val="0"/>
</file>

<file path=xl/ctrlProps/ctrlProp484.xml><?xml version="1.0" encoding="utf-8"?>
<formControlPr xmlns="http://schemas.microsoft.com/office/spreadsheetml/2009/9/main" objectType="Drop" dropStyle="combo" dx="16" fmlaLink="'Verwerken Verwarming en Tapwate'!$E$4" fmlaRange="'Verwerken Verwarming en Tapwate'!$N$24:$N$34" val="0"/>
</file>

<file path=xl/ctrlProps/ctrlProp485.xml><?xml version="1.0" encoding="utf-8"?>
<formControlPr xmlns="http://schemas.microsoft.com/office/spreadsheetml/2009/9/main" objectType="Drop" dropStyle="combo" dx="16" fmlaLink="'Verwerken Verwarming en Tapwate'!$B$5" fmlaRange="'Verwerken Verwarming en Tapwate'!$N$24:$N$34" val="0"/>
</file>

<file path=xl/ctrlProps/ctrlProp486.xml><?xml version="1.0" encoding="utf-8"?>
<formControlPr xmlns="http://schemas.microsoft.com/office/spreadsheetml/2009/9/main" objectType="Drop" dropStyle="combo" dx="16" fmlaLink="'Verwerken Verwarming en Tapwate'!$E$3" fmlaRange="'Verwerken Verwarming en Tapwate'!$N$24:$N$34" val="0"/>
</file>

<file path=xl/ctrlProps/ctrlProp487.xml><?xml version="1.0" encoding="utf-8"?>
<formControlPr xmlns="http://schemas.microsoft.com/office/spreadsheetml/2009/9/main" objectType="Drop" dropStyle="combo" dx="16" fmlaLink="'Verwerken Verwarming en Tapwate'!$B$4" fmlaRange="'Verwerken Verwarming en Tapwate'!$N$24:$N$34" val="0"/>
</file>

<file path=xl/ctrlProps/ctrlProp488.xml><?xml version="1.0" encoding="utf-8"?>
<formControlPr xmlns="http://schemas.microsoft.com/office/spreadsheetml/2009/9/main" objectType="Drop" dropStyle="combo" dx="16" fmlaLink="'Verwerken Verwarming en Tapwate'!$B$6" fmlaRange="'Verwerken Verwarming en Tapwate'!$N$24:$N$34" val="0"/>
</file>

<file path=xl/ctrlProps/ctrlProp489.xml><?xml version="1.0" encoding="utf-8"?>
<formControlPr xmlns="http://schemas.microsoft.com/office/spreadsheetml/2009/9/main" objectType="Drop" dropStyle="combo" dx="16" fmlaLink="'Verwerken Verwarming en Tapwate'!$E$5" fmlaRange="'Verwerken Verwarming en Tapwate'!$N$24:$N$34" val="0"/>
</file>

<file path=xl/ctrlProps/ctrlProp49.xml><?xml version="1.0" encoding="utf-8"?>
<formControlPr xmlns="http://schemas.microsoft.com/office/spreadsheetml/2009/9/main" objectType="Drop" dropStyle="combo" dx="16" fmlaLink="'Verwerking Bouwdelen'!$A$7" fmlaRange="'Verwerking Bouwdelen'!$E$59:$E$63" val="0"/>
</file>

<file path=xl/ctrlProps/ctrlProp490.xml><?xml version="1.0" encoding="utf-8"?>
<formControlPr xmlns="http://schemas.microsoft.com/office/spreadsheetml/2009/9/main" objectType="Drop" dropStyle="combo" dx="16" fmlaLink="'Verwerken Verwarming en Tapwate'!$E$6" fmlaRange="'Verwerken Verwarming en Tapwate'!$N$24:$N$34" val="0"/>
</file>

<file path=xl/ctrlProps/ctrlProp491.xml><?xml version="1.0" encoding="utf-8"?>
<formControlPr xmlns="http://schemas.microsoft.com/office/spreadsheetml/2009/9/main" objectType="Drop" dropStyle="combo" dx="16" fmlaLink="'Verwerken Verwarming en Tapwate'!$K$3" fmlaRange="'Verwerken Verwarming en Tapwate'!$U$24:$U$28" val="0"/>
</file>

<file path=xl/ctrlProps/ctrlProp492.xml><?xml version="1.0" encoding="utf-8"?>
<formControlPr xmlns="http://schemas.microsoft.com/office/spreadsheetml/2009/9/main" objectType="Drop" dropStyle="combo" dx="16" fmlaLink="'Verwerken Verwarming en Tapwate'!$K$4" fmlaRange="'Verwerken Verwarming en Tapwate'!$U$24:$U$28" val="0"/>
</file>

<file path=xl/ctrlProps/ctrlProp493.xml><?xml version="1.0" encoding="utf-8"?>
<formControlPr xmlns="http://schemas.microsoft.com/office/spreadsheetml/2009/9/main" objectType="Drop" dropStyle="combo" dx="16" fmlaLink="'Verwerken Verwarming en Tapwate'!$K$5" fmlaRange="'Verwerken Verwarming en Tapwate'!$U$24:$U$28" val="0"/>
</file>

<file path=xl/ctrlProps/ctrlProp494.xml><?xml version="1.0" encoding="utf-8"?>
<formControlPr xmlns="http://schemas.microsoft.com/office/spreadsheetml/2009/9/main" objectType="Drop" dropStyle="combo" dx="16" fmlaLink="'Verwerken Verwarming en Tapwate'!$K$6" fmlaRange="'Verwerken Verwarming en Tapwate'!$U$24:$U$28" val="0"/>
</file>

<file path=xl/ctrlProps/ctrlProp495.xml><?xml version="1.0" encoding="utf-8"?>
<formControlPr xmlns="http://schemas.microsoft.com/office/spreadsheetml/2009/9/main" objectType="Drop" dropStyle="combo" dx="16" fmlaLink="'Verwerken Verwarming en Tapwate'!$L$3" fmlaRange="'Verwerken Verwarming en Tapwate'!$V$24:$V$25" val="0"/>
</file>

<file path=xl/ctrlProps/ctrlProp496.xml><?xml version="1.0" encoding="utf-8"?>
<formControlPr xmlns="http://schemas.microsoft.com/office/spreadsheetml/2009/9/main" objectType="Drop" dropStyle="combo" dx="16" fmlaLink="'Verwerken Verwarming en Tapwate'!$L$4" fmlaRange="'Verwerken Verwarming en Tapwate'!$V$24:$V$25" val="0"/>
</file>

<file path=xl/ctrlProps/ctrlProp497.xml><?xml version="1.0" encoding="utf-8"?>
<formControlPr xmlns="http://schemas.microsoft.com/office/spreadsheetml/2009/9/main" objectType="Drop" dropStyle="combo" dx="16" fmlaLink="'Verwerken Verwarming en Tapwate'!$L$5" fmlaRange="'Verwerken Verwarming en Tapwate'!$V$24:$V$25" val="0"/>
</file>

<file path=xl/ctrlProps/ctrlProp498.xml><?xml version="1.0" encoding="utf-8"?>
<formControlPr xmlns="http://schemas.microsoft.com/office/spreadsheetml/2009/9/main" objectType="Drop" dropStyle="combo" dx="16" fmlaLink="'Verwerken Verwarming en Tapwate'!$L$6" fmlaRange="'Verwerken Verwarming en Tapwate'!$V$24:$V$25" val="0"/>
</file>

<file path=xl/ctrlProps/ctrlProp499.xml><?xml version="1.0" encoding="utf-8"?>
<formControlPr xmlns="http://schemas.microsoft.com/office/spreadsheetml/2009/9/main" objectType="Drop" dropStyle="combo" dx="16" fmlaLink="'Verwerken Verwarming en Tapwate'!$T$3" fmlaRange="'Verwerken Verwarming en Tapwate'!$O$38:$O$40" val="0"/>
</file>

<file path=xl/ctrlProps/ctrlProp5.xml><?xml version="1.0" encoding="utf-8"?>
<formControlPr xmlns="http://schemas.microsoft.com/office/spreadsheetml/2009/9/main" objectType="Drop" dropStyle="combo" dx="16" fmlaLink="'Verwerken ventilatie'!$P$34" fmlaRange="'Verwerken Algemeen'!$A$24:$A$27" val="0"/>
</file>

<file path=xl/ctrlProps/ctrlProp50.xml><?xml version="1.0" encoding="utf-8"?>
<formControlPr xmlns="http://schemas.microsoft.com/office/spreadsheetml/2009/9/main" objectType="Drop" dropStyle="combo" dx="16" fmlaLink="'Verwerking Bouwdelen'!$A$8" fmlaRange="'Verwerking Bouwdelen'!$E$59:$E$63" val="0"/>
</file>

<file path=xl/ctrlProps/ctrlProp500.xml><?xml version="1.0" encoding="utf-8"?>
<formControlPr xmlns="http://schemas.microsoft.com/office/spreadsheetml/2009/9/main" objectType="Drop" dropStyle="combo" dx="16" fmlaLink="'Verwerken Verwarming en Tapwate'!$T$4" fmlaRange="'Verwerken Verwarming en Tapwate'!$O$38:$O$40" val="0"/>
</file>

<file path=xl/ctrlProps/ctrlProp501.xml><?xml version="1.0" encoding="utf-8"?>
<formControlPr xmlns="http://schemas.microsoft.com/office/spreadsheetml/2009/9/main" objectType="Drop" dropStyle="combo" dx="16" fmlaLink="'Verwerken Verwarming en Tapwate'!$T$5" fmlaRange="'Verwerken Verwarming en Tapwate'!$O$38:$O$40" val="0"/>
</file>

<file path=xl/ctrlProps/ctrlProp502.xml><?xml version="1.0" encoding="utf-8"?>
<formControlPr xmlns="http://schemas.microsoft.com/office/spreadsheetml/2009/9/main" objectType="Drop" dropStyle="combo" dx="16" fmlaLink="'Verwerken Verwarming en Tapwate'!$T$6" fmlaRange="'Verwerken Verwarming en Tapwate'!$O$38:$O$40" val="0"/>
</file>

<file path=xl/ctrlProps/ctrlProp503.xml><?xml version="1.0" encoding="utf-8"?>
<formControlPr xmlns="http://schemas.microsoft.com/office/spreadsheetml/2009/9/main" objectType="Drop" dropStyle="combo" dx="16" fmlaLink="'Verwerken Verwarming en Tapwate'!$W$3" fmlaRange="'Verwerken Verwarming en Tapwate'!$O$38:$O$40" val="0"/>
</file>

<file path=xl/ctrlProps/ctrlProp504.xml><?xml version="1.0" encoding="utf-8"?>
<formControlPr xmlns="http://schemas.microsoft.com/office/spreadsheetml/2009/9/main" objectType="Drop" dropStyle="combo" dx="16" fmlaLink="'Verwerken Verwarming en Tapwate'!$W$4" fmlaRange="'Verwerken Verwarming en Tapwate'!$O$38:$O$40" val="0"/>
</file>

<file path=xl/ctrlProps/ctrlProp505.xml><?xml version="1.0" encoding="utf-8"?>
<formControlPr xmlns="http://schemas.microsoft.com/office/spreadsheetml/2009/9/main" objectType="Drop" dropStyle="combo" dx="16" fmlaLink="'Verwerken Verwarming en Tapwate'!$W$5" fmlaRange="'Verwerken Verwarming en Tapwate'!$O$38:$O$40" val="0"/>
</file>

<file path=xl/ctrlProps/ctrlProp506.xml><?xml version="1.0" encoding="utf-8"?>
<formControlPr xmlns="http://schemas.microsoft.com/office/spreadsheetml/2009/9/main" objectType="Drop" dropStyle="combo" dx="16" fmlaLink="'Verwerken Verwarming en Tapwate'!$W$6" fmlaRange="'Verwerken Verwarming en Tapwate'!$O$38:$O$40" val="0"/>
</file>

<file path=xl/ctrlProps/ctrlProp507.xml><?xml version="1.0" encoding="utf-8"?>
<formControlPr xmlns="http://schemas.microsoft.com/office/spreadsheetml/2009/9/main" objectType="Drop" dropStyle="combo" dx="16" fmlaLink="'Verwerken Verwarming en Tapwate'!$AC$3" fmlaRange="'Verwerken Verwarming en Tapwate'!$U$24:$U$28" val="0"/>
</file>

<file path=xl/ctrlProps/ctrlProp508.xml><?xml version="1.0" encoding="utf-8"?>
<formControlPr xmlns="http://schemas.microsoft.com/office/spreadsheetml/2009/9/main" objectType="Drop" dropStyle="combo" dx="16" fmlaLink="'Verwerken Verwarming en Tapwate'!$AC$4" fmlaRange="'Verwerken Verwarming en Tapwate'!$U$24:$U$28" val="0"/>
</file>

<file path=xl/ctrlProps/ctrlProp509.xml><?xml version="1.0" encoding="utf-8"?>
<formControlPr xmlns="http://schemas.microsoft.com/office/spreadsheetml/2009/9/main" objectType="Drop" dropStyle="combo" dx="16" fmlaLink="'Verwerken Verwarming en Tapwate'!$AC$5" fmlaRange="'Verwerken Verwarming en Tapwate'!$U$24:$U$28" val="0"/>
</file>

<file path=xl/ctrlProps/ctrlProp51.xml><?xml version="1.0" encoding="utf-8"?>
<formControlPr xmlns="http://schemas.microsoft.com/office/spreadsheetml/2009/9/main" objectType="Drop" dropStyle="combo" dx="16" fmlaLink="'Verwerking Bouwdelen'!$A$9" fmlaRange="'Verwerking Bouwdelen'!$E$59:$E$63" val="0"/>
</file>

<file path=xl/ctrlProps/ctrlProp510.xml><?xml version="1.0" encoding="utf-8"?>
<formControlPr xmlns="http://schemas.microsoft.com/office/spreadsheetml/2009/9/main" objectType="Drop" dropStyle="combo" dx="16" fmlaLink="'Verwerken Verwarming en Tapwate'!$AC$6" fmlaRange="'Verwerken Verwarming en Tapwate'!$U$24:$U$28" val="0"/>
</file>

<file path=xl/ctrlProps/ctrlProp511.xml><?xml version="1.0" encoding="utf-8"?>
<formControlPr xmlns="http://schemas.microsoft.com/office/spreadsheetml/2009/9/main" objectType="Drop" dropStyle="combo" dx="16" fmlaLink="'Verwerken Verwarming en Tapwate'!$AD$3" fmlaRange="'Verwerken Verwarming en Tapwate'!$V$24:$V$25" val="0"/>
</file>

<file path=xl/ctrlProps/ctrlProp512.xml><?xml version="1.0" encoding="utf-8"?>
<formControlPr xmlns="http://schemas.microsoft.com/office/spreadsheetml/2009/9/main" objectType="Drop" dropStyle="combo" dx="16" fmlaLink="'Verwerken Verwarming en Tapwate'!$AD$4" fmlaRange="'Verwerken Verwarming en Tapwate'!$V$24:$V$25" sel="2" val="0"/>
</file>

<file path=xl/ctrlProps/ctrlProp513.xml><?xml version="1.0" encoding="utf-8"?>
<formControlPr xmlns="http://schemas.microsoft.com/office/spreadsheetml/2009/9/main" objectType="Drop" dropStyle="combo" dx="16" fmlaLink="'Verwerken Verwarming en Tapwate'!$AD$5" fmlaRange="'Verwerken Verwarming en Tapwate'!$V$24:$V$25" sel="2" val="0"/>
</file>

<file path=xl/ctrlProps/ctrlProp514.xml><?xml version="1.0" encoding="utf-8"?>
<formControlPr xmlns="http://schemas.microsoft.com/office/spreadsheetml/2009/9/main" objectType="Drop" dropStyle="combo" dx="16" fmlaLink="'Verwerken Verwarming en Tapwate'!$AD$6" fmlaRange="'Verwerken Verwarming en Tapwate'!$V$24:$V$25" sel="2" val="0"/>
</file>

<file path=xl/ctrlProps/ctrlProp515.xml><?xml version="1.0" encoding="utf-8"?>
<formControlPr xmlns="http://schemas.microsoft.com/office/spreadsheetml/2009/9/main" objectType="Drop" dropStyle="combo" dx="16" fmlaLink="'Verwerken Verwarming en Tapwate'!$T$4" fmlaRange="'Verwerken Verwarming en Tapwate'!$O$38:$O$40" val="0"/>
</file>

<file path=xl/ctrlProps/ctrlProp516.xml><?xml version="1.0" encoding="utf-8"?>
<formControlPr xmlns="http://schemas.microsoft.com/office/spreadsheetml/2009/9/main" objectType="Drop" dropStyle="combo" dx="16" fmlaLink="'Verwerken Verwarming en Tapwate'!$T$5" fmlaRange="'Verwerken Verwarming en Tapwate'!$O$38:$O$40" val="0"/>
</file>

<file path=xl/ctrlProps/ctrlProp517.xml><?xml version="1.0" encoding="utf-8"?>
<formControlPr xmlns="http://schemas.microsoft.com/office/spreadsheetml/2009/9/main" objectType="Drop" dropStyle="combo" dx="16" fmlaLink="'Verwerken Verwarming en Tapwate'!$T$6" fmlaRange="'Verwerken Verwarming en Tapwate'!$O$38:$O$40" val="0"/>
</file>

<file path=xl/ctrlProps/ctrlProp518.xml><?xml version="1.0" encoding="utf-8"?>
<formControlPr xmlns="http://schemas.microsoft.com/office/spreadsheetml/2009/9/main" objectType="Drop" dropStyle="combo" dx="16" fmlaLink="'Verwerken Verwarming en Tapwate'!$W$3" fmlaRange="'Verwerken Verwarming en Tapwate'!$O$38:$O$40" val="0"/>
</file>

<file path=xl/ctrlProps/ctrlProp519.xml><?xml version="1.0" encoding="utf-8"?>
<formControlPr xmlns="http://schemas.microsoft.com/office/spreadsheetml/2009/9/main" objectType="Drop" dropStyle="combo" dx="16" fmlaLink="'Verwerken Verwarming en Tapwate'!$W$3" fmlaRange="'Verwerken Verwarming en Tapwate'!$O$38:$O$40" val="0"/>
</file>

<file path=xl/ctrlProps/ctrlProp52.xml><?xml version="1.0" encoding="utf-8"?>
<formControlPr xmlns="http://schemas.microsoft.com/office/spreadsheetml/2009/9/main" objectType="Drop" dropStyle="combo" dx="16" fmlaLink="'Verwerking Bouwdelen'!$A$10" fmlaRange="'Verwerking Bouwdelen'!$E$59:$E$63" val="0"/>
</file>

<file path=xl/ctrlProps/ctrlProp520.xml><?xml version="1.0" encoding="utf-8"?>
<formControlPr xmlns="http://schemas.microsoft.com/office/spreadsheetml/2009/9/main" objectType="Drop" dropStyle="combo" dx="16" fmlaLink="'Verwerken Verwarming en Tapwate'!$W$4" fmlaRange="'Verwerken Verwarming en Tapwate'!$O$38:$O$40" val="0"/>
</file>

<file path=xl/ctrlProps/ctrlProp521.xml><?xml version="1.0" encoding="utf-8"?>
<formControlPr xmlns="http://schemas.microsoft.com/office/spreadsheetml/2009/9/main" objectType="Drop" dropStyle="combo" dx="16" fmlaLink="'Verwerken Verwarming en Tapwate'!$W$3" fmlaRange="'Verwerken Verwarming en Tapwate'!$O$38:$O$40" val="0"/>
</file>

<file path=xl/ctrlProps/ctrlProp522.xml><?xml version="1.0" encoding="utf-8"?>
<formControlPr xmlns="http://schemas.microsoft.com/office/spreadsheetml/2009/9/main" objectType="Drop" dropStyle="combo" dx="16" fmlaLink="'Verwerken Verwarming en Tapwate'!$W$5" fmlaRange="'Verwerken Verwarming en Tapwate'!$O$38:$O$40" val="0"/>
</file>

<file path=xl/ctrlProps/ctrlProp523.xml><?xml version="1.0" encoding="utf-8"?>
<formControlPr xmlns="http://schemas.microsoft.com/office/spreadsheetml/2009/9/main" objectType="Drop" dropStyle="combo" dx="16" fmlaLink="'Verwerken Verwarming en Tapwate'!$W$3" fmlaRange="'Verwerken Verwarming en Tapwate'!$O$38:$O$40" val="0"/>
</file>

<file path=xl/ctrlProps/ctrlProp524.xml><?xml version="1.0" encoding="utf-8"?>
<formControlPr xmlns="http://schemas.microsoft.com/office/spreadsheetml/2009/9/main" objectType="Drop" dropStyle="combo" dx="16" fmlaLink="'Verwerken Verwarming en Tapwate'!$W$6" fmlaRange="'Verwerken Verwarming en Tapwate'!$O$38:$O$40" val="0"/>
</file>

<file path=xl/ctrlProps/ctrlProp525.xml><?xml version="1.0" encoding="utf-8"?>
<formControlPr xmlns="http://schemas.microsoft.com/office/spreadsheetml/2009/9/main" objectType="Drop" dropStyle="combo" dx="16" fmlaLink="'Verwerken Verwarming en Tapwate'!$M$3" fmlaRange="'Verwerken Verwarming en Tapwate'!$B$24:$B$28" sel="5" val="0"/>
</file>

<file path=xl/ctrlProps/ctrlProp526.xml><?xml version="1.0" encoding="utf-8"?>
<formControlPr xmlns="http://schemas.microsoft.com/office/spreadsheetml/2009/9/main" objectType="Drop" dropStyle="combo" dx="16" fmlaLink="'Verwerken Verwarming en Tapwate'!$M$4" fmlaRange="'Verwerken Verwarming en Tapwate'!$B$24:$B$28" val="0"/>
</file>

<file path=xl/ctrlProps/ctrlProp527.xml><?xml version="1.0" encoding="utf-8"?>
<formControlPr xmlns="http://schemas.microsoft.com/office/spreadsheetml/2009/9/main" objectType="Drop" dropStyle="combo" dx="16" fmlaLink="'Verwerken Verwarming en Tapwate'!$M$5" fmlaRange="'Verwerken Verwarming en Tapwate'!$B$24:$B$28" val="0"/>
</file>

<file path=xl/ctrlProps/ctrlProp528.xml><?xml version="1.0" encoding="utf-8"?>
<formControlPr xmlns="http://schemas.microsoft.com/office/spreadsheetml/2009/9/main" objectType="Drop" dropStyle="combo" dx="16" fmlaLink="'Verwerken Verwarming en Tapwate'!$M$6" fmlaRange="'Verwerken Verwarming en Tapwate'!$B$24:$B$28" val="0"/>
</file>

<file path=xl/ctrlProps/ctrlProp529.xml><?xml version="1.0" encoding="utf-8"?>
<formControlPr xmlns="http://schemas.microsoft.com/office/spreadsheetml/2009/9/main" objectType="Drop" dropStyle="combo" dx="16" fmlaLink="'Verwerken Verwarming en Tapwate'!$D$10" fmlaRange="'Verwerken Verwarming en Tapwate'!$Y$23:$Y$26" val="0"/>
</file>

<file path=xl/ctrlProps/ctrlProp53.xml><?xml version="1.0" encoding="utf-8"?>
<formControlPr xmlns="http://schemas.microsoft.com/office/spreadsheetml/2009/9/main" objectType="Drop" dropStyle="combo" dx="16" fmlaLink="'Verwerking Bouwdelen'!$A$11" fmlaRange="'Verwerking Bouwdelen'!$E$59:$E$63" val="0"/>
</file>

<file path=xl/ctrlProps/ctrlProp530.xml><?xml version="1.0" encoding="utf-8"?>
<formControlPr xmlns="http://schemas.microsoft.com/office/spreadsheetml/2009/9/main" objectType="Drop" dropStyle="combo" dx="16" fmlaLink="'Verwerken Verwarming en Tapwate'!$D$11" fmlaRange="'Verwerken Verwarming en Tapwate'!$Y$23:$Y$26" val="0"/>
</file>

<file path=xl/ctrlProps/ctrlProp531.xml><?xml version="1.0" encoding="utf-8"?>
<formControlPr xmlns="http://schemas.microsoft.com/office/spreadsheetml/2009/9/main" objectType="Drop" dropStyle="combo" dx="16" fmlaLink="'Verwerken Verwarming en Tapwate'!$D$12" fmlaRange="'Verwerken Verwarming en Tapwate'!$Y$23:$Y$26" val="0"/>
</file>

<file path=xl/ctrlProps/ctrlProp532.xml><?xml version="1.0" encoding="utf-8"?>
<formControlPr xmlns="http://schemas.microsoft.com/office/spreadsheetml/2009/9/main" objectType="Drop" dropStyle="combo" dx="16" fmlaLink="'Verwerken Verwarming en Tapwate'!$D$13" fmlaRange="'Verwerken Verwarming en Tapwate'!$Y$23:$Y$26" val="0"/>
</file>

<file path=xl/ctrlProps/ctrlProp533.xml><?xml version="1.0" encoding="utf-8"?>
<formControlPr xmlns="http://schemas.microsoft.com/office/spreadsheetml/2009/9/main" objectType="Drop" dropStyle="combo" dx="16" fmlaLink="'Verwerken Verwarming en Tapwate'!$C$11" fmlaRange="'Verwerken Verwarming en Tapwate'!$AB$23:$AB$31" val="0"/>
</file>

<file path=xl/ctrlProps/ctrlProp534.xml><?xml version="1.0" encoding="utf-8"?>
<formControlPr xmlns="http://schemas.microsoft.com/office/spreadsheetml/2009/9/main" objectType="Drop" dropStyle="combo" dx="16" fmlaLink="'Verwerken Verwarming en Tapwate'!$C$12" fmlaRange="'Verwerken Verwarming en Tapwate'!$AB$23:$AB$31" val="0"/>
</file>

<file path=xl/ctrlProps/ctrlProp535.xml><?xml version="1.0" encoding="utf-8"?>
<formControlPr xmlns="http://schemas.microsoft.com/office/spreadsheetml/2009/9/main" objectType="Drop" dropStyle="combo" dx="16" fmlaLink="'Verwerken Verwarming en Tapwate'!$C$13" fmlaRange="'Verwerken Verwarming en Tapwate'!$AB$23:$AB$31" val="0"/>
</file>

<file path=xl/ctrlProps/ctrlProp536.xml><?xml version="1.0" encoding="utf-8"?>
<formControlPr xmlns="http://schemas.microsoft.com/office/spreadsheetml/2009/9/main" objectType="Drop" dropStyle="combo" dx="16" fmlaLink="'Verwerken Verwarming en Tapwate'!$C$10" fmlaRange="'Verwerken Verwarming en Tapwate'!$AB$23:$AB$31" val="0"/>
</file>

<file path=xl/ctrlProps/ctrlProp537.xml><?xml version="1.0" encoding="utf-8"?>
<formControlPr xmlns="http://schemas.microsoft.com/office/spreadsheetml/2009/9/main" objectType="Drop" dropStyle="combo" dx="16" fmlaLink="'Verwerken Verwarming en Tapwate'!$P$3" fmlaRange="'Verwerken Verwarming en Tapwate'!$W$24:$W$28" sel="3" val="0"/>
</file>

<file path=xl/ctrlProps/ctrlProp538.xml><?xml version="1.0" encoding="utf-8"?>
<formControlPr xmlns="http://schemas.microsoft.com/office/spreadsheetml/2009/9/main" objectType="Drop" dropStyle="combo" dx="16" fmlaLink="'Verwerken Verwarming en Tapwate'!$P$4" fmlaRange="'Verwerken Verwarming en Tapwate'!$W$24:$W$28" val="0"/>
</file>

<file path=xl/ctrlProps/ctrlProp539.xml><?xml version="1.0" encoding="utf-8"?>
<formControlPr xmlns="http://schemas.microsoft.com/office/spreadsheetml/2009/9/main" objectType="Drop" dropStyle="combo" dx="16" fmlaLink="'Verwerken Verwarming en Tapwate'!$P$5" fmlaRange="'Verwerken Verwarming en Tapwate'!$W$24:$W$28" val="0"/>
</file>

<file path=xl/ctrlProps/ctrlProp54.xml><?xml version="1.0" encoding="utf-8"?>
<formControlPr xmlns="http://schemas.microsoft.com/office/spreadsheetml/2009/9/main" objectType="Drop" dropStyle="combo" dx="16" fmlaLink="'Verwerking Bouwdelen'!$A$12" fmlaRange="'Verwerking Bouwdelen'!$E$59:$E$63" val="0"/>
</file>

<file path=xl/ctrlProps/ctrlProp540.xml><?xml version="1.0" encoding="utf-8"?>
<formControlPr xmlns="http://schemas.microsoft.com/office/spreadsheetml/2009/9/main" objectType="Drop" dropStyle="combo" dx="16" fmlaLink="'Verwerken Verwarming en Tapwate'!$P$6" fmlaRange="'Verwerken Verwarming en Tapwate'!$W$24:$W$28" val="0"/>
</file>

<file path=xl/ctrlProps/ctrlProp541.xml><?xml version="1.0" encoding="utf-8"?>
<formControlPr xmlns="http://schemas.microsoft.com/office/spreadsheetml/2009/9/main" objectType="Drop" dropStyle="combo" dx="16" fmlaLink="'Verwerken Verwarming en Tapwate'!$O$48" fmlaRange="'Verwerken Verwarming en Tapwate'!$N$45:$N$46" val="0"/>
</file>

<file path=xl/ctrlProps/ctrlProp542.xml><?xml version="1.0" encoding="utf-8"?>
<formControlPr xmlns="http://schemas.microsoft.com/office/spreadsheetml/2009/9/main" objectType="Drop" dropStyle="combo" dx="16" fmlaLink="'Verwerken Verwarming en Tapwate'!$O$49" fmlaRange="'Verwerken Verwarming en Tapwate'!$N$45:$N$46" val="0"/>
</file>

<file path=xl/ctrlProps/ctrlProp543.xml><?xml version="1.0" encoding="utf-8"?>
<formControlPr xmlns="http://schemas.microsoft.com/office/spreadsheetml/2009/9/main" objectType="Drop" dropStyle="combo" dx="16" fmlaLink="'Verwerken Verwarming en Tapwate'!$O$50" fmlaRange="'Verwerken Verwarming en Tapwate'!$N$45:$N$46" val="0"/>
</file>

<file path=xl/ctrlProps/ctrlProp544.xml><?xml version="1.0" encoding="utf-8"?>
<formControlPr xmlns="http://schemas.microsoft.com/office/spreadsheetml/2009/9/main" objectType="Drop" dropStyle="combo" dx="16" fmlaLink="'Verwerken Verwarming en Tapwate'!$O$51" fmlaRange="'Verwerken Verwarming en Tapwate'!$N$45:$N$46" val="0"/>
</file>

<file path=xl/ctrlProps/ctrlProp545.xml><?xml version="1.0" encoding="utf-8"?>
<formControlPr xmlns="http://schemas.microsoft.com/office/spreadsheetml/2009/9/main" objectType="Drop" dropStyle="combo" dx="16" fmlaLink="'Verwerken Verwarming en Tapwate'!$D$67" fmlaRange="'Verwerken Verwarming en Tapwate'!$E$55:$E$64" sel="7" val="0"/>
</file>

<file path=xl/ctrlProps/ctrlProp546.xml><?xml version="1.0" encoding="utf-8"?>
<formControlPr xmlns="http://schemas.microsoft.com/office/spreadsheetml/2009/9/main" objectType="Drop" dropStyle="combo" dx="16" fmlaLink="'Verwerken Verwarming en Tapwate'!$B$68" fmlaRange="'Verwerken Verwarming en Tapwate'!$A$54:$A$63" val="0"/>
</file>

<file path=xl/ctrlProps/ctrlProp547.xml><?xml version="1.0" encoding="utf-8"?>
<formControlPr xmlns="http://schemas.microsoft.com/office/spreadsheetml/2009/9/main" objectType="Drop" dropStyle="combo" dx="16" fmlaLink="'Verwerken Verwarming en Tapwate'!$B$69" fmlaRange="'Verwerken Verwarming en Tapwate'!$A$54:$A$63" val="0"/>
</file>

<file path=xl/ctrlProps/ctrlProp548.xml><?xml version="1.0" encoding="utf-8"?>
<formControlPr xmlns="http://schemas.microsoft.com/office/spreadsheetml/2009/9/main" objectType="Drop" dropStyle="combo" dx="16" fmlaLink="'Verwerken Verwarming en Tapwate'!$B$70" fmlaRange="'Verwerken Verwarming en Tapwate'!$A$54:$A$63" val="0"/>
</file>

<file path=xl/ctrlProps/ctrlProp549.xml><?xml version="1.0" encoding="utf-8"?>
<formControlPr xmlns="http://schemas.microsoft.com/office/spreadsheetml/2009/9/main" objectType="Drop" dropStyle="combo" dx="16" fmlaLink="'Verwerken Verwarming en Tapwate'!$D$68" fmlaRange="'Verwerken Verwarming en Tapwate'!$E$55:$E$64" sel="7" val="0"/>
</file>

<file path=xl/ctrlProps/ctrlProp55.xml><?xml version="1.0" encoding="utf-8"?>
<formControlPr xmlns="http://schemas.microsoft.com/office/spreadsheetml/2009/9/main" objectType="Drop" dropStyle="combo" dx="16" fmlaLink="'Verwerking Bouwdelen'!$A$13" fmlaRange="'Verwerking Bouwdelen'!$E$59:$E$63" val="0"/>
</file>

<file path=xl/ctrlProps/ctrlProp550.xml><?xml version="1.0" encoding="utf-8"?>
<formControlPr xmlns="http://schemas.microsoft.com/office/spreadsheetml/2009/9/main" objectType="Drop" dropStyle="combo" dx="16" fmlaLink="'Verwerken Verwarming en Tapwate'!$D$69" fmlaRange="'Verwerken Verwarming en Tapwate'!$E$55:$E$64" sel="7" val="0"/>
</file>

<file path=xl/ctrlProps/ctrlProp551.xml><?xml version="1.0" encoding="utf-8"?>
<formControlPr xmlns="http://schemas.microsoft.com/office/spreadsheetml/2009/9/main" objectType="Drop" dropStyle="combo" dx="16" fmlaLink="'Verwerken Verwarming en Tapwate'!$D$70" fmlaRange="'Verwerken Verwarming en Tapwate'!$E$55:$E$64" sel="7" val="0"/>
</file>

<file path=xl/ctrlProps/ctrlProp552.xml><?xml version="1.0" encoding="utf-8"?>
<formControlPr xmlns="http://schemas.microsoft.com/office/spreadsheetml/2009/9/main" objectType="Drop" dropStyle="combo" dx="16" fmlaLink="'Verwerken Verwarming en Tapwate'!$B$67" fmlaRange="'Verwerken Verwarming en Tapwate'!$A$54:$A$63" val="0"/>
</file>

<file path=xl/ctrlProps/ctrlProp553.xml><?xml version="1.0" encoding="utf-8"?>
<formControlPr xmlns="http://schemas.microsoft.com/office/spreadsheetml/2009/9/main" objectType="Drop" dropStyle="combo" dx="16" fmlaLink="'Verwerken Verwarming en Tapwate'!$C$75" fmlaRange="'Verwerken Verwarming en Tapwate'!$E$55:$E$64" sel="7" val="2"/>
</file>

<file path=xl/ctrlProps/ctrlProp554.xml><?xml version="1.0" encoding="utf-8"?>
<formControlPr xmlns="http://schemas.microsoft.com/office/spreadsheetml/2009/9/main" objectType="Drop" dropStyle="combo" dx="16" fmlaLink="'Verwerken Verwarming en Tapwate'!$C$76" fmlaRange="'Verwerken Verwarming en Tapwate'!$E$55:$E$64" sel="7" val="0"/>
</file>

<file path=xl/ctrlProps/ctrlProp555.xml><?xml version="1.0" encoding="utf-8"?>
<formControlPr xmlns="http://schemas.microsoft.com/office/spreadsheetml/2009/9/main" objectType="Drop" dropStyle="combo" dx="16" fmlaLink="'Verwerken Verwarming en Tapwate'!$C$77" fmlaRange="'Verwerken Verwarming en Tapwate'!$E$55:$E$64" sel="7" val="0"/>
</file>

<file path=xl/ctrlProps/ctrlProp556.xml><?xml version="1.0" encoding="utf-8"?>
<formControlPr xmlns="http://schemas.microsoft.com/office/spreadsheetml/2009/9/main" objectType="Drop" dropStyle="combo" dx="16" fmlaLink="'Verwerken Verwarming en Tapwate'!$C$78" fmlaRange="'Verwerken Verwarming en Tapwate'!$E$55:$E$64" sel="7" val="0"/>
</file>

<file path=xl/ctrlProps/ctrlProp557.xml><?xml version="1.0" encoding="utf-8"?>
<formControlPr xmlns="http://schemas.microsoft.com/office/spreadsheetml/2009/9/main" objectType="Drop" dropStyle="combo" dx="16" fmlaLink="'Verwerken Verwarming en Tapwate'!$B$75" fmlaRange="'Verwerken Verwarming en Tapwate'!$A$80:$A$81" val="0"/>
</file>

<file path=xl/ctrlProps/ctrlProp558.xml><?xml version="1.0" encoding="utf-8"?>
<formControlPr xmlns="http://schemas.microsoft.com/office/spreadsheetml/2009/9/main" objectType="Drop" dropStyle="combo" dx="16" fmlaLink="'Verwerken Verwarming en Tapwate'!$B$76" fmlaRange="'Verwerken Verwarming en Tapwate'!$A$80:$A$81" val="0"/>
</file>

<file path=xl/ctrlProps/ctrlProp559.xml><?xml version="1.0" encoding="utf-8"?>
<formControlPr xmlns="http://schemas.microsoft.com/office/spreadsheetml/2009/9/main" objectType="Drop" dropStyle="combo" dx="16" fmlaLink="'Verwerken Verwarming en Tapwate'!$B$77" fmlaRange="'Verwerken Verwarming en Tapwate'!$A$80:$A$81" val="0"/>
</file>

<file path=xl/ctrlProps/ctrlProp56.xml><?xml version="1.0" encoding="utf-8"?>
<formControlPr xmlns="http://schemas.microsoft.com/office/spreadsheetml/2009/9/main" objectType="Drop" dropStyle="combo" dx="16" fmlaLink="'Verwerking Bouwdelen'!$A$14" fmlaRange="'Verwerking Bouwdelen'!$E$59:$E$63" val="0"/>
</file>

<file path=xl/ctrlProps/ctrlProp560.xml><?xml version="1.0" encoding="utf-8"?>
<formControlPr xmlns="http://schemas.microsoft.com/office/spreadsheetml/2009/9/main" objectType="Drop" dropStyle="combo" dx="16" fmlaLink="'Verwerken Verwarming en Tapwate'!$B$78" fmlaRange="'Verwerken Verwarming en Tapwate'!$A$80:$A$81" val="0"/>
</file>

<file path=xl/ctrlProps/ctrlProp561.xml><?xml version="1.0" encoding="utf-8"?>
<formControlPr xmlns="http://schemas.microsoft.com/office/spreadsheetml/2009/9/main" objectType="Drop" dropStyle="combo" dx="16" fmlaLink="'Verwerken ventilatie'!$B$8" fmlaRange="'Verwerken ventilatie'!$D$68:$D$73" val="0"/>
</file>

<file path=xl/ctrlProps/ctrlProp562.xml><?xml version="1.0" encoding="utf-8"?>
<formControlPr xmlns="http://schemas.microsoft.com/office/spreadsheetml/2009/9/main" objectType="Drop" dropStyle="combo" dx="16" fmlaLink="'Verwerken ventilatie'!$B$9" fmlaRange="'Verwerken ventilatie'!$D$68:$D$73" val="0"/>
</file>

<file path=xl/ctrlProps/ctrlProp563.xml><?xml version="1.0" encoding="utf-8"?>
<formControlPr xmlns="http://schemas.microsoft.com/office/spreadsheetml/2009/9/main" objectType="Drop" dropStyle="combo" dx="16" fmlaLink="'Verwerken ventilatie'!$B$10" fmlaRange="'Verwerken ventilatie'!$D$68:$D$73" val="0"/>
</file>

<file path=xl/ctrlProps/ctrlProp564.xml><?xml version="1.0" encoding="utf-8"?>
<formControlPr xmlns="http://schemas.microsoft.com/office/spreadsheetml/2009/9/main" objectType="Drop" dropStyle="combo" dx="16" fmlaLink="'Verwerken ventilatie'!$B$11" fmlaRange="'Verwerken ventilatie'!$D$68:$D$73" val="0"/>
</file>

<file path=xl/ctrlProps/ctrlProp565.xml><?xml version="1.0" encoding="utf-8"?>
<formControlPr xmlns="http://schemas.microsoft.com/office/spreadsheetml/2009/9/main" objectType="Drop" dropStyle="combo" dx="16" fmlaLink="'Verwerken ventilatie'!$E$8" fmlaRange="'Verwerken ventilatie'!$F$68:$F$73" val="0"/>
</file>

<file path=xl/ctrlProps/ctrlProp566.xml><?xml version="1.0" encoding="utf-8"?>
<formControlPr xmlns="http://schemas.microsoft.com/office/spreadsheetml/2009/9/main" objectType="Drop" dropStyle="combo" dx="16" fmlaLink="'Verwerken ventilatie'!$G$8" fmlaRange="'Verwerken ventilatie'!$I$68:$I$72" val="0"/>
</file>

<file path=xl/ctrlProps/ctrlProp567.xml><?xml version="1.0" encoding="utf-8"?>
<formControlPr xmlns="http://schemas.microsoft.com/office/spreadsheetml/2009/9/main" objectType="Drop" dropStyle="combo" dx="16" fmlaLink="'Verwerken ventilatie'!$A$8" fmlaRange="'Verwerken ventilatie'!$A$68:$A$72" val="0"/>
</file>

<file path=xl/ctrlProps/ctrlProp568.xml><?xml version="1.0" encoding="utf-8"?>
<formControlPr xmlns="http://schemas.microsoft.com/office/spreadsheetml/2009/9/main" objectType="Drop" dropStyle="combo" dx="16" fmlaLink="'Verwerken ventilatie'!$A$9" fmlaRange="'Verwerken ventilatie'!$A$68:$A$72" val="0"/>
</file>

<file path=xl/ctrlProps/ctrlProp569.xml><?xml version="1.0" encoding="utf-8"?>
<formControlPr xmlns="http://schemas.microsoft.com/office/spreadsheetml/2009/9/main" objectType="Drop" dropStyle="combo" dx="16" fmlaLink="'Verwerken ventilatie'!$A$10" fmlaRange="'Verwerken ventilatie'!$A$68:$A$72" val="0"/>
</file>

<file path=xl/ctrlProps/ctrlProp57.xml><?xml version="1.0" encoding="utf-8"?>
<formControlPr xmlns="http://schemas.microsoft.com/office/spreadsheetml/2009/9/main" objectType="Drop" dropStyle="combo" dx="16" fmlaLink="'Verwerking Bouwdelen'!$A$15" fmlaRange="'Verwerking Bouwdelen'!$E$59:$E$63" val="0"/>
</file>

<file path=xl/ctrlProps/ctrlProp570.xml><?xml version="1.0" encoding="utf-8"?>
<formControlPr xmlns="http://schemas.microsoft.com/office/spreadsheetml/2009/9/main" objectType="Drop" dropStyle="combo" dx="16" fmlaLink="'Verwerken ventilatie'!$A$11" fmlaRange="'Verwerken ventilatie'!$A$68:$A$72" val="0"/>
</file>

<file path=xl/ctrlProps/ctrlProp571.xml><?xml version="1.0" encoding="utf-8"?>
<formControlPr xmlns="http://schemas.microsoft.com/office/spreadsheetml/2009/9/main" objectType="Drop" dropStyle="combo" dx="16" fmlaLink="'Verwerken ventilatie'!$A$12" fmlaRange="'Verwerken ventilatie'!$A$68:$A$72" val="0"/>
</file>

<file path=xl/ctrlProps/ctrlProp572.xml><?xml version="1.0" encoding="utf-8"?>
<formControlPr xmlns="http://schemas.microsoft.com/office/spreadsheetml/2009/9/main" objectType="Drop" dropStyle="combo" dx="16" fmlaLink="'Verwerken ventilatie'!$A$13" fmlaRange="'Verwerken ventilatie'!$A$68:$A$72" val="0"/>
</file>

<file path=xl/ctrlProps/ctrlProp573.xml><?xml version="1.0" encoding="utf-8"?>
<formControlPr xmlns="http://schemas.microsoft.com/office/spreadsheetml/2009/9/main" objectType="Drop" dropStyle="combo" dx="16" fmlaLink="'Verwerken ventilatie'!$A$14" fmlaRange="'Verwerken ventilatie'!$A$68:$A$72" val="0"/>
</file>

<file path=xl/ctrlProps/ctrlProp574.xml><?xml version="1.0" encoding="utf-8"?>
<formControlPr xmlns="http://schemas.microsoft.com/office/spreadsheetml/2009/9/main" objectType="Drop" dropStyle="combo" dx="16" fmlaLink="'Verwerken ventilatie'!$A$15" fmlaRange="'Verwerken ventilatie'!$A$68:$A$72" val="0"/>
</file>

<file path=xl/ctrlProps/ctrlProp575.xml><?xml version="1.0" encoding="utf-8"?>
<formControlPr xmlns="http://schemas.microsoft.com/office/spreadsheetml/2009/9/main" objectType="Drop" dropStyle="combo" dx="16" fmlaLink="'Verwerken ventilatie'!$A$16" fmlaRange="'Verwerken ventilatie'!$A$68:$A$72" val="0"/>
</file>

<file path=xl/ctrlProps/ctrlProp576.xml><?xml version="1.0" encoding="utf-8"?>
<formControlPr xmlns="http://schemas.microsoft.com/office/spreadsheetml/2009/9/main" objectType="Drop" dropStyle="combo" dx="16" fmlaLink="'Verwerken ventilatie'!$A$17" fmlaRange="'Verwerken ventilatie'!$A$68:$A$72" val="0"/>
</file>

<file path=xl/ctrlProps/ctrlProp577.xml><?xml version="1.0" encoding="utf-8"?>
<formControlPr xmlns="http://schemas.microsoft.com/office/spreadsheetml/2009/9/main" objectType="Drop" dropStyle="combo" dx="16" fmlaLink="'Verwerken ventilatie'!$A$18" fmlaRange="'Verwerken ventilatie'!$A$68:$A$72" val="0"/>
</file>

<file path=xl/ctrlProps/ctrlProp578.xml><?xml version="1.0" encoding="utf-8"?>
<formControlPr xmlns="http://schemas.microsoft.com/office/spreadsheetml/2009/9/main" objectType="Drop" dropStyle="combo" dx="16" fmlaLink="'Verwerken ventilatie'!$A$19" fmlaRange="'Verwerken ventilatie'!$A$68:$A$72" val="0"/>
</file>

<file path=xl/ctrlProps/ctrlProp579.xml><?xml version="1.0" encoding="utf-8"?>
<formControlPr xmlns="http://schemas.microsoft.com/office/spreadsheetml/2009/9/main" objectType="Drop" dropStyle="combo" dx="16" fmlaLink="'Verwerken ventilatie'!$B$12" fmlaRange="'Verwerken ventilatie'!$D$68:$D$73" val="0"/>
</file>

<file path=xl/ctrlProps/ctrlProp58.xml><?xml version="1.0" encoding="utf-8"?>
<formControlPr xmlns="http://schemas.microsoft.com/office/spreadsheetml/2009/9/main" objectType="Drop" dropStyle="combo" dx="16" fmlaLink="'Verwerking Bouwdelen'!$A$16" fmlaRange="'Verwerking Bouwdelen'!$E$59:$E$63" val="0"/>
</file>

<file path=xl/ctrlProps/ctrlProp580.xml><?xml version="1.0" encoding="utf-8"?>
<formControlPr xmlns="http://schemas.microsoft.com/office/spreadsheetml/2009/9/main" objectType="Drop" dropStyle="combo" dx="16" fmlaLink="'Verwerken ventilatie'!$B$13" fmlaRange="'Verwerken ventilatie'!$D$68:$D$73" val="0"/>
</file>

<file path=xl/ctrlProps/ctrlProp581.xml><?xml version="1.0" encoding="utf-8"?>
<formControlPr xmlns="http://schemas.microsoft.com/office/spreadsheetml/2009/9/main" objectType="Drop" dropStyle="combo" dx="16" fmlaLink="'Verwerken ventilatie'!$B$14" fmlaRange="'Verwerken ventilatie'!$D$68:$D$73" val="0"/>
</file>

<file path=xl/ctrlProps/ctrlProp582.xml><?xml version="1.0" encoding="utf-8"?>
<formControlPr xmlns="http://schemas.microsoft.com/office/spreadsheetml/2009/9/main" objectType="Drop" dropStyle="combo" dx="16" fmlaLink="'Verwerken ventilatie'!$B$15" fmlaRange="'Verwerken ventilatie'!$D$68:$D$73" val="0"/>
</file>

<file path=xl/ctrlProps/ctrlProp583.xml><?xml version="1.0" encoding="utf-8"?>
<formControlPr xmlns="http://schemas.microsoft.com/office/spreadsheetml/2009/9/main" objectType="Drop" dropStyle="combo" dx="16" fmlaLink="'Verwerken ventilatie'!$B$16" fmlaRange="'Verwerken ventilatie'!$D$68:$D$73" val="0"/>
</file>

<file path=xl/ctrlProps/ctrlProp584.xml><?xml version="1.0" encoding="utf-8"?>
<formControlPr xmlns="http://schemas.microsoft.com/office/spreadsheetml/2009/9/main" objectType="Drop" dropStyle="combo" dx="16" fmlaLink="'Verwerken ventilatie'!$B$17" fmlaRange="'Verwerken ventilatie'!$D$68:$D$73" val="0"/>
</file>

<file path=xl/ctrlProps/ctrlProp585.xml><?xml version="1.0" encoding="utf-8"?>
<formControlPr xmlns="http://schemas.microsoft.com/office/spreadsheetml/2009/9/main" objectType="Drop" dropStyle="combo" dx="16" fmlaLink="'Verwerken ventilatie'!$B$18" fmlaRange="'Verwerken ventilatie'!$D$68:$D$73" val="0"/>
</file>

<file path=xl/ctrlProps/ctrlProp586.xml><?xml version="1.0" encoding="utf-8"?>
<formControlPr xmlns="http://schemas.microsoft.com/office/spreadsheetml/2009/9/main" objectType="Drop" dropStyle="combo" dx="16" fmlaLink="'Verwerken ventilatie'!$B$19" fmlaRange="'Verwerken ventilatie'!$D$68:$D$73" val="0"/>
</file>

<file path=xl/ctrlProps/ctrlProp587.xml><?xml version="1.0" encoding="utf-8"?>
<formControlPr xmlns="http://schemas.microsoft.com/office/spreadsheetml/2009/9/main" objectType="Drop" dropStyle="combo" dx="16" fmlaLink="'Verwerken ventilatie'!$G$9" fmlaRange="'Verwerken ventilatie'!$I$68:$I$72" val="0"/>
</file>

<file path=xl/ctrlProps/ctrlProp588.xml><?xml version="1.0" encoding="utf-8"?>
<formControlPr xmlns="http://schemas.microsoft.com/office/spreadsheetml/2009/9/main" objectType="Drop" dropStyle="combo" dx="16" fmlaLink="'Verwerken ventilatie'!$G$10" fmlaRange="'Verwerken ventilatie'!$I$68:$I$72" val="0"/>
</file>

<file path=xl/ctrlProps/ctrlProp589.xml><?xml version="1.0" encoding="utf-8"?>
<formControlPr xmlns="http://schemas.microsoft.com/office/spreadsheetml/2009/9/main" objectType="Drop" dropStyle="combo" dx="16" fmlaLink="'Verwerken ventilatie'!$G$11" fmlaRange="'Verwerken ventilatie'!$I$68:$I$72" val="0"/>
</file>

<file path=xl/ctrlProps/ctrlProp59.xml><?xml version="1.0" encoding="utf-8"?>
<formControlPr xmlns="http://schemas.microsoft.com/office/spreadsheetml/2009/9/main" objectType="Drop" dropStyle="combo" dx="16" fmlaLink="'Verwerking Bouwdelen'!$A$17" fmlaRange="'Verwerking Bouwdelen'!$E$59:$E$63" val="0"/>
</file>

<file path=xl/ctrlProps/ctrlProp590.xml><?xml version="1.0" encoding="utf-8"?>
<formControlPr xmlns="http://schemas.microsoft.com/office/spreadsheetml/2009/9/main" objectType="Drop" dropStyle="combo" dx="16" fmlaLink="'Verwerken ventilatie'!$G$12" fmlaRange="'Verwerken ventilatie'!$I$68:$I$72" val="0"/>
</file>

<file path=xl/ctrlProps/ctrlProp591.xml><?xml version="1.0" encoding="utf-8"?>
<formControlPr xmlns="http://schemas.microsoft.com/office/spreadsheetml/2009/9/main" objectType="Drop" dropStyle="combo" dx="16" fmlaLink="'Verwerken ventilatie'!$G$13" fmlaRange="'Verwerken ventilatie'!$I$68:$I$72" val="0"/>
</file>

<file path=xl/ctrlProps/ctrlProp592.xml><?xml version="1.0" encoding="utf-8"?>
<formControlPr xmlns="http://schemas.microsoft.com/office/spreadsheetml/2009/9/main" objectType="Drop" dropStyle="combo" dx="16" fmlaLink="'Verwerken ventilatie'!$G$14" fmlaRange="'Verwerken ventilatie'!$I$68:$I$72" val="0"/>
</file>

<file path=xl/ctrlProps/ctrlProp593.xml><?xml version="1.0" encoding="utf-8"?>
<formControlPr xmlns="http://schemas.microsoft.com/office/spreadsheetml/2009/9/main" objectType="Drop" dropStyle="combo" dx="16" fmlaLink="'Verwerken ventilatie'!$G$15" fmlaRange="'Verwerken ventilatie'!$I$68:$I$72" val="0"/>
</file>

<file path=xl/ctrlProps/ctrlProp594.xml><?xml version="1.0" encoding="utf-8"?>
<formControlPr xmlns="http://schemas.microsoft.com/office/spreadsheetml/2009/9/main" objectType="Drop" dropStyle="combo" dx="16" fmlaLink="'Verwerken ventilatie'!$G$16" fmlaRange="'Verwerken ventilatie'!$I$68:$I$72" val="0"/>
</file>

<file path=xl/ctrlProps/ctrlProp595.xml><?xml version="1.0" encoding="utf-8"?>
<formControlPr xmlns="http://schemas.microsoft.com/office/spreadsheetml/2009/9/main" objectType="Drop" dropStyle="combo" dx="16" fmlaLink="'Verwerken ventilatie'!$G$17" fmlaRange="'Verwerken ventilatie'!$I$68:$I$72" val="0"/>
</file>

<file path=xl/ctrlProps/ctrlProp596.xml><?xml version="1.0" encoding="utf-8"?>
<formControlPr xmlns="http://schemas.microsoft.com/office/spreadsheetml/2009/9/main" objectType="Drop" dropStyle="combo" dx="16" fmlaLink="'Verwerken ventilatie'!$G$18" fmlaRange="'Verwerken ventilatie'!$I$68:$I$72" val="0"/>
</file>

<file path=xl/ctrlProps/ctrlProp597.xml><?xml version="1.0" encoding="utf-8"?>
<formControlPr xmlns="http://schemas.microsoft.com/office/spreadsheetml/2009/9/main" objectType="Drop" dropStyle="combo" dx="16" fmlaLink="'Verwerken ventilatie'!$G$19" fmlaRange="'Verwerken ventilatie'!$I$68:$I$72" val="0"/>
</file>

<file path=xl/ctrlProps/ctrlProp598.xml><?xml version="1.0" encoding="utf-8"?>
<formControlPr xmlns="http://schemas.microsoft.com/office/spreadsheetml/2009/9/main" objectType="Drop" dropStyle="combo" dx="16" fmlaLink="'Verwerken ventilatie'!$E$9" fmlaRange="'Verwerken ventilatie'!$F$68:$F$73" val="0"/>
</file>

<file path=xl/ctrlProps/ctrlProp599.xml><?xml version="1.0" encoding="utf-8"?>
<formControlPr xmlns="http://schemas.microsoft.com/office/spreadsheetml/2009/9/main" objectType="Drop" dropStyle="combo" dx="16" fmlaLink="'Verwerken ventilatie'!$E$10" fmlaRange="'Verwerken ventilatie'!$F$68:$F$73" val="0"/>
</file>

<file path=xl/ctrlProps/ctrlProp6.xml><?xml version="1.0" encoding="utf-8"?>
<formControlPr xmlns="http://schemas.microsoft.com/office/spreadsheetml/2009/9/main" objectType="Drop" dropStyle="combo" dx="16" fmlaLink="'Verwerken Algemeen'!$B$30" fmlaRange="'Verwerken Algemeen'!$E$24:$E$26" val="0"/>
</file>

<file path=xl/ctrlProps/ctrlProp60.xml><?xml version="1.0" encoding="utf-8"?>
<formControlPr xmlns="http://schemas.microsoft.com/office/spreadsheetml/2009/9/main" objectType="Drop" dropStyle="combo" dx="16" fmlaLink="'Verwerking Bouwdelen'!$A$18" fmlaRange="'Verwerking Bouwdelen'!$E$59:$E$63" val="0"/>
</file>

<file path=xl/ctrlProps/ctrlProp600.xml><?xml version="1.0" encoding="utf-8"?>
<formControlPr xmlns="http://schemas.microsoft.com/office/spreadsheetml/2009/9/main" objectType="Drop" dropStyle="combo" dx="16" fmlaLink="'Verwerken ventilatie'!$E$11" fmlaRange="'Verwerken ventilatie'!$F$68:$F$73" val="0"/>
</file>

<file path=xl/ctrlProps/ctrlProp601.xml><?xml version="1.0" encoding="utf-8"?>
<formControlPr xmlns="http://schemas.microsoft.com/office/spreadsheetml/2009/9/main" objectType="Drop" dropStyle="combo" dx="16" fmlaLink="'Verwerken ventilatie'!$E$12" fmlaRange="'Verwerken ventilatie'!$F$68:$F$73" val="0"/>
</file>

<file path=xl/ctrlProps/ctrlProp602.xml><?xml version="1.0" encoding="utf-8"?>
<formControlPr xmlns="http://schemas.microsoft.com/office/spreadsheetml/2009/9/main" objectType="Drop" dropStyle="combo" dx="16" fmlaLink="'Verwerken ventilatie'!$E$13" fmlaRange="'Verwerken ventilatie'!$F$68:$F$73" val="0"/>
</file>

<file path=xl/ctrlProps/ctrlProp603.xml><?xml version="1.0" encoding="utf-8"?>
<formControlPr xmlns="http://schemas.microsoft.com/office/spreadsheetml/2009/9/main" objectType="Drop" dropStyle="combo" dx="16" fmlaLink="'Verwerken ventilatie'!$E$14" fmlaRange="'Verwerken ventilatie'!$F$68:$F$73" val="0"/>
</file>

<file path=xl/ctrlProps/ctrlProp604.xml><?xml version="1.0" encoding="utf-8"?>
<formControlPr xmlns="http://schemas.microsoft.com/office/spreadsheetml/2009/9/main" objectType="Drop" dropStyle="combo" dx="16" fmlaLink="'Verwerken ventilatie'!$E$15" fmlaRange="'Verwerken ventilatie'!$F$68:$F$73" val="0"/>
</file>

<file path=xl/ctrlProps/ctrlProp605.xml><?xml version="1.0" encoding="utf-8"?>
<formControlPr xmlns="http://schemas.microsoft.com/office/spreadsheetml/2009/9/main" objectType="Drop" dropStyle="combo" dx="16" fmlaLink="'Verwerken ventilatie'!$E$16" fmlaRange="'Verwerken ventilatie'!$F$68:$F$73" val="0"/>
</file>

<file path=xl/ctrlProps/ctrlProp606.xml><?xml version="1.0" encoding="utf-8"?>
<formControlPr xmlns="http://schemas.microsoft.com/office/spreadsheetml/2009/9/main" objectType="Drop" dropStyle="combo" dx="16" fmlaLink="'Verwerken ventilatie'!$E$17" fmlaRange="'Verwerken ventilatie'!$F$68:$F$73" val="0"/>
</file>

<file path=xl/ctrlProps/ctrlProp607.xml><?xml version="1.0" encoding="utf-8"?>
<formControlPr xmlns="http://schemas.microsoft.com/office/spreadsheetml/2009/9/main" objectType="Drop" dropStyle="combo" dx="16" fmlaLink="'Verwerken ventilatie'!$E$18" fmlaRange="'Verwerken ventilatie'!$F$68:$F$73" val="0"/>
</file>

<file path=xl/ctrlProps/ctrlProp608.xml><?xml version="1.0" encoding="utf-8"?>
<formControlPr xmlns="http://schemas.microsoft.com/office/spreadsheetml/2009/9/main" objectType="Drop" dropStyle="combo" dx="16" fmlaLink="'Verwerken ventilatie'!$E$19" fmlaRange="'Verwerken ventilatie'!$F$68:$F$73" val="0"/>
</file>

<file path=xl/ctrlProps/ctrlProp609.xml><?xml version="1.0" encoding="utf-8"?>
<formControlPr xmlns="http://schemas.microsoft.com/office/spreadsheetml/2009/9/main" objectType="Drop" dropStyle="combo" dx="16" fmlaLink="'Verwerken ventilatie'!$C$8" fmlaRange="'Verwerken ventilatie'!$B$68:$B$71" val="0"/>
</file>

<file path=xl/ctrlProps/ctrlProp61.xml><?xml version="1.0" encoding="utf-8"?>
<formControlPr xmlns="http://schemas.microsoft.com/office/spreadsheetml/2009/9/main" objectType="Drop" dropStyle="combo" dx="16" fmlaLink="'Verwerking Bouwdelen'!$A$19" fmlaRange="'Verwerking Bouwdelen'!$E$59:$E$63" val="0"/>
</file>

<file path=xl/ctrlProps/ctrlProp610.xml><?xml version="1.0" encoding="utf-8"?>
<formControlPr xmlns="http://schemas.microsoft.com/office/spreadsheetml/2009/9/main" objectType="Drop" dropStyle="combo" dx="16" fmlaLink="'Verwerken ventilatie'!$C$9" fmlaRange="'Verwerken ventilatie'!$B$68:$B$71" val="0"/>
</file>

<file path=xl/ctrlProps/ctrlProp611.xml><?xml version="1.0" encoding="utf-8"?>
<formControlPr xmlns="http://schemas.microsoft.com/office/spreadsheetml/2009/9/main" objectType="Drop" dropStyle="combo" dx="16" fmlaLink="'Verwerken ventilatie'!$C$10" fmlaRange="'Verwerken ventilatie'!$B$68:$B$71" val="0"/>
</file>

<file path=xl/ctrlProps/ctrlProp612.xml><?xml version="1.0" encoding="utf-8"?>
<formControlPr xmlns="http://schemas.microsoft.com/office/spreadsheetml/2009/9/main" objectType="Drop" dropStyle="combo" dx="16" fmlaLink="'Verwerken ventilatie'!$C$11" fmlaRange="'Verwerken ventilatie'!$B$68:$B$71" val="0"/>
</file>

<file path=xl/ctrlProps/ctrlProp613.xml><?xml version="1.0" encoding="utf-8"?>
<formControlPr xmlns="http://schemas.microsoft.com/office/spreadsheetml/2009/9/main" objectType="Drop" dropStyle="combo" dx="16" fmlaLink="'Verwerken ventilatie'!$C$12" fmlaRange="'Verwerken ventilatie'!$B$68:$B$71" val="0"/>
</file>

<file path=xl/ctrlProps/ctrlProp614.xml><?xml version="1.0" encoding="utf-8"?>
<formControlPr xmlns="http://schemas.microsoft.com/office/spreadsheetml/2009/9/main" objectType="Drop" dropStyle="combo" dx="16" fmlaLink="'Verwerken ventilatie'!$C$13" fmlaRange="'Verwerken ventilatie'!$B$68:$B$71" val="0"/>
</file>

<file path=xl/ctrlProps/ctrlProp615.xml><?xml version="1.0" encoding="utf-8"?>
<formControlPr xmlns="http://schemas.microsoft.com/office/spreadsheetml/2009/9/main" objectType="Drop" dropStyle="combo" dx="16" fmlaLink="'Verwerken ventilatie'!$C$14" fmlaRange="'Verwerken ventilatie'!$B$68:$B$71" val="0"/>
</file>

<file path=xl/ctrlProps/ctrlProp616.xml><?xml version="1.0" encoding="utf-8"?>
<formControlPr xmlns="http://schemas.microsoft.com/office/spreadsheetml/2009/9/main" objectType="Drop" dropStyle="combo" dx="16" fmlaLink="'Verwerken ventilatie'!$C$15" fmlaRange="'Verwerken ventilatie'!$B$68:$B$71" val="0"/>
</file>

<file path=xl/ctrlProps/ctrlProp617.xml><?xml version="1.0" encoding="utf-8"?>
<formControlPr xmlns="http://schemas.microsoft.com/office/spreadsheetml/2009/9/main" objectType="Drop" dropStyle="combo" dx="16" fmlaLink="'Verwerken ventilatie'!$C$16" fmlaRange="'Verwerken ventilatie'!$B$68:$B$71" val="0"/>
</file>

<file path=xl/ctrlProps/ctrlProp618.xml><?xml version="1.0" encoding="utf-8"?>
<formControlPr xmlns="http://schemas.microsoft.com/office/spreadsheetml/2009/9/main" objectType="Drop" dropStyle="combo" dx="16" fmlaLink="'Verwerken ventilatie'!$C$17" fmlaRange="'Verwerken ventilatie'!$B$68:$B$71" val="0"/>
</file>

<file path=xl/ctrlProps/ctrlProp619.xml><?xml version="1.0" encoding="utf-8"?>
<formControlPr xmlns="http://schemas.microsoft.com/office/spreadsheetml/2009/9/main" objectType="Drop" dropStyle="combo" dx="16" fmlaLink="'Verwerken ventilatie'!$C$18" fmlaRange="'Verwerken ventilatie'!$B$68:$B$71" val="0"/>
</file>

<file path=xl/ctrlProps/ctrlProp62.xml><?xml version="1.0" encoding="utf-8"?>
<formControlPr xmlns="http://schemas.microsoft.com/office/spreadsheetml/2009/9/main" objectType="Drop" dropStyle="combo" dx="16" fmlaLink="'Verwerking Bouwdelen'!$A$20" fmlaRange="'Verwerking Bouwdelen'!$E$59:$E$63" val="0"/>
</file>

<file path=xl/ctrlProps/ctrlProp620.xml><?xml version="1.0" encoding="utf-8"?>
<formControlPr xmlns="http://schemas.microsoft.com/office/spreadsheetml/2009/9/main" objectType="Drop" dropStyle="combo" dx="16" fmlaLink="'Verwerken ventilatie'!$C$19" fmlaRange="'Verwerken ventilatie'!$B$68:$B$71" val="0"/>
</file>

<file path=xl/ctrlProps/ctrlProp621.xml><?xml version="1.0" encoding="utf-8"?>
<formControlPr xmlns="http://schemas.microsoft.com/office/spreadsheetml/2009/9/main" objectType="Drop" dropStyle="combo" dx="16" fmlaLink="'Verwerken ventilatie'!$AK$8" fmlaRange="'Verwerken ventilatie'!$D$68:$D$73" val="0"/>
</file>

<file path=xl/ctrlProps/ctrlProp622.xml><?xml version="1.0" encoding="utf-8"?>
<formControlPr xmlns="http://schemas.microsoft.com/office/spreadsheetml/2009/9/main" objectType="Drop" dropStyle="combo" dx="16" fmlaLink="'Verwerken ventilatie'!$AK$9" fmlaRange="'Verwerken ventilatie'!$D$68:$D$73" val="0"/>
</file>

<file path=xl/ctrlProps/ctrlProp623.xml><?xml version="1.0" encoding="utf-8"?>
<formControlPr xmlns="http://schemas.microsoft.com/office/spreadsheetml/2009/9/main" objectType="Drop" dropStyle="combo" dx="16" fmlaLink="'Verwerken ventilatie'!$AK$10" fmlaRange="'Verwerken ventilatie'!$D$68:$D$73" val="0"/>
</file>

<file path=xl/ctrlProps/ctrlProp624.xml><?xml version="1.0" encoding="utf-8"?>
<formControlPr xmlns="http://schemas.microsoft.com/office/spreadsheetml/2009/9/main" objectType="Drop" dropStyle="combo" dx="16" fmlaLink="'Verwerken ventilatie'!$AK$11" fmlaRange="'Verwerken ventilatie'!$D$68:$D$73" val="0"/>
</file>

<file path=xl/ctrlProps/ctrlProp625.xml><?xml version="1.0" encoding="utf-8"?>
<formControlPr xmlns="http://schemas.microsoft.com/office/spreadsheetml/2009/9/main" objectType="Drop" dropStyle="combo" dx="16" fmlaLink="'Verwerken ventilatie'!$AN$8" fmlaRange="'Verwerken ventilatie'!$F$68:$F$73" val="0"/>
</file>

<file path=xl/ctrlProps/ctrlProp626.xml><?xml version="1.0" encoding="utf-8"?>
<formControlPr xmlns="http://schemas.microsoft.com/office/spreadsheetml/2009/9/main" objectType="Drop" dropStyle="combo" dx="16" fmlaLink="'Verwerken ventilatie'!$AP$8" fmlaRange="'Verwerken ventilatie'!$I$68:$I$72" val="0"/>
</file>

<file path=xl/ctrlProps/ctrlProp627.xml><?xml version="1.0" encoding="utf-8"?>
<formControlPr xmlns="http://schemas.microsoft.com/office/spreadsheetml/2009/9/main" objectType="Drop" dropStyle="combo" dx="16" fmlaLink="'Verwerken ventilatie'!$AJ$8" fmlaRange="'Verwerken ventilatie'!$A$68:$A$72" val="0"/>
</file>

<file path=xl/ctrlProps/ctrlProp628.xml><?xml version="1.0" encoding="utf-8"?>
<formControlPr xmlns="http://schemas.microsoft.com/office/spreadsheetml/2009/9/main" objectType="Drop" dropStyle="combo" dx="16" fmlaLink="'Verwerken ventilatie'!$AJ$9" fmlaRange="'Verwerken ventilatie'!$A$68:$A$72" val="0"/>
</file>

<file path=xl/ctrlProps/ctrlProp629.xml><?xml version="1.0" encoding="utf-8"?>
<formControlPr xmlns="http://schemas.microsoft.com/office/spreadsheetml/2009/9/main" objectType="Drop" dropStyle="combo" dx="16" fmlaLink="'Verwerken ventilatie'!$AJ$10" fmlaRange="'Verwerken ventilatie'!$A$68:$A$72" val="0"/>
</file>

<file path=xl/ctrlProps/ctrlProp63.xml><?xml version="1.0" encoding="utf-8"?>
<formControlPr xmlns="http://schemas.microsoft.com/office/spreadsheetml/2009/9/main" objectType="Drop" dropStyle="combo" dx="16" fmlaLink="'Verwerking Bouwdelen'!$A$21" fmlaRange="'Verwerking Bouwdelen'!$E$59:$E$63" val="0"/>
</file>

<file path=xl/ctrlProps/ctrlProp630.xml><?xml version="1.0" encoding="utf-8"?>
<formControlPr xmlns="http://schemas.microsoft.com/office/spreadsheetml/2009/9/main" objectType="Drop" dropStyle="combo" dx="16" fmlaLink="'Verwerken ventilatie'!$AJ$11" fmlaRange="'Verwerken ventilatie'!$A$68:$A$72" val="0"/>
</file>

<file path=xl/ctrlProps/ctrlProp631.xml><?xml version="1.0" encoding="utf-8"?>
<formControlPr xmlns="http://schemas.microsoft.com/office/spreadsheetml/2009/9/main" objectType="Drop" dropStyle="combo" dx="16" fmlaLink="'Verwerken ventilatie'!$AJ$12" fmlaRange="'Verwerken ventilatie'!$A$68:$A$72" val="0"/>
</file>

<file path=xl/ctrlProps/ctrlProp632.xml><?xml version="1.0" encoding="utf-8"?>
<formControlPr xmlns="http://schemas.microsoft.com/office/spreadsheetml/2009/9/main" objectType="Drop" dropStyle="combo" dx="16" fmlaLink="'Verwerken ventilatie'!$AJ$13" fmlaRange="'Verwerken ventilatie'!$A$68:$A$72" val="0"/>
</file>

<file path=xl/ctrlProps/ctrlProp633.xml><?xml version="1.0" encoding="utf-8"?>
<formControlPr xmlns="http://schemas.microsoft.com/office/spreadsheetml/2009/9/main" objectType="Drop" dropStyle="combo" dx="16" fmlaLink="'Verwerken ventilatie'!$AJ$14" fmlaRange="'Verwerken ventilatie'!$A$68:$A$72" val="0"/>
</file>

<file path=xl/ctrlProps/ctrlProp634.xml><?xml version="1.0" encoding="utf-8"?>
<formControlPr xmlns="http://schemas.microsoft.com/office/spreadsheetml/2009/9/main" objectType="Drop" dropStyle="combo" dx="16" fmlaLink="'Verwerken ventilatie'!$AJ$15" fmlaRange="'Verwerken ventilatie'!$A$68:$A$72" val="0"/>
</file>

<file path=xl/ctrlProps/ctrlProp635.xml><?xml version="1.0" encoding="utf-8"?>
<formControlPr xmlns="http://schemas.microsoft.com/office/spreadsheetml/2009/9/main" objectType="Drop" dropStyle="combo" dx="16" fmlaLink="'Verwerken ventilatie'!$AJ$16" fmlaRange="'Verwerken ventilatie'!$A$68:$A$72" val="0"/>
</file>

<file path=xl/ctrlProps/ctrlProp636.xml><?xml version="1.0" encoding="utf-8"?>
<formControlPr xmlns="http://schemas.microsoft.com/office/spreadsheetml/2009/9/main" objectType="Drop" dropStyle="combo" dx="16" fmlaLink="'Verwerken ventilatie'!$AJ$17" fmlaRange="'Verwerken ventilatie'!$A$68:$A$72" val="0"/>
</file>

<file path=xl/ctrlProps/ctrlProp637.xml><?xml version="1.0" encoding="utf-8"?>
<formControlPr xmlns="http://schemas.microsoft.com/office/spreadsheetml/2009/9/main" objectType="Drop" dropStyle="combo" dx="16" fmlaLink="'Verwerken ventilatie'!$AJ$18" fmlaRange="'Verwerken ventilatie'!$A$68:$A$72" val="0"/>
</file>

<file path=xl/ctrlProps/ctrlProp638.xml><?xml version="1.0" encoding="utf-8"?>
<formControlPr xmlns="http://schemas.microsoft.com/office/spreadsheetml/2009/9/main" objectType="Drop" dropStyle="combo" dx="16" fmlaLink="'Verwerken ventilatie'!$AJ$19" fmlaRange="'Verwerken ventilatie'!$A$68:$A$72" val="0"/>
</file>

<file path=xl/ctrlProps/ctrlProp639.xml><?xml version="1.0" encoding="utf-8"?>
<formControlPr xmlns="http://schemas.microsoft.com/office/spreadsheetml/2009/9/main" objectType="Drop" dropStyle="combo" dx="16" fmlaLink="'Verwerken ventilatie'!$AK$12" fmlaRange="'Verwerken ventilatie'!$D$68:$D$73" val="0"/>
</file>

<file path=xl/ctrlProps/ctrlProp64.xml><?xml version="1.0" encoding="utf-8"?>
<formControlPr xmlns="http://schemas.microsoft.com/office/spreadsheetml/2009/9/main" objectType="Drop" dropStyle="combo" dx="16" fmlaLink="'Verwerking Bouwdelen'!$A$22" fmlaRange="'Verwerking Bouwdelen'!$E$59:$E$63" val="0"/>
</file>

<file path=xl/ctrlProps/ctrlProp640.xml><?xml version="1.0" encoding="utf-8"?>
<formControlPr xmlns="http://schemas.microsoft.com/office/spreadsheetml/2009/9/main" objectType="Drop" dropStyle="combo" dx="16" fmlaLink="'Verwerken ventilatie'!$AK$13" fmlaRange="'Verwerken ventilatie'!$D$68:$D$73" val="0"/>
</file>

<file path=xl/ctrlProps/ctrlProp641.xml><?xml version="1.0" encoding="utf-8"?>
<formControlPr xmlns="http://schemas.microsoft.com/office/spreadsheetml/2009/9/main" objectType="Drop" dropStyle="combo" dx="16" fmlaLink="'Verwerken ventilatie'!$AK$14" fmlaRange="'Verwerken ventilatie'!$D$68:$D$73" val="0"/>
</file>

<file path=xl/ctrlProps/ctrlProp642.xml><?xml version="1.0" encoding="utf-8"?>
<formControlPr xmlns="http://schemas.microsoft.com/office/spreadsheetml/2009/9/main" objectType="Drop" dropStyle="combo" dx="16" fmlaLink="'Verwerken ventilatie'!$AK$15" fmlaRange="'Verwerken ventilatie'!$D$68:$D$73" val="0"/>
</file>

<file path=xl/ctrlProps/ctrlProp643.xml><?xml version="1.0" encoding="utf-8"?>
<formControlPr xmlns="http://schemas.microsoft.com/office/spreadsheetml/2009/9/main" objectType="Drop" dropStyle="combo" dx="16" fmlaLink="'Verwerken ventilatie'!$AK$16" fmlaRange="'Verwerken ventilatie'!$D$68:$D$73" val="0"/>
</file>

<file path=xl/ctrlProps/ctrlProp644.xml><?xml version="1.0" encoding="utf-8"?>
<formControlPr xmlns="http://schemas.microsoft.com/office/spreadsheetml/2009/9/main" objectType="Drop" dropStyle="combo" dx="16" fmlaLink="'Verwerken ventilatie'!$AK$17" fmlaRange="'Verwerken ventilatie'!$D$68:$D$73" val="0"/>
</file>

<file path=xl/ctrlProps/ctrlProp645.xml><?xml version="1.0" encoding="utf-8"?>
<formControlPr xmlns="http://schemas.microsoft.com/office/spreadsheetml/2009/9/main" objectType="Drop" dropStyle="combo" dx="16" fmlaLink="'Verwerken ventilatie'!$AK$18" fmlaRange="'Verwerken ventilatie'!$D$68:$D$73" val="0"/>
</file>

<file path=xl/ctrlProps/ctrlProp646.xml><?xml version="1.0" encoding="utf-8"?>
<formControlPr xmlns="http://schemas.microsoft.com/office/spreadsheetml/2009/9/main" objectType="Drop" dropStyle="combo" dx="16" fmlaLink="'Verwerken ventilatie'!$AK$19" fmlaRange="'Verwerken ventilatie'!$D$68:$D$73" val="0"/>
</file>

<file path=xl/ctrlProps/ctrlProp647.xml><?xml version="1.0" encoding="utf-8"?>
<formControlPr xmlns="http://schemas.microsoft.com/office/spreadsheetml/2009/9/main" objectType="Drop" dropStyle="combo" dx="16" fmlaLink="'Verwerken ventilatie'!$AP$9" fmlaRange="'Verwerken ventilatie'!$I$68:$I$72" val="0"/>
</file>

<file path=xl/ctrlProps/ctrlProp648.xml><?xml version="1.0" encoding="utf-8"?>
<formControlPr xmlns="http://schemas.microsoft.com/office/spreadsheetml/2009/9/main" objectType="Drop" dropStyle="combo" dx="16" fmlaLink="'Verwerken ventilatie'!$AP$10" fmlaRange="'Verwerken ventilatie'!$I$68:$I$72" val="0"/>
</file>

<file path=xl/ctrlProps/ctrlProp649.xml><?xml version="1.0" encoding="utf-8"?>
<formControlPr xmlns="http://schemas.microsoft.com/office/spreadsheetml/2009/9/main" objectType="Drop" dropStyle="combo" dx="16" fmlaLink="'Verwerken ventilatie'!$AP$11" fmlaRange="'Verwerken ventilatie'!$I$68:$I$72" val="0"/>
</file>

<file path=xl/ctrlProps/ctrlProp65.xml><?xml version="1.0" encoding="utf-8"?>
<formControlPr xmlns="http://schemas.microsoft.com/office/spreadsheetml/2009/9/main" objectType="Drop" dropStyle="combo" dx="16" fmlaLink="'Verwerking Bouwdelen'!$A$23" fmlaRange="'Verwerking Bouwdelen'!$E$59:$E$63" val="0"/>
</file>

<file path=xl/ctrlProps/ctrlProp650.xml><?xml version="1.0" encoding="utf-8"?>
<formControlPr xmlns="http://schemas.microsoft.com/office/spreadsheetml/2009/9/main" objectType="Drop" dropStyle="combo" dx="16" fmlaLink="'Verwerken ventilatie'!$AP$12" fmlaRange="'Verwerken ventilatie'!$I$68:$I$72" val="0"/>
</file>

<file path=xl/ctrlProps/ctrlProp651.xml><?xml version="1.0" encoding="utf-8"?>
<formControlPr xmlns="http://schemas.microsoft.com/office/spreadsheetml/2009/9/main" objectType="Drop" dropStyle="combo" dx="16" fmlaLink="'Verwerken ventilatie'!$AP$13" fmlaRange="'Verwerken ventilatie'!$I$68:$I$72" val="0"/>
</file>

<file path=xl/ctrlProps/ctrlProp652.xml><?xml version="1.0" encoding="utf-8"?>
<formControlPr xmlns="http://schemas.microsoft.com/office/spreadsheetml/2009/9/main" objectType="Drop" dropStyle="combo" dx="16" fmlaLink="'Verwerken ventilatie'!$AP$14" fmlaRange="'Verwerken ventilatie'!$I$68:$I$72" val="0"/>
</file>

<file path=xl/ctrlProps/ctrlProp653.xml><?xml version="1.0" encoding="utf-8"?>
<formControlPr xmlns="http://schemas.microsoft.com/office/spreadsheetml/2009/9/main" objectType="Drop" dropStyle="combo" dx="16" fmlaLink="'Verwerken ventilatie'!$AP$15" fmlaRange="'Verwerken ventilatie'!$I$68:$I$72" val="0"/>
</file>

<file path=xl/ctrlProps/ctrlProp654.xml><?xml version="1.0" encoding="utf-8"?>
<formControlPr xmlns="http://schemas.microsoft.com/office/spreadsheetml/2009/9/main" objectType="Drop" dropStyle="combo" dx="16" fmlaLink="'Verwerken ventilatie'!$AP$16" fmlaRange="'Verwerken ventilatie'!$I$68:$I$72" val="0"/>
</file>

<file path=xl/ctrlProps/ctrlProp655.xml><?xml version="1.0" encoding="utf-8"?>
<formControlPr xmlns="http://schemas.microsoft.com/office/spreadsheetml/2009/9/main" objectType="Drop" dropStyle="combo" dx="16" fmlaLink="'Verwerken ventilatie'!$AP$17" fmlaRange="'Verwerken ventilatie'!$I$68:$I$72" val="0"/>
</file>

<file path=xl/ctrlProps/ctrlProp656.xml><?xml version="1.0" encoding="utf-8"?>
<formControlPr xmlns="http://schemas.microsoft.com/office/spreadsheetml/2009/9/main" objectType="Drop" dropStyle="combo" dx="16" fmlaLink="'Verwerken ventilatie'!$AP$18" fmlaRange="'Verwerken ventilatie'!$I$68:$I$72" val="0"/>
</file>

<file path=xl/ctrlProps/ctrlProp657.xml><?xml version="1.0" encoding="utf-8"?>
<formControlPr xmlns="http://schemas.microsoft.com/office/spreadsheetml/2009/9/main" objectType="Drop" dropStyle="combo" dx="16" fmlaLink="'Verwerken ventilatie'!$AP$19" fmlaRange="'Verwerken ventilatie'!$I$68:$I$72" val="0"/>
</file>

<file path=xl/ctrlProps/ctrlProp658.xml><?xml version="1.0" encoding="utf-8"?>
<formControlPr xmlns="http://schemas.microsoft.com/office/spreadsheetml/2009/9/main" objectType="Drop" dropStyle="combo" dx="16" fmlaLink="'Verwerken ventilatie'!$AN$9" fmlaRange="'Verwerken ventilatie'!$F$68:$F$73" val="0"/>
</file>

<file path=xl/ctrlProps/ctrlProp659.xml><?xml version="1.0" encoding="utf-8"?>
<formControlPr xmlns="http://schemas.microsoft.com/office/spreadsheetml/2009/9/main" objectType="Drop" dropStyle="combo" dx="16" fmlaLink="'Verwerken ventilatie'!$AN$10" fmlaRange="'Verwerken ventilatie'!$F$68:$F$73" val="0"/>
</file>

<file path=xl/ctrlProps/ctrlProp66.xml><?xml version="1.0" encoding="utf-8"?>
<formControlPr xmlns="http://schemas.microsoft.com/office/spreadsheetml/2009/9/main" objectType="Drop" dropStyle="combo" dx="16" fmlaLink="'Verwerking Bouwdelen'!$A$44" fmlaRange="'Verwerking Bouwdelen'!$E$59:$E$63" val="0"/>
</file>

<file path=xl/ctrlProps/ctrlProp660.xml><?xml version="1.0" encoding="utf-8"?>
<formControlPr xmlns="http://schemas.microsoft.com/office/spreadsheetml/2009/9/main" objectType="Drop" dropStyle="combo" dx="16" fmlaLink="'Verwerken ventilatie'!$AN$11" fmlaRange="'Verwerken ventilatie'!$F$68:$F$73" val="0"/>
</file>

<file path=xl/ctrlProps/ctrlProp661.xml><?xml version="1.0" encoding="utf-8"?>
<formControlPr xmlns="http://schemas.microsoft.com/office/spreadsheetml/2009/9/main" objectType="Drop" dropStyle="combo" dx="16" fmlaLink="'Verwerken ventilatie'!$AN$12" fmlaRange="'Verwerken ventilatie'!$F$68:$F$73" val="0"/>
</file>

<file path=xl/ctrlProps/ctrlProp662.xml><?xml version="1.0" encoding="utf-8"?>
<formControlPr xmlns="http://schemas.microsoft.com/office/spreadsheetml/2009/9/main" objectType="Drop" dropStyle="combo" dx="16" fmlaLink="'Verwerken ventilatie'!$AN$13" fmlaRange="'Verwerken ventilatie'!$F$68:$F$73" val="0"/>
</file>

<file path=xl/ctrlProps/ctrlProp663.xml><?xml version="1.0" encoding="utf-8"?>
<formControlPr xmlns="http://schemas.microsoft.com/office/spreadsheetml/2009/9/main" objectType="Drop" dropStyle="combo" dx="16" fmlaLink="'Verwerken ventilatie'!$AN$14" fmlaRange="'Verwerken ventilatie'!$F$68:$F$73" val="0"/>
</file>

<file path=xl/ctrlProps/ctrlProp664.xml><?xml version="1.0" encoding="utf-8"?>
<formControlPr xmlns="http://schemas.microsoft.com/office/spreadsheetml/2009/9/main" objectType="Drop" dropStyle="combo" dx="16" fmlaLink="'Verwerken ventilatie'!$AN$15" fmlaRange="'Verwerken ventilatie'!$F$68:$F$73" val="0"/>
</file>

<file path=xl/ctrlProps/ctrlProp665.xml><?xml version="1.0" encoding="utf-8"?>
<formControlPr xmlns="http://schemas.microsoft.com/office/spreadsheetml/2009/9/main" objectType="Drop" dropStyle="combo" dx="16" fmlaLink="'Verwerken ventilatie'!$AN$16" fmlaRange="'Verwerken ventilatie'!$F$68:$F$73" val="0"/>
</file>

<file path=xl/ctrlProps/ctrlProp666.xml><?xml version="1.0" encoding="utf-8"?>
<formControlPr xmlns="http://schemas.microsoft.com/office/spreadsheetml/2009/9/main" objectType="Drop" dropStyle="combo" dx="16" fmlaLink="'Verwerken ventilatie'!$AN$17" fmlaRange="'Verwerken ventilatie'!$F$68:$F$73" val="0"/>
</file>

<file path=xl/ctrlProps/ctrlProp667.xml><?xml version="1.0" encoding="utf-8"?>
<formControlPr xmlns="http://schemas.microsoft.com/office/spreadsheetml/2009/9/main" objectType="Drop" dropStyle="combo" dx="16" fmlaLink="'Verwerken ventilatie'!$AN$18" fmlaRange="'Verwerken ventilatie'!$F$68:$F$73" val="0"/>
</file>

<file path=xl/ctrlProps/ctrlProp668.xml><?xml version="1.0" encoding="utf-8"?>
<formControlPr xmlns="http://schemas.microsoft.com/office/spreadsheetml/2009/9/main" objectType="Drop" dropStyle="combo" dx="16" fmlaLink="'Verwerken ventilatie'!$AN$19" fmlaRange="'Verwerken ventilatie'!$F$68:$F$73" val="0"/>
</file>

<file path=xl/ctrlProps/ctrlProp669.xml><?xml version="1.0" encoding="utf-8"?>
<formControlPr xmlns="http://schemas.microsoft.com/office/spreadsheetml/2009/9/main" objectType="Drop" dropStyle="combo" dx="16" fmlaLink="'Verwerken ventilatie'!$AL$8" fmlaRange="'Verwerken ventilatie'!$B$68:$B$72" val="0"/>
</file>

<file path=xl/ctrlProps/ctrlProp67.xml><?xml version="1.0" encoding="utf-8"?>
<formControlPr xmlns="http://schemas.microsoft.com/office/spreadsheetml/2009/9/main" objectType="Drop" dropStyle="combo" dx="16" fmlaLink="'Verwerking Bouwdelen'!$C$4" fmlaRange="'Verwerking Bouwdelen'!$I$59:$I$64" val="0"/>
</file>

<file path=xl/ctrlProps/ctrlProp670.xml><?xml version="1.0" encoding="utf-8"?>
<formControlPr xmlns="http://schemas.microsoft.com/office/spreadsheetml/2009/9/main" objectType="Drop" dropStyle="combo" dx="16" fmlaLink="'Verwerken ventilatie'!$AL$9" fmlaRange="'Verwerken ventilatie'!$B$68:$B$72" val="0"/>
</file>

<file path=xl/ctrlProps/ctrlProp671.xml><?xml version="1.0" encoding="utf-8"?>
<formControlPr xmlns="http://schemas.microsoft.com/office/spreadsheetml/2009/9/main" objectType="Drop" dropStyle="combo" dx="16" fmlaLink="'Verwerken ventilatie'!$AL$10" fmlaRange="'Verwerken ventilatie'!$B$68:$B$72" val="0"/>
</file>

<file path=xl/ctrlProps/ctrlProp672.xml><?xml version="1.0" encoding="utf-8"?>
<formControlPr xmlns="http://schemas.microsoft.com/office/spreadsheetml/2009/9/main" objectType="Drop" dropStyle="combo" dx="16" fmlaLink="'Verwerken ventilatie'!$AL$11" fmlaRange="'Verwerken ventilatie'!$B$68:$B$72" val="0"/>
</file>

<file path=xl/ctrlProps/ctrlProp673.xml><?xml version="1.0" encoding="utf-8"?>
<formControlPr xmlns="http://schemas.microsoft.com/office/spreadsheetml/2009/9/main" objectType="Drop" dropStyle="combo" dx="16" fmlaLink="'Verwerken ventilatie'!$AL$12" fmlaRange="'Verwerken ventilatie'!$B$68:$B$72" val="0"/>
</file>

<file path=xl/ctrlProps/ctrlProp674.xml><?xml version="1.0" encoding="utf-8"?>
<formControlPr xmlns="http://schemas.microsoft.com/office/spreadsheetml/2009/9/main" objectType="Drop" dropStyle="combo" dx="16" fmlaLink="'Verwerken ventilatie'!$AL$13" fmlaRange="'Verwerken ventilatie'!$B$68:$B$72" val="0"/>
</file>

<file path=xl/ctrlProps/ctrlProp675.xml><?xml version="1.0" encoding="utf-8"?>
<formControlPr xmlns="http://schemas.microsoft.com/office/spreadsheetml/2009/9/main" objectType="Drop" dropStyle="combo" dx="16" fmlaLink="'Verwerken ventilatie'!$AL$14" fmlaRange="'Verwerken ventilatie'!$B$68:$B$72" val="0"/>
</file>

<file path=xl/ctrlProps/ctrlProp676.xml><?xml version="1.0" encoding="utf-8"?>
<formControlPr xmlns="http://schemas.microsoft.com/office/spreadsheetml/2009/9/main" objectType="Drop" dropStyle="combo" dx="16" fmlaLink="'Verwerken ventilatie'!$AL$15" fmlaRange="'Verwerken ventilatie'!$B$68:$B$72" val="0"/>
</file>

<file path=xl/ctrlProps/ctrlProp677.xml><?xml version="1.0" encoding="utf-8"?>
<formControlPr xmlns="http://schemas.microsoft.com/office/spreadsheetml/2009/9/main" objectType="Drop" dropStyle="combo" dx="16" fmlaLink="'Verwerken ventilatie'!$AL$16" fmlaRange="'Verwerken ventilatie'!$B$68:$B$72" val="0"/>
</file>

<file path=xl/ctrlProps/ctrlProp678.xml><?xml version="1.0" encoding="utf-8"?>
<formControlPr xmlns="http://schemas.microsoft.com/office/spreadsheetml/2009/9/main" objectType="Drop" dropStyle="combo" dx="16" fmlaLink="'Verwerken ventilatie'!$AL$17" fmlaRange="'Verwerken ventilatie'!$B$68:$B$72" val="0"/>
</file>

<file path=xl/ctrlProps/ctrlProp679.xml><?xml version="1.0" encoding="utf-8"?>
<formControlPr xmlns="http://schemas.microsoft.com/office/spreadsheetml/2009/9/main" objectType="Drop" dropStyle="combo" dx="16" fmlaLink="'Verwerken ventilatie'!$AL$18" fmlaRange="'Verwerken ventilatie'!$B$68:$B$72" val="0"/>
</file>

<file path=xl/ctrlProps/ctrlProp68.xml><?xml version="1.0" encoding="utf-8"?>
<formControlPr xmlns="http://schemas.microsoft.com/office/spreadsheetml/2009/9/main" objectType="Drop" dropStyle="combo" dx="16" fmlaLink="'Verwerking Bouwdelen'!$C$5" fmlaRange="'Verwerking Bouwdelen'!$I$59:$I$64" val="0"/>
</file>

<file path=xl/ctrlProps/ctrlProp680.xml><?xml version="1.0" encoding="utf-8"?>
<formControlPr xmlns="http://schemas.microsoft.com/office/spreadsheetml/2009/9/main" objectType="Drop" dropStyle="combo" dx="16" fmlaLink="'Verwerken ventilatie'!$AL$19" fmlaRange="'Verwerken ventilatie'!$B$68:$B$72" val="0"/>
</file>

<file path=xl/ctrlProps/ctrlProp681.xml><?xml version="1.0" encoding="utf-8"?>
<formControlPr xmlns="http://schemas.microsoft.com/office/spreadsheetml/2009/9/main" objectType="Drop" dropStyle="combo" dx="16" fmlaLink="'Verwerken ventilatie'!$BS$8" fmlaRange="'Verwerken ventilatie'!$K$68:$K$70" val="0"/>
</file>

<file path=xl/ctrlProps/ctrlProp682.xml><?xml version="1.0" encoding="utf-8"?>
<formControlPr xmlns="http://schemas.microsoft.com/office/spreadsheetml/2009/9/main" objectType="Drop" dropStyle="combo" dx="16" fmlaLink="'Verwerken ventilatie'!$BS$9" fmlaRange="'Verwerken ventilatie'!$K$68:$K$70" val="0"/>
</file>

<file path=xl/ctrlProps/ctrlProp683.xml><?xml version="1.0" encoding="utf-8"?>
<formControlPr xmlns="http://schemas.microsoft.com/office/spreadsheetml/2009/9/main" objectType="Drop" dropStyle="combo" dx="16" fmlaLink="'Verwerken ventilatie'!$BS$10" fmlaRange="'Verwerken ventilatie'!$K$68:$K$70" val="0"/>
</file>

<file path=xl/ctrlProps/ctrlProp684.xml><?xml version="1.0" encoding="utf-8"?>
<formControlPr xmlns="http://schemas.microsoft.com/office/spreadsheetml/2009/9/main" objectType="Drop" dropStyle="combo" dx="16" fmlaLink="'Verwerken ventilatie'!$BS$11" fmlaRange="'Verwerken ventilatie'!$K$68:$K$70" val="0"/>
</file>

<file path=xl/ctrlProps/ctrlProp685.xml><?xml version="1.0" encoding="utf-8"?>
<formControlPr xmlns="http://schemas.microsoft.com/office/spreadsheetml/2009/9/main" objectType="Drop" dropStyle="combo" dx="16" fmlaLink="'Verwerken ventilatie'!$BS$12" fmlaRange="'Verwerken ventilatie'!$K$68:$K$70" val="0"/>
</file>

<file path=xl/ctrlProps/ctrlProp686.xml><?xml version="1.0" encoding="utf-8"?>
<formControlPr xmlns="http://schemas.microsoft.com/office/spreadsheetml/2009/9/main" objectType="Drop" dropStyle="combo" dx="16" fmlaLink="'Verwerken ventilatie'!$BS$13" fmlaRange="'Verwerken ventilatie'!$K$68:$K$70" val="0"/>
</file>

<file path=xl/ctrlProps/ctrlProp687.xml><?xml version="1.0" encoding="utf-8"?>
<formControlPr xmlns="http://schemas.microsoft.com/office/spreadsheetml/2009/9/main" objectType="Drop" dropStyle="combo" dx="16" fmlaLink="'Verwerken ventilatie'!$BS$14" fmlaRange="'Verwerken ventilatie'!$K$68:$K$70" val="0"/>
</file>

<file path=xl/ctrlProps/ctrlProp688.xml><?xml version="1.0" encoding="utf-8"?>
<formControlPr xmlns="http://schemas.microsoft.com/office/spreadsheetml/2009/9/main" objectType="Drop" dropStyle="combo" dx="16" fmlaLink="'Verwerken ventilatie'!$BS$15" fmlaRange="'Verwerken ventilatie'!$K$68:$K$70" val="0"/>
</file>

<file path=xl/ctrlProps/ctrlProp689.xml><?xml version="1.0" encoding="utf-8"?>
<formControlPr xmlns="http://schemas.microsoft.com/office/spreadsheetml/2009/9/main" objectType="Drop" dropStyle="combo" dx="16" fmlaLink="'Verwerken ventilatie'!$BS$16" fmlaRange="'Verwerken ventilatie'!$K$68:$K$70" val="0"/>
</file>

<file path=xl/ctrlProps/ctrlProp69.xml><?xml version="1.0" encoding="utf-8"?>
<formControlPr xmlns="http://schemas.microsoft.com/office/spreadsheetml/2009/9/main" objectType="Drop" dropStyle="combo" dx="16" fmlaLink="'Verwerking Bouwdelen'!$C$6" fmlaRange="'Verwerking Bouwdelen'!$I$59:$I$64" val="0"/>
</file>

<file path=xl/ctrlProps/ctrlProp690.xml><?xml version="1.0" encoding="utf-8"?>
<formControlPr xmlns="http://schemas.microsoft.com/office/spreadsheetml/2009/9/main" objectType="Drop" dropStyle="combo" dx="16" fmlaLink="'Verwerken ventilatie'!$BS$17" fmlaRange="'Verwerken ventilatie'!$K$68:$K$70" val="0"/>
</file>

<file path=xl/ctrlProps/ctrlProp691.xml><?xml version="1.0" encoding="utf-8"?>
<formControlPr xmlns="http://schemas.microsoft.com/office/spreadsheetml/2009/9/main" objectType="Drop" dropStyle="combo" dx="16" fmlaLink="'Verwerken ventilatie'!$BS$18" fmlaRange="'Verwerken ventilatie'!$K$68:$K$70" val="0"/>
</file>

<file path=xl/ctrlProps/ctrlProp692.xml><?xml version="1.0" encoding="utf-8"?>
<formControlPr xmlns="http://schemas.microsoft.com/office/spreadsheetml/2009/9/main" objectType="Drop" dropStyle="combo" dx="16" fmlaLink="'Verwerken ventilatie'!$BS$19" fmlaRange="'Verwerken ventilatie'!$K$68:$K$70" val="0"/>
</file>

<file path=xl/ctrlProps/ctrlProp693.xml><?xml version="1.0" encoding="utf-8"?>
<formControlPr xmlns="http://schemas.microsoft.com/office/spreadsheetml/2009/9/main" objectType="Drop" dropStyle="combo" dx="16" fmlaLink="'Verwerken verlichting'!$J$5" fmlaRange="'Verwerken verlichting'!$H$31:$H$33" val="0"/>
</file>

<file path=xl/ctrlProps/ctrlProp694.xml><?xml version="1.0" encoding="utf-8"?>
<formControlPr xmlns="http://schemas.microsoft.com/office/spreadsheetml/2009/9/main" objectType="Drop" dropStyle="combo" dx="16" fmlaLink="'Verwerken verlichting'!$D$5" fmlaRange="'Verwerken verlichting'!$F$31:$F$53" val="0"/>
</file>

<file path=xl/ctrlProps/ctrlProp695.xml><?xml version="1.0" encoding="utf-8"?>
<formControlPr xmlns="http://schemas.microsoft.com/office/spreadsheetml/2009/9/main" objectType="Drop" dropStyle="combo" dx="16" fmlaLink="'Verwerken verlichting'!$C$5" fmlaRange="'Verwerken verlichting'!$B$31:$B$36" val="0"/>
</file>

<file path=xl/ctrlProps/ctrlProp696.xml><?xml version="1.0" encoding="utf-8"?>
<formControlPr xmlns="http://schemas.microsoft.com/office/spreadsheetml/2009/9/main" objectType="Drop" dropStyle="combo" dx="16" fmlaLink="'Verwerken verlichting'!$B$5" fmlaRange="'Verwerken Verwarming en Tapwate'!$A$2:$A$6" val="0"/>
</file>

<file path=xl/ctrlProps/ctrlProp697.xml><?xml version="1.0" encoding="utf-8"?>
<formControlPr xmlns="http://schemas.microsoft.com/office/spreadsheetml/2009/9/main" objectType="Drop" dropStyle="combo" dx="16" fmlaLink="'Verwerken verlichting'!$Z$5" fmlaRange="'Verwerken verlichting'!$F$31:$F$53" val="0"/>
</file>

<file path=xl/ctrlProps/ctrlProp698.xml><?xml version="1.0" encoding="utf-8"?>
<formControlPr xmlns="http://schemas.microsoft.com/office/spreadsheetml/2009/9/main" objectType="Drop" dropStyle="combo" dx="16" fmlaLink="'Verwerken verlichting'!$AF$5" fmlaRange="'Verwerken verlichting'!$H$31:$H$33" val="0"/>
</file>

<file path=xl/ctrlProps/ctrlProp699.xml><?xml version="1.0" encoding="utf-8"?>
<formControlPr xmlns="http://schemas.microsoft.com/office/spreadsheetml/2009/9/main" objectType="Drop" dropStyle="combo" dx="16" fmlaLink="'Verwerken verlichting'!$E$5" fmlaRange="'Verwerken verlichting'!$J$31:$J$33" val="0"/>
</file>

<file path=xl/ctrlProps/ctrlProp7.xml><?xml version="1.0" encoding="utf-8"?>
<formControlPr xmlns="http://schemas.microsoft.com/office/spreadsheetml/2009/9/main" objectType="Drop" dropStyle="combo" dx="16" fmlaLink="'Verwerken Algemeen'!$B$31" fmlaRange="'Verwerken Algemeen'!$E$24:$E$26" val="0"/>
</file>

<file path=xl/ctrlProps/ctrlProp70.xml><?xml version="1.0" encoding="utf-8"?>
<formControlPr xmlns="http://schemas.microsoft.com/office/spreadsheetml/2009/9/main" objectType="Drop" dropStyle="combo" dx="16" fmlaLink="'Verwerking Bouwdelen'!$C$7" fmlaRange="'Verwerking Bouwdelen'!$I$59:$I$64" val="0"/>
</file>

<file path=xl/ctrlProps/ctrlProp700.xml><?xml version="1.0" encoding="utf-8"?>
<formControlPr xmlns="http://schemas.microsoft.com/office/spreadsheetml/2009/9/main" objectType="Drop" dropStyle="combo" dx="16" fmlaLink="'Verwerken verlichting'!$AA$5" fmlaRange="'Verwerken verlichting'!$J$31:$J$33" val="0"/>
</file>

<file path=xl/ctrlProps/ctrlProp701.xml><?xml version="1.0" encoding="utf-8"?>
<formControlPr xmlns="http://schemas.microsoft.com/office/spreadsheetml/2009/9/main" objectType="Drop" dropStyle="combo" dx="16" fmlaLink="'Verwerken verlichting'!$C$6" fmlaRange="'Verwerken verlichting'!$B$31:$B$36" val="0"/>
</file>

<file path=xl/ctrlProps/ctrlProp702.xml><?xml version="1.0" encoding="utf-8"?>
<formControlPr xmlns="http://schemas.microsoft.com/office/spreadsheetml/2009/9/main" objectType="Drop" dropStyle="combo" dx="16" fmlaLink="'Verwerken verlichting'!$C$7" fmlaRange="'Verwerken verlichting'!$B$31:$B$36" val="0"/>
</file>

<file path=xl/ctrlProps/ctrlProp703.xml><?xml version="1.0" encoding="utf-8"?>
<formControlPr xmlns="http://schemas.microsoft.com/office/spreadsheetml/2009/9/main" objectType="Drop" dropStyle="combo" dx="16" fmlaLink="'Verwerken verlichting'!$C$8" fmlaRange="'Verwerken verlichting'!$B$31:$B$36" val="0"/>
</file>

<file path=xl/ctrlProps/ctrlProp704.xml><?xml version="1.0" encoding="utf-8"?>
<formControlPr xmlns="http://schemas.microsoft.com/office/spreadsheetml/2009/9/main" objectType="Drop" dropStyle="combo" dx="16" fmlaLink="'Verwerken verlichting'!$C$9" fmlaRange="'Verwerken verlichting'!$B$31:$B$36" val="0"/>
</file>

<file path=xl/ctrlProps/ctrlProp705.xml><?xml version="1.0" encoding="utf-8"?>
<formControlPr xmlns="http://schemas.microsoft.com/office/spreadsheetml/2009/9/main" objectType="Drop" dropStyle="combo" dx="16" fmlaLink="'Verwerken verlichting'!$C$10" fmlaRange="'Verwerken verlichting'!$B$31:$B$36" val="0"/>
</file>

<file path=xl/ctrlProps/ctrlProp706.xml><?xml version="1.0" encoding="utf-8"?>
<formControlPr xmlns="http://schemas.microsoft.com/office/spreadsheetml/2009/9/main" objectType="Drop" dropStyle="combo" dx="16" fmlaLink="'Verwerken verlichting'!$C$11" fmlaRange="'Verwerken verlichting'!$B$31:$B$36" val="0"/>
</file>

<file path=xl/ctrlProps/ctrlProp707.xml><?xml version="1.0" encoding="utf-8"?>
<formControlPr xmlns="http://schemas.microsoft.com/office/spreadsheetml/2009/9/main" objectType="Drop" dropStyle="combo" dx="16" fmlaLink="'Verwerken verlichting'!$C$12" fmlaRange="'Verwerken verlichting'!$B$31:$B$36" val="0"/>
</file>

<file path=xl/ctrlProps/ctrlProp708.xml><?xml version="1.0" encoding="utf-8"?>
<formControlPr xmlns="http://schemas.microsoft.com/office/spreadsheetml/2009/9/main" objectType="Drop" dropStyle="combo" dx="16" fmlaLink="'Verwerken verlichting'!$C$13" fmlaRange="'Verwerken verlichting'!$B$31:$B$36" val="0"/>
</file>

<file path=xl/ctrlProps/ctrlProp709.xml><?xml version="1.0" encoding="utf-8"?>
<formControlPr xmlns="http://schemas.microsoft.com/office/spreadsheetml/2009/9/main" objectType="Drop" dropStyle="combo" dx="16" fmlaLink="'Verwerken verlichting'!$C$14" fmlaRange="'Verwerken verlichting'!$B$31:$B$36" val="0"/>
</file>

<file path=xl/ctrlProps/ctrlProp71.xml><?xml version="1.0" encoding="utf-8"?>
<formControlPr xmlns="http://schemas.microsoft.com/office/spreadsheetml/2009/9/main" objectType="Drop" dropStyle="combo" dx="16" fmlaLink="'Verwerking Bouwdelen'!$C$8" fmlaRange="'Verwerking Bouwdelen'!$I$59:$I$64" val="0"/>
</file>

<file path=xl/ctrlProps/ctrlProp710.xml><?xml version="1.0" encoding="utf-8"?>
<formControlPr xmlns="http://schemas.microsoft.com/office/spreadsheetml/2009/9/main" objectType="Drop" dropStyle="combo" dx="16" fmlaLink="'Verwerken verlichting'!$C$15" fmlaRange="'Verwerken verlichting'!$B$31:$B$36" val="0"/>
</file>

<file path=xl/ctrlProps/ctrlProp711.xml><?xml version="1.0" encoding="utf-8"?>
<formControlPr xmlns="http://schemas.microsoft.com/office/spreadsheetml/2009/9/main" objectType="Drop" dropStyle="combo" dx="16" fmlaLink="'Verwerken verlichting'!$C$16" fmlaRange="'Verwerken verlichting'!$B$31:$B$36" val="0"/>
</file>

<file path=xl/ctrlProps/ctrlProp712.xml><?xml version="1.0" encoding="utf-8"?>
<formControlPr xmlns="http://schemas.microsoft.com/office/spreadsheetml/2009/9/main" objectType="Drop" dropStyle="combo" dx="16" fmlaLink="'Verwerken verlichting'!$C$17" fmlaRange="'Verwerken verlichting'!$B$31:$B$36" val="0"/>
</file>

<file path=xl/ctrlProps/ctrlProp713.xml><?xml version="1.0" encoding="utf-8"?>
<formControlPr xmlns="http://schemas.microsoft.com/office/spreadsheetml/2009/9/main" objectType="Drop" dropStyle="combo" dx="16" fmlaLink="'Verwerken verlichting'!$B$6" fmlaRange="'Verwerken Verwarming en Tapwate'!$A$2:$A$6" val="0"/>
</file>

<file path=xl/ctrlProps/ctrlProp714.xml><?xml version="1.0" encoding="utf-8"?>
<formControlPr xmlns="http://schemas.microsoft.com/office/spreadsheetml/2009/9/main" objectType="Drop" dropStyle="combo" dx="16" fmlaLink="'Verwerken verlichting'!$B$7" fmlaRange="'Verwerken Verwarming en Tapwate'!$A$2:$A$6" val="0"/>
</file>

<file path=xl/ctrlProps/ctrlProp715.xml><?xml version="1.0" encoding="utf-8"?>
<formControlPr xmlns="http://schemas.microsoft.com/office/spreadsheetml/2009/9/main" objectType="Drop" dropStyle="combo" dx="16" fmlaLink="'Verwerken verlichting'!$B$8" fmlaRange="'Verwerken Verwarming en Tapwate'!$A$2:$A$6" val="0"/>
</file>

<file path=xl/ctrlProps/ctrlProp716.xml><?xml version="1.0" encoding="utf-8"?>
<formControlPr xmlns="http://schemas.microsoft.com/office/spreadsheetml/2009/9/main" objectType="Drop" dropStyle="combo" dx="16" fmlaLink="'Verwerken verlichting'!$B$9" fmlaRange="'Verwerken Verwarming en Tapwate'!$A$2:$A$6" val="0"/>
</file>

<file path=xl/ctrlProps/ctrlProp717.xml><?xml version="1.0" encoding="utf-8"?>
<formControlPr xmlns="http://schemas.microsoft.com/office/spreadsheetml/2009/9/main" objectType="Drop" dropStyle="combo" dx="16" fmlaLink="'Verwerken verlichting'!$B$10" fmlaRange="'Verwerken Verwarming en Tapwate'!$A$2:$A$6" val="0"/>
</file>

<file path=xl/ctrlProps/ctrlProp718.xml><?xml version="1.0" encoding="utf-8"?>
<formControlPr xmlns="http://schemas.microsoft.com/office/spreadsheetml/2009/9/main" objectType="Drop" dropStyle="combo" dx="16" fmlaLink="'Verwerken verlichting'!$B$11" fmlaRange="'Verwerken Verwarming en Tapwate'!$A$2:$A$6" val="0"/>
</file>

<file path=xl/ctrlProps/ctrlProp719.xml><?xml version="1.0" encoding="utf-8"?>
<formControlPr xmlns="http://schemas.microsoft.com/office/spreadsheetml/2009/9/main" objectType="Drop" dropStyle="combo" dx="16" fmlaLink="'Verwerken verlichting'!$B$12" fmlaRange="'Verwerken Verwarming en Tapwate'!$A$2:$A$6" val="0"/>
</file>

<file path=xl/ctrlProps/ctrlProp72.xml><?xml version="1.0" encoding="utf-8"?>
<formControlPr xmlns="http://schemas.microsoft.com/office/spreadsheetml/2009/9/main" objectType="Drop" dropStyle="combo" dx="16" fmlaLink="'Verwerking Bouwdelen'!$C$9" fmlaRange="'Verwerking Bouwdelen'!$I$59:$I$64" val="0"/>
</file>

<file path=xl/ctrlProps/ctrlProp720.xml><?xml version="1.0" encoding="utf-8"?>
<formControlPr xmlns="http://schemas.microsoft.com/office/spreadsheetml/2009/9/main" objectType="Drop" dropStyle="combo" dx="16" fmlaLink="'Verwerken verlichting'!$B$13" fmlaRange="'Verwerken Verwarming en Tapwate'!$A$2:$A$6" val="0"/>
</file>

<file path=xl/ctrlProps/ctrlProp721.xml><?xml version="1.0" encoding="utf-8"?>
<formControlPr xmlns="http://schemas.microsoft.com/office/spreadsheetml/2009/9/main" objectType="Drop" dropStyle="combo" dx="16" fmlaLink="'Verwerken verlichting'!$B$14" fmlaRange="'Verwerken Verwarming en Tapwate'!$A$2:$A$6" val="0"/>
</file>

<file path=xl/ctrlProps/ctrlProp722.xml><?xml version="1.0" encoding="utf-8"?>
<formControlPr xmlns="http://schemas.microsoft.com/office/spreadsheetml/2009/9/main" objectType="Drop" dropStyle="combo" dx="16" fmlaLink="'Verwerken verlichting'!$B$15" fmlaRange="'Verwerken Verwarming en Tapwate'!$A$2:$A$6" val="0"/>
</file>

<file path=xl/ctrlProps/ctrlProp723.xml><?xml version="1.0" encoding="utf-8"?>
<formControlPr xmlns="http://schemas.microsoft.com/office/spreadsheetml/2009/9/main" objectType="Drop" dropStyle="combo" dx="16" fmlaLink="'Verwerken verlichting'!$B$16" fmlaRange="'Verwerken Verwarming en Tapwate'!$A$2:$A$6" val="0"/>
</file>

<file path=xl/ctrlProps/ctrlProp724.xml><?xml version="1.0" encoding="utf-8"?>
<formControlPr xmlns="http://schemas.microsoft.com/office/spreadsheetml/2009/9/main" objectType="Drop" dropStyle="combo" dx="16" fmlaLink="'Verwerken verlichting'!$B$17" fmlaRange="'Verwerken Verwarming en Tapwate'!$A$2:$A$6" val="0"/>
</file>

<file path=xl/ctrlProps/ctrlProp725.xml><?xml version="1.0" encoding="utf-8"?>
<formControlPr xmlns="http://schemas.microsoft.com/office/spreadsheetml/2009/9/main" objectType="Drop" dropStyle="combo" dx="16" fmlaLink="'Verwerken verlichting'!$B$18" fmlaRange="'Verwerken Verwarming en Tapwate'!$A$2:$A$6" val="0"/>
</file>

<file path=xl/ctrlProps/ctrlProp726.xml><?xml version="1.0" encoding="utf-8"?>
<formControlPr xmlns="http://schemas.microsoft.com/office/spreadsheetml/2009/9/main" objectType="Drop" dropStyle="combo" dx="16" fmlaLink="'Verwerken verlichting'!$B$19" fmlaRange="'Verwerken Verwarming en Tapwate'!$A$2:$A$6" val="0"/>
</file>

<file path=xl/ctrlProps/ctrlProp727.xml><?xml version="1.0" encoding="utf-8"?>
<formControlPr xmlns="http://schemas.microsoft.com/office/spreadsheetml/2009/9/main" objectType="Drop" dropStyle="combo" dx="16" fmlaLink="'Verwerken verlichting'!$B$20" fmlaRange="'Verwerken Verwarming en Tapwate'!$A$2:$A$6" val="0"/>
</file>

<file path=xl/ctrlProps/ctrlProp728.xml><?xml version="1.0" encoding="utf-8"?>
<formControlPr xmlns="http://schemas.microsoft.com/office/spreadsheetml/2009/9/main" objectType="Drop" dropStyle="combo" dx="16" fmlaLink="'Verwerken verlichting'!$B$22" fmlaRange="'Verwerken Verwarming en Tapwate'!$A$2:$A$6" val="0"/>
</file>

<file path=xl/ctrlProps/ctrlProp729.xml><?xml version="1.0" encoding="utf-8"?>
<formControlPr xmlns="http://schemas.microsoft.com/office/spreadsheetml/2009/9/main" objectType="Drop" dropStyle="combo" dx="16" fmlaLink="'Verwerken verlichting'!$B$21" fmlaRange="'Verwerken Verwarming en Tapwate'!$A$2:$A$6" val="0"/>
</file>

<file path=xl/ctrlProps/ctrlProp73.xml><?xml version="1.0" encoding="utf-8"?>
<formControlPr xmlns="http://schemas.microsoft.com/office/spreadsheetml/2009/9/main" objectType="Drop" dropStyle="combo" dx="16" fmlaLink="'Verwerking Bouwdelen'!$C$10" fmlaRange="'Verwerking Bouwdelen'!$I$59:$I$64" val="0"/>
</file>

<file path=xl/ctrlProps/ctrlProp730.xml><?xml version="1.0" encoding="utf-8"?>
<formControlPr xmlns="http://schemas.microsoft.com/office/spreadsheetml/2009/9/main" objectType="Drop" dropStyle="combo" dx="16" fmlaLink="'Verwerken verlichting'!$B$23" fmlaRange="'Verwerken Verwarming en Tapwate'!$A$2:$A$6" val="0"/>
</file>

<file path=xl/ctrlProps/ctrlProp731.xml><?xml version="1.0" encoding="utf-8"?>
<formControlPr xmlns="http://schemas.microsoft.com/office/spreadsheetml/2009/9/main" objectType="Drop" dropStyle="combo" dx="16" fmlaLink="'Verwerken verlichting'!$B$24" fmlaRange="'Verwerken Verwarming en Tapwate'!$A$2:$A$6" val="0"/>
</file>

<file path=xl/ctrlProps/ctrlProp732.xml><?xml version="1.0" encoding="utf-8"?>
<formControlPr xmlns="http://schemas.microsoft.com/office/spreadsheetml/2009/9/main" objectType="Drop" dropStyle="combo" dx="16" fmlaLink="'Verwerken verlichting'!$B$25" fmlaRange="'Verwerken Verwarming en Tapwate'!$A$2:$A$6" val="0"/>
</file>

<file path=xl/ctrlProps/ctrlProp733.xml><?xml version="1.0" encoding="utf-8"?>
<formControlPr xmlns="http://schemas.microsoft.com/office/spreadsheetml/2009/9/main" objectType="Drop" dropStyle="combo" dx="16" fmlaLink="'Verwerken verlichting'!$B$26" fmlaRange="'Verwerken Verwarming en Tapwate'!$A$2:$A$6" val="0"/>
</file>

<file path=xl/ctrlProps/ctrlProp734.xml><?xml version="1.0" encoding="utf-8"?>
<formControlPr xmlns="http://schemas.microsoft.com/office/spreadsheetml/2009/9/main" objectType="Drop" dropStyle="combo" dx="16" fmlaLink="'Verwerken verlichting'!$B$27" fmlaRange="'Verwerken Verwarming en Tapwate'!$A$2:$A$6" val="0"/>
</file>

<file path=xl/ctrlProps/ctrlProp735.xml><?xml version="1.0" encoding="utf-8"?>
<formControlPr xmlns="http://schemas.microsoft.com/office/spreadsheetml/2009/9/main" objectType="Drop" dropStyle="combo" dx="16" fmlaLink="'Verwerken verlichting'!$B$28" fmlaRange="'Verwerken Verwarming en Tapwate'!$A$2:$A$6" val="0"/>
</file>

<file path=xl/ctrlProps/ctrlProp736.xml><?xml version="1.0" encoding="utf-8"?>
<formControlPr xmlns="http://schemas.microsoft.com/office/spreadsheetml/2009/9/main" objectType="Drop" dropStyle="combo" dx="16" fmlaLink="'Verwerken verlichting'!$C$19" fmlaRange="'Verwerken verlichting'!$B$31:$B$36" val="0"/>
</file>

<file path=xl/ctrlProps/ctrlProp737.xml><?xml version="1.0" encoding="utf-8"?>
<formControlPr xmlns="http://schemas.microsoft.com/office/spreadsheetml/2009/9/main" objectType="Drop" dropStyle="combo" dx="16" fmlaLink="'Verwerken verlichting'!$C$18" fmlaRange="'Verwerken verlichting'!$B$31:$B$36" val="0"/>
</file>

<file path=xl/ctrlProps/ctrlProp738.xml><?xml version="1.0" encoding="utf-8"?>
<formControlPr xmlns="http://schemas.microsoft.com/office/spreadsheetml/2009/9/main" objectType="Drop" dropStyle="combo" dx="16" fmlaLink="'Verwerken verlichting'!$C$20" fmlaRange="'Verwerken verlichting'!$B$31:$B$36" val="0"/>
</file>

<file path=xl/ctrlProps/ctrlProp739.xml><?xml version="1.0" encoding="utf-8"?>
<formControlPr xmlns="http://schemas.microsoft.com/office/spreadsheetml/2009/9/main" objectType="Drop" dropStyle="combo" dx="16" fmlaLink="'Verwerken verlichting'!$C$21" fmlaRange="'Verwerken verlichting'!$B$31:$B$36" val="0"/>
</file>

<file path=xl/ctrlProps/ctrlProp74.xml><?xml version="1.0" encoding="utf-8"?>
<formControlPr xmlns="http://schemas.microsoft.com/office/spreadsheetml/2009/9/main" objectType="Drop" dropStyle="combo" dx="16" fmlaLink="'Verwerking Bouwdelen'!$C$11" fmlaRange="'Verwerking Bouwdelen'!$I$59:$I$64" val="0"/>
</file>

<file path=xl/ctrlProps/ctrlProp740.xml><?xml version="1.0" encoding="utf-8"?>
<formControlPr xmlns="http://schemas.microsoft.com/office/spreadsheetml/2009/9/main" objectType="Drop" dropStyle="combo" dx="16" fmlaLink="'Verwerken verlichting'!$C$22" fmlaRange="'Verwerken verlichting'!$B$31:$B$36" val="0"/>
</file>

<file path=xl/ctrlProps/ctrlProp741.xml><?xml version="1.0" encoding="utf-8"?>
<formControlPr xmlns="http://schemas.microsoft.com/office/spreadsheetml/2009/9/main" objectType="Drop" dropStyle="combo" dx="16" fmlaLink="'Verwerken verlichting'!$C$23" fmlaRange="'Verwerken verlichting'!$B$31:$B$36" val="0"/>
</file>

<file path=xl/ctrlProps/ctrlProp742.xml><?xml version="1.0" encoding="utf-8"?>
<formControlPr xmlns="http://schemas.microsoft.com/office/spreadsheetml/2009/9/main" objectType="Drop" dropStyle="combo" dx="16" fmlaLink="'Verwerken verlichting'!$C$25" fmlaRange="'Verwerken verlichting'!$B$31:$B$36" val="0"/>
</file>

<file path=xl/ctrlProps/ctrlProp743.xml><?xml version="1.0" encoding="utf-8"?>
<formControlPr xmlns="http://schemas.microsoft.com/office/spreadsheetml/2009/9/main" objectType="Drop" dropStyle="combo" dx="16" fmlaLink="'Verwerken verlichting'!$C$24" fmlaRange="'Verwerken verlichting'!$B$31:$B$36" val="0"/>
</file>

<file path=xl/ctrlProps/ctrlProp744.xml><?xml version="1.0" encoding="utf-8"?>
<formControlPr xmlns="http://schemas.microsoft.com/office/spreadsheetml/2009/9/main" objectType="Drop" dropStyle="combo" dx="16" fmlaLink="'Verwerken verlichting'!$C$26" fmlaRange="'Verwerken verlichting'!$B$31:$B$36" val="0"/>
</file>

<file path=xl/ctrlProps/ctrlProp745.xml><?xml version="1.0" encoding="utf-8"?>
<formControlPr xmlns="http://schemas.microsoft.com/office/spreadsheetml/2009/9/main" objectType="Drop" dropStyle="combo" dx="16" fmlaLink="'Verwerken verlichting'!$C$27" fmlaRange="'Verwerken verlichting'!$B$31:$B$36" val="0"/>
</file>

<file path=xl/ctrlProps/ctrlProp746.xml><?xml version="1.0" encoding="utf-8"?>
<formControlPr xmlns="http://schemas.microsoft.com/office/spreadsheetml/2009/9/main" objectType="Drop" dropStyle="combo" dx="16" fmlaLink="'Verwerken verlichting'!$C$28" fmlaRange="'Verwerken verlichting'!$B$31:$B$36" val="0"/>
</file>

<file path=xl/ctrlProps/ctrlProp747.xml><?xml version="1.0" encoding="utf-8"?>
<formControlPr xmlns="http://schemas.microsoft.com/office/spreadsheetml/2009/9/main" objectType="Drop" dropStyle="combo" dx="16" fmlaLink="'Verwerken verlichting'!$D$6" fmlaRange="'Verwerken verlichting'!$F$31:$F$53" val="0"/>
</file>

<file path=xl/ctrlProps/ctrlProp748.xml><?xml version="1.0" encoding="utf-8"?>
<formControlPr xmlns="http://schemas.microsoft.com/office/spreadsheetml/2009/9/main" objectType="Drop" dropStyle="combo" dx="16" fmlaLink="'Verwerken verlichting'!$D$7" fmlaRange="'Verwerken verlichting'!$F$31:$F$53" val="0"/>
</file>

<file path=xl/ctrlProps/ctrlProp749.xml><?xml version="1.0" encoding="utf-8"?>
<formControlPr xmlns="http://schemas.microsoft.com/office/spreadsheetml/2009/9/main" objectType="Drop" dropStyle="combo" dx="16" fmlaLink="'Verwerken verlichting'!$D$8" fmlaRange="'Verwerken verlichting'!$F$31:$F$53" val="0"/>
</file>

<file path=xl/ctrlProps/ctrlProp75.xml><?xml version="1.0" encoding="utf-8"?>
<formControlPr xmlns="http://schemas.microsoft.com/office/spreadsheetml/2009/9/main" objectType="Drop" dropStyle="combo" dx="16" fmlaLink="'Verwerking Bouwdelen'!$C$12" fmlaRange="'Verwerking Bouwdelen'!$I$59:$I$64" val="0"/>
</file>

<file path=xl/ctrlProps/ctrlProp750.xml><?xml version="1.0" encoding="utf-8"?>
<formControlPr xmlns="http://schemas.microsoft.com/office/spreadsheetml/2009/9/main" objectType="Drop" dropStyle="combo" dx="16" fmlaLink="'Verwerken verlichting'!$D$9" fmlaRange="'Verwerken verlichting'!$F$31:$F$53" val="0"/>
</file>

<file path=xl/ctrlProps/ctrlProp751.xml><?xml version="1.0" encoding="utf-8"?>
<formControlPr xmlns="http://schemas.microsoft.com/office/spreadsheetml/2009/9/main" objectType="Drop" dropStyle="combo" dx="16" fmlaLink="'Verwerken verlichting'!$D$10" fmlaRange="'Verwerken verlichting'!$F$31:$F$53" val="0"/>
</file>

<file path=xl/ctrlProps/ctrlProp752.xml><?xml version="1.0" encoding="utf-8"?>
<formControlPr xmlns="http://schemas.microsoft.com/office/spreadsheetml/2009/9/main" objectType="Drop" dropStyle="combo" dx="16" fmlaLink="'Verwerken verlichting'!$D$11" fmlaRange="'Verwerken verlichting'!$F$31:$F$53" val="0"/>
</file>

<file path=xl/ctrlProps/ctrlProp753.xml><?xml version="1.0" encoding="utf-8"?>
<formControlPr xmlns="http://schemas.microsoft.com/office/spreadsheetml/2009/9/main" objectType="Drop" dropStyle="combo" dx="16" fmlaLink="'Verwerken verlichting'!$D$12" fmlaRange="'Verwerken verlichting'!$F$31:$F$53" val="0"/>
</file>

<file path=xl/ctrlProps/ctrlProp754.xml><?xml version="1.0" encoding="utf-8"?>
<formControlPr xmlns="http://schemas.microsoft.com/office/spreadsheetml/2009/9/main" objectType="Drop" dropStyle="combo" dx="16" fmlaLink="'Verwerken verlichting'!$D$13" fmlaRange="'Verwerken verlichting'!$F$31:$F$53" val="0"/>
</file>

<file path=xl/ctrlProps/ctrlProp755.xml><?xml version="1.0" encoding="utf-8"?>
<formControlPr xmlns="http://schemas.microsoft.com/office/spreadsheetml/2009/9/main" objectType="Drop" dropStyle="combo" dx="16" fmlaLink="'Verwerken verlichting'!$D$14" fmlaRange="'Verwerken verlichting'!$F$31:$F$53" val="0"/>
</file>

<file path=xl/ctrlProps/ctrlProp756.xml><?xml version="1.0" encoding="utf-8"?>
<formControlPr xmlns="http://schemas.microsoft.com/office/spreadsheetml/2009/9/main" objectType="Drop" dropStyle="combo" dx="16" fmlaLink="'Verwerken verlichting'!$D$15" fmlaRange="'Verwerken verlichting'!$F$31:$F$53" val="0"/>
</file>

<file path=xl/ctrlProps/ctrlProp757.xml><?xml version="1.0" encoding="utf-8"?>
<formControlPr xmlns="http://schemas.microsoft.com/office/spreadsheetml/2009/9/main" objectType="Drop" dropStyle="combo" dx="16" fmlaLink="'Verwerken verlichting'!$D$16" fmlaRange="'Verwerken verlichting'!$F$31:$F$53" val="0"/>
</file>

<file path=xl/ctrlProps/ctrlProp758.xml><?xml version="1.0" encoding="utf-8"?>
<formControlPr xmlns="http://schemas.microsoft.com/office/spreadsheetml/2009/9/main" objectType="Drop" dropStyle="combo" dx="16" fmlaLink="'Verwerken verlichting'!$D$17" fmlaRange="'Verwerken verlichting'!$F$31:$F$53" val="0"/>
</file>

<file path=xl/ctrlProps/ctrlProp759.xml><?xml version="1.0" encoding="utf-8"?>
<formControlPr xmlns="http://schemas.microsoft.com/office/spreadsheetml/2009/9/main" objectType="Drop" dropStyle="combo" dx="16" fmlaLink="'Verwerken verlichting'!$D$18" fmlaRange="'Verwerken verlichting'!$F$31:$F$53" val="0"/>
</file>

<file path=xl/ctrlProps/ctrlProp76.xml><?xml version="1.0" encoding="utf-8"?>
<formControlPr xmlns="http://schemas.microsoft.com/office/spreadsheetml/2009/9/main" objectType="Drop" dropStyle="combo" dx="16" fmlaLink="'Verwerking Bouwdelen'!$C$13" fmlaRange="'Verwerking Bouwdelen'!$I$59:$I$64" val="0"/>
</file>

<file path=xl/ctrlProps/ctrlProp760.xml><?xml version="1.0" encoding="utf-8"?>
<formControlPr xmlns="http://schemas.microsoft.com/office/spreadsheetml/2009/9/main" objectType="Drop" dropStyle="combo" dx="16" fmlaLink="'Verwerken verlichting'!$D$19" fmlaRange="'Verwerken verlichting'!$F$31:$F$53" val="0"/>
</file>

<file path=xl/ctrlProps/ctrlProp761.xml><?xml version="1.0" encoding="utf-8"?>
<formControlPr xmlns="http://schemas.microsoft.com/office/spreadsheetml/2009/9/main" objectType="Drop" dropStyle="combo" dx="16" fmlaLink="'Verwerken verlichting'!$D$20" fmlaRange="'Verwerken verlichting'!$F$31:$F$53" val="0"/>
</file>

<file path=xl/ctrlProps/ctrlProp762.xml><?xml version="1.0" encoding="utf-8"?>
<formControlPr xmlns="http://schemas.microsoft.com/office/spreadsheetml/2009/9/main" objectType="Drop" dropStyle="combo" dx="16" fmlaLink="'Verwerken verlichting'!$D$21" fmlaRange="'Verwerken verlichting'!$F$31:$F$53" val="0"/>
</file>

<file path=xl/ctrlProps/ctrlProp763.xml><?xml version="1.0" encoding="utf-8"?>
<formControlPr xmlns="http://schemas.microsoft.com/office/spreadsheetml/2009/9/main" objectType="Drop" dropStyle="combo" dx="16" fmlaLink="'Verwerken verlichting'!$D$22" fmlaRange="'Verwerken verlichting'!$F$31:$F$53" val="0"/>
</file>

<file path=xl/ctrlProps/ctrlProp764.xml><?xml version="1.0" encoding="utf-8"?>
<formControlPr xmlns="http://schemas.microsoft.com/office/spreadsheetml/2009/9/main" objectType="Drop" dropStyle="combo" dx="16" fmlaLink="'Verwerken verlichting'!$D$23" fmlaRange="'Verwerken verlichting'!$F$31:$F$53" val="0"/>
</file>

<file path=xl/ctrlProps/ctrlProp765.xml><?xml version="1.0" encoding="utf-8"?>
<formControlPr xmlns="http://schemas.microsoft.com/office/spreadsheetml/2009/9/main" objectType="Drop" dropStyle="combo" dx="16" fmlaLink="'Verwerken verlichting'!$D$24" fmlaRange="'Verwerken verlichting'!$F$31:$F$53" val="0"/>
</file>

<file path=xl/ctrlProps/ctrlProp766.xml><?xml version="1.0" encoding="utf-8"?>
<formControlPr xmlns="http://schemas.microsoft.com/office/spreadsheetml/2009/9/main" objectType="Drop" dropStyle="combo" dx="16" fmlaLink="'Verwerken verlichting'!$D$25" fmlaRange="'Verwerken verlichting'!$F$31:$F$53" val="0"/>
</file>

<file path=xl/ctrlProps/ctrlProp767.xml><?xml version="1.0" encoding="utf-8"?>
<formControlPr xmlns="http://schemas.microsoft.com/office/spreadsheetml/2009/9/main" objectType="Drop" dropStyle="combo" dx="16" fmlaLink="'Verwerken verlichting'!$D$26" fmlaRange="'Verwerken verlichting'!$F$31:$F$53" val="0"/>
</file>

<file path=xl/ctrlProps/ctrlProp768.xml><?xml version="1.0" encoding="utf-8"?>
<formControlPr xmlns="http://schemas.microsoft.com/office/spreadsheetml/2009/9/main" objectType="Drop" dropStyle="combo" dx="16" fmlaLink="'Verwerken verlichting'!$D$27" fmlaRange="'Verwerken verlichting'!$F$31:$F$53" val="0"/>
</file>

<file path=xl/ctrlProps/ctrlProp769.xml><?xml version="1.0" encoding="utf-8"?>
<formControlPr xmlns="http://schemas.microsoft.com/office/spreadsheetml/2009/9/main" objectType="Drop" dropStyle="combo" dx="16" fmlaLink="'Verwerken verlichting'!$D$28" fmlaRange="'Verwerken verlichting'!$F$31:$F$53" val="0"/>
</file>

<file path=xl/ctrlProps/ctrlProp77.xml><?xml version="1.0" encoding="utf-8"?>
<formControlPr xmlns="http://schemas.microsoft.com/office/spreadsheetml/2009/9/main" objectType="Drop" dropStyle="combo" dx="16" fmlaLink="'Verwerking Bouwdelen'!$C$14" fmlaRange="'Verwerking Bouwdelen'!$I$59:$I$64" val="0"/>
</file>

<file path=xl/ctrlProps/ctrlProp770.xml><?xml version="1.0" encoding="utf-8"?>
<formControlPr xmlns="http://schemas.microsoft.com/office/spreadsheetml/2009/9/main" objectType="Drop" dropStyle="combo" dx="16" fmlaLink="'Verwerken verlichting'!$E$6" fmlaRange="'Verwerken verlichting'!$J$31:$J$33" val="0"/>
</file>

<file path=xl/ctrlProps/ctrlProp771.xml><?xml version="1.0" encoding="utf-8"?>
<formControlPr xmlns="http://schemas.microsoft.com/office/spreadsheetml/2009/9/main" objectType="Drop" dropStyle="combo" dx="16" fmlaLink="'Verwerken verlichting'!$E$7" fmlaRange="'Verwerken verlichting'!$J$31:$J$33" val="0"/>
</file>

<file path=xl/ctrlProps/ctrlProp772.xml><?xml version="1.0" encoding="utf-8"?>
<formControlPr xmlns="http://schemas.microsoft.com/office/spreadsheetml/2009/9/main" objectType="Drop" dropStyle="combo" dx="16" fmlaLink="'Verwerken verlichting'!$E$8" fmlaRange="'Verwerken verlichting'!$J$31:$J$33" val="0"/>
</file>

<file path=xl/ctrlProps/ctrlProp773.xml><?xml version="1.0" encoding="utf-8"?>
<formControlPr xmlns="http://schemas.microsoft.com/office/spreadsheetml/2009/9/main" objectType="Drop" dropStyle="combo" dx="16" fmlaLink="'Verwerken verlichting'!$E$9" fmlaRange="'Verwerken verlichting'!$J$31:$J$33" val="0"/>
</file>

<file path=xl/ctrlProps/ctrlProp774.xml><?xml version="1.0" encoding="utf-8"?>
<formControlPr xmlns="http://schemas.microsoft.com/office/spreadsheetml/2009/9/main" objectType="Drop" dropStyle="combo" dx="16" fmlaLink="'Verwerken verlichting'!$E$10" fmlaRange="'Verwerken verlichting'!$J$31:$J$33" val="0"/>
</file>

<file path=xl/ctrlProps/ctrlProp775.xml><?xml version="1.0" encoding="utf-8"?>
<formControlPr xmlns="http://schemas.microsoft.com/office/spreadsheetml/2009/9/main" objectType="Drop" dropStyle="combo" dx="16" fmlaLink="'Verwerken verlichting'!$E$11" fmlaRange="'Verwerken verlichting'!$J$31:$J$33" val="0"/>
</file>

<file path=xl/ctrlProps/ctrlProp776.xml><?xml version="1.0" encoding="utf-8"?>
<formControlPr xmlns="http://schemas.microsoft.com/office/spreadsheetml/2009/9/main" objectType="Drop" dropStyle="combo" dx="16" fmlaLink="'Verwerken verlichting'!$E$12" fmlaRange="'Verwerken verlichting'!$J$31:$J$33" val="0"/>
</file>

<file path=xl/ctrlProps/ctrlProp777.xml><?xml version="1.0" encoding="utf-8"?>
<formControlPr xmlns="http://schemas.microsoft.com/office/spreadsheetml/2009/9/main" objectType="Drop" dropStyle="combo" dx="16" fmlaLink="'Verwerken verlichting'!$E$13" fmlaRange="'Verwerken verlichting'!$J$31:$J$33" val="0"/>
</file>

<file path=xl/ctrlProps/ctrlProp778.xml><?xml version="1.0" encoding="utf-8"?>
<formControlPr xmlns="http://schemas.microsoft.com/office/spreadsheetml/2009/9/main" objectType="Drop" dropStyle="combo" dx="16" fmlaLink="'Verwerken verlichting'!$E$14" fmlaRange="'Verwerken verlichting'!$J$31:$J$33" val="0"/>
</file>

<file path=xl/ctrlProps/ctrlProp779.xml><?xml version="1.0" encoding="utf-8"?>
<formControlPr xmlns="http://schemas.microsoft.com/office/spreadsheetml/2009/9/main" objectType="Drop" dropStyle="combo" dx="16" fmlaLink="'Verwerken verlichting'!$E$15" fmlaRange="'Verwerken verlichting'!$J$31:$J$33" val="0"/>
</file>

<file path=xl/ctrlProps/ctrlProp78.xml><?xml version="1.0" encoding="utf-8"?>
<formControlPr xmlns="http://schemas.microsoft.com/office/spreadsheetml/2009/9/main" objectType="Drop" dropStyle="combo" dx="16" fmlaLink="'Verwerking Bouwdelen'!$C$15" fmlaRange="'Verwerking Bouwdelen'!$I$59:$I$64" val="0"/>
</file>

<file path=xl/ctrlProps/ctrlProp780.xml><?xml version="1.0" encoding="utf-8"?>
<formControlPr xmlns="http://schemas.microsoft.com/office/spreadsheetml/2009/9/main" objectType="Drop" dropStyle="combo" dx="16" fmlaLink="'Verwerken verlichting'!$E$16" fmlaRange="'Verwerken verlichting'!$J$31:$J$33" val="0"/>
</file>

<file path=xl/ctrlProps/ctrlProp781.xml><?xml version="1.0" encoding="utf-8"?>
<formControlPr xmlns="http://schemas.microsoft.com/office/spreadsheetml/2009/9/main" objectType="Drop" dropStyle="combo" dx="16" fmlaLink="'Verwerken verlichting'!$E$17" fmlaRange="'Verwerken verlichting'!$J$31:$J$33" val="0"/>
</file>

<file path=xl/ctrlProps/ctrlProp782.xml><?xml version="1.0" encoding="utf-8"?>
<formControlPr xmlns="http://schemas.microsoft.com/office/spreadsheetml/2009/9/main" objectType="Drop" dropStyle="combo" dx="16" fmlaLink="'Verwerken verlichting'!$E$18" fmlaRange="'Verwerken verlichting'!$J$31:$J$33" val="0"/>
</file>

<file path=xl/ctrlProps/ctrlProp783.xml><?xml version="1.0" encoding="utf-8"?>
<formControlPr xmlns="http://schemas.microsoft.com/office/spreadsheetml/2009/9/main" objectType="Drop" dropStyle="combo" dx="16" fmlaLink="'Verwerken verlichting'!$E$19" fmlaRange="'Verwerken verlichting'!$J$31:$J$33" val="0"/>
</file>

<file path=xl/ctrlProps/ctrlProp784.xml><?xml version="1.0" encoding="utf-8"?>
<formControlPr xmlns="http://schemas.microsoft.com/office/spreadsheetml/2009/9/main" objectType="Drop" dropStyle="combo" dx="16" fmlaLink="'Verwerken verlichting'!$E$20" fmlaRange="'Verwerken verlichting'!$J$31:$J$33" val="0"/>
</file>

<file path=xl/ctrlProps/ctrlProp785.xml><?xml version="1.0" encoding="utf-8"?>
<formControlPr xmlns="http://schemas.microsoft.com/office/spreadsheetml/2009/9/main" objectType="Drop" dropStyle="combo" dx="16" fmlaLink="'Verwerken verlichting'!$E$21" fmlaRange="'Verwerken verlichting'!$J$31:$J$33" val="0"/>
</file>

<file path=xl/ctrlProps/ctrlProp786.xml><?xml version="1.0" encoding="utf-8"?>
<formControlPr xmlns="http://schemas.microsoft.com/office/spreadsheetml/2009/9/main" objectType="Drop" dropStyle="combo" dx="16" fmlaLink="'Verwerken verlichting'!$E$22" fmlaRange="'Verwerken verlichting'!$J$31:$J$33" val="0"/>
</file>

<file path=xl/ctrlProps/ctrlProp787.xml><?xml version="1.0" encoding="utf-8"?>
<formControlPr xmlns="http://schemas.microsoft.com/office/spreadsheetml/2009/9/main" objectType="Drop" dropStyle="combo" dx="16" fmlaLink="'Verwerken verlichting'!$E$23" fmlaRange="'Verwerken verlichting'!$J$31:$J$33" val="0"/>
</file>

<file path=xl/ctrlProps/ctrlProp788.xml><?xml version="1.0" encoding="utf-8"?>
<formControlPr xmlns="http://schemas.microsoft.com/office/spreadsheetml/2009/9/main" objectType="Drop" dropStyle="combo" dx="16" fmlaLink="'Verwerken verlichting'!$E$24" fmlaRange="'Verwerken verlichting'!$J$31:$J$33" val="0"/>
</file>

<file path=xl/ctrlProps/ctrlProp789.xml><?xml version="1.0" encoding="utf-8"?>
<formControlPr xmlns="http://schemas.microsoft.com/office/spreadsheetml/2009/9/main" objectType="Drop" dropStyle="combo" dx="16" fmlaLink="'Verwerken verlichting'!$E$25" fmlaRange="'Verwerken verlichting'!$J$31:$J$33" val="0"/>
</file>

<file path=xl/ctrlProps/ctrlProp79.xml><?xml version="1.0" encoding="utf-8"?>
<formControlPr xmlns="http://schemas.microsoft.com/office/spreadsheetml/2009/9/main" objectType="Drop" dropStyle="combo" dx="16" fmlaLink="'Verwerking Bouwdelen'!$C$16" fmlaRange="'Verwerking Bouwdelen'!$I$59:$I$64" val="0"/>
</file>

<file path=xl/ctrlProps/ctrlProp790.xml><?xml version="1.0" encoding="utf-8"?>
<formControlPr xmlns="http://schemas.microsoft.com/office/spreadsheetml/2009/9/main" objectType="Drop" dropStyle="combo" dx="16" fmlaLink="'Verwerken verlichting'!$E$26" fmlaRange="'Verwerken verlichting'!$J$31:$J$33" val="0"/>
</file>

<file path=xl/ctrlProps/ctrlProp791.xml><?xml version="1.0" encoding="utf-8"?>
<formControlPr xmlns="http://schemas.microsoft.com/office/spreadsheetml/2009/9/main" objectType="Drop" dropStyle="combo" dx="16" fmlaLink="'Verwerken verlichting'!$E$27" fmlaRange="'Verwerken verlichting'!$J$31:$J$33" val="0"/>
</file>

<file path=xl/ctrlProps/ctrlProp792.xml><?xml version="1.0" encoding="utf-8"?>
<formControlPr xmlns="http://schemas.microsoft.com/office/spreadsheetml/2009/9/main" objectType="Drop" dropStyle="combo" dx="16" fmlaLink="'Verwerken verlichting'!$E$28" fmlaRange="'Verwerken verlichting'!$J$31:$J$33" val="0"/>
</file>

<file path=xl/ctrlProps/ctrlProp793.xml><?xml version="1.0" encoding="utf-8"?>
<formControlPr xmlns="http://schemas.microsoft.com/office/spreadsheetml/2009/9/main" objectType="Drop" dropStyle="combo" dx="16" fmlaLink="'Verwerken verlichting'!$J$6" fmlaRange="'Verwerken verlichting'!$H$31:$H$33" val="0"/>
</file>

<file path=xl/ctrlProps/ctrlProp794.xml><?xml version="1.0" encoding="utf-8"?>
<formControlPr xmlns="http://schemas.microsoft.com/office/spreadsheetml/2009/9/main" objectType="Drop" dropStyle="combo" dx="16" fmlaLink="'Verwerken verlichting'!$J$7" fmlaRange="'Verwerken verlichting'!$H$31:$H$33" val="0"/>
</file>

<file path=xl/ctrlProps/ctrlProp795.xml><?xml version="1.0" encoding="utf-8"?>
<formControlPr xmlns="http://schemas.microsoft.com/office/spreadsheetml/2009/9/main" objectType="Drop" dropStyle="combo" dx="16" fmlaLink="'Verwerken verlichting'!$J$8" fmlaRange="'Verwerken verlichting'!$H$31:$H$33" val="0"/>
</file>

<file path=xl/ctrlProps/ctrlProp796.xml><?xml version="1.0" encoding="utf-8"?>
<formControlPr xmlns="http://schemas.microsoft.com/office/spreadsheetml/2009/9/main" objectType="Drop" dropStyle="combo" dx="16" fmlaLink="'Verwerken verlichting'!$J$9" fmlaRange="'Verwerken verlichting'!$H$31:$H$33" val="0"/>
</file>

<file path=xl/ctrlProps/ctrlProp797.xml><?xml version="1.0" encoding="utf-8"?>
<formControlPr xmlns="http://schemas.microsoft.com/office/spreadsheetml/2009/9/main" objectType="Drop" dropStyle="combo" dx="16" fmlaLink="'Verwerken verlichting'!$J$10" fmlaRange="'Verwerken verlichting'!$H$31:$H$33" val="0"/>
</file>

<file path=xl/ctrlProps/ctrlProp798.xml><?xml version="1.0" encoding="utf-8"?>
<formControlPr xmlns="http://schemas.microsoft.com/office/spreadsheetml/2009/9/main" objectType="Drop" dropStyle="combo" dx="16" fmlaLink="'Verwerken verlichting'!$J$11" fmlaRange="'Verwerken verlichting'!$H$31:$H$33" val="0"/>
</file>

<file path=xl/ctrlProps/ctrlProp799.xml><?xml version="1.0" encoding="utf-8"?>
<formControlPr xmlns="http://schemas.microsoft.com/office/spreadsheetml/2009/9/main" objectType="Drop" dropStyle="combo" dx="16" fmlaLink="'Verwerken verlichting'!$J$12" fmlaRange="'Verwerken verlichting'!$H$31:$H$33" val="0"/>
</file>

<file path=xl/ctrlProps/ctrlProp8.xml><?xml version="1.0" encoding="utf-8"?>
<formControlPr xmlns="http://schemas.microsoft.com/office/spreadsheetml/2009/9/main" objectType="Drop" dropStyle="combo" dx="16" fmlaLink="'Verwerken Algemeen'!$B$32" fmlaRange="'Verwerken Algemeen'!$E$24:$E$26" val="0"/>
</file>

<file path=xl/ctrlProps/ctrlProp80.xml><?xml version="1.0" encoding="utf-8"?>
<formControlPr xmlns="http://schemas.microsoft.com/office/spreadsheetml/2009/9/main" objectType="Drop" dropStyle="combo" dx="16" fmlaLink="'Verwerking Bouwdelen'!$C$17" fmlaRange="'Verwerking Bouwdelen'!$I$59:$I$64" val="0"/>
</file>

<file path=xl/ctrlProps/ctrlProp800.xml><?xml version="1.0" encoding="utf-8"?>
<formControlPr xmlns="http://schemas.microsoft.com/office/spreadsheetml/2009/9/main" objectType="Drop" dropStyle="combo" dx="16" fmlaLink="'Verwerken verlichting'!$J$13" fmlaRange="'Verwerken verlichting'!$H$31:$H$33" val="0"/>
</file>

<file path=xl/ctrlProps/ctrlProp801.xml><?xml version="1.0" encoding="utf-8"?>
<formControlPr xmlns="http://schemas.microsoft.com/office/spreadsheetml/2009/9/main" objectType="Drop" dropStyle="combo" dx="16" fmlaLink="'Verwerken verlichting'!$J$14" fmlaRange="'Verwerken verlichting'!$H$31:$H$33" val="0"/>
</file>

<file path=xl/ctrlProps/ctrlProp802.xml><?xml version="1.0" encoding="utf-8"?>
<formControlPr xmlns="http://schemas.microsoft.com/office/spreadsheetml/2009/9/main" objectType="Drop" dropStyle="combo" dx="16" fmlaLink="'Verwerken verlichting'!$J$15" fmlaRange="'Verwerken verlichting'!$H$31:$H$33" val="0"/>
</file>

<file path=xl/ctrlProps/ctrlProp803.xml><?xml version="1.0" encoding="utf-8"?>
<formControlPr xmlns="http://schemas.microsoft.com/office/spreadsheetml/2009/9/main" objectType="Drop" dropStyle="combo" dx="16" fmlaLink="'Verwerken verlichting'!$J$16" fmlaRange="'Verwerken verlichting'!$H$31:$H$33" val="0"/>
</file>

<file path=xl/ctrlProps/ctrlProp804.xml><?xml version="1.0" encoding="utf-8"?>
<formControlPr xmlns="http://schemas.microsoft.com/office/spreadsheetml/2009/9/main" objectType="Drop" dropStyle="combo" dx="16" fmlaLink="'Verwerken verlichting'!$J$17" fmlaRange="'Verwerken verlichting'!$H$31:$H$33" val="0"/>
</file>

<file path=xl/ctrlProps/ctrlProp805.xml><?xml version="1.0" encoding="utf-8"?>
<formControlPr xmlns="http://schemas.microsoft.com/office/spreadsheetml/2009/9/main" objectType="Drop" dropStyle="combo" dx="16" fmlaLink="'Verwerken verlichting'!$J$18" fmlaRange="'Verwerken verlichting'!$H$31:$H$33" val="0"/>
</file>

<file path=xl/ctrlProps/ctrlProp806.xml><?xml version="1.0" encoding="utf-8"?>
<formControlPr xmlns="http://schemas.microsoft.com/office/spreadsheetml/2009/9/main" objectType="Drop" dropStyle="combo" dx="16" fmlaLink="'Verwerken verlichting'!$J$19" fmlaRange="'Verwerken verlichting'!$H$31:$H$33" val="0"/>
</file>

<file path=xl/ctrlProps/ctrlProp807.xml><?xml version="1.0" encoding="utf-8"?>
<formControlPr xmlns="http://schemas.microsoft.com/office/spreadsheetml/2009/9/main" objectType="Drop" dropStyle="combo" dx="16" fmlaLink="'Verwerken verlichting'!$J$20" fmlaRange="'Verwerken verlichting'!$H$31:$H$33" val="0"/>
</file>

<file path=xl/ctrlProps/ctrlProp808.xml><?xml version="1.0" encoding="utf-8"?>
<formControlPr xmlns="http://schemas.microsoft.com/office/spreadsheetml/2009/9/main" objectType="Drop" dropStyle="combo" dx="16" fmlaLink="'Verwerken verlichting'!$J$21" fmlaRange="'Verwerken verlichting'!$H$31:$H$33" val="0"/>
</file>

<file path=xl/ctrlProps/ctrlProp809.xml><?xml version="1.0" encoding="utf-8"?>
<formControlPr xmlns="http://schemas.microsoft.com/office/spreadsheetml/2009/9/main" objectType="Drop" dropStyle="combo" dx="16" fmlaLink="'Verwerken verlichting'!$J$22" fmlaRange="'Verwerken verlichting'!$H$31:$H$33" val="0"/>
</file>

<file path=xl/ctrlProps/ctrlProp81.xml><?xml version="1.0" encoding="utf-8"?>
<formControlPr xmlns="http://schemas.microsoft.com/office/spreadsheetml/2009/9/main" objectType="Drop" dropStyle="combo" dx="16" fmlaLink="'Verwerking Bouwdelen'!$C$18" fmlaRange="'Verwerking Bouwdelen'!$I$59:$I$64" val="0"/>
</file>

<file path=xl/ctrlProps/ctrlProp810.xml><?xml version="1.0" encoding="utf-8"?>
<formControlPr xmlns="http://schemas.microsoft.com/office/spreadsheetml/2009/9/main" objectType="Drop" dropStyle="combo" dx="16" fmlaLink="'Verwerken verlichting'!$J$23" fmlaRange="'Verwerken verlichting'!$H$31:$H$33" val="0"/>
</file>

<file path=xl/ctrlProps/ctrlProp811.xml><?xml version="1.0" encoding="utf-8"?>
<formControlPr xmlns="http://schemas.microsoft.com/office/spreadsheetml/2009/9/main" objectType="Drop" dropStyle="combo" dx="16" fmlaLink="'Verwerken verlichting'!$J$24" fmlaRange="'Verwerken verlichting'!$H$31:$H$33" val="0"/>
</file>

<file path=xl/ctrlProps/ctrlProp812.xml><?xml version="1.0" encoding="utf-8"?>
<formControlPr xmlns="http://schemas.microsoft.com/office/spreadsheetml/2009/9/main" objectType="Drop" dropStyle="combo" dx="16" fmlaLink="'Verwerken verlichting'!$J$25" fmlaRange="'Verwerken verlichting'!$H$31:$H$33" val="0"/>
</file>

<file path=xl/ctrlProps/ctrlProp813.xml><?xml version="1.0" encoding="utf-8"?>
<formControlPr xmlns="http://schemas.microsoft.com/office/spreadsheetml/2009/9/main" objectType="Drop" dropStyle="combo" dx="16" fmlaLink="'Verwerken verlichting'!$J$26" fmlaRange="'Verwerken verlichting'!$H$31:$H$33" val="0"/>
</file>

<file path=xl/ctrlProps/ctrlProp814.xml><?xml version="1.0" encoding="utf-8"?>
<formControlPr xmlns="http://schemas.microsoft.com/office/spreadsheetml/2009/9/main" objectType="Drop" dropStyle="combo" dx="16" fmlaLink="'Verwerken verlichting'!$J$27" fmlaRange="'Verwerken verlichting'!$H$31:$H$33" val="0"/>
</file>

<file path=xl/ctrlProps/ctrlProp815.xml><?xml version="1.0" encoding="utf-8"?>
<formControlPr xmlns="http://schemas.microsoft.com/office/spreadsheetml/2009/9/main" objectType="Drop" dropStyle="combo" dx="16" fmlaLink="'Verwerken verlichting'!$J$28" fmlaRange="'Verwerken verlichting'!$H$31:$H$33" val="0"/>
</file>

<file path=xl/ctrlProps/ctrlProp816.xml><?xml version="1.0" encoding="utf-8"?>
<formControlPr xmlns="http://schemas.microsoft.com/office/spreadsheetml/2009/9/main" objectType="Drop" dropStyle="combo" dx="16" fmlaLink="'Verwerken verlichting'!$Z$7" fmlaRange="'Verwerken verlichting'!$F$31:$F$53" val="0"/>
</file>

<file path=xl/ctrlProps/ctrlProp817.xml><?xml version="1.0" encoding="utf-8"?>
<formControlPr xmlns="http://schemas.microsoft.com/office/spreadsheetml/2009/9/main" objectType="Drop" dropStyle="combo" dx="16" fmlaLink="'Verwerken verlichting'!$Z$6" fmlaRange="'Verwerken verlichting'!$F$31:$F$53" val="0"/>
</file>

<file path=xl/ctrlProps/ctrlProp818.xml><?xml version="1.0" encoding="utf-8"?>
<formControlPr xmlns="http://schemas.microsoft.com/office/spreadsheetml/2009/9/main" objectType="Drop" dropStyle="combo" dx="16" fmlaLink="'Verwerken verlichting'!$Z$8" fmlaRange="'Verwerken verlichting'!$F$31:$F$53" val="0"/>
</file>

<file path=xl/ctrlProps/ctrlProp819.xml><?xml version="1.0" encoding="utf-8"?>
<formControlPr xmlns="http://schemas.microsoft.com/office/spreadsheetml/2009/9/main" objectType="Drop" dropStyle="combo" dx="16" fmlaLink="'Verwerken verlichting'!$Z$9" fmlaRange="'Verwerken verlichting'!$F$31:$F$53" val="0"/>
</file>

<file path=xl/ctrlProps/ctrlProp82.xml><?xml version="1.0" encoding="utf-8"?>
<formControlPr xmlns="http://schemas.microsoft.com/office/spreadsheetml/2009/9/main" objectType="Drop" dropStyle="combo" dx="16" fmlaLink="'Verwerking Bouwdelen'!$C$19" fmlaRange="'Verwerking Bouwdelen'!$I$59:$I$64" val="0"/>
</file>

<file path=xl/ctrlProps/ctrlProp820.xml><?xml version="1.0" encoding="utf-8"?>
<formControlPr xmlns="http://schemas.microsoft.com/office/spreadsheetml/2009/9/main" objectType="Drop" dropStyle="combo" dx="16" fmlaLink="'Verwerken verlichting'!$Z$10" fmlaRange="'Verwerken verlichting'!$F$31:$F$53" val="0"/>
</file>

<file path=xl/ctrlProps/ctrlProp821.xml><?xml version="1.0" encoding="utf-8"?>
<formControlPr xmlns="http://schemas.microsoft.com/office/spreadsheetml/2009/9/main" objectType="Drop" dropStyle="combo" dx="16" fmlaLink="'Verwerken verlichting'!$Z$11" fmlaRange="'Verwerken verlichting'!$F$31:$F$53" val="0"/>
</file>

<file path=xl/ctrlProps/ctrlProp822.xml><?xml version="1.0" encoding="utf-8"?>
<formControlPr xmlns="http://schemas.microsoft.com/office/spreadsheetml/2009/9/main" objectType="Drop" dropStyle="combo" dx="16" fmlaLink="'Verwerken verlichting'!$Z$12" fmlaRange="'Verwerken verlichting'!$F$31:$F$53" val="0"/>
</file>

<file path=xl/ctrlProps/ctrlProp823.xml><?xml version="1.0" encoding="utf-8"?>
<formControlPr xmlns="http://schemas.microsoft.com/office/spreadsheetml/2009/9/main" objectType="Drop" dropStyle="combo" dx="16" fmlaLink="'Verwerken verlichting'!$Z$13" fmlaRange="'Verwerken verlichting'!$F$31:$F$53" val="0"/>
</file>

<file path=xl/ctrlProps/ctrlProp824.xml><?xml version="1.0" encoding="utf-8"?>
<formControlPr xmlns="http://schemas.microsoft.com/office/spreadsheetml/2009/9/main" objectType="Drop" dropStyle="combo" dx="16" fmlaLink="'Verwerken verlichting'!$Z$14" fmlaRange="'Verwerken verlichting'!$F$31:$F$53" val="0"/>
</file>

<file path=xl/ctrlProps/ctrlProp825.xml><?xml version="1.0" encoding="utf-8"?>
<formControlPr xmlns="http://schemas.microsoft.com/office/spreadsheetml/2009/9/main" objectType="Drop" dropStyle="combo" dx="16" fmlaLink="'Verwerken verlichting'!$Z$15" fmlaRange="'Verwerken verlichting'!$F$31:$F$53" val="0"/>
</file>

<file path=xl/ctrlProps/ctrlProp826.xml><?xml version="1.0" encoding="utf-8"?>
<formControlPr xmlns="http://schemas.microsoft.com/office/spreadsheetml/2009/9/main" objectType="Drop" dropStyle="combo" dx="16" fmlaLink="'Verwerken verlichting'!$Z$16" fmlaRange="'Verwerken verlichting'!$F$31:$F$53" val="0"/>
</file>

<file path=xl/ctrlProps/ctrlProp827.xml><?xml version="1.0" encoding="utf-8"?>
<formControlPr xmlns="http://schemas.microsoft.com/office/spreadsheetml/2009/9/main" objectType="Drop" dropStyle="combo" dx="16" fmlaLink="'Verwerken verlichting'!$Z$17" fmlaRange="'Verwerken verlichting'!$F$31:$F$53" val="0"/>
</file>

<file path=xl/ctrlProps/ctrlProp828.xml><?xml version="1.0" encoding="utf-8"?>
<formControlPr xmlns="http://schemas.microsoft.com/office/spreadsheetml/2009/9/main" objectType="Drop" dropStyle="combo" dx="16" fmlaLink="'Verwerken verlichting'!$Z$18" fmlaRange="'Verwerken verlichting'!$F$31:$F$53" val="0"/>
</file>

<file path=xl/ctrlProps/ctrlProp829.xml><?xml version="1.0" encoding="utf-8"?>
<formControlPr xmlns="http://schemas.microsoft.com/office/spreadsheetml/2009/9/main" objectType="Drop" dropStyle="combo" dx="16" fmlaLink="'Verwerken verlichting'!$Z$19" fmlaRange="'Verwerken verlichting'!$F$31:$F$53" val="0"/>
</file>

<file path=xl/ctrlProps/ctrlProp83.xml><?xml version="1.0" encoding="utf-8"?>
<formControlPr xmlns="http://schemas.microsoft.com/office/spreadsheetml/2009/9/main" objectType="Drop" dropStyle="combo" dx="16" fmlaLink="'Verwerking Bouwdelen'!$C$20" fmlaRange="'Verwerking Bouwdelen'!$I$59:$I$64" val="0"/>
</file>

<file path=xl/ctrlProps/ctrlProp830.xml><?xml version="1.0" encoding="utf-8"?>
<formControlPr xmlns="http://schemas.microsoft.com/office/spreadsheetml/2009/9/main" objectType="Drop" dropStyle="combo" dx="16" fmlaLink="'Verwerken verlichting'!$Z$20" fmlaRange="'Verwerken verlichting'!$F$31:$F$53" val="0"/>
</file>

<file path=xl/ctrlProps/ctrlProp831.xml><?xml version="1.0" encoding="utf-8"?>
<formControlPr xmlns="http://schemas.microsoft.com/office/spreadsheetml/2009/9/main" objectType="Drop" dropStyle="combo" dx="16" fmlaLink="'Verwerken verlichting'!$Z$21" fmlaRange="'Verwerken verlichting'!$F$31:$F$53" val="0"/>
</file>

<file path=xl/ctrlProps/ctrlProp832.xml><?xml version="1.0" encoding="utf-8"?>
<formControlPr xmlns="http://schemas.microsoft.com/office/spreadsheetml/2009/9/main" objectType="Drop" dropStyle="combo" dx="16" fmlaLink="'Verwerken verlichting'!$Z$22" fmlaRange="'Verwerken verlichting'!$F$31:$F$53" val="0"/>
</file>

<file path=xl/ctrlProps/ctrlProp833.xml><?xml version="1.0" encoding="utf-8"?>
<formControlPr xmlns="http://schemas.microsoft.com/office/spreadsheetml/2009/9/main" objectType="Drop" dropStyle="combo" dx="16" fmlaLink="'Verwerken verlichting'!$Z$23" fmlaRange="'Verwerken verlichting'!$F$31:$F$53" val="0"/>
</file>

<file path=xl/ctrlProps/ctrlProp834.xml><?xml version="1.0" encoding="utf-8"?>
<formControlPr xmlns="http://schemas.microsoft.com/office/spreadsheetml/2009/9/main" objectType="Drop" dropStyle="combo" dx="16" fmlaLink="'Verwerken verlichting'!$Z$24" fmlaRange="'Verwerken verlichting'!$F$31:$F$53" val="0"/>
</file>

<file path=xl/ctrlProps/ctrlProp835.xml><?xml version="1.0" encoding="utf-8"?>
<formControlPr xmlns="http://schemas.microsoft.com/office/spreadsheetml/2009/9/main" objectType="Drop" dropStyle="combo" dx="16" fmlaLink="'Verwerken verlichting'!$Z$25" fmlaRange="'Verwerken verlichting'!$F$31:$F$53" val="0"/>
</file>

<file path=xl/ctrlProps/ctrlProp836.xml><?xml version="1.0" encoding="utf-8"?>
<formControlPr xmlns="http://schemas.microsoft.com/office/spreadsheetml/2009/9/main" objectType="Drop" dropStyle="combo" dx="16" fmlaLink="'Verwerken verlichting'!$Z$26" fmlaRange="'Verwerken verlichting'!$F$31:$F$53" val="0"/>
</file>

<file path=xl/ctrlProps/ctrlProp837.xml><?xml version="1.0" encoding="utf-8"?>
<formControlPr xmlns="http://schemas.microsoft.com/office/spreadsheetml/2009/9/main" objectType="Drop" dropStyle="combo" dx="16" fmlaLink="'Verwerken verlichting'!$Z$27" fmlaRange="'Verwerken verlichting'!$F$31:$F$53" val="0"/>
</file>

<file path=xl/ctrlProps/ctrlProp838.xml><?xml version="1.0" encoding="utf-8"?>
<formControlPr xmlns="http://schemas.microsoft.com/office/spreadsheetml/2009/9/main" objectType="Drop" dropStyle="combo" dx="16" fmlaLink="'Verwerken verlichting'!$Z$28" fmlaRange="'Verwerken verlichting'!$F$31:$F$53" val="0"/>
</file>

<file path=xl/ctrlProps/ctrlProp839.xml><?xml version="1.0" encoding="utf-8"?>
<formControlPr xmlns="http://schemas.microsoft.com/office/spreadsheetml/2009/9/main" objectType="Drop" dropStyle="combo" dx="16" fmlaLink="'Verwerken verlichting'!$AA$6" fmlaRange="'Verwerken verlichting'!$J$31:$J$33" val="0"/>
</file>

<file path=xl/ctrlProps/ctrlProp84.xml><?xml version="1.0" encoding="utf-8"?>
<formControlPr xmlns="http://schemas.microsoft.com/office/spreadsheetml/2009/9/main" objectType="Drop" dropStyle="combo" dx="16" fmlaLink="'Verwerking Bouwdelen'!$C$21" fmlaRange="'Verwerking Bouwdelen'!$I$59:$I$64" val="0"/>
</file>

<file path=xl/ctrlProps/ctrlProp840.xml><?xml version="1.0" encoding="utf-8"?>
<formControlPr xmlns="http://schemas.microsoft.com/office/spreadsheetml/2009/9/main" objectType="Drop" dropStyle="combo" dx="16" fmlaLink="'Verwerken verlichting'!$AA$7" fmlaRange="'Verwerken verlichting'!$J$31:$J$33" val="0"/>
</file>

<file path=xl/ctrlProps/ctrlProp841.xml><?xml version="1.0" encoding="utf-8"?>
<formControlPr xmlns="http://schemas.microsoft.com/office/spreadsheetml/2009/9/main" objectType="Drop" dropStyle="combo" dx="16" fmlaLink="'Verwerken verlichting'!$AA$8" fmlaRange="'Verwerken verlichting'!$J$31:$J$33" val="0"/>
</file>

<file path=xl/ctrlProps/ctrlProp842.xml><?xml version="1.0" encoding="utf-8"?>
<formControlPr xmlns="http://schemas.microsoft.com/office/spreadsheetml/2009/9/main" objectType="Drop" dropStyle="combo" dx="16" fmlaLink="'Verwerken verlichting'!$AA$9" fmlaRange="'Verwerken verlichting'!$J$31:$J$33" val="0"/>
</file>

<file path=xl/ctrlProps/ctrlProp843.xml><?xml version="1.0" encoding="utf-8"?>
<formControlPr xmlns="http://schemas.microsoft.com/office/spreadsheetml/2009/9/main" objectType="Drop" dropStyle="combo" dx="16" fmlaLink="'Verwerken verlichting'!$AA$10" fmlaRange="'Verwerken verlichting'!$J$31:$J$33" val="0"/>
</file>

<file path=xl/ctrlProps/ctrlProp844.xml><?xml version="1.0" encoding="utf-8"?>
<formControlPr xmlns="http://schemas.microsoft.com/office/spreadsheetml/2009/9/main" objectType="Drop" dropStyle="combo" dx="16" fmlaLink="'Verwerken verlichting'!$AA$11" fmlaRange="'Verwerken verlichting'!$J$31:$J$33" val="0"/>
</file>

<file path=xl/ctrlProps/ctrlProp845.xml><?xml version="1.0" encoding="utf-8"?>
<formControlPr xmlns="http://schemas.microsoft.com/office/spreadsheetml/2009/9/main" objectType="Drop" dropStyle="combo" dx="16" fmlaLink="'Verwerken verlichting'!$AA$12" fmlaRange="'Verwerken verlichting'!$J$31:$J$33" val="0"/>
</file>

<file path=xl/ctrlProps/ctrlProp846.xml><?xml version="1.0" encoding="utf-8"?>
<formControlPr xmlns="http://schemas.microsoft.com/office/spreadsheetml/2009/9/main" objectType="Drop" dropStyle="combo" dx="16" fmlaLink="'Verwerken verlichting'!$AA$13" fmlaRange="'Verwerken verlichting'!$J$31:$J$33" val="0"/>
</file>

<file path=xl/ctrlProps/ctrlProp847.xml><?xml version="1.0" encoding="utf-8"?>
<formControlPr xmlns="http://schemas.microsoft.com/office/spreadsheetml/2009/9/main" objectType="Drop" dropStyle="combo" dx="16" fmlaLink="'Verwerken verlichting'!$AA$14" fmlaRange="'Verwerken verlichting'!$J$31:$J$33" val="0"/>
</file>

<file path=xl/ctrlProps/ctrlProp848.xml><?xml version="1.0" encoding="utf-8"?>
<formControlPr xmlns="http://schemas.microsoft.com/office/spreadsheetml/2009/9/main" objectType="Drop" dropStyle="combo" dx="16" fmlaLink="'Verwerken verlichting'!$AA$15" fmlaRange="'Verwerken verlichting'!$J$31:$J$33" val="0"/>
</file>

<file path=xl/ctrlProps/ctrlProp849.xml><?xml version="1.0" encoding="utf-8"?>
<formControlPr xmlns="http://schemas.microsoft.com/office/spreadsheetml/2009/9/main" objectType="Drop" dropStyle="combo" dx="16" fmlaLink="'Verwerken verlichting'!$AA$16" fmlaRange="'Verwerken verlichting'!$J$31:$J$33" val="0"/>
</file>

<file path=xl/ctrlProps/ctrlProp85.xml><?xml version="1.0" encoding="utf-8"?>
<formControlPr xmlns="http://schemas.microsoft.com/office/spreadsheetml/2009/9/main" objectType="Drop" dropStyle="combo" dx="16" fmlaLink="'Verwerking Bouwdelen'!$C$22" fmlaRange="'Verwerking Bouwdelen'!$I$59:$I$64" val="0"/>
</file>

<file path=xl/ctrlProps/ctrlProp850.xml><?xml version="1.0" encoding="utf-8"?>
<formControlPr xmlns="http://schemas.microsoft.com/office/spreadsheetml/2009/9/main" objectType="Drop" dropStyle="combo" dx="16" fmlaLink="'Verwerken verlichting'!$AA$17" fmlaRange="'Verwerken verlichting'!$J$31:$J$33" val="0"/>
</file>

<file path=xl/ctrlProps/ctrlProp851.xml><?xml version="1.0" encoding="utf-8"?>
<formControlPr xmlns="http://schemas.microsoft.com/office/spreadsheetml/2009/9/main" objectType="Drop" dropStyle="combo" dx="16" fmlaLink="'Verwerken verlichting'!$AA$18" fmlaRange="'Verwerken verlichting'!$J$31:$J$33" val="0"/>
</file>

<file path=xl/ctrlProps/ctrlProp852.xml><?xml version="1.0" encoding="utf-8"?>
<formControlPr xmlns="http://schemas.microsoft.com/office/spreadsheetml/2009/9/main" objectType="Drop" dropStyle="combo" dx="16" fmlaLink="'Verwerken verlichting'!$AA$19" fmlaRange="'Verwerken verlichting'!$J$31:$J$33" val="0"/>
</file>

<file path=xl/ctrlProps/ctrlProp853.xml><?xml version="1.0" encoding="utf-8"?>
<formControlPr xmlns="http://schemas.microsoft.com/office/spreadsheetml/2009/9/main" objectType="Drop" dropStyle="combo" dx="16" fmlaLink="'Verwerken verlichting'!$AA$20" fmlaRange="'Verwerken verlichting'!$J$31:$J$33" val="0"/>
</file>

<file path=xl/ctrlProps/ctrlProp854.xml><?xml version="1.0" encoding="utf-8"?>
<formControlPr xmlns="http://schemas.microsoft.com/office/spreadsheetml/2009/9/main" objectType="Drop" dropStyle="combo" dx="16" fmlaLink="'Verwerken verlichting'!$AA$21" fmlaRange="'Verwerken verlichting'!$J$31:$J$33" val="0"/>
</file>

<file path=xl/ctrlProps/ctrlProp855.xml><?xml version="1.0" encoding="utf-8"?>
<formControlPr xmlns="http://schemas.microsoft.com/office/spreadsheetml/2009/9/main" objectType="Drop" dropStyle="combo" dx="16" fmlaLink="'Verwerken verlichting'!$AA$22" fmlaRange="'Verwerken verlichting'!$J$31:$J$33" val="0"/>
</file>

<file path=xl/ctrlProps/ctrlProp856.xml><?xml version="1.0" encoding="utf-8"?>
<formControlPr xmlns="http://schemas.microsoft.com/office/spreadsheetml/2009/9/main" objectType="Drop" dropStyle="combo" dx="16" fmlaLink="'Verwerken verlichting'!$AA$23" fmlaRange="'Verwerken verlichting'!$J$31:$J$33" val="0"/>
</file>

<file path=xl/ctrlProps/ctrlProp857.xml><?xml version="1.0" encoding="utf-8"?>
<formControlPr xmlns="http://schemas.microsoft.com/office/spreadsheetml/2009/9/main" objectType="Drop" dropStyle="combo" dx="16" fmlaLink="'Verwerken verlichting'!$AA$24" fmlaRange="'Verwerken verlichting'!$J$31:$J$33" val="0"/>
</file>

<file path=xl/ctrlProps/ctrlProp858.xml><?xml version="1.0" encoding="utf-8"?>
<formControlPr xmlns="http://schemas.microsoft.com/office/spreadsheetml/2009/9/main" objectType="Drop" dropStyle="combo" dx="16" fmlaLink="'Verwerken verlichting'!$AA$25" fmlaRange="'Verwerken verlichting'!$J$31:$J$33" val="0"/>
</file>

<file path=xl/ctrlProps/ctrlProp859.xml><?xml version="1.0" encoding="utf-8"?>
<formControlPr xmlns="http://schemas.microsoft.com/office/spreadsheetml/2009/9/main" objectType="Drop" dropStyle="combo" dx="16" fmlaLink="'Verwerken verlichting'!$AA$26" fmlaRange="'Verwerken verlichting'!$J$31:$J$33" val="0"/>
</file>

<file path=xl/ctrlProps/ctrlProp86.xml><?xml version="1.0" encoding="utf-8"?>
<formControlPr xmlns="http://schemas.microsoft.com/office/spreadsheetml/2009/9/main" objectType="Drop" dropStyle="combo" dx="16" fmlaLink="'Verwerking Bouwdelen'!$C$23" fmlaRange="'Verwerking Bouwdelen'!$I$59:$I$64" val="0"/>
</file>

<file path=xl/ctrlProps/ctrlProp860.xml><?xml version="1.0" encoding="utf-8"?>
<formControlPr xmlns="http://schemas.microsoft.com/office/spreadsheetml/2009/9/main" objectType="Drop" dropStyle="combo" dx="16" fmlaLink="'Verwerken verlichting'!$AA$27" fmlaRange="'Verwerken verlichting'!$J$31:$J$33" val="0"/>
</file>

<file path=xl/ctrlProps/ctrlProp861.xml><?xml version="1.0" encoding="utf-8"?>
<formControlPr xmlns="http://schemas.microsoft.com/office/spreadsheetml/2009/9/main" objectType="Drop" dropStyle="combo" dx="16" fmlaLink="'Verwerken verlichting'!$AA$28" fmlaRange="'Verwerken verlichting'!$J$31:$J$33" val="0"/>
</file>

<file path=xl/ctrlProps/ctrlProp862.xml><?xml version="1.0" encoding="utf-8"?>
<formControlPr xmlns="http://schemas.microsoft.com/office/spreadsheetml/2009/9/main" objectType="Drop" dropStyle="combo" dx="16" fmlaLink="'Verwerken verlichting'!$AF$6" fmlaRange="'Verwerken verlichting'!$H$31:$H$33" val="0"/>
</file>

<file path=xl/ctrlProps/ctrlProp863.xml><?xml version="1.0" encoding="utf-8"?>
<formControlPr xmlns="http://schemas.microsoft.com/office/spreadsheetml/2009/9/main" objectType="Drop" dropStyle="combo" dx="16" fmlaLink="'Verwerken verlichting'!$AF$7" fmlaRange="'Verwerken verlichting'!$H$31:$H$33" val="0"/>
</file>

<file path=xl/ctrlProps/ctrlProp864.xml><?xml version="1.0" encoding="utf-8"?>
<formControlPr xmlns="http://schemas.microsoft.com/office/spreadsheetml/2009/9/main" objectType="Drop" dropStyle="combo" dx="16" fmlaLink="'Verwerken verlichting'!$AF$8" fmlaRange="'Verwerken verlichting'!$H$31:$H$33" val="0"/>
</file>

<file path=xl/ctrlProps/ctrlProp865.xml><?xml version="1.0" encoding="utf-8"?>
<formControlPr xmlns="http://schemas.microsoft.com/office/spreadsheetml/2009/9/main" objectType="Drop" dropStyle="combo" dx="16" fmlaLink="'Verwerken verlichting'!$AF$9" fmlaRange="'Verwerken verlichting'!$H$31:$H$33" val="0"/>
</file>

<file path=xl/ctrlProps/ctrlProp866.xml><?xml version="1.0" encoding="utf-8"?>
<formControlPr xmlns="http://schemas.microsoft.com/office/spreadsheetml/2009/9/main" objectType="Drop" dropStyle="combo" dx="16" fmlaLink="'Verwerken verlichting'!$AF$10" fmlaRange="'Verwerken verlichting'!$H$31:$H$33" val="0"/>
</file>

<file path=xl/ctrlProps/ctrlProp867.xml><?xml version="1.0" encoding="utf-8"?>
<formControlPr xmlns="http://schemas.microsoft.com/office/spreadsheetml/2009/9/main" objectType="Drop" dropStyle="combo" dx="16" fmlaLink="'Verwerken verlichting'!$AF$11" fmlaRange="'Verwerken verlichting'!$H$31:$H$33" val="0"/>
</file>

<file path=xl/ctrlProps/ctrlProp868.xml><?xml version="1.0" encoding="utf-8"?>
<formControlPr xmlns="http://schemas.microsoft.com/office/spreadsheetml/2009/9/main" objectType="Drop" dropStyle="combo" dx="16" fmlaLink="'Verwerken verlichting'!$AF$12" fmlaRange="'Verwerken verlichting'!$H$31:$H$33" val="0"/>
</file>

<file path=xl/ctrlProps/ctrlProp869.xml><?xml version="1.0" encoding="utf-8"?>
<formControlPr xmlns="http://schemas.microsoft.com/office/spreadsheetml/2009/9/main" objectType="Drop" dropStyle="combo" dx="16" fmlaLink="'Verwerken verlichting'!$AF$13" fmlaRange="'Verwerken verlichting'!$H$31:$H$33" val="0"/>
</file>

<file path=xl/ctrlProps/ctrlProp87.xml><?xml version="1.0" encoding="utf-8"?>
<formControlPr xmlns="http://schemas.microsoft.com/office/spreadsheetml/2009/9/main" objectType="Drop" dropStyle="combo" dx="16" fmlaLink="'Verwerking Bouwdelen'!$C$44" fmlaRange="'Verwerking Bouwdelen'!$I$59:$I$64" val="0"/>
</file>

<file path=xl/ctrlProps/ctrlProp870.xml><?xml version="1.0" encoding="utf-8"?>
<formControlPr xmlns="http://schemas.microsoft.com/office/spreadsheetml/2009/9/main" objectType="Drop" dropStyle="combo" dx="16" fmlaLink="'Verwerken verlichting'!$AF$14" fmlaRange="'Verwerken verlichting'!$H$31:$H$33" val="0"/>
</file>

<file path=xl/ctrlProps/ctrlProp871.xml><?xml version="1.0" encoding="utf-8"?>
<formControlPr xmlns="http://schemas.microsoft.com/office/spreadsheetml/2009/9/main" objectType="Drop" dropStyle="combo" dx="16" fmlaLink="'Verwerken verlichting'!$AF$15" fmlaRange="'Verwerken verlichting'!$H$31:$H$33" val="0"/>
</file>

<file path=xl/ctrlProps/ctrlProp872.xml><?xml version="1.0" encoding="utf-8"?>
<formControlPr xmlns="http://schemas.microsoft.com/office/spreadsheetml/2009/9/main" objectType="Drop" dropStyle="combo" dx="16" fmlaLink="'Verwerken verlichting'!$AF$16" fmlaRange="'Verwerken verlichting'!$H$31:$H$33" val="0"/>
</file>

<file path=xl/ctrlProps/ctrlProp873.xml><?xml version="1.0" encoding="utf-8"?>
<formControlPr xmlns="http://schemas.microsoft.com/office/spreadsheetml/2009/9/main" objectType="Drop" dropStyle="combo" dx="16" fmlaLink="'Verwerken verlichting'!$AF$17" fmlaRange="'Verwerken verlichting'!$H$31:$H$33" val="0"/>
</file>

<file path=xl/ctrlProps/ctrlProp874.xml><?xml version="1.0" encoding="utf-8"?>
<formControlPr xmlns="http://schemas.microsoft.com/office/spreadsheetml/2009/9/main" objectType="Drop" dropStyle="combo" dx="16" fmlaLink="'Verwerken verlichting'!$AF$18" fmlaRange="'Verwerken verlichting'!$H$31:$H$33" val="0"/>
</file>

<file path=xl/ctrlProps/ctrlProp875.xml><?xml version="1.0" encoding="utf-8"?>
<formControlPr xmlns="http://schemas.microsoft.com/office/spreadsheetml/2009/9/main" objectType="Drop" dropStyle="combo" dx="16" fmlaLink="'Verwerken verlichting'!$AF$19" fmlaRange="'Verwerken verlichting'!$H$31:$H$33" val="0"/>
</file>

<file path=xl/ctrlProps/ctrlProp876.xml><?xml version="1.0" encoding="utf-8"?>
<formControlPr xmlns="http://schemas.microsoft.com/office/spreadsheetml/2009/9/main" objectType="Drop" dropStyle="combo" dx="16" fmlaLink="'Verwerken verlichting'!$AF$20" fmlaRange="'Verwerken verlichting'!$H$31:$H$33" val="0"/>
</file>

<file path=xl/ctrlProps/ctrlProp877.xml><?xml version="1.0" encoding="utf-8"?>
<formControlPr xmlns="http://schemas.microsoft.com/office/spreadsheetml/2009/9/main" objectType="Drop" dropStyle="combo" dx="16" fmlaLink="'Verwerken verlichting'!$AF$21" fmlaRange="'Verwerken verlichting'!$H$31:$H$33" val="0"/>
</file>

<file path=xl/ctrlProps/ctrlProp878.xml><?xml version="1.0" encoding="utf-8"?>
<formControlPr xmlns="http://schemas.microsoft.com/office/spreadsheetml/2009/9/main" objectType="Drop" dropStyle="combo" dx="16" fmlaLink="'Verwerken verlichting'!$AF$22" fmlaRange="'Verwerken verlichting'!$H$31:$H$33" val="0"/>
</file>

<file path=xl/ctrlProps/ctrlProp879.xml><?xml version="1.0" encoding="utf-8"?>
<formControlPr xmlns="http://schemas.microsoft.com/office/spreadsheetml/2009/9/main" objectType="Drop" dropStyle="combo" dx="16" fmlaLink="'Verwerken verlichting'!$AF$23" fmlaRange="'Verwerken verlichting'!$H$31:$H$33" val="0"/>
</file>

<file path=xl/ctrlProps/ctrlProp88.xml><?xml version="1.0" encoding="utf-8"?>
<formControlPr xmlns="http://schemas.microsoft.com/office/spreadsheetml/2009/9/main" objectType="Drop" dropStyle="combo" dx="16" fmlaLink="'Verwerking Bouwdelen'!$F$3" fmlaRange="'Verwerking Bouwdelen'!$K$59:$K$64" val="0"/>
</file>

<file path=xl/ctrlProps/ctrlProp880.xml><?xml version="1.0" encoding="utf-8"?>
<formControlPr xmlns="http://schemas.microsoft.com/office/spreadsheetml/2009/9/main" objectType="Drop" dropStyle="combo" dx="16" fmlaLink="'Verwerken verlichting'!$AF$24" fmlaRange="'Verwerken verlichting'!$H$31:$H$33" val="0"/>
</file>

<file path=xl/ctrlProps/ctrlProp881.xml><?xml version="1.0" encoding="utf-8"?>
<formControlPr xmlns="http://schemas.microsoft.com/office/spreadsheetml/2009/9/main" objectType="Drop" dropStyle="combo" dx="16" fmlaLink="'Verwerken verlichting'!$AF$25" fmlaRange="'Verwerken verlichting'!$H$31:$H$33" val="0"/>
</file>

<file path=xl/ctrlProps/ctrlProp882.xml><?xml version="1.0" encoding="utf-8"?>
<formControlPr xmlns="http://schemas.microsoft.com/office/spreadsheetml/2009/9/main" objectType="Drop" dropStyle="combo" dx="16" fmlaLink="'Verwerken verlichting'!$AF$26" fmlaRange="'Verwerken verlichting'!$H$31:$H$33" val="0"/>
</file>

<file path=xl/ctrlProps/ctrlProp883.xml><?xml version="1.0" encoding="utf-8"?>
<formControlPr xmlns="http://schemas.microsoft.com/office/spreadsheetml/2009/9/main" objectType="Drop" dropStyle="combo" dx="16" fmlaLink="'Verwerken verlichting'!$AF$27" fmlaRange="'Verwerken verlichting'!$H$31:$H$33" val="0"/>
</file>

<file path=xl/ctrlProps/ctrlProp884.xml><?xml version="1.0" encoding="utf-8"?>
<formControlPr xmlns="http://schemas.microsoft.com/office/spreadsheetml/2009/9/main" objectType="Drop" dropStyle="combo" dx="16" fmlaLink="'Verwerken verlichting'!$AF$28" fmlaRange="'Verwerken verlichting'!$H$31:$H$33" val="0"/>
</file>

<file path=xl/ctrlProps/ctrlProp885.xml><?xml version="1.0" encoding="utf-8"?>
<formControlPr xmlns="http://schemas.microsoft.com/office/spreadsheetml/2009/9/main" objectType="Drop" dropStyle="combo" dx="16" fmlaLink="'Verwerken verlichting'!$F$5" fmlaRange="'Verwerken verlichting'!$K$31:$K$33" val="0"/>
</file>

<file path=xl/ctrlProps/ctrlProp886.xml><?xml version="1.0" encoding="utf-8"?>
<formControlPr xmlns="http://schemas.microsoft.com/office/spreadsheetml/2009/9/main" objectType="Drop" dropStyle="combo" dx="16" fmlaLink="'Verwerken verlichting'!$F$6" fmlaRange="'Verwerken verlichting'!$K$31:$K$33" val="0"/>
</file>

<file path=xl/ctrlProps/ctrlProp887.xml><?xml version="1.0" encoding="utf-8"?>
<formControlPr xmlns="http://schemas.microsoft.com/office/spreadsheetml/2009/9/main" objectType="Drop" dropStyle="combo" dx="16" fmlaLink="'Verwerken verlichting'!$F$7" fmlaRange="'Verwerken verlichting'!$K$31:$K$33" val="0"/>
</file>

<file path=xl/ctrlProps/ctrlProp888.xml><?xml version="1.0" encoding="utf-8"?>
<formControlPr xmlns="http://schemas.microsoft.com/office/spreadsheetml/2009/9/main" objectType="Drop" dropStyle="combo" dx="16" fmlaLink="'Verwerken verlichting'!$F$8" fmlaRange="'Verwerken verlichting'!$K$31:$K$33" val="0"/>
</file>

<file path=xl/ctrlProps/ctrlProp889.xml><?xml version="1.0" encoding="utf-8"?>
<formControlPr xmlns="http://schemas.microsoft.com/office/spreadsheetml/2009/9/main" objectType="Drop" dropStyle="combo" dx="16" fmlaLink="'Verwerken verlichting'!$F$9" fmlaRange="'Verwerken verlichting'!$K$31:$K$33" val="0"/>
</file>

<file path=xl/ctrlProps/ctrlProp89.xml><?xml version="1.0" encoding="utf-8"?>
<formControlPr xmlns="http://schemas.microsoft.com/office/spreadsheetml/2009/9/main" objectType="Drop" dropStyle="combo" dx="16" fmlaLink="'Verwerking Bouwdelen'!$H$3" fmlaRange="'Verwerking Bouwdelen'!$W$106:$W$130" val="0"/>
</file>

<file path=xl/ctrlProps/ctrlProp890.xml><?xml version="1.0" encoding="utf-8"?>
<formControlPr xmlns="http://schemas.microsoft.com/office/spreadsheetml/2009/9/main" objectType="Drop" dropStyle="combo" dx="16" fmlaLink="'Verwerken verlichting'!$F$10" fmlaRange="'Verwerken verlichting'!$K$31:$K$33" val="0"/>
</file>

<file path=xl/ctrlProps/ctrlProp891.xml><?xml version="1.0" encoding="utf-8"?>
<formControlPr xmlns="http://schemas.microsoft.com/office/spreadsheetml/2009/9/main" objectType="Drop" dropStyle="combo" dx="16" fmlaLink="'Verwerken verlichting'!$F$11" fmlaRange="'Verwerken verlichting'!$K$31:$K$33" val="0"/>
</file>

<file path=xl/ctrlProps/ctrlProp892.xml><?xml version="1.0" encoding="utf-8"?>
<formControlPr xmlns="http://schemas.microsoft.com/office/spreadsheetml/2009/9/main" objectType="Drop" dropStyle="combo" dx="16" fmlaLink="'Verwerken verlichting'!$F$12" fmlaRange="'Verwerken verlichting'!$K$31:$K$33" val="0"/>
</file>

<file path=xl/ctrlProps/ctrlProp893.xml><?xml version="1.0" encoding="utf-8"?>
<formControlPr xmlns="http://schemas.microsoft.com/office/spreadsheetml/2009/9/main" objectType="Drop" dropStyle="combo" dx="16" fmlaLink="'Verwerken verlichting'!$F$13" fmlaRange="'Verwerken verlichting'!$K$31:$K$33" val="0"/>
</file>

<file path=xl/ctrlProps/ctrlProp894.xml><?xml version="1.0" encoding="utf-8"?>
<formControlPr xmlns="http://schemas.microsoft.com/office/spreadsheetml/2009/9/main" objectType="Drop" dropStyle="combo" dx="16" fmlaLink="'Verwerken verlichting'!$F$14" fmlaRange="'Verwerken verlichting'!$K$31:$K$33" val="0"/>
</file>

<file path=xl/ctrlProps/ctrlProp895.xml><?xml version="1.0" encoding="utf-8"?>
<formControlPr xmlns="http://schemas.microsoft.com/office/spreadsheetml/2009/9/main" objectType="Drop" dropStyle="combo" dx="16" fmlaLink="'Verwerken verlichting'!$F$15" fmlaRange="'Verwerken verlichting'!$K$31:$K$33" val="0"/>
</file>

<file path=xl/ctrlProps/ctrlProp896.xml><?xml version="1.0" encoding="utf-8"?>
<formControlPr xmlns="http://schemas.microsoft.com/office/spreadsheetml/2009/9/main" objectType="Drop" dropStyle="combo" dx="16" fmlaLink="'Verwerken verlichting'!$F$16" fmlaRange="'Verwerken verlichting'!$K$31:$K$33" val="0"/>
</file>

<file path=xl/ctrlProps/ctrlProp897.xml><?xml version="1.0" encoding="utf-8"?>
<formControlPr xmlns="http://schemas.microsoft.com/office/spreadsheetml/2009/9/main" objectType="Drop" dropStyle="combo" dx="16" fmlaLink="'Verwerken verlichting'!$F$17" fmlaRange="'Verwerken verlichting'!$K$31:$K$33" val="0"/>
</file>

<file path=xl/ctrlProps/ctrlProp898.xml><?xml version="1.0" encoding="utf-8"?>
<formControlPr xmlns="http://schemas.microsoft.com/office/spreadsheetml/2009/9/main" objectType="Drop" dropStyle="combo" dx="16" fmlaLink="'Verwerken verlichting'!$F$18" fmlaRange="'Verwerken verlichting'!$K$31:$K$33" val="0"/>
</file>

<file path=xl/ctrlProps/ctrlProp899.xml><?xml version="1.0" encoding="utf-8"?>
<formControlPr xmlns="http://schemas.microsoft.com/office/spreadsheetml/2009/9/main" objectType="Drop" dropStyle="combo" dx="16" fmlaLink="'Verwerken verlichting'!$F$19" fmlaRange="'Verwerken verlichting'!$K$31:$K$33" val="0"/>
</file>

<file path=xl/ctrlProps/ctrlProp9.xml><?xml version="1.0" encoding="utf-8"?>
<formControlPr xmlns="http://schemas.microsoft.com/office/spreadsheetml/2009/9/main" objectType="Drop" dropStyle="combo" dx="16" fmlaLink="'Verwerken Algemeen'!$B$33" fmlaRange="'Verwerken Algemeen'!$E$24:$E$26" val="0"/>
</file>

<file path=xl/ctrlProps/ctrlProp90.xml><?xml version="1.0" encoding="utf-8"?>
<formControlPr xmlns="http://schemas.microsoft.com/office/spreadsheetml/2009/9/main" objectType="Drop" dropStyle="combo" dx="16" fmlaLink="'Verwerking Bouwdelen'!$I$3" fmlaRange="'Verwerking Bouwdelen'!$M$59:$M$66" val="0"/>
</file>

<file path=xl/ctrlProps/ctrlProp900.xml><?xml version="1.0" encoding="utf-8"?>
<formControlPr xmlns="http://schemas.microsoft.com/office/spreadsheetml/2009/9/main" objectType="Drop" dropStyle="combo" dx="16" fmlaLink="'Verwerken verlichting'!$F$20" fmlaRange="'Verwerken verlichting'!$K$31:$K$33" val="0"/>
</file>

<file path=xl/ctrlProps/ctrlProp901.xml><?xml version="1.0" encoding="utf-8"?>
<formControlPr xmlns="http://schemas.microsoft.com/office/spreadsheetml/2009/9/main" objectType="Drop" dropStyle="combo" dx="16" fmlaLink="'Verwerken verlichting'!$F$21" fmlaRange="'Verwerken verlichting'!$K$31:$K$33" val="0"/>
</file>

<file path=xl/ctrlProps/ctrlProp902.xml><?xml version="1.0" encoding="utf-8"?>
<formControlPr xmlns="http://schemas.microsoft.com/office/spreadsheetml/2009/9/main" objectType="Drop" dropStyle="combo" dx="16" fmlaLink="'Verwerken verlichting'!$F$22" fmlaRange="'Verwerken verlichting'!$K$31:$K$33" val="0"/>
</file>

<file path=xl/ctrlProps/ctrlProp903.xml><?xml version="1.0" encoding="utf-8"?>
<formControlPr xmlns="http://schemas.microsoft.com/office/spreadsheetml/2009/9/main" objectType="Drop" dropStyle="combo" dx="16" fmlaLink="'Verwerken verlichting'!$F$23" fmlaRange="'Verwerken verlichting'!$K$31:$K$33" val="0"/>
</file>

<file path=xl/ctrlProps/ctrlProp904.xml><?xml version="1.0" encoding="utf-8"?>
<formControlPr xmlns="http://schemas.microsoft.com/office/spreadsheetml/2009/9/main" objectType="Drop" dropStyle="combo" dx="16" fmlaLink="'Verwerken verlichting'!$F$24" fmlaRange="'Verwerken verlichting'!$K$31:$K$33" val="0"/>
</file>

<file path=xl/ctrlProps/ctrlProp905.xml><?xml version="1.0" encoding="utf-8"?>
<formControlPr xmlns="http://schemas.microsoft.com/office/spreadsheetml/2009/9/main" objectType="Drop" dropStyle="combo" dx="16" fmlaLink="'Verwerken verlichting'!$F$25" fmlaRange="'Verwerken verlichting'!$K$31:$K$33" val="0"/>
</file>

<file path=xl/ctrlProps/ctrlProp906.xml><?xml version="1.0" encoding="utf-8"?>
<formControlPr xmlns="http://schemas.microsoft.com/office/spreadsheetml/2009/9/main" objectType="Drop" dropStyle="combo" dx="16" fmlaLink="'Verwerken verlichting'!$F$26" fmlaRange="'Verwerken verlichting'!$K$31:$K$33" val="0"/>
</file>

<file path=xl/ctrlProps/ctrlProp907.xml><?xml version="1.0" encoding="utf-8"?>
<formControlPr xmlns="http://schemas.microsoft.com/office/spreadsheetml/2009/9/main" objectType="Drop" dropStyle="combo" dx="16" fmlaLink="'Verwerken verlichting'!$F$27" fmlaRange="'Verwerken verlichting'!$K$31:$K$33" val="0"/>
</file>

<file path=xl/ctrlProps/ctrlProp908.xml><?xml version="1.0" encoding="utf-8"?>
<formControlPr xmlns="http://schemas.microsoft.com/office/spreadsheetml/2009/9/main" objectType="Drop" dropStyle="combo" dx="16" fmlaLink="'Verwerken verlichting'!$F$28" fmlaRange="'Verwerken verlichting'!$K$31:$K$33" val="0"/>
</file>

<file path=xl/ctrlProps/ctrlProp909.xml><?xml version="1.0" encoding="utf-8"?>
<formControlPr xmlns="http://schemas.microsoft.com/office/spreadsheetml/2009/9/main" objectType="Drop" dropStyle="combo" dx="16" fmlaLink="'Verwerken verlichting'!$AF$6" fmlaRange="'Verwerken verlichting'!$H$31:$H$33" val="0"/>
</file>

<file path=xl/ctrlProps/ctrlProp91.xml><?xml version="1.0" encoding="utf-8"?>
<formControlPr xmlns="http://schemas.microsoft.com/office/spreadsheetml/2009/9/main" objectType="Drop" dropStyle="combo" dx="16" fmlaLink="'Verwerking Bouwdelen'!$B$4" fmlaRange="'Verwerking Bouwdelen'!$G$59:$G$68" val="0"/>
</file>

<file path=xl/ctrlProps/ctrlProp910.xml><?xml version="1.0" encoding="utf-8"?>
<formControlPr xmlns="http://schemas.microsoft.com/office/spreadsheetml/2009/9/main" objectType="Drop" dropStyle="combo" dx="16" fmlaLink="'Verwerken verlichting'!$AF$7" fmlaRange="'Verwerken verlichting'!$H$31:$H$33" val="0"/>
</file>

<file path=xl/ctrlProps/ctrlProp911.xml><?xml version="1.0" encoding="utf-8"?>
<formControlPr xmlns="http://schemas.microsoft.com/office/spreadsheetml/2009/9/main" objectType="Drop" dropStyle="combo" dx="16" fmlaLink="'Verwerken verlichting'!$AF$8" fmlaRange="'Verwerken verlichting'!$H$31:$H$33" val="0"/>
</file>

<file path=xl/ctrlProps/ctrlProp912.xml><?xml version="1.0" encoding="utf-8"?>
<formControlPr xmlns="http://schemas.microsoft.com/office/spreadsheetml/2009/9/main" objectType="Drop" dropStyle="combo" dx="16" fmlaLink="'Verwerken verlichting'!$AF$9" fmlaRange="'Verwerken verlichting'!$H$31:$H$33" val="0"/>
</file>

<file path=xl/ctrlProps/ctrlProp913.xml><?xml version="1.0" encoding="utf-8"?>
<formControlPr xmlns="http://schemas.microsoft.com/office/spreadsheetml/2009/9/main" objectType="Drop" dropStyle="combo" dx="16" fmlaLink="'Verwerken verlichting'!$AF$10" fmlaRange="'Verwerken verlichting'!$H$31:$H$33" val="0"/>
</file>

<file path=xl/ctrlProps/ctrlProp914.xml><?xml version="1.0" encoding="utf-8"?>
<formControlPr xmlns="http://schemas.microsoft.com/office/spreadsheetml/2009/9/main" objectType="Drop" dropStyle="combo" dx="16" fmlaLink="'Verwerken verlichting'!$AF$11" fmlaRange="'Verwerken verlichting'!$H$31:$H$33" val="0"/>
</file>

<file path=xl/ctrlProps/ctrlProp915.xml><?xml version="1.0" encoding="utf-8"?>
<formControlPr xmlns="http://schemas.microsoft.com/office/spreadsheetml/2009/9/main" objectType="Drop" dropStyle="combo" dx="16" fmlaLink="'Verwerken verlichting'!$AF$12" fmlaRange="'Verwerken verlichting'!$H$31:$H$33" val="0"/>
</file>

<file path=xl/ctrlProps/ctrlProp916.xml><?xml version="1.0" encoding="utf-8"?>
<formControlPr xmlns="http://schemas.microsoft.com/office/spreadsheetml/2009/9/main" objectType="Drop" dropStyle="combo" dx="16" fmlaLink="'Verwerken verlichting'!$AF$13" fmlaRange="'Verwerken verlichting'!$H$31:$H$33" val="0"/>
</file>

<file path=xl/ctrlProps/ctrlProp917.xml><?xml version="1.0" encoding="utf-8"?>
<formControlPr xmlns="http://schemas.microsoft.com/office/spreadsheetml/2009/9/main" objectType="Drop" dropStyle="combo" dx="16" fmlaLink="'Verwerken verlichting'!$AF$14" fmlaRange="'Verwerken verlichting'!$H$31:$H$33" val="0"/>
</file>

<file path=xl/ctrlProps/ctrlProp918.xml><?xml version="1.0" encoding="utf-8"?>
<formControlPr xmlns="http://schemas.microsoft.com/office/spreadsheetml/2009/9/main" objectType="Drop" dropStyle="combo" dx="16" fmlaLink="'Verwerken verlichting'!$AF$15" fmlaRange="'Verwerken verlichting'!$H$31:$H$33" val="0"/>
</file>

<file path=xl/ctrlProps/ctrlProp919.xml><?xml version="1.0" encoding="utf-8"?>
<formControlPr xmlns="http://schemas.microsoft.com/office/spreadsheetml/2009/9/main" objectType="Drop" dropStyle="combo" dx="16" fmlaLink="'Verwerken verlichting'!$AF$16" fmlaRange="'Verwerken verlichting'!$H$31:$H$33" val="0"/>
</file>

<file path=xl/ctrlProps/ctrlProp92.xml><?xml version="1.0" encoding="utf-8"?>
<formControlPr xmlns="http://schemas.microsoft.com/office/spreadsheetml/2009/9/main" objectType="Drop" dropStyle="combo" dx="16" fmlaLink="'Verwerking Bouwdelen'!$B$5" fmlaRange="'Verwerking Bouwdelen'!$G$59:$G$68" val="0"/>
</file>

<file path=xl/ctrlProps/ctrlProp920.xml><?xml version="1.0" encoding="utf-8"?>
<formControlPr xmlns="http://schemas.microsoft.com/office/spreadsheetml/2009/9/main" objectType="Drop" dropStyle="combo" dx="16" fmlaLink="'Verwerken verlichting'!$AF$17" fmlaRange="'Verwerken verlichting'!$H$31:$H$33" val="0"/>
</file>

<file path=xl/ctrlProps/ctrlProp921.xml><?xml version="1.0" encoding="utf-8"?>
<formControlPr xmlns="http://schemas.microsoft.com/office/spreadsheetml/2009/9/main" objectType="Drop" dropStyle="combo" dx="16" fmlaLink="'Verwerken verlichting'!$AF$18" fmlaRange="'Verwerken verlichting'!$H$31:$H$33" val="0"/>
</file>

<file path=xl/ctrlProps/ctrlProp922.xml><?xml version="1.0" encoding="utf-8"?>
<formControlPr xmlns="http://schemas.microsoft.com/office/spreadsheetml/2009/9/main" objectType="Drop" dropStyle="combo" dx="16" fmlaLink="'Verwerken verlichting'!$AF$19" fmlaRange="'Verwerken verlichting'!$H$31:$H$33" val="0"/>
</file>

<file path=xl/ctrlProps/ctrlProp923.xml><?xml version="1.0" encoding="utf-8"?>
<formControlPr xmlns="http://schemas.microsoft.com/office/spreadsheetml/2009/9/main" objectType="Drop" dropStyle="combo" dx="16" fmlaLink="'Verwerken verlichting'!$AF$20" fmlaRange="'Verwerken verlichting'!$H$31:$H$33" val="0"/>
</file>

<file path=xl/ctrlProps/ctrlProp924.xml><?xml version="1.0" encoding="utf-8"?>
<formControlPr xmlns="http://schemas.microsoft.com/office/spreadsheetml/2009/9/main" objectType="Drop" dropStyle="combo" dx="16" fmlaLink="'Verwerken verlichting'!$AF$21" fmlaRange="'Verwerken verlichting'!$H$31:$H$33" val="0"/>
</file>

<file path=xl/ctrlProps/ctrlProp925.xml><?xml version="1.0" encoding="utf-8"?>
<formControlPr xmlns="http://schemas.microsoft.com/office/spreadsheetml/2009/9/main" objectType="Drop" dropStyle="combo" dx="16" fmlaLink="'Verwerken verlichting'!$AF$22" fmlaRange="'Verwerken verlichting'!$H$31:$H$33" val="0"/>
</file>

<file path=xl/ctrlProps/ctrlProp926.xml><?xml version="1.0" encoding="utf-8"?>
<formControlPr xmlns="http://schemas.microsoft.com/office/spreadsheetml/2009/9/main" objectType="Drop" dropStyle="combo" dx="16" fmlaLink="'Verwerken verlichting'!$AF$23" fmlaRange="'Verwerken verlichting'!$H$31:$H$33" val="0"/>
</file>

<file path=xl/ctrlProps/ctrlProp927.xml><?xml version="1.0" encoding="utf-8"?>
<formControlPr xmlns="http://schemas.microsoft.com/office/spreadsheetml/2009/9/main" objectType="Drop" dropStyle="combo" dx="16" fmlaLink="'Verwerken verlichting'!$AF$24" fmlaRange="'Verwerken verlichting'!$H$31:$H$33" val="0"/>
</file>

<file path=xl/ctrlProps/ctrlProp928.xml><?xml version="1.0" encoding="utf-8"?>
<formControlPr xmlns="http://schemas.microsoft.com/office/spreadsheetml/2009/9/main" objectType="Drop" dropStyle="combo" dx="16" fmlaLink="'Verwerken verlichting'!$AF$25" fmlaRange="'Verwerken verlichting'!$H$31:$H$33" val="0"/>
</file>

<file path=xl/ctrlProps/ctrlProp929.xml><?xml version="1.0" encoding="utf-8"?>
<formControlPr xmlns="http://schemas.microsoft.com/office/spreadsheetml/2009/9/main" objectType="Drop" dropStyle="combo" dx="16" fmlaLink="'Verwerken verlichting'!$AF$26" fmlaRange="'Verwerken verlichting'!$H$31:$H$33" val="0"/>
</file>

<file path=xl/ctrlProps/ctrlProp93.xml><?xml version="1.0" encoding="utf-8"?>
<formControlPr xmlns="http://schemas.microsoft.com/office/spreadsheetml/2009/9/main" objectType="Drop" dropStyle="combo" dx="16" fmlaLink="'Verwerking Bouwdelen'!$B$6" fmlaRange="'Verwerking Bouwdelen'!$G$59:$G$68" val="0"/>
</file>

<file path=xl/ctrlProps/ctrlProp930.xml><?xml version="1.0" encoding="utf-8"?>
<formControlPr xmlns="http://schemas.microsoft.com/office/spreadsheetml/2009/9/main" objectType="Drop" dropStyle="combo" dx="16" fmlaLink="'Verwerken verlichting'!$AF$27" fmlaRange="'Verwerken verlichting'!$H$31:$H$33" val="0"/>
</file>

<file path=xl/ctrlProps/ctrlProp931.xml><?xml version="1.0" encoding="utf-8"?>
<formControlPr xmlns="http://schemas.microsoft.com/office/spreadsheetml/2009/9/main" objectType="Drop" dropStyle="combo" dx="16" fmlaLink="'Verwerken verlichting'!$AF$28" fmlaRange="'Verwerken verlichting'!$H$31:$H$33" val="0"/>
</file>

<file path=xl/ctrlProps/ctrlProp932.xml><?xml version="1.0" encoding="utf-8"?>
<formControlPr xmlns="http://schemas.microsoft.com/office/spreadsheetml/2009/9/main" objectType="Drop" dropStyle="combo" dx="16" fmlaLink="'Verwerken verlichting'!$AF$6" fmlaRange="'Verwerken verlichting'!$H$31:$H$33" val="0"/>
</file>

<file path=xl/ctrlProps/ctrlProp933.xml><?xml version="1.0" encoding="utf-8"?>
<formControlPr xmlns="http://schemas.microsoft.com/office/spreadsheetml/2009/9/main" objectType="Drop" dropStyle="combo" dx="16" fmlaLink="'Verwerken verlichting'!$AF$5" fmlaRange="'Verwerken verlichting'!$H$31:$H$33" val="0"/>
</file>

<file path=xl/ctrlProps/ctrlProp934.xml><?xml version="1.0" encoding="utf-8"?>
<formControlPr xmlns="http://schemas.microsoft.com/office/spreadsheetml/2009/9/main" objectType="Drop" dropStyle="combo" dx="16" fmlaLink="'Verwerken verlichting'!$AF$5" fmlaRange="'Verwerken verlichting'!$H$31:$H$33" val="0"/>
</file>

<file path=xl/ctrlProps/ctrlProp935.xml><?xml version="1.0" encoding="utf-8"?>
<formControlPr xmlns="http://schemas.microsoft.com/office/spreadsheetml/2009/9/main" objectType="Drop" dropStyle="combo" dx="16" fmlaLink="'Verwerken verlichting'!$AF$6" fmlaRange="'Verwerken verlichting'!$H$31:$H$33" val="0"/>
</file>

<file path=xl/ctrlProps/ctrlProp936.xml><?xml version="1.0" encoding="utf-8"?>
<formControlPr xmlns="http://schemas.microsoft.com/office/spreadsheetml/2009/9/main" objectType="Drop" dropStyle="combo" dx="16" fmlaLink="'Verwerken verlichting'!$AF$6" fmlaRange="'Verwerken verlichting'!$H$31:$H$33" val="0"/>
</file>

<file path=xl/ctrlProps/ctrlProp937.xml><?xml version="1.0" encoding="utf-8"?>
<formControlPr xmlns="http://schemas.microsoft.com/office/spreadsheetml/2009/9/main" objectType="Drop" dropStyle="combo" dx="16" fmlaLink="'Verwerken verlichting'!$AF$5" fmlaRange="'Verwerken verlichting'!$H$31:$H$33" val="0"/>
</file>

<file path=xl/ctrlProps/ctrlProp938.xml><?xml version="1.0" encoding="utf-8"?>
<formControlPr xmlns="http://schemas.microsoft.com/office/spreadsheetml/2009/9/main" objectType="Drop" dropStyle="combo" dx="16" fmlaLink="'Verwerken verlichting'!$AF$6" fmlaRange="'Verwerken verlichting'!$H$31:$H$33" val="0"/>
</file>

<file path=xl/ctrlProps/ctrlProp939.xml><?xml version="1.0" encoding="utf-8"?>
<formControlPr xmlns="http://schemas.microsoft.com/office/spreadsheetml/2009/9/main" objectType="Drop" dropStyle="combo" dx="16" fmlaLink="'Verwerken verlichting'!$AF$7" fmlaRange="'Verwerken verlichting'!$H$31:$H$33" val="0"/>
</file>

<file path=xl/ctrlProps/ctrlProp94.xml><?xml version="1.0" encoding="utf-8"?>
<formControlPr xmlns="http://schemas.microsoft.com/office/spreadsheetml/2009/9/main" objectType="Drop" dropStyle="combo" dx="16" fmlaLink="'Verwerking Bouwdelen'!$B$7" fmlaRange="'Verwerking Bouwdelen'!$G$59:$G$68" val="0"/>
</file>

<file path=xl/ctrlProps/ctrlProp940.xml><?xml version="1.0" encoding="utf-8"?>
<formControlPr xmlns="http://schemas.microsoft.com/office/spreadsheetml/2009/9/main" objectType="Drop" dropStyle="combo" dx="16" fmlaLink="'Verwerken verlichting'!$AF$5" fmlaRange="'Verwerken verlichting'!$H$31:$H$33" val="0"/>
</file>

<file path=xl/ctrlProps/ctrlProp941.xml><?xml version="1.0" encoding="utf-8"?>
<formControlPr xmlns="http://schemas.microsoft.com/office/spreadsheetml/2009/9/main" objectType="Drop" dropStyle="combo" dx="16" fmlaLink="'Verwerken verlichting'!$AF$6" fmlaRange="'Verwerken verlichting'!$H$31:$H$33" val="0"/>
</file>

<file path=xl/ctrlProps/ctrlProp942.xml><?xml version="1.0" encoding="utf-8"?>
<formControlPr xmlns="http://schemas.microsoft.com/office/spreadsheetml/2009/9/main" objectType="Drop" dropStyle="combo" dx="16" fmlaLink="'Verwerken verlichting'!$AF$8" fmlaRange="'Verwerken verlichting'!$H$31:$H$33" val="0"/>
</file>

<file path=xl/ctrlProps/ctrlProp943.xml><?xml version="1.0" encoding="utf-8"?>
<formControlPr xmlns="http://schemas.microsoft.com/office/spreadsheetml/2009/9/main" objectType="Drop" dropStyle="combo" dx="16" fmlaLink="'Verwerken verlichting'!$AF$5" fmlaRange="'Verwerken verlichting'!$H$31:$H$33" val="0"/>
</file>

<file path=xl/ctrlProps/ctrlProp944.xml><?xml version="1.0" encoding="utf-8"?>
<formControlPr xmlns="http://schemas.microsoft.com/office/spreadsheetml/2009/9/main" objectType="Drop" dropStyle="combo" dx="16" fmlaLink="'Verwerken verlichting'!$AF$6" fmlaRange="'Verwerken verlichting'!$H$31:$H$33" val="0"/>
</file>

<file path=xl/ctrlProps/ctrlProp945.xml><?xml version="1.0" encoding="utf-8"?>
<formControlPr xmlns="http://schemas.microsoft.com/office/spreadsheetml/2009/9/main" objectType="Drop" dropStyle="combo" dx="16" fmlaLink="'Verwerken verlichting'!$AF$9" fmlaRange="'Verwerken verlichting'!$H$31:$H$33" val="0"/>
</file>

<file path=xl/ctrlProps/ctrlProp946.xml><?xml version="1.0" encoding="utf-8"?>
<formControlPr xmlns="http://schemas.microsoft.com/office/spreadsheetml/2009/9/main" objectType="Drop" dropStyle="combo" dx="16" fmlaLink="'Verwerken verlichting'!$AF$5" fmlaRange="'Verwerken verlichting'!$H$31:$H$33" val="0"/>
</file>

<file path=xl/ctrlProps/ctrlProp947.xml><?xml version="1.0" encoding="utf-8"?>
<formControlPr xmlns="http://schemas.microsoft.com/office/spreadsheetml/2009/9/main" objectType="Drop" dropStyle="combo" dx="16" fmlaLink="'Verwerken verlichting'!$AF$6" fmlaRange="'Verwerken verlichting'!$H$31:$H$33" val="0"/>
</file>

<file path=xl/ctrlProps/ctrlProp948.xml><?xml version="1.0" encoding="utf-8"?>
<formControlPr xmlns="http://schemas.microsoft.com/office/spreadsheetml/2009/9/main" objectType="Drop" dropStyle="combo" dx="16" fmlaLink="'Verwerken verlichting'!$AF$10" fmlaRange="'Verwerken verlichting'!$H$31:$H$33" val="0"/>
</file>

<file path=xl/ctrlProps/ctrlProp949.xml><?xml version="1.0" encoding="utf-8"?>
<formControlPr xmlns="http://schemas.microsoft.com/office/spreadsheetml/2009/9/main" objectType="Drop" dropStyle="combo" dx="16" fmlaLink="'Verwerken verlichting'!$AF$5" fmlaRange="'Verwerken verlichting'!$H$31:$H$33" val="0"/>
</file>

<file path=xl/ctrlProps/ctrlProp95.xml><?xml version="1.0" encoding="utf-8"?>
<formControlPr xmlns="http://schemas.microsoft.com/office/spreadsheetml/2009/9/main" objectType="Drop" dropStyle="combo" dx="16" fmlaLink="'Verwerking Bouwdelen'!$B$8" fmlaRange="'Verwerking Bouwdelen'!$G$59:$G$68" val="0"/>
</file>

<file path=xl/ctrlProps/ctrlProp950.xml><?xml version="1.0" encoding="utf-8"?>
<formControlPr xmlns="http://schemas.microsoft.com/office/spreadsheetml/2009/9/main" objectType="Drop" dropStyle="combo" dx="16" fmlaLink="'Verwerken verlichting'!$AF$6" fmlaRange="'Verwerken verlichting'!$H$31:$H$33" val="0"/>
</file>

<file path=xl/ctrlProps/ctrlProp951.xml><?xml version="1.0" encoding="utf-8"?>
<formControlPr xmlns="http://schemas.microsoft.com/office/spreadsheetml/2009/9/main" objectType="Drop" dropStyle="combo" dx="16" fmlaLink="'Verwerken verlichting'!$AF$11" fmlaRange="'Verwerken verlichting'!$H$31:$H$33" val="0"/>
</file>

<file path=xl/ctrlProps/ctrlProp952.xml><?xml version="1.0" encoding="utf-8"?>
<formControlPr xmlns="http://schemas.microsoft.com/office/spreadsheetml/2009/9/main" objectType="Drop" dropStyle="combo" dx="16" fmlaLink="'Verwerken verlichting'!$AF$5" fmlaRange="'Verwerken verlichting'!$H$31:$H$33" val="0"/>
</file>

<file path=xl/ctrlProps/ctrlProp953.xml><?xml version="1.0" encoding="utf-8"?>
<formControlPr xmlns="http://schemas.microsoft.com/office/spreadsheetml/2009/9/main" objectType="Drop" dropStyle="combo" dx="16" fmlaLink="'Verwerken verlichting'!$AF$6" fmlaRange="'Verwerken verlichting'!$H$31:$H$33" val="0"/>
</file>

<file path=xl/ctrlProps/ctrlProp954.xml><?xml version="1.0" encoding="utf-8"?>
<formControlPr xmlns="http://schemas.microsoft.com/office/spreadsheetml/2009/9/main" objectType="Drop" dropStyle="combo" dx="16" fmlaLink="'Verwerken verlichting'!$AF$12" fmlaRange="'Verwerken verlichting'!$H$31:$H$33" val="0"/>
</file>

<file path=xl/ctrlProps/ctrlProp955.xml><?xml version="1.0" encoding="utf-8"?>
<formControlPr xmlns="http://schemas.microsoft.com/office/spreadsheetml/2009/9/main" objectType="Drop" dropStyle="combo" dx="16" fmlaLink="'Verwerken verlichting'!$AF$5" fmlaRange="'Verwerken verlichting'!$H$31:$H$33" val="0"/>
</file>

<file path=xl/ctrlProps/ctrlProp956.xml><?xml version="1.0" encoding="utf-8"?>
<formControlPr xmlns="http://schemas.microsoft.com/office/spreadsheetml/2009/9/main" objectType="Drop" dropStyle="combo" dx="16" fmlaLink="'Verwerken verlichting'!$AF$6" fmlaRange="'Verwerken verlichting'!$H$31:$H$33" val="0"/>
</file>

<file path=xl/ctrlProps/ctrlProp957.xml><?xml version="1.0" encoding="utf-8"?>
<formControlPr xmlns="http://schemas.microsoft.com/office/spreadsheetml/2009/9/main" objectType="Drop" dropStyle="combo" dx="16" fmlaLink="'Verwerken verlichting'!$AF$13" fmlaRange="'Verwerken verlichting'!$H$31:$H$33" val="0"/>
</file>

<file path=xl/ctrlProps/ctrlProp958.xml><?xml version="1.0" encoding="utf-8"?>
<formControlPr xmlns="http://schemas.microsoft.com/office/spreadsheetml/2009/9/main" objectType="Drop" dropStyle="combo" dx="16" fmlaLink="'Verwerken verlichting'!$AF$5" fmlaRange="'Verwerken verlichting'!$H$31:$H$33" val="0"/>
</file>

<file path=xl/ctrlProps/ctrlProp959.xml><?xml version="1.0" encoding="utf-8"?>
<formControlPr xmlns="http://schemas.microsoft.com/office/spreadsheetml/2009/9/main" objectType="Drop" dropStyle="combo" dx="16" fmlaLink="'Verwerken verlichting'!$AF$6" fmlaRange="'Verwerken verlichting'!$H$31:$H$33" val="0"/>
</file>

<file path=xl/ctrlProps/ctrlProp96.xml><?xml version="1.0" encoding="utf-8"?>
<formControlPr xmlns="http://schemas.microsoft.com/office/spreadsheetml/2009/9/main" objectType="Drop" dropStyle="combo" dx="16" fmlaLink="'Verwerking Bouwdelen'!$B$9" fmlaRange="'Verwerking Bouwdelen'!$G$59:$G$68" val="0"/>
</file>

<file path=xl/ctrlProps/ctrlProp960.xml><?xml version="1.0" encoding="utf-8"?>
<formControlPr xmlns="http://schemas.microsoft.com/office/spreadsheetml/2009/9/main" objectType="Drop" dropStyle="combo" dx="16" fmlaLink="'Verwerken verlichting'!$AF$14" fmlaRange="'Verwerken verlichting'!$H$31:$H$33" val="0"/>
</file>

<file path=xl/ctrlProps/ctrlProp961.xml><?xml version="1.0" encoding="utf-8"?>
<formControlPr xmlns="http://schemas.microsoft.com/office/spreadsheetml/2009/9/main" objectType="Drop" dropStyle="combo" dx="16" fmlaLink="'Verwerken verlichting'!$AF$5" fmlaRange="'Verwerken verlichting'!$H$31:$H$33" val="0"/>
</file>

<file path=xl/ctrlProps/ctrlProp962.xml><?xml version="1.0" encoding="utf-8"?>
<formControlPr xmlns="http://schemas.microsoft.com/office/spreadsheetml/2009/9/main" objectType="Drop" dropStyle="combo" dx="16" fmlaLink="'Verwerken verlichting'!$AF$6" fmlaRange="'Verwerken verlichting'!$H$31:$H$33" val="0"/>
</file>

<file path=xl/ctrlProps/ctrlProp963.xml><?xml version="1.0" encoding="utf-8"?>
<formControlPr xmlns="http://schemas.microsoft.com/office/spreadsheetml/2009/9/main" objectType="Drop" dropStyle="combo" dx="16" fmlaLink="'Verwerken verlichting'!$AF$15" fmlaRange="'Verwerken verlichting'!$H$31:$H$33" val="0"/>
</file>

<file path=xl/ctrlProps/ctrlProp964.xml><?xml version="1.0" encoding="utf-8"?>
<formControlPr xmlns="http://schemas.microsoft.com/office/spreadsheetml/2009/9/main" objectType="Drop" dropStyle="combo" dx="16" fmlaLink="'Verwerken verlichting'!$AF$5" fmlaRange="'Verwerken verlichting'!$H$31:$H$33" val="0"/>
</file>

<file path=xl/ctrlProps/ctrlProp965.xml><?xml version="1.0" encoding="utf-8"?>
<formControlPr xmlns="http://schemas.microsoft.com/office/spreadsheetml/2009/9/main" objectType="Drop" dropStyle="combo" dx="16" fmlaLink="'Verwerken verlichting'!$AF$6" fmlaRange="'Verwerken verlichting'!$H$31:$H$33" val="0"/>
</file>

<file path=xl/ctrlProps/ctrlProp966.xml><?xml version="1.0" encoding="utf-8"?>
<formControlPr xmlns="http://schemas.microsoft.com/office/spreadsheetml/2009/9/main" objectType="Drop" dropStyle="combo" dx="16" fmlaLink="'Verwerken verlichting'!$AF$16" fmlaRange="'Verwerken verlichting'!$H$31:$H$33" val="0"/>
</file>

<file path=xl/ctrlProps/ctrlProp967.xml><?xml version="1.0" encoding="utf-8"?>
<formControlPr xmlns="http://schemas.microsoft.com/office/spreadsheetml/2009/9/main" objectType="Drop" dropStyle="combo" dx="16" fmlaLink="'Verwerken verlichting'!$AF$5" fmlaRange="'Verwerken verlichting'!$H$31:$H$33" val="0"/>
</file>

<file path=xl/ctrlProps/ctrlProp968.xml><?xml version="1.0" encoding="utf-8"?>
<formControlPr xmlns="http://schemas.microsoft.com/office/spreadsheetml/2009/9/main" objectType="Drop" dropStyle="combo" dx="16" fmlaLink="'Verwerken verlichting'!$AF$6" fmlaRange="'Verwerken verlichting'!$H$31:$H$33" val="0"/>
</file>

<file path=xl/ctrlProps/ctrlProp969.xml><?xml version="1.0" encoding="utf-8"?>
<formControlPr xmlns="http://schemas.microsoft.com/office/spreadsheetml/2009/9/main" objectType="Drop" dropStyle="combo" dx="16" fmlaLink="'Verwerken verlichting'!$AF$17" fmlaRange="'Verwerken verlichting'!$H$31:$H$33" val="0"/>
</file>

<file path=xl/ctrlProps/ctrlProp97.xml><?xml version="1.0" encoding="utf-8"?>
<formControlPr xmlns="http://schemas.microsoft.com/office/spreadsheetml/2009/9/main" objectType="Drop" dropStyle="combo" dx="16" fmlaLink="'Verwerking Bouwdelen'!$B$10" fmlaRange="'Verwerking Bouwdelen'!$G$59:$G$68" val="0"/>
</file>

<file path=xl/ctrlProps/ctrlProp970.xml><?xml version="1.0" encoding="utf-8"?>
<formControlPr xmlns="http://schemas.microsoft.com/office/spreadsheetml/2009/9/main" objectType="Drop" dropStyle="combo" dx="16" fmlaLink="'Verwerken verlichting'!$AF$5" fmlaRange="'Verwerken verlichting'!$H$31:$H$33" val="0"/>
</file>

<file path=xl/ctrlProps/ctrlProp971.xml><?xml version="1.0" encoding="utf-8"?>
<formControlPr xmlns="http://schemas.microsoft.com/office/spreadsheetml/2009/9/main" objectType="Drop" dropStyle="combo" dx="16" fmlaLink="'Verwerken verlichting'!$AF$6" fmlaRange="'Verwerken verlichting'!$H$31:$H$33" val="0"/>
</file>

<file path=xl/ctrlProps/ctrlProp972.xml><?xml version="1.0" encoding="utf-8"?>
<formControlPr xmlns="http://schemas.microsoft.com/office/spreadsheetml/2009/9/main" objectType="Drop" dropStyle="combo" dx="16" fmlaLink="'Verwerken verlichting'!$AF$18" fmlaRange="'Verwerken verlichting'!$H$31:$H$33" val="0"/>
</file>

<file path=xl/ctrlProps/ctrlProp973.xml><?xml version="1.0" encoding="utf-8"?>
<formControlPr xmlns="http://schemas.microsoft.com/office/spreadsheetml/2009/9/main" objectType="Drop" dropStyle="combo" dx="16" fmlaLink="'Verwerken verlichting'!$AF$5" fmlaRange="'Verwerken verlichting'!$H$31:$H$33" val="0"/>
</file>

<file path=xl/ctrlProps/ctrlProp974.xml><?xml version="1.0" encoding="utf-8"?>
<formControlPr xmlns="http://schemas.microsoft.com/office/spreadsheetml/2009/9/main" objectType="Drop" dropStyle="combo" dx="16" fmlaLink="'Verwerken verlichting'!$AF$6" fmlaRange="'Verwerken verlichting'!$H$31:$H$33" val="0"/>
</file>

<file path=xl/ctrlProps/ctrlProp975.xml><?xml version="1.0" encoding="utf-8"?>
<formControlPr xmlns="http://schemas.microsoft.com/office/spreadsheetml/2009/9/main" objectType="Drop" dropStyle="combo" dx="16" fmlaLink="'Verwerken verlichting'!$AF$19" fmlaRange="'Verwerken verlichting'!$H$31:$H$33" val="0"/>
</file>

<file path=xl/ctrlProps/ctrlProp976.xml><?xml version="1.0" encoding="utf-8"?>
<formControlPr xmlns="http://schemas.microsoft.com/office/spreadsheetml/2009/9/main" objectType="Drop" dropStyle="combo" dx="16" fmlaLink="'Verwerken verlichting'!$AF$5" fmlaRange="'Verwerken verlichting'!$H$31:$H$33" val="0"/>
</file>

<file path=xl/ctrlProps/ctrlProp977.xml><?xml version="1.0" encoding="utf-8"?>
<formControlPr xmlns="http://schemas.microsoft.com/office/spreadsheetml/2009/9/main" objectType="Drop" dropStyle="combo" dx="16" fmlaLink="'Verwerken verlichting'!$AF$6" fmlaRange="'Verwerken verlichting'!$H$31:$H$33" val="0"/>
</file>

<file path=xl/ctrlProps/ctrlProp978.xml><?xml version="1.0" encoding="utf-8"?>
<formControlPr xmlns="http://schemas.microsoft.com/office/spreadsheetml/2009/9/main" objectType="Drop" dropStyle="combo" dx="16" fmlaLink="'Verwerken verlichting'!$AF$20" fmlaRange="'Verwerken verlichting'!$H$31:$H$33" val="0"/>
</file>

<file path=xl/ctrlProps/ctrlProp979.xml><?xml version="1.0" encoding="utf-8"?>
<formControlPr xmlns="http://schemas.microsoft.com/office/spreadsheetml/2009/9/main" objectType="Drop" dropStyle="combo" dx="16" fmlaLink="'Verwerken verlichting'!$AF$5" fmlaRange="'Verwerken verlichting'!$H$31:$H$33" val="0"/>
</file>

<file path=xl/ctrlProps/ctrlProp98.xml><?xml version="1.0" encoding="utf-8"?>
<formControlPr xmlns="http://schemas.microsoft.com/office/spreadsheetml/2009/9/main" objectType="Drop" dropStyle="combo" dx="16" fmlaLink="'Verwerking Bouwdelen'!$B$11" fmlaRange="'Verwerking Bouwdelen'!$G$59:$G$68" val="0"/>
</file>

<file path=xl/ctrlProps/ctrlProp980.xml><?xml version="1.0" encoding="utf-8"?>
<formControlPr xmlns="http://schemas.microsoft.com/office/spreadsheetml/2009/9/main" objectType="Drop" dropStyle="combo" dx="16" fmlaLink="'Verwerken verlichting'!$AF$6" fmlaRange="'Verwerken verlichting'!$H$31:$H$33" val="0"/>
</file>

<file path=xl/ctrlProps/ctrlProp981.xml><?xml version="1.0" encoding="utf-8"?>
<formControlPr xmlns="http://schemas.microsoft.com/office/spreadsheetml/2009/9/main" objectType="Drop" dropStyle="combo" dx="16" fmlaLink="'Verwerken verlichting'!$AF$21" fmlaRange="'Verwerken verlichting'!$H$31:$H$33" val="0"/>
</file>

<file path=xl/ctrlProps/ctrlProp982.xml><?xml version="1.0" encoding="utf-8"?>
<formControlPr xmlns="http://schemas.microsoft.com/office/spreadsheetml/2009/9/main" objectType="Drop" dropStyle="combo" dx="16" fmlaLink="'Verwerken verlichting'!$AF$5" fmlaRange="'Verwerken verlichting'!$H$31:$H$33" val="0"/>
</file>

<file path=xl/ctrlProps/ctrlProp983.xml><?xml version="1.0" encoding="utf-8"?>
<formControlPr xmlns="http://schemas.microsoft.com/office/spreadsheetml/2009/9/main" objectType="Drop" dropStyle="combo" dx="16" fmlaLink="'Verwerken verlichting'!$AF$6" fmlaRange="'Verwerken verlichting'!$H$31:$H$33" val="0"/>
</file>

<file path=xl/ctrlProps/ctrlProp984.xml><?xml version="1.0" encoding="utf-8"?>
<formControlPr xmlns="http://schemas.microsoft.com/office/spreadsheetml/2009/9/main" objectType="Drop" dropStyle="combo" dx="16" fmlaLink="'Verwerken verlichting'!$AF$22" fmlaRange="'Verwerken verlichting'!$H$31:$H$33" val="0"/>
</file>

<file path=xl/ctrlProps/ctrlProp985.xml><?xml version="1.0" encoding="utf-8"?>
<formControlPr xmlns="http://schemas.microsoft.com/office/spreadsheetml/2009/9/main" objectType="Drop" dropStyle="combo" dx="16" fmlaLink="'Verwerken verlichting'!$AF$5" fmlaRange="'Verwerken verlichting'!$H$31:$H$33" val="0"/>
</file>

<file path=xl/ctrlProps/ctrlProp986.xml><?xml version="1.0" encoding="utf-8"?>
<formControlPr xmlns="http://schemas.microsoft.com/office/spreadsheetml/2009/9/main" objectType="Drop" dropStyle="combo" dx="16" fmlaLink="'Verwerken verlichting'!$AF$6" fmlaRange="'Verwerken verlichting'!$H$31:$H$33" val="0"/>
</file>

<file path=xl/ctrlProps/ctrlProp987.xml><?xml version="1.0" encoding="utf-8"?>
<formControlPr xmlns="http://schemas.microsoft.com/office/spreadsheetml/2009/9/main" objectType="Drop" dropStyle="combo" dx="16" fmlaLink="'Verwerken verlichting'!$AF$23" fmlaRange="'Verwerken verlichting'!$H$31:$H$33" val="0"/>
</file>

<file path=xl/ctrlProps/ctrlProp988.xml><?xml version="1.0" encoding="utf-8"?>
<formControlPr xmlns="http://schemas.microsoft.com/office/spreadsheetml/2009/9/main" objectType="Drop" dropStyle="combo" dx="16" fmlaLink="'Verwerken verlichting'!$AF$5" fmlaRange="'Verwerken verlichting'!$H$31:$H$33" val="0"/>
</file>

<file path=xl/ctrlProps/ctrlProp989.xml><?xml version="1.0" encoding="utf-8"?>
<formControlPr xmlns="http://schemas.microsoft.com/office/spreadsheetml/2009/9/main" objectType="Drop" dropStyle="combo" dx="16" fmlaLink="'Verwerken verlichting'!$AF$6" fmlaRange="'Verwerken verlichting'!$H$31:$H$33" val="0"/>
</file>

<file path=xl/ctrlProps/ctrlProp99.xml><?xml version="1.0" encoding="utf-8"?>
<formControlPr xmlns="http://schemas.microsoft.com/office/spreadsheetml/2009/9/main" objectType="Drop" dropStyle="combo" dx="16" fmlaLink="'Verwerking Bouwdelen'!$B$12" fmlaRange="'Verwerking Bouwdelen'!$G$59:$G$68" val="0"/>
</file>

<file path=xl/ctrlProps/ctrlProp990.xml><?xml version="1.0" encoding="utf-8"?>
<formControlPr xmlns="http://schemas.microsoft.com/office/spreadsheetml/2009/9/main" objectType="Drop" dropStyle="combo" dx="16" fmlaLink="'Verwerken verlichting'!$AF$24" fmlaRange="'Verwerken verlichting'!$H$31:$H$33" val="0"/>
</file>

<file path=xl/ctrlProps/ctrlProp991.xml><?xml version="1.0" encoding="utf-8"?>
<formControlPr xmlns="http://schemas.microsoft.com/office/spreadsheetml/2009/9/main" objectType="Drop" dropStyle="combo" dx="16" fmlaLink="'Verwerken verlichting'!$AF$5" fmlaRange="'Verwerken verlichting'!$H$31:$H$33" val="0"/>
</file>

<file path=xl/ctrlProps/ctrlProp992.xml><?xml version="1.0" encoding="utf-8"?>
<formControlPr xmlns="http://schemas.microsoft.com/office/spreadsheetml/2009/9/main" objectType="Drop" dropStyle="combo" dx="16" fmlaLink="'Verwerken verlichting'!$AF$6" fmlaRange="'Verwerken verlichting'!$H$31:$H$33" val="0"/>
</file>

<file path=xl/ctrlProps/ctrlProp993.xml><?xml version="1.0" encoding="utf-8"?>
<formControlPr xmlns="http://schemas.microsoft.com/office/spreadsheetml/2009/9/main" objectType="Drop" dropStyle="combo" dx="16" fmlaLink="'Verwerken verlichting'!$AF$25" fmlaRange="'Verwerken verlichting'!$H$31:$H$33" val="0"/>
</file>

<file path=xl/ctrlProps/ctrlProp994.xml><?xml version="1.0" encoding="utf-8"?>
<formControlPr xmlns="http://schemas.microsoft.com/office/spreadsheetml/2009/9/main" objectType="Drop" dropStyle="combo" dx="16" fmlaLink="'Verwerken verlichting'!$AF$5" fmlaRange="'Verwerken verlichting'!$H$31:$H$33" val="0"/>
</file>

<file path=xl/ctrlProps/ctrlProp995.xml><?xml version="1.0" encoding="utf-8"?>
<formControlPr xmlns="http://schemas.microsoft.com/office/spreadsheetml/2009/9/main" objectType="Drop" dropStyle="combo" dx="16" fmlaLink="'Verwerken verlichting'!$AF$6" fmlaRange="'Verwerken verlichting'!$H$31:$H$33" val="0"/>
</file>

<file path=xl/ctrlProps/ctrlProp996.xml><?xml version="1.0" encoding="utf-8"?>
<formControlPr xmlns="http://schemas.microsoft.com/office/spreadsheetml/2009/9/main" objectType="Drop" dropStyle="combo" dx="16" fmlaLink="'Verwerken verlichting'!$AF$26" fmlaRange="'Verwerken verlichting'!$H$31:$H$33" val="0"/>
</file>

<file path=xl/ctrlProps/ctrlProp997.xml><?xml version="1.0" encoding="utf-8"?>
<formControlPr xmlns="http://schemas.microsoft.com/office/spreadsheetml/2009/9/main" objectType="Drop" dropStyle="combo" dx="16" fmlaLink="'Verwerken verlichting'!$AF$5" fmlaRange="'Verwerken verlichting'!$H$31:$H$33" val="0"/>
</file>

<file path=xl/ctrlProps/ctrlProp998.xml><?xml version="1.0" encoding="utf-8"?>
<formControlPr xmlns="http://schemas.microsoft.com/office/spreadsheetml/2009/9/main" objectType="Drop" dropStyle="combo" dx="16" fmlaLink="'Verwerken verlichting'!$AF$6" fmlaRange="'Verwerken verlichting'!$H$31:$H$33" val="0"/>
</file>

<file path=xl/ctrlProps/ctrlProp999.xml><?xml version="1.0" encoding="utf-8"?>
<formControlPr xmlns="http://schemas.microsoft.com/office/spreadsheetml/2009/9/main" objectType="Drop" dropStyle="combo" dx="16" fmlaLink="'Verwerken verlichting'!$AF$5" fmlaRange="'Verwerken verlichting'!$H$31:$H$33" val="0"/>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152400</xdr:rowOff>
        </xdr:from>
        <xdr:to>
          <xdr:col>2</xdr:col>
          <xdr:colOff>0</xdr:colOff>
          <xdr:row>5</xdr:row>
          <xdr:rowOff>28575</xdr:rowOff>
        </xdr:to>
        <xdr:sp macro="" textlink="">
          <xdr:nvSpPr>
            <xdr:cNvPr id="20481" name="Drop Down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18</xdr:row>
          <xdr:rowOff>9525</xdr:rowOff>
        </xdr:to>
        <xdr:sp macro="" textlink="">
          <xdr:nvSpPr>
            <xdr:cNvPr id="20486" name="Drop Down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0</xdr:rowOff>
        </xdr:from>
        <xdr:to>
          <xdr:col>11</xdr:col>
          <xdr:colOff>0</xdr:colOff>
          <xdr:row>19</xdr:row>
          <xdr:rowOff>9525</xdr:rowOff>
        </xdr:to>
        <xdr:sp macro="" textlink="">
          <xdr:nvSpPr>
            <xdr:cNvPr id="20487" name="Drop Down 7" hidden="1">
              <a:extLst>
                <a:ext uri="{63B3BB69-23CF-44E3-9099-C40C66FF867C}">
                  <a14:compatExt spid="_x0000_s20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9525</xdr:rowOff>
        </xdr:to>
        <xdr:sp macro="" textlink="">
          <xdr:nvSpPr>
            <xdr:cNvPr id="20488" name="Drop Down 8" hidden="1">
              <a:extLst>
                <a:ext uri="{63B3BB69-23CF-44E3-9099-C40C66FF867C}">
                  <a14:compatExt spid="_x0000_s20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152400</xdr:rowOff>
        </xdr:from>
        <xdr:to>
          <xdr:col>11</xdr:col>
          <xdr:colOff>0</xdr:colOff>
          <xdr:row>16</xdr:row>
          <xdr:rowOff>0</xdr:rowOff>
        </xdr:to>
        <xdr:sp macro="" textlink="">
          <xdr:nvSpPr>
            <xdr:cNvPr id="20489" name="Drop Down 9" hidden="1">
              <a:extLst>
                <a:ext uri="{63B3BB69-23CF-44E3-9099-C40C66FF867C}">
                  <a14:compatExt spid="_x0000_s20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152400</xdr:rowOff>
        </xdr:from>
        <xdr:to>
          <xdr:col>12</xdr:col>
          <xdr:colOff>0</xdr:colOff>
          <xdr:row>16</xdr:row>
          <xdr:rowOff>0</xdr:rowOff>
        </xdr:to>
        <xdr:sp macro="" textlink="">
          <xdr:nvSpPr>
            <xdr:cNvPr id="20490" name="Drop Down 10" hidden="1">
              <a:extLst>
                <a:ext uri="{63B3BB69-23CF-44E3-9099-C40C66FF867C}">
                  <a14:compatExt spid="_x0000_s20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9525</xdr:rowOff>
        </xdr:to>
        <xdr:sp macro="" textlink="">
          <xdr:nvSpPr>
            <xdr:cNvPr id="20491" name="Drop Down 11" hidden="1">
              <a:extLst>
                <a:ext uri="{63B3BB69-23CF-44E3-9099-C40C66FF867C}">
                  <a14:compatExt spid="_x0000_s20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9525</xdr:rowOff>
        </xdr:from>
        <xdr:to>
          <xdr:col>12</xdr:col>
          <xdr:colOff>0</xdr:colOff>
          <xdr:row>18</xdr:row>
          <xdr:rowOff>19050</xdr:rowOff>
        </xdr:to>
        <xdr:sp macro="" textlink="">
          <xdr:nvSpPr>
            <xdr:cNvPr id="20492" name="Drop Down 12" hidden="1">
              <a:extLst>
                <a:ext uri="{63B3BB69-23CF-44E3-9099-C40C66FF867C}">
                  <a14:compatExt spid="_x0000_s20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9525</xdr:rowOff>
        </xdr:from>
        <xdr:to>
          <xdr:col>12</xdr:col>
          <xdr:colOff>0</xdr:colOff>
          <xdr:row>19</xdr:row>
          <xdr:rowOff>19050</xdr:rowOff>
        </xdr:to>
        <xdr:sp macro="" textlink="">
          <xdr:nvSpPr>
            <xdr:cNvPr id="20493" name="Drop Down 13" hidden="1">
              <a:extLst>
                <a:ext uri="{63B3BB69-23CF-44E3-9099-C40C66FF867C}">
                  <a14:compatExt spid="_x0000_s20493"/>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2419350</xdr:colOff>
          <xdr:row>3</xdr:row>
          <xdr:rowOff>38100</xdr:rowOff>
        </xdr:to>
        <xdr:sp macro="" textlink="">
          <xdr:nvSpPr>
            <xdr:cNvPr id="19457" name="Drop Down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142875</xdr:rowOff>
        </xdr:from>
        <xdr:to>
          <xdr:col>1</xdr:col>
          <xdr:colOff>2419350</xdr:colOff>
          <xdr:row>6</xdr:row>
          <xdr:rowOff>180975</xdr:rowOff>
        </xdr:to>
        <xdr:sp macro="" textlink="">
          <xdr:nvSpPr>
            <xdr:cNvPr id="19458" name="Drop Down 2" hidden="1">
              <a:extLst>
                <a:ext uri="{63B3BB69-23CF-44E3-9099-C40C66FF867C}">
                  <a14:compatExt spid="_x0000_s19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180975</xdr:rowOff>
        </xdr:from>
        <xdr:to>
          <xdr:col>1</xdr:col>
          <xdr:colOff>2428875</xdr:colOff>
          <xdr:row>8</xdr:row>
          <xdr:rowOff>19050</xdr:rowOff>
        </xdr:to>
        <xdr:sp macro="" textlink="">
          <xdr:nvSpPr>
            <xdr:cNvPr id="19459" name="Drop Down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xdr:row>
          <xdr:rowOff>9525</xdr:rowOff>
        </xdr:from>
        <xdr:to>
          <xdr:col>2</xdr:col>
          <xdr:colOff>0</xdr:colOff>
          <xdr:row>9</xdr:row>
          <xdr:rowOff>19050</xdr:rowOff>
        </xdr:to>
        <xdr:sp macro="" textlink="">
          <xdr:nvSpPr>
            <xdr:cNvPr id="19460" name="Drop Down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3076575</xdr:colOff>
          <xdr:row>12</xdr:row>
          <xdr:rowOff>0</xdr:rowOff>
        </xdr:from>
        <xdr:to>
          <xdr:col>1</xdr:col>
          <xdr:colOff>2419350</xdr:colOff>
          <xdr:row>13</xdr:row>
          <xdr:rowOff>28575</xdr:rowOff>
        </xdr:to>
        <xdr:sp macro="" textlink="">
          <xdr:nvSpPr>
            <xdr:cNvPr id="19461" name="Drop Down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1</xdr:col>
          <xdr:colOff>2428875</xdr:colOff>
          <xdr:row>14</xdr:row>
          <xdr:rowOff>28575</xdr:rowOff>
        </xdr:to>
        <xdr:sp macro="" textlink="">
          <xdr:nvSpPr>
            <xdr:cNvPr id="19462" name="Drop Down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38100</xdr:rowOff>
        </xdr:from>
        <xdr:to>
          <xdr:col>1</xdr:col>
          <xdr:colOff>2428875</xdr:colOff>
          <xdr:row>15</xdr:row>
          <xdr:rowOff>66675</xdr:rowOff>
        </xdr:to>
        <xdr:sp macro="" textlink="">
          <xdr:nvSpPr>
            <xdr:cNvPr id="19463" name="Drop Down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2419350</xdr:colOff>
          <xdr:row>20</xdr:row>
          <xdr:rowOff>38100</xdr:rowOff>
        </xdr:to>
        <xdr:sp macro="" textlink="">
          <xdr:nvSpPr>
            <xdr:cNvPr id="19464" name="Drop Down 8" hidden="1">
              <a:extLst>
                <a:ext uri="{63B3BB69-23CF-44E3-9099-C40C66FF867C}">
                  <a14:compatExt spid="_x0000_s19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2</xdr:col>
          <xdr:colOff>0</xdr:colOff>
          <xdr:row>22</xdr:row>
          <xdr:rowOff>38100</xdr:rowOff>
        </xdr:to>
        <xdr:sp macro="" textlink="">
          <xdr:nvSpPr>
            <xdr:cNvPr id="19465" name="Drop Down 9" hidden="1">
              <a:extLst>
                <a:ext uri="{63B3BB69-23CF-44E3-9099-C40C66FF867C}">
                  <a14:compatExt spid="_x0000_s19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2</xdr:col>
          <xdr:colOff>0</xdr:colOff>
          <xdr:row>22</xdr:row>
          <xdr:rowOff>219075</xdr:rowOff>
        </xdr:to>
        <xdr:sp macro="" textlink="">
          <xdr:nvSpPr>
            <xdr:cNvPr id="19466" name="Drop Down 10" hidden="1">
              <a:extLst>
                <a:ext uri="{63B3BB69-23CF-44E3-9099-C40C66FF867C}">
                  <a14:compatExt spid="_x0000_s19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0</xdr:rowOff>
        </xdr:from>
        <xdr:to>
          <xdr:col>2</xdr:col>
          <xdr:colOff>0</xdr:colOff>
          <xdr:row>24</xdr:row>
          <xdr:rowOff>38100</xdr:rowOff>
        </xdr:to>
        <xdr:sp macro="" textlink="">
          <xdr:nvSpPr>
            <xdr:cNvPr id="19467" name="Drop Down 11" hidden="1">
              <a:extLst>
                <a:ext uri="{63B3BB69-23CF-44E3-9099-C40C66FF867C}">
                  <a14:compatExt spid="_x0000_s19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0</xdr:colOff>
          <xdr:row>25</xdr:row>
          <xdr:rowOff>38100</xdr:rowOff>
        </xdr:to>
        <xdr:sp macro="" textlink="">
          <xdr:nvSpPr>
            <xdr:cNvPr id="19468" name="Drop Down 12" hidden="1">
              <a:extLst>
                <a:ext uri="{63B3BB69-23CF-44E3-9099-C40C66FF867C}">
                  <a14:compatExt spid="_x0000_s19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2419350</xdr:colOff>
          <xdr:row>17</xdr:row>
          <xdr:rowOff>38100</xdr:rowOff>
        </xdr:to>
        <xdr:sp macro="" textlink="">
          <xdr:nvSpPr>
            <xdr:cNvPr id="19469" name="Drop Down 13" hidden="1">
              <a:extLst>
                <a:ext uri="{63B3BB69-23CF-44E3-9099-C40C66FF867C}">
                  <a14:compatExt spid="_x0000_s19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2</xdr:col>
          <xdr:colOff>0</xdr:colOff>
          <xdr:row>27</xdr:row>
          <xdr:rowOff>38100</xdr:rowOff>
        </xdr:to>
        <xdr:sp macro="" textlink="">
          <xdr:nvSpPr>
            <xdr:cNvPr id="19470" name="Drop Down 14" hidden="1">
              <a:extLst>
                <a:ext uri="{63B3BB69-23CF-44E3-9099-C40C66FF867C}">
                  <a14:compatExt spid="_x0000_s19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xdr:row>
          <xdr:rowOff>0</xdr:rowOff>
        </xdr:from>
        <xdr:to>
          <xdr:col>10</xdr:col>
          <xdr:colOff>2419350</xdr:colOff>
          <xdr:row>3</xdr:row>
          <xdr:rowOff>38100</xdr:rowOff>
        </xdr:to>
        <xdr:sp macro="" textlink="">
          <xdr:nvSpPr>
            <xdr:cNvPr id="19471" name="Drop Down 15" hidden="1">
              <a:extLst>
                <a:ext uri="{63B3BB69-23CF-44E3-9099-C40C66FF867C}">
                  <a14:compatExt spid="_x0000_s19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11</xdr:col>
          <xdr:colOff>0</xdr:colOff>
          <xdr:row>7</xdr:row>
          <xdr:rowOff>28575</xdr:rowOff>
        </xdr:to>
        <xdr:sp macro="" textlink="">
          <xdr:nvSpPr>
            <xdr:cNvPr id="19472" name="Drop Down 16" hidden="1">
              <a:extLst>
                <a:ext uri="{63B3BB69-23CF-44E3-9099-C40C66FF867C}">
                  <a14:compatExt spid="_x0000_s19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10</xdr:col>
          <xdr:colOff>2419350</xdr:colOff>
          <xdr:row>8</xdr:row>
          <xdr:rowOff>28575</xdr:rowOff>
        </xdr:to>
        <xdr:sp macro="" textlink="">
          <xdr:nvSpPr>
            <xdr:cNvPr id="19473" name="Drop Down 17" hidden="1">
              <a:extLst>
                <a:ext uri="{63B3BB69-23CF-44E3-9099-C40C66FF867C}">
                  <a14:compatExt spid="_x0000_s19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10</xdr:col>
          <xdr:colOff>2419350</xdr:colOff>
          <xdr:row>9</xdr:row>
          <xdr:rowOff>9525</xdr:rowOff>
        </xdr:to>
        <xdr:sp macro="" textlink="">
          <xdr:nvSpPr>
            <xdr:cNvPr id="19474" name="Drop Down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10</xdr:col>
          <xdr:colOff>2419350</xdr:colOff>
          <xdr:row>13</xdr:row>
          <xdr:rowOff>28575</xdr:rowOff>
        </xdr:to>
        <xdr:sp macro="" textlink="">
          <xdr:nvSpPr>
            <xdr:cNvPr id="19475" name="Drop Down 19" hidden="1">
              <a:extLst>
                <a:ext uri="{63B3BB69-23CF-44E3-9099-C40C66FF867C}">
                  <a14:compatExt spid="_x0000_s19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10</xdr:col>
          <xdr:colOff>2419350</xdr:colOff>
          <xdr:row>14</xdr:row>
          <xdr:rowOff>28575</xdr:rowOff>
        </xdr:to>
        <xdr:sp macro="" textlink="">
          <xdr:nvSpPr>
            <xdr:cNvPr id="19476" name="Drop Down 20" hidden="1">
              <a:extLst>
                <a:ext uri="{63B3BB69-23CF-44E3-9099-C40C66FF867C}">
                  <a14:compatExt spid="_x0000_s19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10</xdr:col>
          <xdr:colOff>2419350</xdr:colOff>
          <xdr:row>15</xdr:row>
          <xdr:rowOff>28575</xdr:rowOff>
        </xdr:to>
        <xdr:sp macro="" textlink="">
          <xdr:nvSpPr>
            <xdr:cNvPr id="19477" name="Drop Down 21" hidden="1">
              <a:extLst>
                <a:ext uri="{63B3BB69-23CF-44E3-9099-C40C66FF867C}">
                  <a14:compatExt spid="_x0000_s19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10</xdr:col>
          <xdr:colOff>2419350</xdr:colOff>
          <xdr:row>17</xdr:row>
          <xdr:rowOff>38100</xdr:rowOff>
        </xdr:to>
        <xdr:sp macro="" textlink="">
          <xdr:nvSpPr>
            <xdr:cNvPr id="19478" name="Drop Down 22" hidden="1">
              <a:extLst>
                <a:ext uri="{63B3BB69-23CF-44E3-9099-C40C66FF867C}">
                  <a14:compatExt spid="_x0000_s19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10</xdr:col>
          <xdr:colOff>2419350</xdr:colOff>
          <xdr:row>20</xdr:row>
          <xdr:rowOff>38100</xdr:rowOff>
        </xdr:to>
        <xdr:sp macro="" textlink="">
          <xdr:nvSpPr>
            <xdr:cNvPr id="19479" name="Drop Down 23" hidden="1">
              <a:extLst>
                <a:ext uri="{63B3BB69-23CF-44E3-9099-C40C66FF867C}">
                  <a14:compatExt spid="_x0000_s19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21</xdr:row>
          <xdr:rowOff>0</xdr:rowOff>
        </xdr:from>
        <xdr:to>
          <xdr:col>11</xdr:col>
          <xdr:colOff>0</xdr:colOff>
          <xdr:row>22</xdr:row>
          <xdr:rowOff>38100</xdr:rowOff>
        </xdr:to>
        <xdr:sp macro="" textlink="">
          <xdr:nvSpPr>
            <xdr:cNvPr id="19480" name="Drop Down 24" hidden="1">
              <a:extLst>
                <a:ext uri="{63B3BB69-23CF-44E3-9099-C40C66FF867C}">
                  <a14:compatExt spid="_x0000_s19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28575</xdr:rowOff>
        </xdr:from>
        <xdr:to>
          <xdr:col>10</xdr:col>
          <xdr:colOff>2428875</xdr:colOff>
          <xdr:row>23</xdr:row>
          <xdr:rowOff>9525</xdr:rowOff>
        </xdr:to>
        <xdr:sp macro="" textlink="">
          <xdr:nvSpPr>
            <xdr:cNvPr id="19481" name="Drop Down 25" hidden="1">
              <a:extLst>
                <a:ext uri="{63B3BB69-23CF-44E3-9099-C40C66FF867C}">
                  <a14:compatExt spid="_x0000_s19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23</xdr:row>
          <xdr:rowOff>0</xdr:rowOff>
        </xdr:from>
        <xdr:to>
          <xdr:col>11</xdr:col>
          <xdr:colOff>0</xdr:colOff>
          <xdr:row>24</xdr:row>
          <xdr:rowOff>38100</xdr:rowOff>
        </xdr:to>
        <xdr:sp macro="" textlink="">
          <xdr:nvSpPr>
            <xdr:cNvPr id="19482" name="Drop Down 26" hidden="1">
              <a:extLst>
                <a:ext uri="{63B3BB69-23CF-44E3-9099-C40C66FF867C}">
                  <a14:compatExt spid="_x0000_s19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24</xdr:row>
          <xdr:rowOff>0</xdr:rowOff>
        </xdr:from>
        <xdr:to>
          <xdr:col>11</xdr:col>
          <xdr:colOff>0</xdr:colOff>
          <xdr:row>25</xdr:row>
          <xdr:rowOff>38100</xdr:rowOff>
        </xdr:to>
        <xdr:sp macro="" textlink="">
          <xdr:nvSpPr>
            <xdr:cNvPr id="19483" name="Drop Down 27" hidden="1">
              <a:extLst>
                <a:ext uri="{63B3BB69-23CF-44E3-9099-C40C66FF867C}">
                  <a14:compatExt spid="_x0000_s19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26</xdr:row>
          <xdr:rowOff>0</xdr:rowOff>
        </xdr:from>
        <xdr:to>
          <xdr:col>11</xdr:col>
          <xdr:colOff>0</xdr:colOff>
          <xdr:row>27</xdr:row>
          <xdr:rowOff>38100</xdr:rowOff>
        </xdr:to>
        <xdr:sp macro="" textlink="">
          <xdr:nvSpPr>
            <xdr:cNvPr id="19484" name="Drop Down 28" hidden="1">
              <a:extLst>
                <a:ext uri="{63B3BB69-23CF-44E3-9099-C40C66FF867C}">
                  <a14:compatExt spid="_x0000_s19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2419350</xdr:colOff>
          <xdr:row>5</xdr:row>
          <xdr:rowOff>19050</xdr:rowOff>
        </xdr:to>
        <xdr:sp macro="" textlink="">
          <xdr:nvSpPr>
            <xdr:cNvPr id="19485" name="Drop Down 29" hidden="1">
              <a:extLst>
                <a:ext uri="{63B3BB69-23CF-44E3-9099-C40C66FF867C}">
                  <a14:compatExt spid="_x0000_s19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4</xdr:row>
          <xdr:rowOff>19050</xdr:rowOff>
        </xdr:from>
        <xdr:to>
          <xdr:col>10</xdr:col>
          <xdr:colOff>2409825</xdr:colOff>
          <xdr:row>5</xdr:row>
          <xdr:rowOff>38100</xdr:rowOff>
        </xdr:to>
        <xdr:sp macro="" textlink="">
          <xdr:nvSpPr>
            <xdr:cNvPr id="19486" name="Drop Down 30" hidden="1">
              <a:extLst>
                <a:ext uri="{63B3BB69-23CF-44E3-9099-C40C66FF867C}">
                  <a14:compatExt spid="_x0000_s19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1847850</xdr:colOff>
          <xdr:row>7</xdr:row>
          <xdr:rowOff>28575</xdr:rowOff>
        </xdr:to>
        <xdr:sp macro="" textlink="">
          <xdr:nvSpPr>
            <xdr:cNvPr id="19487" name="Drop Down 31" hidden="1">
              <a:extLst>
                <a:ext uri="{63B3BB69-23CF-44E3-9099-C40C66FF867C}">
                  <a14:compatExt spid="_x0000_s19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9525</xdr:rowOff>
        </xdr:from>
        <xdr:to>
          <xdr:col>8</xdr:col>
          <xdr:colOff>1866900</xdr:colOff>
          <xdr:row>13</xdr:row>
          <xdr:rowOff>57150</xdr:rowOff>
        </xdr:to>
        <xdr:sp macro="" textlink="">
          <xdr:nvSpPr>
            <xdr:cNvPr id="19488" name="Drop Down 32" hidden="1">
              <a:extLst>
                <a:ext uri="{63B3BB69-23CF-44E3-9099-C40C66FF867C}">
                  <a14:compatExt spid="_x0000_s19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0</xdr:rowOff>
        </xdr:from>
        <xdr:to>
          <xdr:col>8</xdr:col>
          <xdr:colOff>1866900</xdr:colOff>
          <xdr:row>27</xdr:row>
          <xdr:rowOff>28575</xdr:rowOff>
        </xdr:to>
        <xdr:sp macro="" textlink="">
          <xdr:nvSpPr>
            <xdr:cNvPr id="19489" name="Drop Down 33" hidden="1">
              <a:extLst>
                <a:ext uri="{63B3BB69-23CF-44E3-9099-C40C66FF867C}">
                  <a14:compatExt spid="_x0000_s19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2419350</xdr:colOff>
          <xdr:row>4</xdr:row>
          <xdr:rowOff>28575</xdr:rowOff>
        </xdr:to>
        <xdr:sp macro="" textlink="">
          <xdr:nvSpPr>
            <xdr:cNvPr id="19490" name="Drop Down 34" hidden="1">
              <a:extLst>
                <a:ext uri="{63B3BB69-23CF-44E3-9099-C40C66FF867C}">
                  <a14:compatExt spid="_x0000_s19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0</xdr:rowOff>
        </xdr:from>
        <xdr:to>
          <xdr:col>10</xdr:col>
          <xdr:colOff>2419350</xdr:colOff>
          <xdr:row>4</xdr:row>
          <xdr:rowOff>28575</xdr:rowOff>
        </xdr:to>
        <xdr:sp macro="" textlink="">
          <xdr:nvSpPr>
            <xdr:cNvPr id="19491" name="Drop Down 35" hidden="1">
              <a:extLst>
                <a:ext uri="{63B3BB69-23CF-44E3-9099-C40C66FF867C}">
                  <a14:compatExt spid="_x0000_s19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0</xdr:rowOff>
        </xdr:from>
        <xdr:to>
          <xdr:col>5</xdr:col>
          <xdr:colOff>0</xdr:colOff>
          <xdr:row>7</xdr:row>
          <xdr:rowOff>19050</xdr:rowOff>
        </xdr:to>
        <xdr:sp macro="" textlink="">
          <xdr:nvSpPr>
            <xdr:cNvPr id="19492" name="Drop Down 36" hidden="1">
              <a:extLst>
                <a:ext uri="{63B3BB69-23CF-44E3-9099-C40C66FF867C}">
                  <a14:compatExt spid="_x0000_s19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0</xdr:rowOff>
        </xdr:from>
        <xdr:to>
          <xdr:col>2</xdr:col>
          <xdr:colOff>0</xdr:colOff>
          <xdr:row>9</xdr:row>
          <xdr:rowOff>219075</xdr:rowOff>
        </xdr:to>
        <xdr:sp macro="" textlink="">
          <xdr:nvSpPr>
            <xdr:cNvPr id="19494" name="Drop Down 38" hidden="1">
              <a:extLst>
                <a:ext uri="{63B3BB69-23CF-44E3-9099-C40C66FF867C}">
                  <a14:compatExt spid="_x0000_s19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2419350</xdr:colOff>
          <xdr:row>11</xdr:row>
          <xdr:rowOff>28575</xdr:rowOff>
        </xdr:to>
        <xdr:sp macro="" textlink="">
          <xdr:nvSpPr>
            <xdr:cNvPr id="19496" name="Drop Down 40" hidden="1">
              <a:extLst>
                <a:ext uri="{63B3BB69-23CF-44E3-9099-C40C66FF867C}">
                  <a14:compatExt spid="_x0000_s19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5</xdr:col>
          <xdr:colOff>0</xdr:colOff>
          <xdr:row>8</xdr:row>
          <xdr:rowOff>19050</xdr:rowOff>
        </xdr:to>
        <xdr:sp macro="" textlink="">
          <xdr:nvSpPr>
            <xdr:cNvPr id="19497" name="Drop Down 41" hidden="1">
              <a:extLst>
                <a:ext uri="{63B3BB69-23CF-44E3-9099-C40C66FF867C}">
                  <a14:compatExt spid="_x0000_s19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0</xdr:rowOff>
        </xdr:from>
        <xdr:to>
          <xdr:col>5</xdr:col>
          <xdr:colOff>0</xdr:colOff>
          <xdr:row>9</xdr:row>
          <xdr:rowOff>0</xdr:rowOff>
        </xdr:to>
        <xdr:sp macro="" textlink="">
          <xdr:nvSpPr>
            <xdr:cNvPr id="19498" name="Drop Down 42" hidden="1">
              <a:extLst>
                <a:ext uri="{63B3BB69-23CF-44E3-9099-C40C66FF867C}">
                  <a14:compatExt spid="_x0000_s19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5</xdr:col>
          <xdr:colOff>0</xdr:colOff>
          <xdr:row>9</xdr:row>
          <xdr:rowOff>209550</xdr:rowOff>
        </xdr:to>
        <xdr:sp macro="" textlink="">
          <xdr:nvSpPr>
            <xdr:cNvPr id="19499" name="Drop Down 43" hidden="1">
              <a:extLst>
                <a:ext uri="{63B3BB69-23CF-44E3-9099-C40C66FF867C}">
                  <a14:compatExt spid="_x0000_s19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9525</xdr:rowOff>
        </xdr:from>
        <xdr:to>
          <xdr:col>4</xdr:col>
          <xdr:colOff>552450</xdr:colOff>
          <xdr:row>11</xdr:row>
          <xdr:rowOff>19050</xdr:rowOff>
        </xdr:to>
        <xdr:sp macro="" textlink="">
          <xdr:nvSpPr>
            <xdr:cNvPr id="19500" name="Drop Down 44" hidden="1">
              <a:extLst>
                <a:ext uri="{63B3BB69-23CF-44E3-9099-C40C66FF867C}">
                  <a14:compatExt spid="_x0000_s19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10</xdr:col>
          <xdr:colOff>2419350</xdr:colOff>
          <xdr:row>9</xdr:row>
          <xdr:rowOff>219075</xdr:rowOff>
        </xdr:to>
        <xdr:sp macro="" textlink="">
          <xdr:nvSpPr>
            <xdr:cNvPr id="19501" name="Drop Down 45" hidden="1">
              <a:extLst>
                <a:ext uri="{63B3BB69-23CF-44E3-9099-C40C66FF867C}">
                  <a14:compatExt spid="_x0000_s19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10</xdr:col>
          <xdr:colOff>2419350</xdr:colOff>
          <xdr:row>11</xdr:row>
          <xdr:rowOff>28575</xdr:rowOff>
        </xdr:to>
        <xdr:sp macro="" textlink="">
          <xdr:nvSpPr>
            <xdr:cNvPr id="19502" name="Drop Down 46" hidden="1">
              <a:extLst>
                <a:ext uri="{63B3BB69-23CF-44E3-9099-C40C66FF867C}">
                  <a14:compatExt spid="_x0000_s19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xdr:row>
          <xdr:rowOff>0</xdr:rowOff>
        </xdr:from>
        <xdr:to>
          <xdr:col>14</xdr:col>
          <xdr:colOff>0</xdr:colOff>
          <xdr:row>7</xdr:row>
          <xdr:rowOff>19050</xdr:rowOff>
        </xdr:to>
        <xdr:sp macro="" textlink="">
          <xdr:nvSpPr>
            <xdr:cNvPr id="19503" name="Drop Down 47" hidden="1">
              <a:extLst>
                <a:ext uri="{63B3BB69-23CF-44E3-9099-C40C66FF867C}">
                  <a14:compatExt spid="_x0000_s19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0</xdr:rowOff>
        </xdr:from>
        <xdr:to>
          <xdr:col>14</xdr:col>
          <xdr:colOff>0</xdr:colOff>
          <xdr:row>8</xdr:row>
          <xdr:rowOff>19050</xdr:rowOff>
        </xdr:to>
        <xdr:sp macro="" textlink="">
          <xdr:nvSpPr>
            <xdr:cNvPr id="19504" name="Drop Down 48" hidden="1">
              <a:extLst>
                <a:ext uri="{63B3BB69-23CF-44E3-9099-C40C66FF867C}">
                  <a14:compatExt spid="_x0000_s19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19505" name="Drop Down 49" hidden="1">
              <a:extLst>
                <a:ext uri="{63B3BB69-23CF-44E3-9099-C40C66FF867C}">
                  <a14:compatExt spid="_x0000_s19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9</xdr:row>
          <xdr:rowOff>209550</xdr:rowOff>
        </xdr:to>
        <xdr:sp macro="" textlink="">
          <xdr:nvSpPr>
            <xdr:cNvPr id="19506" name="Drop Down 50" hidden="1">
              <a:extLst>
                <a:ext uri="{63B3BB69-23CF-44E3-9099-C40C66FF867C}">
                  <a14:compatExt spid="_x0000_s19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9525</xdr:rowOff>
        </xdr:from>
        <xdr:to>
          <xdr:col>14</xdr:col>
          <xdr:colOff>0</xdr:colOff>
          <xdr:row>11</xdr:row>
          <xdr:rowOff>28575</xdr:rowOff>
        </xdr:to>
        <xdr:sp macro="" textlink="">
          <xdr:nvSpPr>
            <xdr:cNvPr id="19507" name="Drop Down 51" hidden="1">
              <a:extLst>
                <a:ext uri="{63B3BB69-23CF-44E3-9099-C40C66FF867C}">
                  <a14:compatExt spid="_x0000_s19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180975</xdr:rowOff>
        </xdr:from>
        <xdr:to>
          <xdr:col>5</xdr:col>
          <xdr:colOff>38100</xdr:colOff>
          <xdr:row>13</xdr:row>
          <xdr:rowOff>0</xdr:rowOff>
        </xdr:to>
        <xdr:sp macro="" textlink="">
          <xdr:nvSpPr>
            <xdr:cNvPr id="19513" name="Drop Down 57" hidden="1">
              <a:extLst>
                <a:ext uri="{63B3BB69-23CF-44E3-9099-C40C66FF867C}">
                  <a14:compatExt spid="_x0000_s19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180975</xdr:rowOff>
        </xdr:from>
        <xdr:to>
          <xdr:col>5</xdr:col>
          <xdr:colOff>38100</xdr:colOff>
          <xdr:row>15</xdr:row>
          <xdr:rowOff>0</xdr:rowOff>
        </xdr:to>
        <xdr:sp macro="" textlink="">
          <xdr:nvSpPr>
            <xdr:cNvPr id="19514" name="Drop Down 58" hidden="1">
              <a:extLst>
                <a:ext uri="{63B3BB69-23CF-44E3-9099-C40C66FF867C}">
                  <a14:compatExt spid="_x0000_s19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180975</xdr:rowOff>
        </xdr:from>
        <xdr:to>
          <xdr:col>5</xdr:col>
          <xdr:colOff>38100</xdr:colOff>
          <xdr:row>14</xdr:row>
          <xdr:rowOff>0</xdr:rowOff>
        </xdr:to>
        <xdr:sp macro="" textlink="">
          <xdr:nvSpPr>
            <xdr:cNvPr id="19515" name="Drop Down 59" hidden="1">
              <a:extLst>
                <a:ext uri="{63B3BB69-23CF-44E3-9099-C40C66FF867C}">
                  <a14:compatExt spid="_x0000_s19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38100</xdr:colOff>
          <xdr:row>13</xdr:row>
          <xdr:rowOff>9525</xdr:rowOff>
        </xdr:to>
        <xdr:sp macro="" textlink="">
          <xdr:nvSpPr>
            <xdr:cNvPr id="19518" name="Drop Down 62" hidden="1">
              <a:extLst>
                <a:ext uri="{63B3BB69-23CF-44E3-9099-C40C66FF867C}">
                  <a14:compatExt spid="_x0000_s19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171450</xdr:rowOff>
        </xdr:from>
        <xdr:to>
          <xdr:col>14</xdr:col>
          <xdr:colOff>38100</xdr:colOff>
          <xdr:row>13</xdr:row>
          <xdr:rowOff>180975</xdr:rowOff>
        </xdr:to>
        <xdr:sp macro="" textlink="">
          <xdr:nvSpPr>
            <xdr:cNvPr id="19519" name="Drop Down 63" hidden="1">
              <a:extLst>
                <a:ext uri="{63B3BB69-23CF-44E3-9099-C40C66FF867C}">
                  <a14:compatExt spid="_x0000_s19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14</xdr:row>
          <xdr:rowOff>0</xdr:rowOff>
        </xdr:from>
        <xdr:to>
          <xdr:col>14</xdr:col>
          <xdr:colOff>47625</xdr:colOff>
          <xdr:row>15</xdr:row>
          <xdr:rowOff>9525</xdr:rowOff>
        </xdr:to>
        <xdr:sp macro="" textlink="">
          <xdr:nvSpPr>
            <xdr:cNvPr id="19520" name="Drop Down 64" hidden="1">
              <a:extLst>
                <a:ext uri="{63B3BB69-23CF-44E3-9099-C40C66FF867C}">
                  <a14:compatExt spid="_x0000_s19520"/>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19050</xdr:colOff>
          <xdr:row>3</xdr:row>
          <xdr:rowOff>38100</xdr:rowOff>
        </xdr:to>
        <xdr:sp macro="" textlink="">
          <xdr:nvSpPr>
            <xdr:cNvPr id="22529" name="Drop Down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161925</xdr:rowOff>
        </xdr:from>
        <xdr:to>
          <xdr:col>2</xdr:col>
          <xdr:colOff>19050</xdr:colOff>
          <xdr:row>7</xdr:row>
          <xdr:rowOff>9525</xdr:rowOff>
        </xdr:to>
        <xdr:sp macro="" textlink="">
          <xdr:nvSpPr>
            <xdr:cNvPr id="22530" name="Drop Down 2" hidden="1">
              <a:extLst>
                <a:ext uri="{63B3BB69-23CF-44E3-9099-C40C66FF867C}">
                  <a14:compatExt spid="_x0000_s2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1704975</xdr:colOff>
          <xdr:row>6</xdr:row>
          <xdr:rowOff>171450</xdr:rowOff>
        </xdr:from>
        <xdr:to>
          <xdr:col>2</xdr:col>
          <xdr:colOff>9525</xdr:colOff>
          <xdr:row>8</xdr:row>
          <xdr:rowOff>9525</xdr:rowOff>
        </xdr:to>
        <xdr:sp macro="" textlink="">
          <xdr:nvSpPr>
            <xdr:cNvPr id="22531" name="Drop Down 3" hidden="1">
              <a:extLst>
                <a:ext uri="{63B3BB69-23CF-44E3-9099-C40C66FF867C}">
                  <a14:compatExt spid="_x0000_s2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1704975</xdr:colOff>
          <xdr:row>8</xdr:row>
          <xdr:rowOff>0</xdr:rowOff>
        </xdr:from>
        <xdr:to>
          <xdr:col>2</xdr:col>
          <xdr:colOff>9525</xdr:colOff>
          <xdr:row>9</xdr:row>
          <xdr:rowOff>28575</xdr:rowOff>
        </xdr:to>
        <xdr:sp macro="" textlink="">
          <xdr:nvSpPr>
            <xdr:cNvPr id="22532" name="Drop Down 4" hidden="1">
              <a:extLst>
                <a:ext uri="{63B3BB69-23CF-44E3-9099-C40C66FF867C}">
                  <a14:compatExt spid="_x0000_s2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1704975</xdr:colOff>
          <xdr:row>12</xdr:row>
          <xdr:rowOff>0</xdr:rowOff>
        </xdr:from>
        <xdr:to>
          <xdr:col>2</xdr:col>
          <xdr:colOff>9525</xdr:colOff>
          <xdr:row>13</xdr:row>
          <xdr:rowOff>28575</xdr:rowOff>
        </xdr:to>
        <xdr:sp macro="" textlink="">
          <xdr:nvSpPr>
            <xdr:cNvPr id="22533" name="Drop Down 5" hidden="1">
              <a:extLst>
                <a:ext uri="{63B3BB69-23CF-44E3-9099-C40C66FF867C}">
                  <a14:compatExt spid="_x0000_s2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2</xdr:col>
          <xdr:colOff>19050</xdr:colOff>
          <xdr:row>14</xdr:row>
          <xdr:rowOff>38100</xdr:rowOff>
        </xdr:to>
        <xdr:sp macro="" textlink="">
          <xdr:nvSpPr>
            <xdr:cNvPr id="22534" name="Drop Down 6" hidden="1">
              <a:extLst>
                <a:ext uri="{63B3BB69-23CF-44E3-9099-C40C66FF867C}">
                  <a14:compatExt spid="_x0000_s2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1695450</xdr:colOff>
          <xdr:row>14</xdr:row>
          <xdr:rowOff>0</xdr:rowOff>
        </xdr:from>
        <xdr:to>
          <xdr:col>2</xdr:col>
          <xdr:colOff>0</xdr:colOff>
          <xdr:row>15</xdr:row>
          <xdr:rowOff>28575</xdr:rowOff>
        </xdr:to>
        <xdr:sp macro="" textlink="">
          <xdr:nvSpPr>
            <xdr:cNvPr id="22535" name="Drop Down 7" hidden="1">
              <a:extLst>
                <a:ext uri="{63B3BB69-23CF-44E3-9099-C40C66FF867C}">
                  <a14:compatExt spid="_x0000_s22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2</xdr:col>
          <xdr:colOff>19050</xdr:colOff>
          <xdr:row>20</xdr:row>
          <xdr:rowOff>38100</xdr:rowOff>
        </xdr:to>
        <xdr:sp macro="" textlink="">
          <xdr:nvSpPr>
            <xdr:cNvPr id="22536" name="Drop Down 8" hidden="1">
              <a:extLst>
                <a:ext uri="{63B3BB69-23CF-44E3-9099-C40C66FF867C}">
                  <a14:compatExt spid="_x0000_s22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2</xdr:col>
          <xdr:colOff>38100</xdr:colOff>
          <xdr:row>22</xdr:row>
          <xdr:rowOff>38100</xdr:rowOff>
        </xdr:to>
        <xdr:sp macro="" textlink="">
          <xdr:nvSpPr>
            <xdr:cNvPr id="22537" name="Drop Down 9" hidden="1">
              <a:extLst>
                <a:ext uri="{63B3BB69-23CF-44E3-9099-C40C66FF867C}">
                  <a14:compatExt spid="_x0000_s22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2</xdr:col>
          <xdr:colOff>19050</xdr:colOff>
          <xdr:row>23</xdr:row>
          <xdr:rowOff>9525</xdr:rowOff>
        </xdr:to>
        <xdr:sp macro="" textlink="">
          <xdr:nvSpPr>
            <xdr:cNvPr id="22538" name="Drop Down 10" hidden="1">
              <a:extLst>
                <a:ext uri="{63B3BB69-23CF-44E3-9099-C40C66FF867C}">
                  <a14:compatExt spid="_x0000_s22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0</xdr:rowOff>
        </xdr:from>
        <xdr:to>
          <xdr:col>2</xdr:col>
          <xdr:colOff>38100</xdr:colOff>
          <xdr:row>24</xdr:row>
          <xdr:rowOff>38100</xdr:rowOff>
        </xdr:to>
        <xdr:sp macro="" textlink="">
          <xdr:nvSpPr>
            <xdr:cNvPr id="22539" name="Drop Down 11" hidden="1">
              <a:extLst>
                <a:ext uri="{63B3BB69-23CF-44E3-9099-C40C66FF867C}">
                  <a14:compatExt spid="_x0000_s22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38100</xdr:colOff>
          <xdr:row>25</xdr:row>
          <xdr:rowOff>38100</xdr:rowOff>
        </xdr:to>
        <xdr:sp macro="" textlink="">
          <xdr:nvSpPr>
            <xdr:cNvPr id="22540" name="Drop Down 12" hidden="1">
              <a:extLst>
                <a:ext uri="{63B3BB69-23CF-44E3-9099-C40C66FF867C}">
                  <a14:compatExt spid="_x0000_s22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2</xdr:col>
          <xdr:colOff>19050</xdr:colOff>
          <xdr:row>17</xdr:row>
          <xdr:rowOff>38100</xdr:rowOff>
        </xdr:to>
        <xdr:sp macro="" textlink="">
          <xdr:nvSpPr>
            <xdr:cNvPr id="22541" name="Drop Down 13" hidden="1">
              <a:extLst>
                <a:ext uri="{63B3BB69-23CF-44E3-9099-C40C66FF867C}">
                  <a14:compatExt spid="_x0000_s22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2</xdr:col>
          <xdr:colOff>38100</xdr:colOff>
          <xdr:row>27</xdr:row>
          <xdr:rowOff>38100</xdr:rowOff>
        </xdr:to>
        <xdr:sp macro="" textlink="">
          <xdr:nvSpPr>
            <xdr:cNvPr id="22542" name="Drop Down 14" hidden="1">
              <a:extLst>
                <a:ext uri="{63B3BB69-23CF-44E3-9099-C40C66FF867C}">
                  <a14:compatExt spid="_x0000_s22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xdr:row>
          <xdr:rowOff>0</xdr:rowOff>
        </xdr:from>
        <xdr:to>
          <xdr:col>10</xdr:col>
          <xdr:colOff>2419350</xdr:colOff>
          <xdr:row>3</xdr:row>
          <xdr:rowOff>38100</xdr:rowOff>
        </xdr:to>
        <xdr:sp macro="" textlink="">
          <xdr:nvSpPr>
            <xdr:cNvPr id="22543" name="Drop Down 15" hidden="1">
              <a:extLst>
                <a:ext uri="{63B3BB69-23CF-44E3-9099-C40C66FF867C}">
                  <a14:compatExt spid="_x0000_s22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11</xdr:col>
          <xdr:colOff>0</xdr:colOff>
          <xdr:row>7</xdr:row>
          <xdr:rowOff>28575</xdr:rowOff>
        </xdr:to>
        <xdr:sp macro="" textlink="">
          <xdr:nvSpPr>
            <xdr:cNvPr id="22544" name="Drop Down 16" hidden="1">
              <a:extLst>
                <a:ext uri="{63B3BB69-23CF-44E3-9099-C40C66FF867C}">
                  <a14:compatExt spid="_x0000_s22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10</xdr:col>
          <xdr:colOff>2419350</xdr:colOff>
          <xdr:row>8</xdr:row>
          <xdr:rowOff>28575</xdr:rowOff>
        </xdr:to>
        <xdr:sp macro="" textlink="">
          <xdr:nvSpPr>
            <xdr:cNvPr id="22545" name="Drop Down 17" hidden="1">
              <a:extLst>
                <a:ext uri="{63B3BB69-23CF-44E3-9099-C40C66FF867C}">
                  <a14:compatExt spid="_x0000_s22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10</xdr:col>
          <xdr:colOff>2419350</xdr:colOff>
          <xdr:row>9</xdr:row>
          <xdr:rowOff>28575</xdr:rowOff>
        </xdr:to>
        <xdr:sp macro="" textlink="">
          <xdr:nvSpPr>
            <xdr:cNvPr id="22546" name="Drop Down 18" hidden="1">
              <a:extLst>
                <a:ext uri="{63B3BB69-23CF-44E3-9099-C40C66FF867C}">
                  <a14:compatExt spid="_x0000_s22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10</xdr:col>
          <xdr:colOff>2419350</xdr:colOff>
          <xdr:row>13</xdr:row>
          <xdr:rowOff>28575</xdr:rowOff>
        </xdr:to>
        <xdr:sp macro="" textlink="">
          <xdr:nvSpPr>
            <xdr:cNvPr id="22547" name="Drop Down 19" hidden="1">
              <a:extLst>
                <a:ext uri="{63B3BB69-23CF-44E3-9099-C40C66FF867C}">
                  <a14:compatExt spid="_x0000_s22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10</xdr:col>
          <xdr:colOff>2419350</xdr:colOff>
          <xdr:row>14</xdr:row>
          <xdr:rowOff>28575</xdr:rowOff>
        </xdr:to>
        <xdr:sp macro="" textlink="">
          <xdr:nvSpPr>
            <xdr:cNvPr id="22548" name="Drop Down 20" hidden="1">
              <a:extLst>
                <a:ext uri="{63B3BB69-23CF-44E3-9099-C40C66FF867C}">
                  <a14:compatExt spid="_x0000_s22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10</xdr:col>
          <xdr:colOff>2419350</xdr:colOff>
          <xdr:row>15</xdr:row>
          <xdr:rowOff>28575</xdr:rowOff>
        </xdr:to>
        <xdr:sp macro="" textlink="">
          <xdr:nvSpPr>
            <xdr:cNvPr id="22549" name="Drop Down 21" hidden="1">
              <a:extLst>
                <a:ext uri="{63B3BB69-23CF-44E3-9099-C40C66FF867C}">
                  <a14:compatExt spid="_x0000_s22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10</xdr:col>
          <xdr:colOff>2419350</xdr:colOff>
          <xdr:row>17</xdr:row>
          <xdr:rowOff>38100</xdr:rowOff>
        </xdr:to>
        <xdr:sp macro="" textlink="">
          <xdr:nvSpPr>
            <xdr:cNvPr id="22550" name="Drop Down 22" hidden="1">
              <a:extLst>
                <a:ext uri="{63B3BB69-23CF-44E3-9099-C40C66FF867C}">
                  <a14:compatExt spid="_x0000_s22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10</xdr:col>
          <xdr:colOff>2419350</xdr:colOff>
          <xdr:row>20</xdr:row>
          <xdr:rowOff>38100</xdr:rowOff>
        </xdr:to>
        <xdr:sp macro="" textlink="">
          <xdr:nvSpPr>
            <xdr:cNvPr id="22551" name="Drop Down 23" hidden="1">
              <a:extLst>
                <a:ext uri="{63B3BB69-23CF-44E3-9099-C40C66FF867C}">
                  <a14:compatExt spid="_x0000_s22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21</xdr:row>
          <xdr:rowOff>0</xdr:rowOff>
        </xdr:from>
        <xdr:to>
          <xdr:col>11</xdr:col>
          <xdr:colOff>0</xdr:colOff>
          <xdr:row>22</xdr:row>
          <xdr:rowOff>38100</xdr:rowOff>
        </xdr:to>
        <xdr:sp macro="" textlink="">
          <xdr:nvSpPr>
            <xdr:cNvPr id="22552" name="Drop Down 24" hidden="1">
              <a:extLst>
                <a:ext uri="{63B3BB69-23CF-44E3-9099-C40C66FF867C}">
                  <a14:compatExt spid="_x0000_s22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10</xdr:col>
          <xdr:colOff>2419350</xdr:colOff>
          <xdr:row>23</xdr:row>
          <xdr:rowOff>9525</xdr:rowOff>
        </xdr:to>
        <xdr:sp macro="" textlink="">
          <xdr:nvSpPr>
            <xdr:cNvPr id="22553" name="Drop Down 25" hidden="1">
              <a:extLst>
                <a:ext uri="{63B3BB69-23CF-44E3-9099-C40C66FF867C}">
                  <a14:compatExt spid="_x0000_s22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23</xdr:row>
          <xdr:rowOff>0</xdr:rowOff>
        </xdr:from>
        <xdr:to>
          <xdr:col>11</xdr:col>
          <xdr:colOff>0</xdr:colOff>
          <xdr:row>24</xdr:row>
          <xdr:rowOff>38100</xdr:rowOff>
        </xdr:to>
        <xdr:sp macro="" textlink="">
          <xdr:nvSpPr>
            <xdr:cNvPr id="22554" name="Drop Down 26" hidden="1">
              <a:extLst>
                <a:ext uri="{63B3BB69-23CF-44E3-9099-C40C66FF867C}">
                  <a14:compatExt spid="_x0000_s22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24</xdr:row>
          <xdr:rowOff>0</xdr:rowOff>
        </xdr:from>
        <xdr:to>
          <xdr:col>11</xdr:col>
          <xdr:colOff>0</xdr:colOff>
          <xdr:row>25</xdr:row>
          <xdr:rowOff>38100</xdr:rowOff>
        </xdr:to>
        <xdr:sp macro="" textlink="">
          <xdr:nvSpPr>
            <xdr:cNvPr id="22555" name="Drop Down 27" hidden="1">
              <a:extLst>
                <a:ext uri="{63B3BB69-23CF-44E3-9099-C40C66FF867C}">
                  <a14:compatExt spid="_x0000_s22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26</xdr:row>
          <xdr:rowOff>0</xdr:rowOff>
        </xdr:from>
        <xdr:to>
          <xdr:col>11</xdr:col>
          <xdr:colOff>0</xdr:colOff>
          <xdr:row>27</xdr:row>
          <xdr:rowOff>38100</xdr:rowOff>
        </xdr:to>
        <xdr:sp macro="" textlink="">
          <xdr:nvSpPr>
            <xdr:cNvPr id="22556" name="Drop Down 28" hidden="1">
              <a:extLst>
                <a:ext uri="{63B3BB69-23CF-44E3-9099-C40C66FF867C}">
                  <a14:compatExt spid="_x0000_s22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2</xdr:col>
          <xdr:colOff>19050</xdr:colOff>
          <xdr:row>5</xdr:row>
          <xdr:rowOff>19050</xdr:rowOff>
        </xdr:to>
        <xdr:sp macro="" textlink="">
          <xdr:nvSpPr>
            <xdr:cNvPr id="22557" name="Drop Down 29" hidden="1">
              <a:extLst>
                <a:ext uri="{63B3BB69-23CF-44E3-9099-C40C66FF867C}">
                  <a14:compatExt spid="_x0000_s22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10</xdr:col>
          <xdr:colOff>2419350</xdr:colOff>
          <xdr:row>5</xdr:row>
          <xdr:rowOff>19050</xdr:rowOff>
        </xdr:to>
        <xdr:sp macro="" textlink="">
          <xdr:nvSpPr>
            <xdr:cNvPr id="22558" name="Drop Down 30" hidden="1">
              <a:extLst>
                <a:ext uri="{63B3BB69-23CF-44E3-9099-C40C66FF867C}">
                  <a14:compatExt spid="_x0000_s22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1847850</xdr:colOff>
          <xdr:row>7</xdr:row>
          <xdr:rowOff>28575</xdr:rowOff>
        </xdr:to>
        <xdr:sp macro="" textlink="">
          <xdr:nvSpPr>
            <xdr:cNvPr id="22559" name="Drop Down 31" hidden="1">
              <a:extLst>
                <a:ext uri="{63B3BB69-23CF-44E3-9099-C40C66FF867C}">
                  <a14:compatExt spid="_x0000_s22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9525</xdr:rowOff>
        </xdr:from>
        <xdr:to>
          <xdr:col>8</xdr:col>
          <xdr:colOff>1866900</xdr:colOff>
          <xdr:row>13</xdr:row>
          <xdr:rowOff>57150</xdr:rowOff>
        </xdr:to>
        <xdr:sp macro="" textlink="">
          <xdr:nvSpPr>
            <xdr:cNvPr id="22560" name="Drop Down 32" hidden="1">
              <a:extLst>
                <a:ext uri="{63B3BB69-23CF-44E3-9099-C40C66FF867C}">
                  <a14:compatExt spid="_x0000_s22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0</xdr:rowOff>
        </xdr:from>
        <xdr:to>
          <xdr:col>8</xdr:col>
          <xdr:colOff>1866900</xdr:colOff>
          <xdr:row>27</xdr:row>
          <xdr:rowOff>28575</xdr:rowOff>
        </xdr:to>
        <xdr:sp macro="" textlink="">
          <xdr:nvSpPr>
            <xdr:cNvPr id="22561" name="Drop Down 33" hidden="1">
              <a:extLst>
                <a:ext uri="{63B3BB69-23CF-44E3-9099-C40C66FF867C}">
                  <a14:compatExt spid="_x0000_s22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2</xdr:col>
          <xdr:colOff>19050</xdr:colOff>
          <xdr:row>4</xdr:row>
          <xdr:rowOff>28575</xdr:rowOff>
        </xdr:to>
        <xdr:sp macro="" textlink="">
          <xdr:nvSpPr>
            <xdr:cNvPr id="22562" name="Drop Down 34" hidden="1">
              <a:extLst>
                <a:ext uri="{63B3BB69-23CF-44E3-9099-C40C66FF867C}">
                  <a14:compatExt spid="_x0000_s22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0</xdr:rowOff>
        </xdr:from>
        <xdr:to>
          <xdr:col>10</xdr:col>
          <xdr:colOff>2419350</xdr:colOff>
          <xdr:row>4</xdr:row>
          <xdr:rowOff>28575</xdr:rowOff>
        </xdr:to>
        <xdr:sp macro="" textlink="">
          <xdr:nvSpPr>
            <xdr:cNvPr id="22563" name="Drop Down 35" hidden="1">
              <a:extLst>
                <a:ext uri="{63B3BB69-23CF-44E3-9099-C40C66FF867C}">
                  <a14:compatExt spid="_x0000_s22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3067050</xdr:colOff>
          <xdr:row>9</xdr:row>
          <xdr:rowOff>0</xdr:rowOff>
        </xdr:from>
        <xdr:to>
          <xdr:col>2</xdr:col>
          <xdr:colOff>19050</xdr:colOff>
          <xdr:row>10</xdr:row>
          <xdr:rowOff>28575</xdr:rowOff>
        </xdr:to>
        <xdr:sp macro="" textlink="">
          <xdr:nvSpPr>
            <xdr:cNvPr id="22570" name="Drop Down 42" hidden="1">
              <a:extLst>
                <a:ext uri="{63B3BB69-23CF-44E3-9099-C40C66FF867C}">
                  <a14:compatExt spid="_x0000_s22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2</xdr:col>
          <xdr:colOff>19050</xdr:colOff>
          <xdr:row>11</xdr:row>
          <xdr:rowOff>38100</xdr:rowOff>
        </xdr:to>
        <xdr:sp macro="" textlink="">
          <xdr:nvSpPr>
            <xdr:cNvPr id="22572" name="Drop Down 44" hidden="1">
              <a:extLst>
                <a:ext uri="{63B3BB69-23CF-44E3-9099-C40C66FF867C}">
                  <a14:compatExt spid="_x0000_s22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0</xdr:rowOff>
        </xdr:from>
        <xdr:to>
          <xdr:col>4</xdr:col>
          <xdr:colOff>581025</xdr:colOff>
          <xdr:row>7</xdr:row>
          <xdr:rowOff>19050</xdr:rowOff>
        </xdr:to>
        <xdr:sp macro="" textlink="">
          <xdr:nvSpPr>
            <xdr:cNvPr id="22573" name="Drop Down 45" hidden="1">
              <a:extLst>
                <a:ext uri="{63B3BB69-23CF-44E3-9099-C40C66FF867C}">
                  <a14:compatExt spid="_x0000_s22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581025</xdr:colOff>
          <xdr:row>8</xdr:row>
          <xdr:rowOff>19050</xdr:rowOff>
        </xdr:to>
        <xdr:sp macro="" textlink="">
          <xdr:nvSpPr>
            <xdr:cNvPr id="22574" name="Drop Down 46" hidden="1">
              <a:extLst>
                <a:ext uri="{63B3BB69-23CF-44E3-9099-C40C66FF867C}">
                  <a14:compatExt spid="_x0000_s22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4</xdr:col>
          <xdr:colOff>581025</xdr:colOff>
          <xdr:row>9</xdr:row>
          <xdr:rowOff>19050</xdr:rowOff>
        </xdr:to>
        <xdr:sp macro="" textlink="">
          <xdr:nvSpPr>
            <xdr:cNvPr id="22575" name="Drop Down 47" hidden="1">
              <a:extLst>
                <a:ext uri="{63B3BB69-23CF-44E3-9099-C40C66FF867C}">
                  <a14:compatExt spid="_x0000_s22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0</xdr:rowOff>
        </xdr:from>
        <xdr:to>
          <xdr:col>4</xdr:col>
          <xdr:colOff>581025</xdr:colOff>
          <xdr:row>10</xdr:row>
          <xdr:rowOff>19050</xdr:rowOff>
        </xdr:to>
        <xdr:sp macro="" textlink="">
          <xdr:nvSpPr>
            <xdr:cNvPr id="22576" name="Drop Down 48" hidden="1">
              <a:extLst>
                <a:ext uri="{63B3BB69-23CF-44E3-9099-C40C66FF867C}">
                  <a14:compatExt spid="_x0000_s22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581025</xdr:colOff>
          <xdr:row>11</xdr:row>
          <xdr:rowOff>19050</xdr:rowOff>
        </xdr:to>
        <xdr:sp macro="" textlink="">
          <xdr:nvSpPr>
            <xdr:cNvPr id="22577" name="Drop Down 49" hidden="1">
              <a:extLst>
                <a:ext uri="{63B3BB69-23CF-44E3-9099-C40C66FF867C}">
                  <a14:compatExt spid="_x0000_s22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10</xdr:col>
          <xdr:colOff>2419350</xdr:colOff>
          <xdr:row>10</xdr:row>
          <xdr:rowOff>28575</xdr:rowOff>
        </xdr:to>
        <xdr:sp macro="" textlink="">
          <xdr:nvSpPr>
            <xdr:cNvPr id="22578" name="Drop Down 50" hidden="1">
              <a:extLst>
                <a:ext uri="{63B3BB69-23CF-44E3-9099-C40C66FF867C}">
                  <a14:compatExt spid="_x0000_s22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10</xdr:col>
          <xdr:colOff>2419350</xdr:colOff>
          <xdr:row>11</xdr:row>
          <xdr:rowOff>28575</xdr:rowOff>
        </xdr:to>
        <xdr:sp macro="" textlink="">
          <xdr:nvSpPr>
            <xdr:cNvPr id="22579" name="Drop Down 51" hidden="1">
              <a:extLst>
                <a:ext uri="{63B3BB69-23CF-44E3-9099-C40C66FF867C}">
                  <a14:compatExt spid="_x0000_s22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xdr:row>
          <xdr:rowOff>0</xdr:rowOff>
        </xdr:from>
        <xdr:to>
          <xdr:col>14</xdr:col>
          <xdr:colOff>0</xdr:colOff>
          <xdr:row>7</xdr:row>
          <xdr:rowOff>19050</xdr:rowOff>
        </xdr:to>
        <xdr:sp macro="" textlink="">
          <xdr:nvSpPr>
            <xdr:cNvPr id="22580" name="Drop Down 52" hidden="1">
              <a:extLst>
                <a:ext uri="{63B3BB69-23CF-44E3-9099-C40C66FF867C}">
                  <a14:compatExt spid="_x0000_s22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xdr:row>
          <xdr:rowOff>0</xdr:rowOff>
        </xdr:from>
        <xdr:to>
          <xdr:col>14</xdr:col>
          <xdr:colOff>0</xdr:colOff>
          <xdr:row>8</xdr:row>
          <xdr:rowOff>19050</xdr:rowOff>
        </xdr:to>
        <xdr:sp macro="" textlink="">
          <xdr:nvSpPr>
            <xdr:cNvPr id="22581" name="Drop Down 53" hidden="1">
              <a:extLst>
                <a:ext uri="{63B3BB69-23CF-44E3-9099-C40C66FF867C}">
                  <a14:compatExt spid="_x0000_s22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xdr:row>
          <xdr:rowOff>0</xdr:rowOff>
        </xdr:from>
        <xdr:to>
          <xdr:col>14</xdr:col>
          <xdr:colOff>0</xdr:colOff>
          <xdr:row>9</xdr:row>
          <xdr:rowOff>19050</xdr:rowOff>
        </xdr:to>
        <xdr:sp macro="" textlink="">
          <xdr:nvSpPr>
            <xdr:cNvPr id="22582" name="Drop Down 54" hidden="1">
              <a:extLst>
                <a:ext uri="{63B3BB69-23CF-44E3-9099-C40C66FF867C}">
                  <a14:compatExt spid="_x0000_s22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0</xdr:rowOff>
        </xdr:from>
        <xdr:to>
          <xdr:col>14</xdr:col>
          <xdr:colOff>0</xdr:colOff>
          <xdr:row>10</xdr:row>
          <xdr:rowOff>19050</xdr:rowOff>
        </xdr:to>
        <xdr:sp macro="" textlink="">
          <xdr:nvSpPr>
            <xdr:cNvPr id="22583" name="Drop Down 55" hidden="1">
              <a:extLst>
                <a:ext uri="{63B3BB69-23CF-44E3-9099-C40C66FF867C}">
                  <a14:compatExt spid="_x0000_s2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0</xdr:rowOff>
        </xdr:from>
        <xdr:to>
          <xdr:col>14</xdr:col>
          <xdr:colOff>0</xdr:colOff>
          <xdr:row>11</xdr:row>
          <xdr:rowOff>19050</xdr:rowOff>
        </xdr:to>
        <xdr:sp macro="" textlink="">
          <xdr:nvSpPr>
            <xdr:cNvPr id="22584" name="Drop Down 56" hidden="1">
              <a:extLst>
                <a:ext uri="{63B3BB69-23CF-44E3-9099-C40C66FF867C}">
                  <a14:compatExt spid="_x0000_s2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5</xdr:col>
          <xdr:colOff>19050</xdr:colOff>
          <xdr:row>13</xdr:row>
          <xdr:rowOff>0</xdr:rowOff>
        </xdr:to>
        <xdr:sp macro="" textlink="">
          <xdr:nvSpPr>
            <xdr:cNvPr id="22586" name="Drop Down 58" hidden="1">
              <a:extLst>
                <a:ext uri="{63B3BB69-23CF-44E3-9099-C40C66FF867C}">
                  <a14:compatExt spid="_x0000_s2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180975</xdr:rowOff>
        </xdr:from>
        <xdr:to>
          <xdr:col>5</xdr:col>
          <xdr:colOff>9525</xdr:colOff>
          <xdr:row>14</xdr:row>
          <xdr:rowOff>0</xdr:rowOff>
        </xdr:to>
        <xdr:sp macro="" textlink="">
          <xdr:nvSpPr>
            <xdr:cNvPr id="22587" name="Drop Down 59" hidden="1">
              <a:extLst>
                <a:ext uri="{63B3BB69-23CF-44E3-9099-C40C66FF867C}">
                  <a14:compatExt spid="_x0000_s22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5</xdr:col>
          <xdr:colOff>19050</xdr:colOff>
          <xdr:row>15</xdr:row>
          <xdr:rowOff>9525</xdr:rowOff>
        </xdr:to>
        <xdr:sp macro="" textlink="">
          <xdr:nvSpPr>
            <xdr:cNvPr id="22588" name="Drop Down 60" hidden="1">
              <a:extLst>
                <a:ext uri="{63B3BB69-23CF-44E3-9099-C40C66FF867C}">
                  <a14:compatExt spid="_x0000_s22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28575</xdr:colOff>
          <xdr:row>13</xdr:row>
          <xdr:rowOff>9525</xdr:rowOff>
        </xdr:to>
        <xdr:sp macro="" textlink="">
          <xdr:nvSpPr>
            <xdr:cNvPr id="22589" name="Drop Down 61" hidden="1">
              <a:extLst>
                <a:ext uri="{63B3BB69-23CF-44E3-9099-C40C66FF867C}">
                  <a14:compatExt spid="_x0000_s2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xdr:row>
          <xdr:rowOff>0</xdr:rowOff>
        </xdr:from>
        <xdr:to>
          <xdr:col>14</xdr:col>
          <xdr:colOff>38100</xdr:colOff>
          <xdr:row>14</xdr:row>
          <xdr:rowOff>9525</xdr:rowOff>
        </xdr:to>
        <xdr:sp macro="" textlink="">
          <xdr:nvSpPr>
            <xdr:cNvPr id="22590" name="Drop Down 62" hidden="1">
              <a:extLst>
                <a:ext uri="{63B3BB69-23CF-44E3-9099-C40C66FF867C}">
                  <a14:compatExt spid="_x0000_s22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0</xdr:rowOff>
        </xdr:from>
        <xdr:to>
          <xdr:col>14</xdr:col>
          <xdr:colOff>47625</xdr:colOff>
          <xdr:row>15</xdr:row>
          <xdr:rowOff>9525</xdr:rowOff>
        </xdr:to>
        <xdr:sp macro="" textlink="">
          <xdr:nvSpPr>
            <xdr:cNvPr id="22591" name="Drop Down 63" hidden="1">
              <a:extLst>
                <a:ext uri="{63B3BB69-23CF-44E3-9099-C40C66FF867C}">
                  <a14:compatExt spid="_x0000_s22591"/>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2419350</xdr:colOff>
          <xdr:row>3</xdr:row>
          <xdr:rowOff>38100</xdr:rowOff>
        </xdr:to>
        <xdr:sp macro="" textlink="">
          <xdr:nvSpPr>
            <xdr:cNvPr id="21505" name="Drop Down 1"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2419350</xdr:colOff>
          <xdr:row>7</xdr:row>
          <xdr:rowOff>28575</xdr:rowOff>
        </xdr:to>
        <xdr:sp macro="" textlink="">
          <xdr:nvSpPr>
            <xdr:cNvPr id="21506" name="Drop Down 2"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2419350</xdr:colOff>
          <xdr:row>8</xdr:row>
          <xdr:rowOff>28575</xdr:rowOff>
        </xdr:to>
        <xdr:sp macro="" textlink="">
          <xdr:nvSpPr>
            <xdr:cNvPr id="21507" name="Drop Down 3" hidden="1">
              <a:extLst>
                <a:ext uri="{63B3BB69-23CF-44E3-9099-C40C66FF867C}">
                  <a14:compatExt spid="_x0000_s2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2419350</xdr:colOff>
          <xdr:row>9</xdr:row>
          <xdr:rowOff>28575</xdr:rowOff>
        </xdr:to>
        <xdr:sp macro="" textlink="">
          <xdr:nvSpPr>
            <xdr:cNvPr id="21508" name="Drop Down 4" hidden="1">
              <a:extLst>
                <a:ext uri="{63B3BB69-23CF-44E3-9099-C40C66FF867C}">
                  <a14:compatExt spid="_x0000_s21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1</xdr:col>
          <xdr:colOff>2419350</xdr:colOff>
          <xdr:row>13</xdr:row>
          <xdr:rowOff>28575</xdr:rowOff>
        </xdr:to>
        <xdr:sp macro="" textlink="">
          <xdr:nvSpPr>
            <xdr:cNvPr id="21509" name="Drop Down 5" hidden="1">
              <a:extLst>
                <a:ext uri="{63B3BB69-23CF-44E3-9099-C40C66FF867C}">
                  <a14:compatExt spid="_x0000_s21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2419350</xdr:colOff>
          <xdr:row>14</xdr:row>
          <xdr:rowOff>28575</xdr:rowOff>
        </xdr:to>
        <xdr:sp macro="" textlink="">
          <xdr:nvSpPr>
            <xdr:cNvPr id="21510" name="Drop Down 6" hidden="1">
              <a:extLst>
                <a:ext uri="{63B3BB69-23CF-44E3-9099-C40C66FF867C}">
                  <a14:compatExt spid="_x0000_s21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1</xdr:col>
          <xdr:colOff>2419350</xdr:colOff>
          <xdr:row>15</xdr:row>
          <xdr:rowOff>28575</xdr:rowOff>
        </xdr:to>
        <xdr:sp macro="" textlink="">
          <xdr:nvSpPr>
            <xdr:cNvPr id="21511" name="Drop Down 7" hidden="1">
              <a:extLst>
                <a:ext uri="{63B3BB69-23CF-44E3-9099-C40C66FF867C}">
                  <a14:compatExt spid="_x0000_s21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2419350</xdr:colOff>
          <xdr:row>20</xdr:row>
          <xdr:rowOff>38100</xdr:rowOff>
        </xdr:to>
        <xdr:sp macro="" textlink="">
          <xdr:nvSpPr>
            <xdr:cNvPr id="21512" name="Drop Down 8" hidden="1">
              <a:extLst>
                <a:ext uri="{63B3BB69-23CF-44E3-9099-C40C66FF867C}">
                  <a14:compatExt spid="_x0000_s21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2</xdr:col>
          <xdr:colOff>0</xdr:colOff>
          <xdr:row>22</xdr:row>
          <xdr:rowOff>38100</xdr:rowOff>
        </xdr:to>
        <xdr:sp macro="" textlink="">
          <xdr:nvSpPr>
            <xdr:cNvPr id="21513" name="Drop Down 9" hidden="1">
              <a:extLst>
                <a:ext uri="{63B3BB69-23CF-44E3-9099-C40C66FF867C}">
                  <a14:compatExt spid="_x0000_s21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2419350</xdr:colOff>
          <xdr:row>23</xdr:row>
          <xdr:rowOff>38100</xdr:rowOff>
        </xdr:to>
        <xdr:sp macro="" textlink="">
          <xdr:nvSpPr>
            <xdr:cNvPr id="21514" name="Drop Down 10" hidden="1">
              <a:extLst>
                <a:ext uri="{63B3BB69-23CF-44E3-9099-C40C66FF867C}">
                  <a14:compatExt spid="_x0000_s21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0</xdr:rowOff>
        </xdr:from>
        <xdr:to>
          <xdr:col>2</xdr:col>
          <xdr:colOff>0</xdr:colOff>
          <xdr:row>24</xdr:row>
          <xdr:rowOff>38100</xdr:rowOff>
        </xdr:to>
        <xdr:sp macro="" textlink="">
          <xdr:nvSpPr>
            <xdr:cNvPr id="21515" name="Drop Down 11" hidden="1">
              <a:extLst>
                <a:ext uri="{63B3BB69-23CF-44E3-9099-C40C66FF867C}">
                  <a14:compatExt spid="_x0000_s21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0</xdr:colOff>
          <xdr:row>25</xdr:row>
          <xdr:rowOff>38100</xdr:rowOff>
        </xdr:to>
        <xdr:sp macro="" textlink="">
          <xdr:nvSpPr>
            <xdr:cNvPr id="21516" name="Drop Down 12" hidden="1">
              <a:extLst>
                <a:ext uri="{63B3BB69-23CF-44E3-9099-C40C66FF867C}">
                  <a14:compatExt spid="_x0000_s21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2419350</xdr:colOff>
          <xdr:row>17</xdr:row>
          <xdr:rowOff>38100</xdr:rowOff>
        </xdr:to>
        <xdr:sp macro="" textlink="">
          <xdr:nvSpPr>
            <xdr:cNvPr id="21517" name="Drop Down 13" hidden="1">
              <a:extLst>
                <a:ext uri="{63B3BB69-23CF-44E3-9099-C40C66FF867C}">
                  <a14:compatExt spid="_x0000_s21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2</xdr:col>
          <xdr:colOff>0</xdr:colOff>
          <xdr:row>27</xdr:row>
          <xdr:rowOff>38100</xdr:rowOff>
        </xdr:to>
        <xdr:sp macro="" textlink="">
          <xdr:nvSpPr>
            <xdr:cNvPr id="21518" name="Drop Down 14" hidden="1">
              <a:extLst>
                <a:ext uri="{63B3BB69-23CF-44E3-9099-C40C66FF867C}">
                  <a14:compatExt spid="_x0000_s21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xdr:row>
          <xdr:rowOff>0</xdr:rowOff>
        </xdr:from>
        <xdr:to>
          <xdr:col>10</xdr:col>
          <xdr:colOff>2419350</xdr:colOff>
          <xdr:row>3</xdr:row>
          <xdr:rowOff>38100</xdr:rowOff>
        </xdr:to>
        <xdr:sp macro="" textlink="">
          <xdr:nvSpPr>
            <xdr:cNvPr id="21519" name="Drop Down 15" hidden="1">
              <a:extLst>
                <a:ext uri="{63B3BB69-23CF-44E3-9099-C40C66FF867C}">
                  <a14:compatExt spid="_x0000_s21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11</xdr:col>
          <xdr:colOff>0</xdr:colOff>
          <xdr:row>7</xdr:row>
          <xdr:rowOff>28575</xdr:rowOff>
        </xdr:to>
        <xdr:sp macro="" textlink="">
          <xdr:nvSpPr>
            <xdr:cNvPr id="21520" name="Drop Down 16" hidden="1">
              <a:extLst>
                <a:ext uri="{63B3BB69-23CF-44E3-9099-C40C66FF867C}">
                  <a14:compatExt spid="_x0000_s21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10</xdr:col>
          <xdr:colOff>2419350</xdr:colOff>
          <xdr:row>8</xdr:row>
          <xdr:rowOff>28575</xdr:rowOff>
        </xdr:to>
        <xdr:sp macro="" textlink="">
          <xdr:nvSpPr>
            <xdr:cNvPr id="21521" name="Drop Down 17" hidden="1">
              <a:extLst>
                <a:ext uri="{63B3BB69-23CF-44E3-9099-C40C66FF867C}">
                  <a14:compatExt spid="_x0000_s21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10</xdr:col>
          <xdr:colOff>2419350</xdr:colOff>
          <xdr:row>9</xdr:row>
          <xdr:rowOff>28575</xdr:rowOff>
        </xdr:to>
        <xdr:sp macro="" textlink="">
          <xdr:nvSpPr>
            <xdr:cNvPr id="21522" name="Drop Down 18" hidden="1">
              <a:extLst>
                <a:ext uri="{63B3BB69-23CF-44E3-9099-C40C66FF867C}">
                  <a14:compatExt spid="_x0000_s21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10</xdr:col>
          <xdr:colOff>2419350</xdr:colOff>
          <xdr:row>13</xdr:row>
          <xdr:rowOff>28575</xdr:rowOff>
        </xdr:to>
        <xdr:sp macro="" textlink="">
          <xdr:nvSpPr>
            <xdr:cNvPr id="21523" name="Drop Down 19" hidden="1">
              <a:extLst>
                <a:ext uri="{63B3BB69-23CF-44E3-9099-C40C66FF867C}">
                  <a14:compatExt spid="_x0000_s21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10</xdr:col>
          <xdr:colOff>2419350</xdr:colOff>
          <xdr:row>14</xdr:row>
          <xdr:rowOff>28575</xdr:rowOff>
        </xdr:to>
        <xdr:sp macro="" textlink="">
          <xdr:nvSpPr>
            <xdr:cNvPr id="21524" name="Drop Down 20" hidden="1">
              <a:extLst>
                <a:ext uri="{63B3BB69-23CF-44E3-9099-C40C66FF867C}">
                  <a14:compatExt spid="_x0000_s21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10</xdr:col>
          <xdr:colOff>2419350</xdr:colOff>
          <xdr:row>15</xdr:row>
          <xdr:rowOff>28575</xdr:rowOff>
        </xdr:to>
        <xdr:sp macro="" textlink="">
          <xdr:nvSpPr>
            <xdr:cNvPr id="21525" name="Drop Down 21" hidden="1">
              <a:extLst>
                <a:ext uri="{63B3BB69-23CF-44E3-9099-C40C66FF867C}">
                  <a14:compatExt spid="_x0000_s21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10</xdr:col>
          <xdr:colOff>2419350</xdr:colOff>
          <xdr:row>17</xdr:row>
          <xdr:rowOff>38100</xdr:rowOff>
        </xdr:to>
        <xdr:sp macro="" textlink="">
          <xdr:nvSpPr>
            <xdr:cNvPr id="21526" name="Drop Down 22" hidden="1">
              <a:extLst>
                <a:ext uri="{63B3BB69-23CF-44E3-9099-C40C66FF867C}">
                  <a14:compatExt spid="_x0000_s21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10</xdr:col>
          <xdr:colOff>2419350</xdr:colOff>
          <xdr:row>20</xdr:row>
          <xdr:rowOff>38100</xdr:rowOff>
        </xdr:to>
        <xdr:sp macro="" textlink="">
          <xdr:nvSpPr>
            <xdr:cNvPr id="21527" name="Drop Down 23" hidden="1">
              <a:extLst>
                <a:ext uri="{63B3BB69-23CF-44E3-9099-C40C66FF867C}">
                  <a14:compatExt spid="_x0000_s21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21</xdr:row>
          <xdr:rowOff>0</xdr:rowOff>
        </xdr:from>
        <xdr:to>
          <xdr:col>11</xdr:col>
          <xdr:colOff>0</xdr:colOff>
          <xdr:row>22</xdr:row>
          <xdr:rowOff>38100</xdr:rowOff>
        </xdr:to>
        <xdr:sp macro="" textlink="">
          <xdr:nvSpPr>
            <xdr:cNvPr id="21528" name="Drop Down 24" hidden="1">
              <a:extLst>
                <a:ext uri="{63B3BB69-23CF-44E3-9099-C40C66FF867C}">
                  <a14:compatExt spid="_x0000_s21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10</xdr:col>
          <xdr:colOff>2419350</xdr:colOff>
          <xdr:row>23</xdr:row>
          <xdr:rowOff>38100</xdr:rowOff>
        </xdr:to>
        <xdr:sp macro="" textlink="">
          <xdr:nvSpPr>
            <xdr:cNvPr id="21529" name="Drop Down 25" hidden="1">
              <a:extLst>
                <a:ext uri="{63B3BB69-23CF-44E3-9099-C40C66FF867C}">
                  <a14:compatExt spid="_x0000_s21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23</xdr:row>
          <xdr:rowOff>0</xdr:rowOff>
        </xdr:from>
        <xdr:to>
          <xdr:col>11</xdr:col>
          <xdr:colOff>0</xdr:colOff>
          <xdr:row>24</xdr:row>
          <xdr:rowOff>38100</xdr:rowOff>
        </xdr:to>
        <xdr:sp macro="" textlink="">
          <xdr:nvSpPr>
            <xdr:cNvPr id="21530" name="Drop Down 26" hidden="1">
              <a:extLst>
                <a:ext uri="{63B3BB69-23CF-44E3-9099-C40C66FF867C}">
                  <a14:compatExt spid="_x0000_s21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24</xdr:row>
          <xdr:rowOff>0</xdr:rowOff>
        </xdr:from>
        <xdr:to>
          <xdr:col>11</xdr:col>
          <xdr:colOff>0</xdr:colOff>
          <xdr:row>25</xdr:row>
          <xdr:rowOff>38100</xdr:rowOff>
        </xdr:to>
        <xdr:sp macro="" textlink="">
          <xdr:nvSpPr>
            <xdr:cNvPr id="21531" name="Drop Down 27" hidden="1">
              <a:extLst>
                <a:ext uri="{63B3BB69-23CF-44E3-9099-C40C66FF867C}">
                  <a14:compatExt spid="_x0000_s21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26</xdr:row>
          <xdr:rowOff>0</xdr:rowOff>
        </xdr:from>
        <xdr:to>
          <xdr:col>11</xdr:col>
          <xdr:colOff>0</xdr:colOff>
          <xdr:row>27</xdr:row>
          <xdr:rowOff>38100</xdr:rowOff>
        </xdr:to>
        <xdr:sp macro="" textlink="">
          <xdr:nvSpPr>
            <xdr:cNvPr id="21532" name="Drop Down 28" hidden="1">
              <a:extLst>
                <a:ext uri="{63B3BB69-23CF-44E3-9099-C40C66FF867C}">
                  <a14:compatExt spid="_x0000_s21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2419350</xdr:colOff>
          <xdr:row>5</xdr:row>
          <xdr:rowOff>19050</xdr:rowOff>
        </xdr:to>
        <xdr:sp macro="" textlink="">
          <xdr:nvSpPr>
            <xdr:cNvPr id="21533" name="Drop Down 29" hidden="1">
              <a:extLst>
                <a:ext uri="{63B3BB69-23CF-44E3-9099-C40C66FF867C}">
                  <a14:compatExt spid="_x0000_s21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10</xdr:col>
          <xdr:colOff>2419350</xdr:colOff>
          <xdr:row>5</xdr:row>
          <xdr:rowOff>19050</xdr:rowOff>
        </xdr:to>
        <xdr:sp macro="" textlink="">
          <xdr:nvSpPr>
            <xdr:cNvPr id="21534" name="Drop Down 30" hidden="1">
              <a:extLst>
                <a:ext uri="{63B3BB69-23CF-44E3-9099-C40C66FF867C}">
                  <a14:compatExt spid="_x0000_s21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1847850</xdr:colOff>
          <xdr:row>7</xdr:row>
          <xdr:rowOff>28575</xdr:rowOff>
        </xdr:to>
        <xdr:sp macro="" textlink="">
          <xdr:nvSpPr>
            <xdr:cNvPr id="21535" name="Drop Down 31" hidden="1">
              <a:extLst>
                <a:ext uri="{63B3BB69-23CF-44E3-9099-C40C66FF867C}">
                  <a14:compatExt spid="_x0000_s21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9525</xdr:rowOff>
        </xdr:from>
        <xdr:to>
          <xdr:col>8</xdr:col>
          <xdr:colOff>1866900</xdr:colOff>
          <xdr:row>13</xdr:row>
          <xdr:rowOff>57150</xdr:rowOff>
        </xdr:to>
        <xdr:sp macro="" textlink="">
          <xdr:nvSpPr>
            <xdr:cNvPr id="21536" name="Drop Down 32" hidden="1">
              <a:extLst>
                <a:ext uri="{63B3BB69-23CF-44E3-9099-C40C66FF867C}">
                  <a14:compatExt spid="_x0000_s21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0</xdr:rowOff>
        </xdr:from>
        <xdr:to>
          <xdr:col>8</xdr:col>
          <xdr:colOff>1866900</xdr:colOff>
          <xdr:row>27</xdr:row>
          <xdr:rowOff>28575</xdr:rowOff>
        </xdr:to>
        <xdr:sp macro="" textlink="">
          <xdr:nvSpPr>
            <xdr:cNvPr id="21537" name="Drop Down 33" hidden="1">
              <a:extLst>
                <a:ext uri="{63B3BB69-23CF-44E3-9099-C40C66FF867C}">
                  <a14:compatExt spid="_x0000_s21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2419350</xdr:colOff>
          <xdr:row>4</xdr:row>
          <xdr:rowOff>28575</xdr:rowOff>
        </xdr:to>
        <xdr:sp macro="" textlink="">
          <xdr:nvSpPr>
            <xdr:cNvPr id="21538" name="Drop Down 34" hidden="1">
              <a:extLst>
                <a:ext uri="{63B3BB69-23CF-44E3-9099-C40C66FF867C}">
                  <a14:compatExt spid="_x0000_s21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0</xdr:rowOff>
        </xdr:from>
        <xdr:to>
          <xdr:col>10</xdr:col>
          <xdr:colOff>2419350</xdr:colOff>
          <xdr:row>4</xdr:row>
          <xdr:rowOff>28575</xdr:rowOff>
        </xdr:to>
        <xdr:sp macro="" textlink="">
          <xdr:nvSpPr>
            <xdr:cNvPr id="21539" name="Drop Down 35" hidden="1">
              <a:extLst>
                <a:ext uri="{63B3BB69-23CF-44E3-9099-C40C66FF867C}">
                  <a14:compatExt spid="_x0000_s21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xdr:col>
          <xdr:colOff>2419350</xdr:colOff>
          <xdr:row>10</xdr:row>
          <xdr:rowOff>28575</xdr:rowOff>
        </xdr:to>
        <xdr:sp macro="" textlink="">
          <xdr:nvSpPr>
            <xdr:cNvPr id="21541" name="Drop Down 37" hidden="1">
              <a:extLst>
                <a:ext uri="{63B3BB69-23CF-44E3-9099-C40C66FF867C}">
                  <a14:compatExt spid="_x0000_s21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2419350</xdr:colOff>
          <xdr:row>11</xdr:row>
          <xdr:rowOff>28575</xdr:rowOff>
        </xdr:to>
        <xdr:sp macro="" textlink="">
          <xdr:nvSpPr>
            <xdr:cNvPr id="21543" name="Drop Down 39" hidden="1">
              <a:extLst>
                <a:ext uri="{63B3BB69-23CF-44E3-9099-C40C66FF867C}">
                  <a14:compatExt spid="_x0000_s21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0</xdr:rowOff>
        </xdr:from>
        <xdr:to>
          <xdr:col>4</xdr:col>
          <xdr:colOff>581025</xdr:colOff>
          <xdr:row>7</xdr:row>
          <xdr:rowOff>19050</xdr:rowOff>
        </xdr:to>
        <xdr:sp macro="" textlink="">
          <xdr:nvSpPr>
            <xdr:cNvPr id="21544" name="Drop Down 40" hidden="1">
              <a:extLst>
                <a:ext uri="{63B3BB69-23CF-44E3-9099-C40C66FF867C}">
                  <a14:compatExt spid="_x0000_s21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581025</xdr:colOff>
          <xdr:row>8</xdr:row>
          <xdr:rowOff>19050</xdr:rowOff>
        </xdr:to>
        <xdr:sp macro="" textlink="">
          <xdr:nvSpPr>
            <xdr:cNvPr id="21545" name="Drop Down 41" hidden="1">
              <a:extLst>
                <a:ext uri="{63B3BB69-23CF-44E3-9099-C40C66FF867C}">
                  <a14:compatExt spid="_x0000_s21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4</xdr:col>
          <xdr:colOff>581025</xdr:colOff>
          <xdr:row>9</xdr:row>
          <xdr:rowOff>19050</xdr:rowOff>
        </xdr:to>
        <xdr:sp macro="" textlink="">
          <xdr:nvSpPr>
            <xdr:cNvPr id="21546" name="Drop Down 42" hidden="1">
              <a:extLst>
                <a:ext uri="{63B3BB69-23CF-44E3-9099-C40C66FF867C}">
                  <a14:compatExt spid="_x0000_s21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0</xdr:rowOff>
        </xdr:from>
        <xdr:to>
          <xdr:col>4</xdr:col>
          <xdr:colOff>581025</xdr:colOff>
          <xdr:row>10</xdr:row>
          <xdr:rowOff>19050</xdr:rowOff>
        </xdr:to>
        <xdr:sp macro="" textlink="">
          <xdr:nvSpPr>
            <xdr:cNvPr id="21547" name="Drop Down 43" hidden="1">
              <a:extLst>
                <a:ext uri="{63B3BB69-23CF-44E3-9099-C40C66FF867C}">
                  <a14:compatExt spid="_x0000_s21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581025</xdr:colOff>
          <xdr:row>11</xdr:row>
          <xdr:rowOff>19050</xdr:rowOff>
        </xdr:to>
        <xdr:sp macro="" textlink="">
          <xdr:nvSpPr>
            <xdr:cNvPr id="21548" name="Drop Down 44" hidden="1">
              <a:extLst>
                <a:ext uri="{63B3BB69-23CF-44E3-9099-C40C66FF867C}">
                  <a14:compatExt spid="_x0000_s21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10</xdr:col>
          <xdr:colOff>2419350</xdr:colOff>
          <xdr:row>10</xdr:row>
          <xdr:rowOff>28575</xdr:rowOff>
        </xdr:to>
        <xdr:sp macro="" textlink="">
          <xdr:nvSpPr>
            <xdr:cNvPr id="21549" name="Drop Down 45" hidden="1">
              <a:extLst>
                <a:ext uri="{63B3BB69-23CF-44E3-9099-C40C66FF867C}">
                  <a14:compatExt spid="_x0000_s21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10</xdr:col>
          <xdr:colOff>2419350</xdr:colOff>
          <xdr:row>11</xdr:row>
          <xdr:rowOff>28575</xdr:rowOff>
        </xdr:to>
        <xdr:sp macro="" textlink="">
          <xdr:nvSpPr>
            <xdr:cNvPr id="21550" name="Drop Down 46" hidden="1">
              <a:extLst>
                <a:ext uri="{63B3BB69-23CF-44E3-9099-C40C66FF867C}">
                  <a14:compatExt spid="_x0000_s21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xdr:row>
          <xdr:rowOff>0</xdr:rowOff>
        </xdr:from>
        <xdr:to>
          <xdr:col>14</xdr:col>
          <xdr:colOff>0</xdr:colOff>
          <xdr:row>7</xdr:row>
          <xdr:rowOff>19050</xdr:rowOff>
        </xdr:to>
        <xdr:sp macro="" textlink="">
          <xdr:nvSpPr>
            <xdr:cNvPr id="21551" name="Drop Down 47" hidden="1">
              <a:extLst>
                <a:ext uri="{63B3BB69-23CF-44E3-9099-C40C66FF867C}">
                  <a14:compatExt spid="_x0000_s21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xdr:row>
          <xdr:rowOff>0</xdr:rowOff>
        </xdr:from>
        <xdr:to>
          <xdr:col>14</xdr:col>
          <xdr:colOff>0</xdr:colOff>
          <xdr:row>8</xdr:row>
          <xdr:rowOff>19050</xdr:rowOff>
        </xdr:to>
        <xdr:sp macro="" textlink="">
          <xdr:nvSpPr>
            <xdr:cNvPr id="21552" name="Drop Down 48" hidden="1">
              <a:extLst>
                <a:ext uri="{63B3BB69-23CF-44E3-9099-C40C66FF867C}">
                  <a14:compatExt spid="_x0000_s21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xdr:row>
          <xdr:rowOff>0</xdr:rowOff>
        </xdr:from>
        <xdr:to>
          <xdr:col>14</xdr:col>
          <xdr:colOff>0</xdr:colOff>
          <xdr:row>9</xdr:row>
          <xdr:rowOff>19050</xdr:rowOff>
        </xdr:to>
        <xdr:sp macro="" textlink="">
          <xdr:nvSpPr>
            <xdr:cNvPr id="21553" name="Drop Down 49" hidden="1">
              <a:extLst>
                <a:ext uri="{63B3BB69-23CF-44E3-9099-C40C66FF867C}">
                  <a14:compatExt spid="_x0000_s21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0</xdr:rowOff>
        </xdr:from>
        <xdr:to>
          <xdr:col>14</xdr:col>
          <xdr:colOff>0</xdr:colOff>
          <xdr:row>10</xdr:row>
          <xdr:rowOff>19050</xdr:rowOff>
        </xdr:to>
        <xdr:sp macro="" textlink="">
          <xdr:nvSpPr>
            <xdr:cNvPr id="21554" name="Drop Down 50" hidden="1">
              <a:extLst>
                <a:ext uri="{63B3BB69-23CF-44E3-9099-C40C66FF867C}">
                  <a14:compatExt spid="_x0000_s21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0</xdr:rowOff>
        </xdr:from>
        <xdr:to>
          <xdr:col>14</xdr:col>
          <xdr:colOff>0</xdr:colOff>
          <xdr:row>11</xdr:row>
          <xdr:rowOff>9525</xdr:rowOff>
        </xdr:to>
        <xdr:sp macro="" textlink="">
          <xdr:nvSpPr>
            <xdr:cNvPr id="21555" name="Drop Down 51" hidden="1">
              <a:extLst>
                <a:ext uri="{63B3BB69-23CF-44E3-9099-C40C66FF867C}">
                  <a14:compatExt spid="_x0000_s21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0</xdr:rowOff>
        </xdr:from>
        <xdr:to>
          <xdr:col>4</xdr:col>
          <xdr:colOff>581025</xdr:colOff>
          <xdr:row>13</xdr:row>
          <xdr:rowOff>19050</xdr:rowOff>
        </xdr:to>
        <xdr:sp macro="" textlink="">
          <xdr:nvSpPr>
            <xdr:cNvPr id="21557" name="Drop Down 53" hidden="1">
              <a:extLst>
                <a:ext uri="{63B3BB69-23CF-44E3-9099-C40C66FF867C}">
                  <a14:compatExt spid="_x0000_s21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581025</xdr:colOff>
          <xdr:row>14</xdr:row>
          <xdr:rowOff>19050</xdr:rowOff>
        </xdr:to>
        <xdr:sp macro="" textlink="">
          <xdr:nvSpPr>
            <xdr:cNvPr id="21558" name="Drop Down 54" hidden="1">
              <a:extLst>
                <a:ext uri="{63B3BB69-23CF-44E3-9099-C40C66FF867C}">
                  <a14:compatExt spid="_x0000_s21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581025</xdr:colOff>
          <xdr:row>15</xdr:row>
          <xdr:rowOff>19050</xdr:rowOff>
        </xdr:to>
        <xdr:sp macro="" textlink="">
          <xdr:nvSpPr>
            <xdr:cNvPr id="21559" name="Drop Down 55" hidden="1">
              <a:extLst>
                <a:ext uri="{63B3BB69-23CF-44E3-9099-C40C66FF867C}">
                  <a14:compatExt spid="_x0000_s21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xdr:row>
          <xdr:rowOff>180975</xdr:rowOff>
        </xdr:from>
        <xdr:to>
          <xdr:col>14</xdr:col>
          <xdr:colOff>38100</xdr:colOff>
          <xdr:row>13</xdr:row>
          <xdr:rowOff>0</xdr:rowOff>
        </xdr:to>
        <xdr:sp macro="" textlink="">
          <xdr:nvSpPr>
            <xdr:cNvPr id="21560" name="Drop Down 56" hidden="1">
              <a:extLst>
                <a:ext uri="{63B3BB69-23CF-44E3-9099-C40C66FF867C}">
                  <a14:compatExt spid="_x0000_s21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xdr:row>
          <xdr:rowOff>180975</xdr:rowOff>
        </xdr:from>
        <xdr:to>
          <xdr:col>14</xdr:col>
          <xdr:colOff>38100</xdr:colOff>
          <xdr:row>14</xdr:row>
          <xdr:rowOff>0</xdr:rowOff>
        </xdr:to>
        <xdr:sp macro="" textlink="">
          <xdr:nvSpPr>
            <xdr:cNvPr id="21561" name="Drop Down 57" hidden="1">
              <a:extLst>
                <a:ext uri="{63B3BB69-23CF-44E3-9099-C40C66FF867C}">
                  <a14:compatExt spid="_x0000_s21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180975</xdr:rowOff>
        </xdr:from>
        <xdr:to>
          <xdr:col>14</xdr:col>
          <xdr:colOff>28575</xdr:colOff>
          <xdr:row>15</xdr:row>
          <xdr:rowOff>0</xdr:rowOff>
        </xdr:to>
        <xdr:sp macro="" textlink="">
          <xdr:nvSpPr>
            <xdr:cNvPr id="21562" name="Drop Down 58" hidden="1">
              <a:extLst>
                <a:ext uri="{63B3BB69-23CF-44E3-9099-C40C66FF867C}">
                  <a14:compatExt spid="_x0000_s2156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2</xdr:col>
          <xdr:colOff>600075</xdr:colOff>
          <xdr:row>13</xdr:row>
          <xdr:rowOff>0</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9525</xdr:colOff>
          <xdr:row>4</xdr:row>
          <xdr:rowOff>0</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838200</xdr:colOff>
          <xdr:row>6</xdr:row>
          <xdr:rowOff>0</xdr:rowOff>
        </xdr:from>
        <xdr:to>
          <xdr:col>2</xdr:col>
          <xdr:colOff>857250</xdr:colOff>
          <xdr:row>6</xdr:row>
          <xdr:rowOff>200025</xdr:rowOff>
        </xdr:to>
        <xdr:sp macro="" textlink="">
          <xdr:nvSpPr>
            <xdr:cNvPr id="43010" name="Drop Down 2" hidden="1">
              <a:extLst>
                <a:ext uri="{63B3BB69-23CF-44E3-9099-C40C66FF867C}">
                  <a14:compatExt spid="_x0000_s43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838200</xdr:colOff>
          <xdr:row>7</xdr:row>
          <xdr:rowOff>200025</xdr:rowOff>
        </xdr:from>
        <xdr:to>
          <xdr:col>2</xdr:col>
          <xdr:colOff>857250</xdr:colOff>
          <xdr:row>9</xdr:row>
          <xdr:rowOff>9525</xdr:rowOff>
        </xdr:to>
        <xdr:sp macro="" textlink="">
          <xdr:nvSpPr>
            <xdr:cNvPr id="43011" name="Drop Down 3" hidden="1">
              <a:extLst>
                <a:ext uri="{63B3BB69-23CF-44E3-9099-C40C66FF867C}">
                  <a14:compatExt spid="_x0000_s43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838200</xdr:colOff>
          <xdr:row>6</xdr:row>
          <xdr:rowOff>190500</xdr:rowOff>
        </xdr:from>
        <xdr:to>
          <xdr:col>2</xdr:col>
          <xdr:colOff>857250</xdr:colOff>
          <xdr:row>7</xdr:row>
          <xdr:rowOff>180975</xdr:rowOff>
        </xdr:to>
        <xdr:sp macro="" textlink="">
          <xdr:nvSpPr>
            <xdr:cNvPr id="43012" name="Drop Down 4" hidden="1">
              <a:extLst>
                <a:ext uri="{63B3BB69-23CF-44E3-9099-C40C66FF867C}">
                  <a14:compatExt spid="_x0000_s43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838200</xdr:colOff>
          <xdr:row>8</xdr:row>
          <xdr:rowOff>171450</xdr:rowOff>
        </xdr:from>
        <xdr:to>
          <xdr:col>2</xdr:col>
          <xdr:colOff>857250</xdr:colOff>
          <xdr:row>10</xdr:row>
          <xdr:rowOff>9525</xdr:rowOff>
        </xdr:to>
        <xdr:sp macro="" textlink="">
          <xdr:nvSpPr>
            <xdr:cNvPr id="43013" name="Drop Down 5" hidden="1">
              <a:extLst>
                <a:ext uri="{63B3BB69-23CF-44E3-9099-C40C66FF867C}">
                  <a14:compatExt spid="_x0000_s43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838200</xdr:colOff>
          <xdr:row>10</xdr:row>
          <xdr:rowOff>9525</xdr:rowOff>
        </xdr:from>
        <xdr:to>
          <xdr:col>2</xdr:col>
          <xdr:colOff>857250</xdr:colOff>
          <xdr:row>11</xdr:row>
          <xdr:rowOff>19050</xdr:rowOff>
        </xdr:to>
        <xdr:sp macro="" textlink="">
          <xdr:nvSpPr>
            <xdr:cNvPr id="43014" name="Drop Down 6" hidden="1">
              <a:extLst>
                <a:ext uri="{63B3BB69-23CF-44E3-9099-C40C66FF867C}">
                  <a14:compatExt spid="_x0000_s43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847725</xdr:colOff>
          <xdr:row>6</xdr:row>
          <xdr:rowOff>0</xdr:rowOff>
        </xdr:from>
        <xdr:to>
          <xdr:col>3</xdr:col>
          <xdr:colOff>828675</xdr:colOff>
          <xdr:row>6</xdr:row>
          <xdr:rowOff>200025</xdr:rowOff>
        </xdr:to>
        <xdr:sp macro="" textlink="">
          <xdr:nvSpPr>
            <xdr:cNvPr id="43016" name="Drop Down 8" hidden="1">
              <a:extLst>
                <a:ext uri="{63B3BB69-23CF-44E3-9099-C40C66FF867C}">
                  <a14:compatExt spid="_x0000_s43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857250</xdr:colOff>
          <xdr:row>6</xdr:row>
          <xdr:rowOff>190500</xdr:rowOff>
        </xdr:from>
        <xdr:to>
          <xdr:col>3</xdr:col>
          <xdr:colOff>838200</xdr:colOff>
          <xdr:row>7</xdr:row>
          <xdr:rowOff>180975</xdr:rowOff>
        </xdr:to>
        <xdr:sp macro="" textlink="">
          <xdr:nvSpPr>
            <xdr:cNvPr id="43017" name="Drop Down 9" hidden="1">
              <a:extLst>
                <a:ext uri="{63B3BB69-23CF-44E3-9099-C40C66FF867C}">
                  <a14:compatExt spid="_x0000_s43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857250</xdr:colOff>
          <xdr:row>10</xdr:row>
          <xdr:rowOff>38100</xdr:rowOff>
        </xdr:from>
        <xdr:to>
          <xdr:col>3</xdr:col>
          <xdr:colOff>838200</xdr:colOff>
          <xdr:row>11</xdr:row>
          <xdr:rowOff>47625</xdr:rowOff>
        </xdr:to>
        <xdr:sp macro="" textlink="">
          <xdr:nvSpPr>
            <xdr:cNvPr id="43018" name="Drop Down 10" hidden="1">
              <a:extLst>
                <a:ext uri="{63B3BB69-23CF-44E3-9099-C40C66FF867C}">
                  <a14:compatExt spid="_x0000_s43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866775</xdr:colOff>
          <xdr:row>7</xdr:row>
          <xdr:rowOff>190500</xdr:rowOff>
        </xdr:from>
        <xdr:to>
          <xdr:col>3</xdr:col>
          <xdr:colOff>847725</xdr:colOff>
          <xdr:row>9</xdr:row>
          <xdr:rowOff>0</xdr:rowOff>
        </xdr:to>
        <xdr:sp macro="" textlink="">
          <xdr:nvSpPr>
            <xdr:cNvPr id="43019" name="Drop Down 11" hidden="1">
              <a:extLst>
                <a:ext uri="{63B3BB69-23CF-44E3-9099-C40C66FF867C}">
                  <a14:compatExt spid="_x0000_s43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857250</xdr:colOff>
          <xdr:row>9</xdr:row>
          <xdr:rowOff>9525</xdr:rowOff>
        </xdr:from>
        <xdr:to>
          <xdr:col>3</xdr:col>
          <xdr:colOff>838200</xdr:colOff>
          <xdr:row>10</xdr:row>
          <xdr:rowOff>28575</xdr:rowOff>
        </xdr:to>
        <xdr:sp macro="" textlink="">
          <xdr:nvSpPr>
            <xdr:cNvPr id="43020" name="Drop Down 12" hidden="1">
              <a:extLst>
                <a:ext uri="{63B3BB69-23CF-44E3-9099-C40C66FF867C}">
                  <a14:compatExt spid="_x0000_s43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838200</xdr:colOff>
          <xdr:row>5</xdr:row>
          <xdr:rowOff>285750</xdr:rowOff>
        </xdr:from>
        <xdr:to>
          <xdr:col>5</xdr:col>
          <xdr:colOff>190500</xdr:colOff>
          <xdr:row>6</xdr:row>
          <xdr:rowOff>190500</xdr:rowOff>
        </xdr:to>
        <xdr:sp macro="" textlink="">
          <xdr:nvSpPr>
            <xdr:cNvPr id="43021" name="Drop Down 13" hidden="1">
              <a:extLst>
                <a:ext uri="{63B3BB69-23CF-44E3-9099-C40C66FF867C}">
                  <a14:compatExt spid="_x0000_s43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10</xdr:row>
          <xdr:rowOff>9525</xdr:rowOff>
        </xdr:from>
        <xdr:to>
          <xdr:col>5</xdr:col>
          <xdr:colOff>200025</xdr:colOff>
          <xdr:row>11</xdr:row>
          <xdr:rowOff>19050</xdr:rowOff>
        </xdr:to>
        <xdr:sp macro="" textlink="">
          <xdr:nvSpPr>
            <xdr:cNvPr id="43022" name="Drop Down 14" hidden="1">
              <a:extLst>
                <a:ext uri="{63B3BB69-23CF-44E3-9099-C40C66FF867C}">
                  <a14:compatExt spid="_x0000_s43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6</xdr:row>
          <xdr:rowOff>180975</xdr:rowOff>
        </xdr:from>
        <xdr:to>
          <xdr:col>5</xdr:col>
          <xdr:colOff>200025</xdr:colOff>
          <xdr:row>7</xdr:row>
          <xdr:rowOff>171450</xdr:rowOff>
        </xdr:to>
        <xdr:sp macro="" textlink="">
          <xdr:nvSpPr>
            <xdr:cNvPr id="43023" name="Drop Down 15" hidden="1">
              <a:extLst>
                <a:ext uri="{63B3BB69-23CF-44E3-9099-C40C66FF867C}">
                  <a14:compatExt spid="_x0000_s43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xdr:row>
          <xdr:rowOff>161925</xdr:rowOff>
        </xdr:from>
        <xdr:to>
          <xdr:col>5</xdr:col>
          <xdr:colOff>200025</xdr:colOff>
          <xdr:row>8</xdr:row>
          <xdr:rowOff>152400</xdr:rowOff>
        </xdr:to>
        <xdr:sp macro="" textlink="">
          <xdr:nvSpPr>
            <xdr:cNvPr id="43024" name="Drop Down 16" hidden="1">
              <a:extLst>
                <a:ext uri="{63B3BB69-23CF-44E3-9099-C40C66FF867C}">
                  <a14:compatExt spid="_x0000_s43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8</xdr:row>
          <xdr:rowOff>152400</xdr:rowOff>
        </xdr:from>
        <xdr:to>
          <xdr:col>5</xdr:col>
          <xdr:colOff>180975</xdr:colOff>
          <xdr:row>9</xdr:row>
          <xdr:rowOff>171450</xdr:rowOff>
        </xdr:to>
        <xdr:sp macro="" textlink="">
          <xdr:nvSpPr>
            <xdr:cNvPr id="43025" name="Drop Down 17" hidden="1">
              <a:extLst>
                <a:ext uri="{63B3BB69-23CF-44E3-9099-C40C66FF867C}">
                  <a14:compatExt spid="_x0000_s43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809625</xdr:colOff>
          <xdr:row>6</xdr:row>
          <xdr:rowOff>9525</xdr:rowOff>
        </xdr:from>
        <xdr:to>
          <xdr:col>9</xdr:col>
          <xdr:colOff>857250</xdr:colOff>
          <xdr:row>7</xdr:row>
          <xdr:rowOff>0</xdr:rowOff>
        </xdr:to>
        <xdr:sp macro="" textlink="">
          <xdr:nvSpPr>
            <xdr:cNvPr id="43026" name="Drop Down 18" hidden="1">
              <a:extLst>
                <a:ext uri="{63B3BB69-23CF-44E3-9099-C40C66FF867C}">
                  <a14:compatExt spid="_x0000_s43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838200</xdr:colOff>
          <xdr:row>7</xdr:row>
          <xdr:rowOff>200025</xdr:rowOff>
        </xdr:from>
        <xdr:to>
          <xdr:col>9</xdr:col>
          <xdr:colOff>866775</xdr:colOff>
          <xdr:row>9</xdr:row>
          <xdr:rowOff>9525</xdr:rowOff>
        </xdr:to>
        <xdr:sp macro="" textlink="">
          <xdr:nvSpPr>
            <xdr:cNvPr id="43027" name="Drop Down 19" hidden="1">
              <a:extLst>
                <a:ext uri="{63B3BB69-23CF-44E3-9099-C40C66FF867C}">
                  <a14:compatExt spid="_x0000_s43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838200</xdr:colOff>
          <xdr:row>6</xdr:row>
          <xdr:rowOff>190500</xdr:rowOff>
        </xdr:from>
        <xdr:to>
          <xdr:col>9</xdr:col>
          <xdr:colOff>866775</xdr:colOff>
          <xdr:row>7</xdr:row>
          <xdr:rowOff>180975</xdr:rowOff>
        </xdr:to>
        <xdr:sp macro="" textlink="">
          <xdr:nvSpPr>
            <xdr:cNvPr id="43028" name="Drop Down 20" hidden="1">
              <a:extLst>
                <a:ext uri="{63B3BB69-23CF-44E3-9099-C40C66FF867C}">
                  <a14:compatExt spid="_x0000_s43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838200</xdr:colOff>
          <xdr:row>8</xdr:row>
          <xdr:rowOff>171450</xdr:rowOff>
        </xdr:from>
        <xdr:to>
          <xdr:col>9</xdr:col>
          <xdr:colOff>866775</xdr:colOff>
          <xdr:row>10</xdr:row>
          <xdr:rowOff>9525</xdr:rowOff>
        </xdr:to>
        <xdr:sp macro="" textlink="">
          <xdr:nvSpPr>
            <xdr:cNvPr id="43029" name="Drop Down 21" hidden="1">
              <a:extLst>
                <a:ext uri="{63B3BB69-23CF-44E3-9099-C40C66FF867C}">
                  <a14:compatExt spid="_x0000_s43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838200</xdr:colOff>
          <xdr:row>10</xdr:row>
          <xdr:rowOff>9525</xdr:rowOff>
        </xdr:from>
        <xdr:to>
          <xdr:col>9</xdr:col>
          <xdr:colOff>866775</xdr:colOff>
          <xdr:row>11</xdr:row>
          <xdr:rowOff>19050</xdr:rowOff>
        </xdr:to>
        <xdr:sp macro="" textlink="">
          <xdr:nvSpPr>
            <xdr:cNvPr id="43030" name="Drop Down 22" hidden="1">
              <a:extLst>
                <a:ext uri="{63B3BB69-23CF-44E3-9099-C40C66FF867C}">
                  <a14:compatExt spid="_x0000_s43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857250</xdr:colOff>
          <xdr:row>6</xdr:row>
          <xdr:rowOff>0</xdr:rowOff>
        </xdr:from>
        <xdr:to>
          <xdr:col>10</xdr:col>
          <xdr:colOff>800100</xdr:colOff>
          <xdr:row>6</xdr:row>
          <xdr:rowOff>200025</xdr:rowOff>
        </xdr:to>
        <xdr:sp macro="" textlink="">
          <xdr:nvSpPr>
            <xdr:cNvPr id="43031" name="Drop Down 23" hidden="1">
              <a:extLst>
                <a:ext uri="{63B3BB69-23CF-44E3-9099-C40C66FF867C}">
                  <a14:compatExt spid="_x0000_s43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857250</xdr:colOff>
          <xdr:row>6</xdr:row>
          <xdr:rowOff>190500</xdr:rowOff>
        </xdr:from>
        <xdr:to>
          <xdr:col>10</xdr:col>
          <xdr:colOff>800100</xdr:colOff>
          <xdr:row>7</xdr:row>
          <xdr:rowOff>180975</xdr:rowOff>
        </xdr:to>
        <xdr:sp macro="" textlink="">
          <xdr:nvSpPr>
            <xdr:cNvPr id="43032" name="Drop Down 24" hidden="1">
              <a:extLst>
                <a:ext uri="{63B3BB69-23CF-44E3-9099-C40C66FF867C}">
                  <a14:compatExt spid="_x0000_s43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857250</xdr:colOff>
          <xdr:row>10</xdr:row>
          <xdr:rowOff>38100</xdr:rowOff>
        </xdr:from>
        <xdr:to>
          <xdr:col>10</xdr:col>
          <xdr:colOff>800100</xdr:colOff>
          <xdr:row>11</xdr:row>
          <xdr:rowOff>47625</xdr:rowOff>
        </xdr:to>
        <xdr:sp macro="" textlink="">
          <xdr:nvSpPr>
            <xdr:cNvPr id="43033" name="Drop Down 25" hidden="1">
              <a:extLst>
                <a:ext uri="{63B3BB69-23CF-44E3-9099-C40C66FF867C}">
                  <a14:compatExt spid="_x0000_s43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866775</xdr:colOff>
          <xdr:row>7</xdr:row>
          <xdr:rowOff>190500</xdr:rowOff>
        </xdr:from>
        <xdr:to>
          <xdr:col>10</xdr:col>
          <xdr:colOff>809625</xdr:colOff>
          <xdr:row>9</xdr:row>
          <xdr:rowOff>0</xdr:rowOff>
        </xdr:to>
        <xdr:sp macro="" textlink="">
          <xdr:nvSpPr>
            <xdr:cNvPr id="43034" name="Drop Down 26" hidden="1">
              <a:extLst>
                <a:ext uri="{63B3BB69-23CF-44E3-9099-C40C66FF867C}">
                  <a14:compatExt spid="_x0000_s43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857250</xdr:colOff>
          <xdr:row>9</xdr:row>
          <xdr:rowOff>9525</xdr:rowOff>
        </xdr:from>
        <xdr:to>
          <xdr:col>10</xdr:col>
          <xdr:colOff>800100</xdr:colOff>
          <xdr:row>10</xdr:row>
          <xdr:rowOff>28575</xdr:rowOff>
        </xdr:to>
        <xdr:sp macro="" textlink="">
          <xdr:nvSpPr>
            <xdr:cNvPr id="43035" name="Drop Down 27" hidden="1">
              <a:extLst>
                <a:ext uri="{63B3BB69-23CF-44E3-9099-C40C66FF867C}">
                  <a14:compatExt spid="_x0000_s43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828675</xdr:colOff>
          <xdr:row>5</xdr:row>
          <xdr:rowOff>285750</xdr:rowOff>
        </xdr:from>
        <xdr:to>
          <xdr:col>11</xdr:col>
          <xdr:colOff>771525</xdr:colOff>
          <xdr:row>6</xdr:row>
          <xdr:rowOff>190500</xdr:rowOff>
        </xdr:to>
        <xdr:sp macro="" textlink="">
          <xdr:nvSpPr>
            <xdr:cNvPr id="43036" name="Drop Down 28" hidden="1">
              <a:extLst>
                <a:ext uri="{63B3BB69-23CF-44E3-9099-C40C66FF867C}">
                  <a14:compatExt spid="_x0000_s43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847725</xdr:colOff>
          <xdr:row>10</xdr:row>
          <xdr:rowOff>9525</xdr:rowOff>
        </xdr:from>
        <xdr:to>
          <xdr:col>11</xdr:col>
          <xdr:colOff>790575</xdr:colOff>
          <xdr:row>11</xdr:row>
          <xdr:rowOff>19050</xdr:rowOff>
        </xdr:to>
        <xdr:sp macro="" textlink="">
          <xdr:nvSpPr>
            <xdr:cNvPr id="43037" name="Drop Down 29" hidden="1">
              <a:extLst>
                <a:ext uri="{63B3BB69-23CF-44E3-9099-C40C66FF867C}">
                  <a14:compatExt spid="_x0000_s43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847725</xdr:colOff>
          <xdr:row>6</xdr:row>
          <xdr:rowOff>180975</xdr:rowOff>
        </xdr:from>
        <xdr:to>
          <xdr:col>11</xdr:col>
          <xdr:colOff>790575</xdr:colOff>
          <xdr:row>7</xdr:row>
          <xdr:rowOff>171450</xdr:rowOff>
        </xdr:to>
        <xdr:sp macro="" textlink="">
          <xdr:nvSpPr>
            <xdr:cNvPr id="43038" name="Drop Down 30" hidden="1">
              <a:extLst>
                <a:ext uri="{63B3BB69-23CF-44E3-9099-C40C66FF867C}">
                  <a14:compatExt spid="_x0000_s43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847725</xdr:colOff>
          <xdr:row>7</xdr:row>
          <xdr:rowOff>161925</xdr:rowOff>
        </xdr:from>
        <xdr:to>
          <xdr:col>11</xdr:col>
          <xdr:colOff>790575</xdr:colOff>
          <xdr:row>8</xdr:row>
          <xdr:rowOff>152400</xdr:rowOff>
        </xdr:to>
        <xdr:sp macro="" textlink="">
          <xdr:nvSpPr>
            <xdr:cNvPr id="43039" name="Drop Down 31" hidden="1">
              <a:extLst>
                <a:ext uri="{63B3BB69-23CF-44E3-9099-C40C66FF867C}">
                  <a14:compatExt spid="_x0000_s43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828675</xdr:colOff>
          <xdr:row>8</xdr:row>
          <xdr:rowOff>152400</xdr:rowOff>
        </xdr:from>
        <xdr:to>
          <xdr:col>11</xdr:col>
          <xdr:colOff>771525</xdr:colOff>
          <xdr:row>9</xdr:row>
          <xdr:rowOff>171450</xdr:rowOff>
        </xdr:to>
        <xdr:sp macro="" textlink="">
          <xdr:nvSpPr>
            <xdr:cNvPr id="43040" name="Drop Down 32" hidden="1">
              <a:extLst>
                <a:ext uri="{63B3BB69-23CF-44E3-9099-C40C66FF867C}">
                  <a14:compatExt spid="_x0000_s4304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2305050</xdr:colOff>
      <xdr:row>22</xdr:row>
      <xdr:rowOff>133350</xdr:rowOff>
    </xdr:from>
    <xdr:to>
      <xdr:col>2</xdr:col>
      <xdr:colOff>419100</xdr:colOff>
      <xdr:row>39</xdr:row>
      <xdr:rowOff>9525</xdr:rowOff>
    </xdr:to>
    <xdr:pic>
      <xdr:nvPicPr>
        <xdr:cNvPr id="4204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 y="3762375"/>
          <a:ext cx="2562225"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9525</xdr:rowOff>
        </xdr:from>
        <xdr:to>
          <xdr:col>1</xdr:col>
          <xdr:colOff>0</xdr:colOff>
          <xdr:row>3</xdr:row>
          <xdr:rowOff>0</xdr:rowOff>
        </xdr:to>
        <xdr:sp macro="" textlink="">
          <xdr:nvSpPr>
            <xdr:cNvPr id="13313" name="Drop Down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9525</xdr:rowOff>
        </xdr:from>
        <xdr:to>
          <xdr:col>2</xdr:col>
          <xdr:colOff>9525</xdr:colOff>
          <xdr:row>3</xdr:row>
          <xdr:rowOff>9525</xdr:rowOff>
        </xdr:to>
        <xdr:sp macro="" textlink="">
          <xdr:nvSpPr>
            <xdr:cNvPr id="13314" name="Drop Down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9525</xdr:rowOff>
        </xdr:from>
        <xdr:to>
          <xdr:col>4</xdr:col>
          <xdr:colOff>1800225</xdr:colOff>
          <xdr:row>3</xdr:row>
          <xdr:rowOff>0</xdr:rowOff>
        </xdr:to>
        <xdr:sp macro="" textlink="">
          <xdr:nvSpPr>
            <xdr:cNvPr id="13315" name="Drop Down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9525</xdr:rowOff>
        </xdr:from>
        <xdr:to>
          <xdr:col>3</xdr:col>
          <xdr:colOff>9525</xdr:colOff>
          <xdr:row>3</xdr:row>
          <xdr:rowOff>0</xdr:rowOff>
        </xdr:to>
        <xdr:sp macro="" textlink="">
          <xdr:nvSpPr>
            <xdr:cNvPr id="13316" name="Drop Down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9525</xdr:rowOff>
        </xdr:from>
        <xdr:to>
          <xdr:col>1</xdr:col>
          <xdr:colOff>0</xdr:colOff>
          <xdr:row>4</xdr:row>
          <xdr:rowOff>0</xdr:rowOff>
        </xdr:to>
        <xdr:sp macro="" textlink="">
          <xdr:nvSpPr>
            <xdr:cNvPr id="13317" name="Drop Down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9525</xdr:rowOff>
        </xdr:from>
        <xdr:to>
          <xdr:col>1</xdr:col>
          <xdr:colOff>0</xdr:colOff>
          <xdr:row>5</xdr:row>
          <xdr:rowOff>0</xdr:rowOff>
        </xdr:to>
        <xdr:sp macro="" textlink="">
          <xdr:nvSpPr>
            <xdr:cNvPr id="13318" name="Drop Down 6" hidden="1">
              <a:extLst>
                <a:ext uri="{63B3BB69-23CF-44E3-9099-C40C66FF867C}">
                  <a14:compatExt spid="_x0000_s13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9525</xdr:rowOff>
        </xdr:from>
        <xdr:to>
          <xdr:col>1</xdr:col>
          <xdr:colOff>0</xdr:colOff>
          <xdr:row>6</xdr:row>
          <xdr:rowOff>0</xdr:rowOff>
        </xdr:to>
        <xdr:sp macro="" textlink="">
          <xdr:nvSpPr>
            <xdr:cNvPr id="13319" name="Drop Down 7" hidden="1">
              <a:extLst>
                <a:ext uri="{63B3BB69-23CF-44E3-9099-C40C66FF867C}">
                  <a14:compatExt spid="_x0000_s13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9525</xdr:rowOff>
        </xdr:from>
        <xdr:to>
          <xdr:col>1</xdr:col>
          <xdr:colOff>0</xdr:colOff>
          <xdr:row>7</xdr:row>
          <xdr:rowOff>0</xdr:rowOff>
        </xdr:to>
        <xdr:sp macro="" textlink="">
          <xdr:nvSpPr>
            <xdr:cNvPr id="13320" name="Drop Down 8" hidden="1">
              <a:extLst>
                <a:ext uri="{63B3BB69-23CF-44E3-9099-C40C66FF867C}">
                  <a14:compatExt spid="_x0000_s13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9525</xdr:rowOff>
        </xdr:from>
        <xdr:to>
          <xdr:col>1</xdr:col>
          <xdr:colOff>0</xdr:colOff>
          <xdr:row>8</xdr:row>
          <xdr:rowOff>0</xdr:rowOff>
        </xdr:to>
        <xdr:sp macro="" textlink="">
          <xdr:nvSpPr>
            <xdr:cNvPr id="13321" name="Drop Down 9" hidden="1">
              <a:extLst>
                <a:ext uri="{63B3BB69-23CF-44E3-9099-C40C66FF867C}">
                  <a14:compatExt spid="_x0000_s13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9525</xdr:rowOff>
        </xdr:from>
        <xdr:to>
          <xdr:col>1</xdr:col>
          <xdr:colOff>0</xdr:colOff>
          <xdr:row>9</xdr:row>
          <xdr:rowOff>0</xdr:rowOff>
        </xdr:to>
        <xdr:sp macro="" textlink="">
          <xdr:nvSpPr>
            <xdr:cNvPr id="13322" name="Drop Down 10" hidden="1">
              <a:extLst>
                <a:ext uri="{63B3BB69-23CF-44E3-9099-C40C66FF867C}">
                  <a14:compatExt spid="_x0000_s13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9525</xdr:rowOff>
        </xdr:from>
        <xdr:to>
          <xdr:col>1</xdr:col>
          <xdr:colOff>0</xdr:colOff>
          <xdr:row>10</xdr:row>
          <xdr:rowOff>0</xdr:rowOff>
        </xdr:to>
        <xdr:sp macro="" textlink="">
          <xdr:nvSpPr>
            <xdr:cNvPr id="13323" name="Drop Down 11" hidden="1">
              <a:extLst>
                <a:ext uri="{63B3BB69-23CF-44E3-9099-C40C66FF867C}">
                  <a14:compatExt spid="_x0000_s13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9525</xdr:rowOff>
        </xdr:from>
        <xdr:to>
          <xdr:col>1</xdr:col>
          <xdr:colOff>0</xdr:colOff>
          <xdr:row>11</xdr:row>
          <xdr:rowOff>0</xdr:rowOff>
        </xdr:to>
        <xdr:sp macro="" textlink="">
          <xdr:nvSpPr>
            <xdr:cNvPr id="13324" name="Drop Down 12" hidden="1">
              <a:extLst>
                <a:ext uri="{63B3BB69-23CF-44E3-9099-C40C66FF867C}">
                  <a14:compatExt spid="_x0000_s13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9525</xdr:rowOff>
        </xdr:from>
        <xdr:to>
          <xdr:col>1</xdr:col>
          <xdr:colOff>0</xdr:colOff>
          <xdr:row>12</xdr:row>
          <xdr:rowOff>0</xdr:rowOff>
        </xdr:to>
        <xdr:sp macro="" textlink="">
          <xdr:nvSpPr>
            <xdr:cNvPr id="13325" name="Drop Down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9525</xdr:rowOff>
        </xdr:from>
        <xdr:to>
          <xdr:col>1</xdr:col>
          <xdr:colOff>0</xdr:colOff>
          <xdr:row>13</xdr:row>
          <xdr:rowOff>0</xdr:rowOff>
        </xdr:to>
        <xdr:sp macro="" textlink="">
          <xdr:nvSpPr>
            <xdr:cNvPr id="13326" name="Drop Down 14" hidden="1">
              <a:extLst>
                <a:ext uri="{63B3BB69-23CF-44E3-9099-C40C66FF867C}">
                  <a14:compatExt spid="_x0000_s13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9525</xdr:rowOff>
        </xdr:from>
        <xdr:to>
          <xdr:col>1</xdr:col>
          <xdr:colOff>0</xdr:colOff>
          <xdr:row>14</xdr:row>
          <xdr:rowOff>0</xdr:rowOff>
        </xdr:to>
        <xdr:sp macro="" textlink="">
          <xdr:nvSpPr>
            <xdr:cNvPr id="13327" name="Drop Down 15" hidden="1">
              <a:extLst>
                <a:ext uri="{63B3BB69-23CF-44E3-9099-C40C66FF867C}">
                  <a14:compatExt spid="_x0000_s13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9525</xdr:rowOff>
        </xdr:from>
        <xdr:to>
          <xdr:col>1</xdr:col>
          <xdr:colOff>0</xdr:colOff>
          <xdr:row>15</xdr:row>
          <xdr:rowOff>0</xdr:rowOff>
        </xdr:to>
        <xdr:sp macro="" textlink="">
          <xdr:nvSpPr>
            <xdr:cNvPr id="13328" name="Drop Down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9525</xdr:rowOff>
        </xdr:from>
        <xdr:to>
          <xdr:col>1</xdr:col>
          <xdr:colOff>0</xdr:colOff>
          <xdr:row>16</xdr:row>
          <xdr:rowOff>0</xdr:rowOff>
        </xdr:to>
        <xdr:sp macro="" textlink="">
          <xdr:nvSpPr>
            <xdr:cNvPr id="13329" name="Drop Down 17" hidden="1">
              <a:extLst>
                <a:ext uri="{63B3BB69-23CF-44E3-9099-C40C66FF867C}">
                  <a14:compatExt spid="_x0000_s13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9525</xdr:rowOff>
        </xdr:from>
        <xdr:to>
          <xdr:col>1</xdr:col>
          <xdr:colOff>0</xdr:colOff>
          <xdr:row>17</xdr:row>
          <xdr:rowOff>0</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9525</xdr:rowOff>
        </xdr:from>
        <xdr:to>
          <xdr:col>1</xdr:col>
          <xdr:colOff>0</xdr:colOff>
          <xdr:row>18</xdr:row>
          <xdr:rowOff>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9525</xdr:rowOff>
        </xdr:from>
        <xdr:to>
          <xdr:col>1</xdr:col>
          <xdr:colOff>0</xdr:colOff>
          <xdr:row>19</xdr:row>
          <xdr:rowOff>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9525</xdr:rowOff>
        </xdr:from>
        <xdr:to>
          <xdr:col>1</xdr:col>
          <xdr:colOff>0</xdr:colOff>
          <xdr:row>20</xdr:row>
          <xdr:rowOff>0</xdr:rowOff>
        </xdr:to>
        <xdr:sp macro="" textlink="">
          <xdr:nvSpPr>
            <xdr:cNvPr id="13333" name="Drop Down 21" hidden="1">
              <a:extLst>
                <a:ext uri="{63B3BB69-23CF-44E3-9099-C40C66FF867C}">
                  <a14:compatExt spid="_x0000_s13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9525</xdr:rowOff>
        </xdr:from>
        <xdr:to>
          <xdr:col>1</xdr:col>
          <xdr:colOff>0</xdr:colOff>
          <xdr:row>21</xdr:row>
          <xdr:rowOff>0</xdr:rowOff>
        </xdr:to>
        <xdr:sp macro="" textlink="">
          <xdr:nvSpPr>
            <xdr:cNvPr id="13334" name="Drop Down 22"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9525</xdr:rowOff>
        </xdr:from>
        <xdr:to>
          <xdr:col>1</xdr:col>
          <xdr:colOff>0</xdr:colOff>
          <xdr:row>22</xdr:row>
          <xdr:rowOff>0</xdr:rowOff>
        </xdr:to>
        <xdr:sp macro="" textlink="">
          <xdr:nvSpPr>
            <xdr:cNvPr id="13335" name="Drop Down 23"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9525</xdr:rowOff>
        </xdr:from>
        <xdr:to>
          <xdr:col>1</xdr:col>
          <xdr:colOff>0</xdr:colOff>
          <xdr:row>23</xdr:row>
          <xdr:rowOff>0</xdr:rowOff>
        </xdr:to>
        <xdr:sp macro="" textlink="">
          <xdr:nvSpPr>
            <xdr:cNvPr id="13336" name="Drop Down 24"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9525</xdr:rowOff>
        </xdr:from>
        <xdr:to>
          <xdr:col>1</xdr:col>
          <xdr:colOff>0</xdr:colOff>
          <xdr:row>44</xdr:row>
          <xdr:rowOff>0</xdr:rowOff>
        </xdr:to>
        <xdr:sp macro="" textlink="">
          <xdr:nvSpPr>
            <xdr:cNvPr id="13337" name="Drop Down 25"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9525</xdr:rowOff>
        </xdr:from>
        <xdr:to>
          <xdr:col>3</xdr:col>
          <xdr:colOff>9525</xdr:colOff>
          <xdr:row>4</xdr:row>
          <xdr:rowOff>0</xdr:rowOff>
        </xdr:to>
        <xdr:sp macro="" textlink="">
          <xdr:nvSpPr>
            <xdr:cNvPr id="13363" name="Drop Down 51" hidden="1">
              <a:extLst>
                <a:ext uri="{63B3BB69-23CF-44E3-9099-C40C66FF867C}">
                  <a14:compatExt spid="_x0000_s13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9525</xdr:rowOff>
        </xdr:from>
        <xdr:to>
          <xdr:col>3</xdr:col>
          <xdr:colOff>9525</xdr:colOff>
          <xdr:row>5</xdr:row>
          <xdr:rowOff>0</xdr:rowOff>
        </xdr:to>
        <xdr:sp macro="" textlink="">
          <xdr:nvSpPr>
            <xdr:cNvPr id="13364" name="Drop Down 52" hidden="1">
              <a:extLst>
                <a:ext uri="{63B3BB69-23CF-44E3-9099-C40C66FF867C}">
                  <a14:compatExt spid="_x0000_s1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9525</xdr:rowOff>
        </xdr:from>
        <xdr:to>
          <xdr:col>3</xdr:col>
          <xdr:colOff>9525</xdr:colOff>
          <xdr:row>6</xdr:row>
          <xdr:rowOff>0</xdr:rowOff>
        </xdr:to>
        <xdr:sp macro="" textlink="">
          <xdr:nvSpPr>
            <xdr:cNvPr id="13365" name="Drop Down 53" hidden="1">
              <a:extLst>
                <a:ext uri="{63B3BB69-23CF-44E3-9099-C40C66FF867C}">
                  <a14:compatExt spid="_x0000_s13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9525</xdr:rowOff>
        </xdr:from>
        <xdr:to>
          <xdr:col>3</xdr:col>
          <xdr:colOff>9525</xdr:colOff>
          <xdr:row>7</xdr:row>
          <xdr:rowOff>0</xdr:rowOff>
        </xdr:to>
        <xdr:sp macro="" textlink="">
          <xdr:nvSpPr>
            <xdr:cNvPr id="13366" name="Drop Down 54" hidden="1">
              <a:extLst>
                <a:ext uri="{63B3BB69-23CF-44E3-9099-C40C66FF867C}">
                  <a14:compatExt spid="_x0000_s13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676275</xdr:colOff>
          <xdr:row>7</xdr:row>
          <xdr:rowOff>9525</xdr:rowOff>
        </xdr:from>
        <xdr:to>
          <xdr:col>3</xdr:col>
          <xdr:colOff>0</xdr:colOff>
          <xdr:row>8</xdr:row>
          <xdr:rowOff>0</xdr:rowOff>
        </xdr:to>
        <xdr:sp macro="" textlink="">
          <xdr:nvSpPr>
            <xdr:cNvPr id="13367" name="Drop Down 55" hidden="1">
              <a:extLst>
                <a:ext uri="{63B3BB69-23CF-44E3-9099-C40C66FF867C}">
                  <a14:compatExt spid="_x0000_s13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3</xdr:col>
          <xdr:colOff>19050</xdr:colOff>
          <xdr:row>9</xdr:row>
          <xdr:rowOff>0</xdr:rowOff>
        </xdr:to>
        <xdr:sp macro="" textlink="">
          <xdr:nvSpPr>
            <xdr:cNvPr id="13368" name="Drop Down 56" hidden="1">
              <a:extLst>
                <a:ext uri="{63B3BB69-23CF-44E3-9099-C40C66FF867C}">
                  <a14:compatExt spid="_x0000_s13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9525</xdr:rowOff>
        </xdr:from>
        <xdr:to>
          <xdr:col>3</xdr:col>
          <xdr:colOff>19050</xdr:colOff>
          <xdr:row>10</xdr:row>
          <xdr:rowOff>0</xdr:rowOff>
        </xdr:to>
        <xdr:sp macro="" textlink="">
          <xdr:nvSpPr>
            <xdr:cNvPr id="13369" name="Drop Down 57" hidden="1">
              <a:extLst>
                <a:ext uri="{63B3BB69-23CF-44E3-9099-C40C66FF867C}">
                  <a14:compatExt spid="_x0000_s13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9525</xdr:rowOff>
        </xdr:from>
        <xdr:to>
          <xdr:col>3</xdr:col>
          <xdr:colOff>19050</xdr:colOff>
          <xdr:row>11</xdr:row>
          <xdr:rowOff>0</xdr:rowOff>
        </xdr:to>
        <xdr:sp macro="" textlink="">
          <xdr:nvSpPr>
            <xdr:cNvPr id="13370" name="Drop Down 58" hidden="1">
              <a:extLst>
                <a:ext uri="{63B3BB69-23CF-44E3-9099-C40C66FF867C}">
                  <a14:compatExt spid="_x0000_s13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3</xdr:col>
          <xdr:colOff>9525</xdr:colOff>
          <xdr:row>11</xdr:row>
          <xdr:rowOff>200025</xdr:rowOff>
        </xdr:to>
        <xdr:sp macro="" textlink="">
          <xdr:nvSpPr>
            <xdr:cNvPr id="13371" name="Drop Down 59" hidden="1">
              <a:extLst>
                <a:ext uri="{63B3BB69-23CF-44E3-9099-C40C66FF867C}">
                  <a14:compatExt spid="_x0000_s13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9525</xdr:rowOff>
        </xdr:from>
        <xdr:to>
          <xdr:col>3</xdr:col>
          <xdr:colOff>19050</xdr:colOff>
          <xdr:row>13</xdr:row>
          <xdr:rowOff>0</xdr:rowOff>
        </xdr:to>
        <xdr:sp macro="" textlink="">
          <xdr:nvSpPr>
            <xdr:cNvPr id="13372" name="Drop Down 60" hidden="1">
              <a:extLst>
                <a:ext uri="{63B3BB69-23CF-44E3-9099-C40C66FF867C}">
                  <a14:compatExt spid="_x0000_s13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9525</xdr:rowOff>
        </xdr:from>
        <xdr:to>
          <xdr:col>3</xdr:col>
          <xdr:colOff>19050</xdr:colOff>
          <xdr:row>14</xdr:row>
          <xdr:rowOff>0</xdr:rowOff>
        </xdr:to>
        <xdr:sp macro="" textlink="">
          <xdr:nvSpPr>
            <xdr:cNvPr id="13373" name="Drop Down 61" hidden="1">
              <a:extLst>
                <a:ext uri="{63B3BB69-23CF-44E3-9099-C40C66FF867C}">
                  <a14:compatExt spid="_x0000_s13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0</xdr:rowOff>
        </xdr:from>
        <xdr:to>
          <xdr:col>3</xdr:col>
          <xdr:colOff>19050</xdr:colOff>
          <xdr:row>14</xdr:row>
          <xdr:rowOff>200025</xdr:rowOff>
        </xdr:to>
        <xdr:sp macro="" textlink="">
          <xdr:nvSpPr>
            <xdr:cNvPr id="13374" name="Drop Down 62" hidden="1">
              <a:extLst>
                <a:ext uri="{63B3BB69-23CF-44E3-9099-C40C66FF867C}">
                  <a14:compatExt spid="_x0000_s13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xdr:rowOff>
        </xdr:from>
        <xdr:to>
          <xdr:col>3</xdr:col>
          <xdr:colOff>28575</xdr:colOff>
          <xdr:row>16</xdr:row>
          <xdr:rowOff>0</xdr:rowOff>
        </xdr:to>
        <xdr:sp macro="" textlink="">
          <xdr:nvSpPr>
            <xdr:cNvPr id="13375" name="Drop Down 63" hidden="1">
              <a:extLst>
                <a:ext uri="{63B3BB69-23CF-44E3-9099-C40C66FF867C}">
                  <a14:compatExt spid="_x0000_s13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xdr:rowOff>
        </xdr:from>
        <xdr:to>
          <xdr:col>3</xdr:col>
          <xdr:colOff>28575</xdr:colOff>
          <xdr:row>17</xdr:row>
          <xdr:rowOff>0</xdr:rowOff>
        </xdr:to>
        <xdr:sp macro="" textlink="">
          <xdr:nvSpPr>
            <xdr:cNvPr id="13376" name="Drop Down 64" hidden="1">
              <a:extLst>
                <a:ext uri="{63B3BB69-23CF-44E3-9099-C40C66FF867C}">
                  <a14:compatExt spid="_x0000_s13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3</xdr:col>
          <xdr:colOff>9525</xdr:colOff>
          <xdr:row>18</xdr:row>
          <xdr:rowOff>0</xdr:rowOff>
        </xdr:to>
        <xdr:sp macro="" textlink="">
          <xdr:nvSpPr>
            <xdr:cNvPr id="13377" name="Drop Down 65" hidden="1">
              <a:extLst>
                <a:ext uri="{63B3BB69-23CF-44E3-9099-C40C66FF867C}">
                  <a14:compatExt spid="_x0000_s1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9525</xdr:rowOff>
        </xdr:from>
        <xdr:to>
          <xdr:col>3</xdr:col>
          <xdr:colOff>19050</xdr:colOff>
          <xdr:row>19</xdr:row>
          <xdr:rowOff>0</xdr:rowOff>
        </xdr:to>
        <xdr:sp macro="" textlink="">
          <xdr:nvSpPr>
            <xdr:cNvPr id="13378" name="Drop Down 66" hidden="1">
              <a:extLst>
                <a:ext uri="{63B3BB69-23CF-44E3-9099-C40C66FF867C}">
                  <a14:compatExt spid="_x0000_s13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9525</xdr:rowOff>
        </xdr:from>
        <xdr:to>
          <xdr:col>3</xdr:col>
          <xdr:colOff>9525</xdr:colOff>
          <xdr:row>20</xdr:row>
          <xdr:rowOff>0</xdr:rowOff>
        </xdr:to>
        <xdr:sp macro="" textlink="">
          <xdr:nvSpPr>
            <xdr:cNvPr id="13379" name="Drop Down 67" hidden="1">
              <a:extLst>
                <a:ext uri="{63B3BB69-23CF-44E3-9099-C40C66FF867C}">
                  <a14:compatExt spid="_x0000_s13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9525</xdr:rowOff>
        </xdr:from>
        <xdr:to>
          <xdr:col>3</xdr:col>
          <xdr:colOff>9525</xdr:colOff>
          <xdr:row>21</xdr:row>
          <xdr:rowOff>0</xdr:rowOff>
        </xdr:to>
        <xdr:sp macro="" textlink="">
          <xdr:nvSpPr>
            <xdr:cNvPr id="13380" name="Drop Down 68" hidden="1">
              <a:extLst>
                <a:ext uri="{63B3BB69-23CF-44E3-9099-C40C66FF867C}">
                  <a14:compatExt spid="_x0000_s13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9525</xdr:rowOff>
        </xdr:from>
        <xdr:to>
          <xdr:col>3</xdr:col>
          <xdr:colOff>28575</xdr:colOff>
          <xdr:row>22</xdr:row>
          <xdr:rowOff>0</xdr:rowOff>
        </xdr:to>
        <xdr:sp macro="" textlink="">
          <xdr:nvSpPr>
            <xdr:cNvPr id="13381" name="Drop Down 69" hidden="1">
              <a:extLst>
                <a:ext uri="{63B3BB69-23CF-44E3-9099-C40C66FF867C}">
                  <a14:compatExt spid="_x0000_s13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9525</xdr:rowOff>
        </xdr:from>
        <xdr:to>
          <xdr:col>3</xdr:col>
          <xdr:colOff>19050</xdr:colOff>
          <xdr:row>23</xdr:row>
          <xdr:rowOff>0</xdr:rowOff>
        </xdr:to>
        <xdr:sp macro="" textlink="">
          <xdr:nvSpPr>
            <xdr:cNvPr id="13382" name="Drop Down 70" hidden="1">
              <a:extLst>
                <a:ext uri="{63B3BB69-23CF-44E3-9099-C40C66FF867C}">
                  <a14:compatExt spid="_x0000_s1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43</xdr:row>
          <xdr:rowOff>9525</xdr:rowOff>
        </xdr:from>
        <xdr:to>
          <xdr:col>3</xdr:col>
          <xdr:colOff>19050</xdr:colOff>
          <xdr:row>44</xdr:row>
          <xdr:rowOff>0</xdr:rowOff>
        </xdr:to>
        <xdr:sp macro="" textlink="">
          <xdr:nvSpPr>
            <xdr:cNvPr id="13383" name="Drop Down 71" hidden="1">
              <a:extLst>
                <a:ext uri="{63B3BB69-23CF-44E3-9099-C40C66FF867C}">
                  <a14:compatExt spid="_x0000_s13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xdr:row>
          <xdr:rowOff>9525</xdr:rowOff>
        </xdr:from>
        <xdr:to>
          <xdr:col>6</xdr:col>
          <xdr:colOff>1028700</xdr:colOff>
          <xdr:row>3</xdr:row>
          <xdr:rowOff>0</xdr:rowOff>
        </xdr:to>
        <xdr:sp macro="" textlink="">
          <xdr:nvSpPr>
            <xdr:cNvPr id="13384" name="Drop Down 72" hidden="1">
              <a:extLst>
                <a:ext uri="{63B3BB69-23CF-44E3-9099-C40C66FF867C}">
                  <a14:compatExt spid="_x0000_s13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xdr:row>
          <xdr:rowOff>9525</xdr:rowOff>
        </xdr:from>
        <xdr:to>
          <xdr:col>8</xdr:col>
          <xdr:colOff>2914650</xdr:colOff>
          <xdr:row>3</xdr:row>
          <xdr:rowOff>0</xdr:rowOff>
        </xdr:to>
        <xdr:sp macro="" textlink="">
          <xdr:nvSpPr>
            <xdr:cNvPr id="13385" name="Drop Down 73" hidden="1">
              <a:extLst>
                <a:ext uri="{63B3BB69-23CF-44E3-9099-C40C66FF867C}">
                  <a14:compatExt spid="_x0000_s13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xdr:row>
          <xdr:rowOff>9525</xdr:rowOff>
        </xdr:from>
        <xdr:to>
          <xdr:col>10</xdr:col>
          <xdr:colOff>19050</xdr:colOff>
          <xdr:row>3</xdr:row>
          <xdr:rowOff>9525</xdr:rowOff>
        </xdr:to>
        <xdr:sp macro="" textlink="">
          <xdr:nvSpPr>
            <xdr:cNvPr id="13386" name="Drop Down 74" hidden="1">
              <a:extLst>
                <a:ext uri="{63B3BB69-23CF-44E3-9099-C40C66FF867C}">
                  <a14:compatExt spid="_x0000_s13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2</xdr:col>
          <xdr:colOff>9525</xdr:colOff>
          <xdr:row>4</xdr:row>
          <xdr:rowOff>9525</xdr:rowOff>
        </xdr:to>
        <xdr:sp macro="" textlink="">
          <xdr:nvSpPr>
            <xdr:cNvPr id="13387" name="Drop Down 75" hidden="1">
              <a:extLst>
                <a:ext uri="{63B3BB69-23CF-44E3-9099-C40C66FF867C}">
                  <a14:compatExt spid="_x0000_s13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2</xdr:col>
          <xdr:colOff>9525</xdr:colOff>
          <xdr:row>5</xdr:row>
          <xdr:rowOff>9525</xdr:rowOff>
        </xdr:to>
        <xdr:sp macro="" textlink="">
          <xdr:nvSpPr>
            <xdr:cNvPr id="13388" name="Drop Down 76" hidden="1">
              <a:extLst>
                <a:ext uri="{63B3BB69-23CF-44E3-9099-C40C66FF867C}">
                  <a14:compatExt spid="_x0000_s13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2</xdr:col>
          <xdr:colOff>9525</xdr:colOff>
          <xdr:row>6</xdr:row>
          <xdr:rowOff>9525</xdr:rowOff>
        </xdr:to>
        <xdr:sp macro="" textlink="">
          <xdr:nvSpPr>
            <xdr:cNvPr id="13389" name="Drop Down 77" hidden="1">
              <a:extLst>
                <a:ext uri="{63B3BB69-23CF-44E3-9099-C40C66FF867C}">
                  <a14:compatExt spid="_x0000_s13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2</xdr:col>
          <xdr:colOff>9525</xdr:colOff>
          <xdr:row>7</xdr:row>
          <xdr:rowOff>9525</xdr:rowOff>
        </xdr:to>
        <xdr:sp macro="" textlink="">
          <xdr:nvSpPr>
            <xdr:cNvPr id="13390" name="Drop Down 78" hidden="1">
              <a:extLst>
                <a:ext uri="{63B3BB69-23CF-44E3-9099-C40C66FF867C}">
                  <a14:compatExt spid="_x0000_s13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2</xdr:col>
          <xdr:colOff>9525</xdr:colOff>
          <xdr:row>8</xdr:row>
          <xdr:rowOff>9525</xdr:rowOff>
        </xdr:to>
        <xdr:sp macro="" textlink="">
          <xdr:nvSpPr>
            <xdr:cNvPr id="13391" name="Drop Down 79" hidden="1">
              <a:extLst>
                <a:ext uri="{63B3BB69-23CF-44E3-9099-C40C66FF867C}">
                  <a14:compatExt spid="_x0000_s13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2</xdr:col>
          <xdr:colOff>9525</xdr:colOff>
          <xdr:row>9</xdr:row>
          <xdr:rowOff>9525</xdr:rowOff>
        </xdr:to>
        <xdr:sp macro="" textlink="">
          <xdr:nvSpPr>
            <xdr:cNvPr id="13392" name="Drop Down 80" hidden="1">
              <a:extLst>
                <a:ext uri="{63B3BB69-23CF-44E3-9099-C40C66FF867C}">
                  <a14:compatExt spid="_x0000_s13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2</xdr:col>
          <xdr:colOff>9525</xdr:colOff>
          <xdr:row>10</xdr:row>
          <xdr:rowOff>9525</xdr:rowOff>
        </xdr:to>
        <xdr:sp macro="" textlink="">
          <xdr:nvSpPr>
            <xdr:cNvPr id="13393" name="Drop Down 81" hidden="1">
              <a:extLst>
                <a:ext uri="{63B3BB69-23CF-44E3-9099-C40C66FF867C}">
                  <a14:compatExt spid="_x0000_s13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2</xdr:col>
          <xdr:colOff>9525</xdr:colOff>
          <xdr:row>11</xdr:row>
          <xdr:rowOff>9525</xdr:rowOff>
        </xdr:to>
        <xdr:sp macro="" textlink="">
          <xdr:nvSpPr>
            <xdr:cNvPr id="13394" name="Drop Down 82" hidden="1">
              <a:extLst>
                <a:ext uri="{63B3BB69-23CF-44E3-9099-C40C66FF867C}">
                  <a14:compatExt spid="_x0000_s13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2</xdr:col>
          <xdr:colOff>9525</xdr:colOff>
          <xdr:row>12</xdr:row>
          <xdr:rowOff>9525</xdr:rowOff>
        </xdr:to>
        <xdr:sp macro="" textlink="">
          <xdr:nvSpPr>
            <xdr:cNvPr id="13395" name="Drop Down 83" hidden="1">
              <a:extLst>
                <a:ext uri="{63B3BB69-23CF-44E3-9099-C40C66FF867C}">
                  <a14:compatExt spid="_x0000_s13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xdr:col>
          <xdr:colOff>9525</xdr:colOff>
          <xdr:row>13</xdr:row>
          <xdr:rowOff>9525</xdr:rowOff>
        </xdr:to>
        <xdr:sp macro="" textlink="">
          <xdr:nvSpPr>
            <xdr:cNvPr id="13396" name="Drop Down 84" hidden="1">
              <a:extLst>
                <a:ext uri="{63B3BB69-23CF-44E3-9099-C40C66FF867C}">
                  <a14:compatExt spid="_x0000_s13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2</xdr:col>
          <xdr:colOff>9525</xdr:colOff>
          <xdr:row>14</xdr:row>
          <xdr:rowOff>9525</xdr:rowOff>
        </xdr:to>
        <xdr:sp macro="" textlink="">
          <xdr:nvSpPr>
            <xdr:cNvPr id="13397" name="Drop Down 85" hidden="1">
              <a:extLst>
                <a:ext uri="{63B3BB69-23CF-44E3-9099-C40C66FF867C}">
                  <a14:compatExt spid="_x0000_s13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2</xdr:col>
          <xdr:colOff>9525</xdr:colOff>
          <xdr:row>15</xdr:row>
          <xdr:rowOff>9525</xdr:rowOff>
        </xdr:to>
        <xdr:sp macro="" textlink="">
          <xdr:nvSpPr>
            <xdr:cNvPr id="13398" name="Drop Down 86" hidden="1">
              <a:extLst>
                <a:ext uri="{63B3BB69-23CF-44E3-9099-C40C66FF867C}">
                  <a14:compatExt spid="_x0000_s13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2</xdr:col>
          <xdr:colOff>9525</xdr:colOff>
          <xdr:row>16</xdr:row>
          <xdr:rowOff>9525</xdr:rowOff>
        </xdr:to>
        <xdr:sp macro="" textlink="">
          <xdr:nvSpPr>
            <xdr:cNvPr id="13399" name="Drop Down 87" hidden="1">
              <a:extLst>
                <a:ext uri="{63B3BB69-23CF-44E3-9099-C40C66FF867C}">
                  <a14:compatExt spid="_x0000_s13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2</xdr:col>
          <xdr:colOff>9525</xdr:colOff>
          <xdr:row>17</xdr:row>
          <xdr:rowOff>9525</xdr:rowOff>
        </xdr:to>
        <xdr:sp macro="" textlink="">
          <xdr:nvSpPr>
            <xdr:cNvPr id="13400" name="Drop Down 88" hidden="1">
              <a:extLst>
                <a:ext uri="{63B3BB69-23CF-44E3-9099-C40C66FF867C}">
                  <a14:compatExt spid="_x0000_s13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xdr:col>
          <xdr:colOff>9525</xdr:colOff>
          <xdr:row>18</xdr:row>
          <xdr:rowOff>9525</xdr:rowOff>
        </xdr:to>
        <xdr:sp macro="" textlink="">
          <xdr:nvSpPr>
            <xdr:cNvPr id="13401" name="Drop Down 89" hidden="1">
              <a:extLst>
                <a:ext uri="{63B3BB69-23CF-44E3-9099-C40C66FF867C}">
                  <a14:compatExt spid="_x0000_s13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xdr:col>
          <xdr:colOff>9525</xdr:colOff>
          <xdr:row>19</xdr:row>
          <xdr:rowOff>9525</xdr:rowOff>
        </xdr:to>
        <xdr:sp macro="" textlink="">
          <xdr:nvSpPr>
            <xdr:cNvPr id="13402" name="Drop Down 90" hidden="1">
              <a:extLst>
                <a:ext uri="{63B3BB69-23CF-44E3-9099-C40C66FF867C}">
                  <a14:compatExt spid="_x0000_s13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xdr:col>
          <xdr:colOff>9525</xdr:colOff>
          <xdr:row>20</xdr:row>
          <xdr:rowOff>9525</xdr:rowOff>
        </xdr:to>
        <xdr:sp macro="" textlink="">
          <xdr:nvSpPr>
            <xdr:cNvPr id="13403" name="Drop Down 91" hidden="1">
              <a:extLst>
                <a:ext uri="{63B3BB69-23CF-44E3-9099-C40C66FF867C}">
                  <a14:compatExt spid="_x0000_s13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xdr:col>
          <xdr:colOff>9525</xdr:colOff>
          <xdr:row>21</xdr:row>
          <xdr:rowOff>9525</xdr:rowOff>
        </xdr:to>
        <xdr:sp macro="" textlink="">
          <xdr:nvSpPr>
            <xdr:cNvPr id="13404" name="Drop Down 92" hidden="1">
              <a:extLst>
                <a:ext uri="{63B3BB69-23CF-44E3-9099-C40C66FF867C}">
                  <a14:compatExt spid="_x0000_s13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xdr:col>
          <xdr:colOff>9525</xdr:colOff>
          <xdr:row>22</xdr:row>
          <xdr:rowOff>9525</xdr:rowOff>
        </xdr:to>
        <xdr:sp macro="" textlink="">
          <xdr:nvSpPr>
            <xdr:cNvPr id="13405" name="Drop Down 93" hidden="1">
              <a:extLst>
                <a:ext uri="{63B3BB69-23CF-44E3-9099-C40C66FF867C}">
                  <a14:compatExt spid="_x0000_s13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2</xdr:col>
          <xdr:colOff>9525</xdr:colOff>
          <xdr:row>23</xdr:row>
          <xdr:rowOff>9525</xdr:rowOff>
        </xdr:to>
        <xdr:sp macro="" textlink="">
          <xdr:nvSpPr>
            <xdr:cNvPr id="13406" name="Drop Down 94" hidden="1">
              <a:extLst>
                <a:ext uri="{63B3BB69-23CF-44E3-9099-C40C66FF867C}">
                  <a14:compatExt spid="_x0000_s13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2</xdr:col>
          <xdr:colOff>9525</xdr:colOff>
          <xdr:row>44</xdr:row>
          <xdr:rowOff>9525</xdr:rowOff>
        </xdr:to>
        <xdr:sp macro="" textlink="">
          <xdr:nvSpPr>
            <xdr:cNvPr id="13407" name="Drop Down 95" hidden="1">
              <a:extLst>
                <a:ext uri="{63B3BB69-23CF-44E3-9099-C40C66FF867C}">
                  <a14:compatExt spid="_x0000_s13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xdr:row>
          <xdr:rowOff>9525</xdr:rowOff>
        </xdr:from>
        <xdr:to>
          <xdr:col>12</xdr:col>
          <xdr:colOff>0</xdr:colOff>
          <xdr:row>3</xdr:row>
          <xdr:rowOff>28575</xdr:rowOff>
        </xdr:to>
        <xdr:sp macro="" textlink="">
          <xdr:nvSpPr>
            <xdr:cNvPr id="13408" name="Drop Down 96" hidden="1">
              <a:extLst>
                <a:ext uri="{63B3BB69-23CF-44E3-9099-C40C66FF867C}">
                  <a14:compatExt spid="_x0000_s13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xdr:row>
          <xdr:rowOff>9525</xdr:rowOff>
        </xdr:from>
        <xdr:to>
          <xdr:col>13</xdr:col>
          <xdr:colOff>2809875</xdr:colOff>
          <xdr:row>3</xdr:row>
          <xdr:rowOff>9525</xdr:rowOff>
        </xdr:to>
        <xdr:sp macro="" textlink="">
          <xdr:nvSpPr>
            <xdr:cNvPr id="13409" name="Drop Down 97" hidden="1">
              <a:extLst>
                <a:ext uri="{63B3BB69-23CF-44E3-9099-C40C66FF867C}">
                  <a14:compatExt spid="_x0000_s13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xdr:row>
          <xdr:rowOff>9525</xdr:rowOff>
        </xdr:from>
        <xdr:to>
          <xdr:col>16</xdr:col>
          <xdr:colOff>9525</xdr:colOff>
          <xdr:row>3</xdr:row>
          <xdr:rowOff>9525</xdr:rowOff>
        </xdr:to>
        <xdr:sp macro="" textlink="">
          <xdr:nvSpPr>
            <xdr:cNvPr id="13410" name="Drop Down 98" hidden="1">
              <a:extLst>
                <a:ext uri="{63B3BB69-23CF-44E3-9099-C40C66FF867C}">
                  <a14:compatExt spid="_x0000_s13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9525</xdr:rowOff>
        </xdr:from>
        <xdr:to>
          <xdr:col>4</xdr:col>
          <xdr:colOff>1800225</xdr:colOff>
          <xdr:row>4</xdr:row>
          <xdr:rowOff>0</xdr:rowOff>
        </xdr:to>
        <xdr:sp macro="" textlink="">
          <xdr:nvSpPr>
            <xdr:cNvPr id="13411" name="Drop Down 99" hidden="1">
              <a:extLst>
                <a:ext uri="{63B3BB69-23CF-44E3-9099-C40C66FF867C}">
                  <a14:compatExt spid="_x0000_s13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9525</xdr:rowOff>
        </xdr:from>
        <xdr:to>
          <xdr:col>4</xdr:col>
          <xdr:colOff>1800225</xdr:colOff>
          <xdr:row>5</xdr:row>
          <xdr:rowOff>0</xdr:rowOff>
        </xdr:to>
        <xdr:sp macro="" textlink="">
          <xdr:nvSpPr>
            <xdr:cNvPr id="13412" name="Drop Down 100" hidden="1">
              <a:extLst>
                <a:ext uri="{63B3BB69-23CF-44E3-9099-C40C66FF867C}">
                  <a14:compatExt spid="_x0000_s13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9525</xdr:rowOff>
        </xdr:from>
        <xdr:to>
          <xdr:col>4</xdr:col>
          <xdr:colOff>1800225</xdr:colOff>
          <xdr:row>6</xdr:row>
          <xdr:rowOff>0</xdr:rowOff>
        </xdr:to>
        <xdr:sp macro="" textlink="">
          <xdr:nvSpPr>
            <xdr:cNvPr id="13413" name="Drop Down 101" hidden="1">
              <a:extLst>
                <a:ext uri="{63B3BB69-23CF-44E3-9099-C40C66FF867C}">
                  <a14:compatExt spid="_x0000_s13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9525</xdr:rowOff>
        </xdr:from>
        <xdr:to>
          <xdr:col>4</xdr:col>
          <xdr:colOff>1800225</xdr:colOff>
          <xdr:row>7</xdr:row>
          <xdr:rowOff>0</xdr:rowOff>
        </xdr:to>
        <xdr:sp macro="" textlink="">
          <xdr:nvSpPr>
            <xdr:cNvPr id="13414" name="Drop Down 102" hidden="1">
              <a:extLst>
                <a:ext uri="{63B3BB69-23CF-44E3-9099-C40C66FF867C}">
                  <a14:compatExt spid="_x0000_s13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9525</xdr:rowOff>
        </xdr:from>
        <xdr:to>
          <xdr:col>4</xdr:col>
          <xdr:colOff>1800225</xdr:colOff>
          <xdr:row>8</xdr:row>
          <xdr:rowOff>0</xdr:rowOff>
        </xdr:to>
        <xdr:sp macro="" textlink="">
          <xdr:nvSpPr>
            <xdr:cNvPr id="13415" name="Drop Down 103" hidden="1">
              <a:extLst>
                <a:ext uri="{63B3BB69-23CF-44E3-9099-C40C66FF867C}">
                  <a14:compatExt spid="_x0000_s13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9525</xdr:rowOff>
        </xdr:from>
        <xdr:to>
          <xdr:col>4</xdr:col>
          <xdr:colOff>1800225</xdr:colOff>
          <xdr:row>9</xdr:row>
          <xdr:rowOff>0</xdr:rowOff>
        </xdr:to>
        <xdr:sp macro="" textlink="">
          <xdr:nvSpPr>
            <xdr:cNvPr id="13416" name="Drop Down 104" hidden="1">
              <a:extLst>
                <a:ext uri="{63B3BB69-23CF-44E3-9099-C40C66FF867C}">
                  <a14:compatExt spid="_x0000_s13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9525</xdr:rowOff>
        </xdr:from>
        <xdr:to>
          <xdr:col>4</xdr:col>
          <xdr:colOff>1800225</xdr:colOff>
          <xdr:row>10</xdr:row>
          <xdr:rowOff>0</xdr:rowOff>
        </xdr:to>
        <xdr:sp macro="" textlink="">
          <xdr:nvSpPr>
            <xdr:cNvPr id="13417" name="Drop Down 105" hidden="1">
              <a:extLst>
                <a:ext uri="{63B3BB69-23CF-44E3-9099-C40C66FF867C}">
                  <a14:compatExt spid="_x0000_s13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9525</xdr:rowOff>
        </xdr:from>
        <xdr:to>
          <xdr:col>4</xdr:col>
          <xdr:colOff>1800225</xdr:colOff>
          <xdr:row>11</xdr:row>
          <xdr:rowOff>0</xdr:rowOff>
        </xdr:to>
        <xdr:sp macro="" textlink="">
          <xdr:nvSpPr>
            <xdr:cNvPr id="13418" name="Drop Down 106" hidden="1">
              <a:extLst>
                <a:ext uri="{63B3BB69-23CF-44E3-9099-C40C66FF867C}">
                  <a14:compatExt spid="_x0000_s13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4</xdr:col>
          <xdr:colOff>1800225</xdr:colOff>
          <xdr:row>12</xdr:row>
          <xdr:rowOff>0</xdr:rowOff>
        </xdr:to>
        <xdr:sp macro="" textlink="">
          <xdr:nvSpPr>
            <xdr:cNvPr id="13419" name="Drop Down 107" hidden="1">
              <a:extLst>
                <a:ext uri="{63B3BB69-23CF-44E3-9099-C40C66FF867C}">
                  <a14:compatExt spid="_x0000_s13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4</xdr:col>
          <xdr:colOff>1800225</xdr:colOff>
          <xdr:row>13</xdr:row>
          <xdr:rowOff>0</xdr:rowOff>
        </xdr:to>
        <xdr:sp macro="" textlink="">
          <xdr:nvSpPr>
            <xdr:cNvPr id="13420" name="Drop Down 108" hidden="1">
              <a:extLst>
                <a:ext uri="{63B3BB69-23CF-44E3-9099-C40C66FF867C}">
                  <a14:compatExt spid="_x0000_s13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9525</xdr:rowOff>
        </xdr:from>
        <xdr:to>
          <xdr:col>4</xdr:col>
          <xdr:colOff>1800225</xdr:colOff>
          <xdr:row>14</xdr:row>
          <xdr:rowOff>0</xdr:rowOff>
        </xdr:to>
        <xdr:sp macro="" textlink="">
          <xdr:nvSpPr>
            <xdr:cNvPr id="13421" name="Drop Down 109" hidden="1">
              <a:extLst>
                <a:ext uri="{63B3BB69-23CF-44E3-9099-C40C66FF867C}">
                  <a14:compatExt spid="_x0000_s13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9525</xdr:rowOff>
        </xdr:from>
        <xdr:to>
          <xdr:col>4</xdr:col>
          <xdr:colOff>1800225</xdr:colOff>
          <xdr:row>15</xdr:row>
          <xdr:rowOff>0</xdr:rowOff>
        </xdr:to>
        <xdr:sp macro="" textlink="">
          <xdr:nvSpPr>
            <xdr:cNvPr id="13422" name="Drop Down 110" hidden="1">
              <a:extLst>
                <a:ext uri="{63B3BB69-23CF-44E3-9099-C40C66FF867C}">
                  <a14:compatExt spid="_x0000_s13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9525</xdr:rowOff>
        </xdr:from>
        <xdr:to>
          <xdr:col>4</xdr:col>
          <xdr:colOff>1800225</xdr:colOff>
          <xdr:row>16</xdr:row>
          <xdr:rowOff>0</xdr:rowOff>
        </xdr:to>
        <xdr:sp macro="" textlink="">
          <xdr:nvSpPr>
            <xdr:cNvPr id="13423" name="Drop Down 111" hidden="1">
              <a:extLst>
                <a:ext uri="{63B3BB69-23CF-44E3-9099-C40C66FF867C}">
                  <a14:compatExt spid="_x0000_s13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9525</xdr:rowOff>
        </xdr:from>
        <xdr:to>
          <xdr:col>4</xdr:col>
          <xdr:colOff>1800225</xdr:colOff>
          <xdr:row>17</xdr:row>
          <xdr:rowOff>0</xdr:rowOff>
        </xdr:to>
        <xdr:sp macro="" textlink="">
          <xdr:nvSpPr>
            <xdr:cNvPr id="13424" name="Drop Down 112" hidden="1">
              <a:extLst>
                <a:ext uri="{63B3BB69-23CF-44E3-9099-C40C66FF867C}">
                  <a14:compatExt spid="_x0000_s13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9525</xdr:rowOff>
        </xdr:from>
        <xdr:to>
          <xdr:col>4</xdr:col>
          <xdr:colOff>1800225</xdr:colOff>
          <xdr:row>18</xdr:row>
          <xdr:rowOff>0</xdr:rowOff>
        </xdr:to>
        <xdr:sp macro="" textlink="">
          <xdr:nvSpPr>
            <xdr:cNvPr id="13425" name="Drop Down 113" hidden="1">
              <a:extLst>
                <a:ext uri="{63B3BB69-23CF-44E3-9099-C40C66FF867C}">
                  <a14:compatExt spid="_x0000_s13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9525</xdr:rowOff>
        </xdr:from>
        <xdr:to>
          <xdr:col>4</xdr:col>
          <xdr:colOff>1800225</xdr:colOff>
          <xdr:row>19</xdr:row>
          <xdr:rowOff>0</xdr:rowOff>
        </xdr:to>
        <xdr:sp macro="" textlink="">
          <xdr:nvSpPr>
            <xdr:cNvPr id="13426" name="Drop Down 114" hidden="1">
              <a:extLst>
                <a:ext uri="{63B3BB69-23CF-44E3-9099-C40C66FF867C}">
                  <a14:compatExt spid="_x0000_s13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9525</xdr:rowOff>
        </xdr:from>
        <xdr:to>
          <xdr:col>4</xdr:col>
          <xdr:colOff>1800225</xdr:colOff>
          <xdr:row>20</xdr:row>
          <xdr:rowOff>0</xdr:rowOff>
        </xdr:to>
        <xdr:sp macro="" textlink="">
          <xdr:nvSpPr>
            <xdr:cNvPr id="13427" name="Drop Down 115" hidden="1">
              <a:extLst>
                <a:ext uri="{63B3BB69-23CF-44E3-9099-C40C66FF867C}">
                  <a14:compatExt spid="_x0000_s13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9525</xdr:rowOff>
        </xdr:from>
        <xdr:to>
          <xdr:col>4</xdr:col>
          <xdr:colOff>1800225</xdr:colOff>
          <xdr:row>21</xdr:row>
          <xdr:rowOff>0</xdr:rowOff>
        </xdr:to>
        <xdr:sp macro="" textlink="">
          <xdr:nvSpPr>
            <xdr:cNvPr id="13428" name="Drop Down 116" hidden="1">
              <a:extLst>
                <a:ext uri="{63B3BB69-23CF-44E3-9099-C40C66FF867C}">
                  <a14:compatExt spid="_x0000_s13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9525</xdr:rowOff>
        </xdr:from>
        <xdr:to>
          <xdr:col>4</xdr:col>
          <xdr:colOff>1800225</xdr:colOff>
          <xdr:row>22</xdr:row>
          <xdr:rowOff>0</xdr:rowOff>
        </xdr:to>
        <xdr:sp macro="" textlink="">
          <xdr:nvSpPr>
            <xdr:cNvPr id="13429" name="Drop Down 117" hidden="1">
              <a:extLst>
                <a:ext uri="{63B3BB69-23CF-44E3-9099-C40C66FF867C}">
                  <a14:compatExt spid="_x0000_s13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9525</xdr:rowOff>
        </xdr:from>
        <xdr:to>
          <xdr:col>4</xdr:col>
          <xdr:colOff>1800225</xdr:colOff>
          <xdr:row>23</xdr:row>
          <xdr:rowOff>0</xdr:rowOff>
        </xdr:to>
        <xdr:sp macro="" textlink="">
          <xdr:nvSpPr>
            <xdr:cNvPr id="13430" name="Drop Down 118" hidden="1">
              <a:extLst>
                <a:ext uri="{63B3BB69-23CF-44E3-9099-C40C66FF867C}">
                  <a14:compatExt spid="_x0000_s13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9525</xdr:rowOff>
        </xdr:from>
        <xdr:to>
          <xdr:col>4</xdr:col>
          <xdr:colOff>1800225</xdr:colOff>
          <xdr:row>44</xdr:row>
          <xdr:rowOff>0</xdr:rowOff>
        </xdr:to>
        <xdr:sp macro="" textlink="">
          <xdr:nvSpPr>
            <xdr:cNvPr id="13431" name="Drop Down 119" hidden="1">
              <a:extLst>
                <a:ext uri="{63B3BB69-23CF-44E3-9099-C40C66FF867C}">
                  <a14:compatExt spid="_x0000_s13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9525</xdr:rowOff>
        </xdr:from>
        <xdr:to>
          <xdr:col>6</xdr:col>
          <xdr:colOff>1028700</xdr:colOff>
          <xdr:row>4</xdr:row>
          <xdr:rowOff>0</xdr:rowOff>
        </xdr:to>
        <xdr:sp macro="" textlink="">
          <xdr:nvSpPr>
            <xdr:cNvPr id="13432" name="Drop Down 120" hidden="1">
              <a:extLst>
                <a:ext uri="{63B3BB69-23CF-44E3-9099-C40C66FF867C}">
                  <a14:compatExt spid="_x0000_s13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9525</xdr:rowOff>
        </xdr:from>
        <xdr:to>
          <xdr:col>6</xdr:col>
          <xdr:colOff>1028700</xdr:colOff>
          <xdr:row>5</xdr:row>
          <xdr:rowOff>0</xdr:rowOff>
        </xdr:to>
        <xdr:sp macro="" textlink="">
          <xdr:nvSpPr>
            <xdr:cNvPr id="13433" name="Drop Down 121" hidden="1">
              <a:extLst>
                <a:ext uri="{63B3BB69-23CF-44E3-9099-C40C66FF867C}">
                  <a14:compatExt spid="_x0000_s13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9525</xdr:rowOff>
        </xdr:from>
        <xdr:to>
          <xdr:col>7</xdr:col>
          <xdr:colOff>0</xdr:colOff>
          <xdr:row>6</xdr:row>
          <xdr:rowOff>0</xdr:rowOff>
        </xdr:to>
        <xdr:sp macro="" textlink="">
          <xdr:nvSpPr>
            <xdr:cNvPr id="13434" name="Drop Down 122" hidden="1">
              <a:extLst>
                <a:ext uri="{63B3BB69-23CF-44E3-9099-C40C66FF867C}">
                  <a14:compatExt spid="_x0000_s13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9525</xdr:rowOff>
        </xdr:from>
        <xdr:to>
          <xdr:col>7</xdr:col>
          <xdr:colOff>0</xdr:colOff>
          <xdr:row>7</xdr:row>
          <xdr:rowOff>0</xdr:rowOff>
        </xdr:to>
        <xdr:sp macro="" textlink="">
          <xdr:nvSpPr>
            <xdr:cNvPr id="13435" name="Drop Down 123" hidden="1">
              <a:extLst>
                <a:ext uri="{63B3BB69-23CF-44E3-9099-C40C66FF867C}">
                  <a14:compatExt spid="_x0000_s13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9525</xdr:rowOff>
        </xdr:from>
        <xdr:to>
          <xdr:col>7</xdr:col>
          <xdr:colOff>0</xdr:colOff>
          <xdr:row>8</xdr:row>
          <xdr:rowOff>0</xdr:rowOff>
        </xdr:to>
        <xdr:sp macro="" textlink="">
          <xdr:nvSpPr>
            <xdr:cNvPr id="13436" name="Drop Down 124" hidden="1">
              <a:extLst>
                <a:ext uri="{63B3BB69-23CF-44E3-9099-C40C66FF867C}">
                  <a14:compatExt spid="_x0000_s13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9525</xdr:rowOff>
        </xdr:from>
        <xdr:to>
          <xdr:col>7</xdr:col>
          <xdr:colOff>0</xdr:colOff>
          <xdr:row>9</xdr:row>
          <xdr:rowOff>0</xdr:rowOff>
        </xdr:to>
        <xdr:sp macro="" textlink="">
          <xdr:nvSpPr>
            <xdr:cNvPr id="13437" name="Drop Down 125" hidden="1">
              <a:extLst>
                <a:ext uri="{63B3BB69-23CF-44E3-9099-C40C66FF867C}">
                  <a14:compatExt spid="_x0000_s13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9525</xdr:rowOff>
        </xdr:from>
        <xdr:to>
          <xdr:col>7</xdr:col>
          <xdr:colOff>0</xdr:colOff>
          <xdr:row>10</xdr:row>
          <xdr:rowOff>0</xdr:rowOff>
        </xdr:to>
        <xdr:sp macro="" textlink="">
          <xdr:nvSpPr>
            <xdr:cNvPr id="13438" name="Drop Down 126" hidden="1">
              <a:extLst>
                <a:ext uri="{63B3BB69-23CF-44E3-9099-C40C66FF867C}">
                  <a14:compatExt spid="_x0000_s1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9525</xdr:rowOff>
        </xdr:from>
        <xdr:to>
          <xdr:col>7</xdr:col>
          <xdr:colOff>0</xdr:colOff>
          <xdr:row>11</xdr:row>
          <xdr:rowOff>0</xdr:rowOff>
        </xdr:to>
        <xdr:sp macro="" textlink="">
          <xdr:nvSpPr>
            <xdr:cNvPr id="13439" name="Drop Down 127" hidden="1">
              <a:extLst>
                <a:ext uri="{63B3BB69-23CF-44E3-9099-C40C66FF867C}">
                  <a14:compatExt spid="_x0000_s13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9525</xdr:rowOff>
        </xdr:from>
        <xdr:to>
          <xdr:col>7</xdr:col>
          <xdr:colOff>0</xdr:colOff>
          <xdr:row>12</xdr:row>
          <xdr:rowOff>0</xdr:rowOff>
        </xdr:to>
        <xdr:sp macro="" textlink="">
          <xdr:nvSpPr>
            <xdr:cNvPr id="13440" name="Drop Down 128" hidden="1">
              <a:extLst>
                <a:ext uri="{63B3BB69-23CF-44E3-9099-C40C66FF867C}">
                  <a14:compatExt spid="_x0000_s13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9525</xdr:rowOff>
        </xdr:from>
        <xdr:to>
          <xdr:col>7</xdr:col>
          <xdr:colOff>0</xdr:colOff>
          <xdr:row>13</xdr:row>
          <xdr:rowOff>0</xdr:rowOff>
        </xdr:to>
        <xdr:sp macro="" textlink="">
          <xdr:nvSpPr>
            <xdr:cNvPr id="13441" name="Drop Down 129" hidden="1">
              <a:extLst>
                <a:ext uri="{63B3BB69-23CF-44E3-9099-C40C66FF867C}">
                  <a14:compatExt spid="_x0000_s13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9525</xdr:rowOff>
        </xdr:from>
        <xdr:to>
          <xdr:col>7</xdr:col>
          <xdr:colOff>0</xdr:colOff>
          <xdr:row>14</xdr:row>
          <xdr:rowOff>0</xdr:rowOff>
        </xdr:to>
        <xdr:sp macro="" textlink="">
          <xdr:nvSpPr>
            <xdr:cNvPr id="13442" name="Drop Down 130" hidden="1">
              <a:extLst>
                <a:ext uri="{63B3BB69-23CF-44E3-9099-C40C66FF867C}">
                  <a14:compatExt spid="_x0000_s13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9525</xdr:rowOff>
        </xdr:from>
        <xdr:to>
          <xdr:col>7</xdr:col>
          <xdr:colOff>0</xdr:colOff>
          <xdr:row>15</xdr:row>
          <xdr:rowOff>9525</xdr:rowOff>
        </xdr:to>
        <xdr:sp macro="" textlink="">
          <xdr:nvSpPr>
            <xdr:cNvPr id="13443" name="Drop Down 131" hidden="1">
              <a:extLst>
                <a:ext uri="{63B3BB69-23CF-44E3-9099-C40C66FF867C}">
                  <a14:compatExt spid="_x0000_s13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9525</xdr:rowOff>
        </xdr:from>
        <xdr:to>
          <xdr:col>7</xdr:col>
          <xdr:colOff>0</xdr:colOff>
          <xdr:row>16</xdr:row>
          <xdr:rowOff>0</xdr:rowOff>
        </xdr:to>
        <xdr:sp macro="" textlink="">
          <xdr:nvSpPr>
            <xdr:cNvPr id="13444" name="Drop Down 132" hidden="1">
              <a:extLst>
                <a:ext uri="{63B3BB69-23CF-44E3-9099-C40C66FF867C}">
                  <a14:compatExt spid="_x0000_s13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9525</xdr:rowOff>
        </xdr:from>
        <xdr:to>
          <xdr:col>7</xdr:col>
          <xdr:colOff>0</xdr:colOff>
          <xdr:row>17</xdr:row>
          <xdr:rowOff>0</xdr:rowOff>
        </xdr:to>
        <xdr:sp macro="" textlink="">
          <xdr:nvSpPr>
            <xdr:cNvPr id="13445" name="Drop Down 133" hidden="1">
              <a:extLst>
                <a:ext uri="{63B3BB69-23CF-44E3-9099-C40C66FF867C}">
                  <a14:compatExt spid="_x0000_s13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9525</xdr:rowOff>
        </xdr:from>
        <xdr:to>
          <xdr:col>7</xdr:col>
          <xdr:colOff>0</xdr:colOff>
          <xdr:row>18</xdr:row>
          <xdr:rowOff>0</xdr:rowOff>
        </xdr:to>
        <xdr:sp macro="" textlink="">
          <xdr:nvSpPr>
            <xdr:cNvPr id="13446" name="Drop Down 134" hidden="1">
              <a:extLst>
                <a:ext uri="{63B3BB69-23CF-44E3-9099-C40C66FF867C}">
                  <a14:compatExt spid="_x0000_s13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9525</xdr:rowOff>
        </xdr:from>
        <xdr:to>
          <xdr:col>7</xdr:col>
          <xdr:colOff>0</xdr:colOff>
          <xdr:row>19</xdr:row>
          <xdr:rowOff>0</xdr:rowOff>
        </xdr:to>
        <xdr:sp macro="" textlink="">
          <xdr:nvSpPr>
            <xdr:cNvPr id="13447" name="Drop Down 135" hidden="1">
              <a:extLst>
                <a:ext uri="{63B3BB69-23CF-44E3-9099-C40C66FF867C}">
                  <a14:compatExt spid="_x0000_s13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9525</xdr:rowOff>
        </xdr:from>
        <xdr:to>
          <xdr:col>7</xdr:col>
          <xdr:colOff>0</xdr:colOff>
          <xdr:row>20</xdr:row>
          <xdr:rowOff>19050</xdr:rowOff>
        </xdr:to>
        <xdr:sp macro="" textlink="">
          <xdr:nvSpPr>
            <xdr:cNvPr id="13448" name="Drop Down 136" hidden="1">
              <a:extLst>
                <a:ext uri="{63B3BB69-23CF-44E3-9099-C40C66FF867C}">
                  <a14:compatExt spid="_x0000_s13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9525</xdr:rowOff>
        </xdr:from>
        <xdr:to>
          <xdr:col>7</xdr:col>
          <xdr:colOff>0</xdr:colOff>
          <xdr:row>21</xdr:row>
          <xdr:rowOff>0</xdr:rowOff>
        </xdr:to>
        <xdr:sp macro="" textlink="">
          <xdr:nvSpPr>
            <xdr:cNvPr id="13449" name="Drop Down 137" hidden="1">
              <a:extLst>
                <a:ext uri="{63B3BB69-23CF-44E3-9099-C40C66FF867C}">
                  <a14:compatExt spid="_x0000_s13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9525</xdr:rowOff>
        </xdr:from>
        <xdr:to>
          <xdr:col>7</xdr:col>
          <xdr:colOff>0</xdr:colOff>
          <xdr:row>22</xdr:row>
          <xdr:rowOff>0</xdr:rowOff>
        </xdr:to>
        <xdr:sp macro="" textlink="">
          <xdr:nvSpPr>
            <xdr:cNvPr id="13450" name="Drop Down 138" hidden="1">
              <a:extLst>
                <a:ext uri="{63B3BB69-23CF-44E3-9099-C40C66FF867C}">
                  <a14:compatExt spid="_x0000_s13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xdr:row>
          <xdr:rowOff>9525</xdr:rowOff>
        </xdr:from>
        <xdr:to>
          <xdr:col>7</xdr:col>
          <xdr:colOff>0</xdr:colOff>
          <xdr:row>23</xdr:row>
          <xdr:rowOff>9525</xdr:rowOff>
        </xdr:to>
        <xdr:sp macro="" textlink="">
          <xdr:nvSpPr>
            <xdr:cNvPr id="13451" name="Drop Down 139" hidden="1">
              <a:extLst>
                <a:ext uri="{63B3BB69-23CF-44E3-9099-C40C66FF867C}">
                  <a14:compatExt spid="_x0000_s13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7</xdr:col>
          <xdr:colOff>0</xdr:colOff>
          <xdr:row>44</xdr:row>
          <xdr:rowOff>0</xdr:rowOff>
        </xdr:to>
        <xdr:sp macro="" textlink="">
          <xdr:nvSpPr>
            <xdr:cNvPr id="13452" name="Drop Down 140" hidden="1">
              <a:extLst>
                <a:ext uri="{63B3BB69-23CF-44E3-9099-C40C66FF867C}">
                  <a14:compatExt spid="_x0000_s13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9525</xdr:rowOff>
        </xdr:from>
        <xdr:to>
          <xdr:col>8</xdr:col>
          <xdr:colOff>2914650</xdr:colOff>
          <xdr:row>4</xdr:row>
          <xdr:rowOff>0</xdr:rowOff>
        </xdr:to>
        <xdr:sp macro="" textlink="">
          <xdr:nvSpPr>
            <xdr:cNvPr id="13453" name="Drop Down 141" hidden="1">
              <a:extLst>
                <a:ext uri="{63B3BB69-23CF-44E3-9099-C40C66FF867C}">
                  <a14:compatExt spid="_x0000_s13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xdr:row>
          <xdr:rowOff>9525</xdr:rowOff>
        </xdr:from>
        <xdr:to>
          <xdr:col>8</xdr:col>
          <xdr:colOff>2914650</xdr:colOff>
          <xdr:row>5</xdr:row>
          <xdr:rowOff>0</xdr:rowOff>
        </xdr:to>
        <xdr:sp macro="" textlink="">
          <xdr:nvSpPr>
            <xdr:cNvPr id="13454" name="Drop Down 142" hidden="1">
              <a:extLst>
                <a:ext uri="{63B3BB69-23CF-44E3-9099-C40C66FF867C}">
                  <a14:compatExt spid="_x0000_s13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xdr:row>
          <xdr:rowOff>9525</xdr:rowOff>
        </xdr:from>
        <xdr:to>
          <xdr:col>8</xdr:col>
          <xdr:colOff>2914650</xdr:colOff>
          <xdr:row>6</xdr:row>
          <xdr:rowOff>0</xdr:rowOff>
        </xdr:to>
        <xdr:sp macro="" textlink="">
          <xdr:nvSpPr>
            <xdr:cNvPr id="13455" name="Drop Down 143" hidden="1">
              <a:extLst>
                <a:ext uri="{63B3BB69-23CF-44E3-9099-C40C66FF867C}">
                  <a14:compatExt spid="_x0000_s13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xdr:row>
          <xdr:rowOff>9525</xdr:rowOff>
        </xdr:from>
        <xdr:to>
          <xdr:col>8</xdr:col>
          <xdr:colOff>2914650</xdr:colOff>
          <xdr:row>7</xdr:row>
          <xdr:rowOff>0</xdr:rowOff>
        </xdr:to>
        <xdr:sp macro="" textlink="">
          <xdr:nvSpPr>
            <xdr:cNvPr id="13456" name="Drop Down 144" hidden="1">
              <a:extLst>
                <a:ext uri="{63B3BB69-23CF-44E3-9099-C40C66FF867C}">
                  <a14:compatExt spid="_x0000_s13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9525</xdr:rowOff>
        </xdr:from>
        <xdr:to>
          <xdr:col>8</xdr:col>
          <xdr:colOff>2914650</xdr:colOff>
          <xdr:row>8</xdr:row>
          <xdr:rowOff>0</xdr:rowOff>
        </xdr:to>
        <xdr:sp macro="" textlink="">
          <xdr:nvSpPr>
            <xdr:cNvPr id="13457" name="Drop Down 145" hidden="1">
              <a:extLst>
                <a:ext uri="{63B3BB69-23CF-44E3-9099-C40C66FF867C}">
                  <a14:compatExt spid="_x0000_s13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9525</xdr:rowOff>
        </xdr:from>
        <xdr:to>
          <xdr:col>8</xdr:col>
          <xdr:colOff>2914650</xdr:colOff>
          <xdr:row>9</xdr:row>
          <xdr:rowOff>0</xdr:rowOff>
        </xdr:to>
        <xdr:sp macro="" textlink="">
          <xdr:nvSpPr>
            <xdr:cNvPr id="13458" name="Drop Down 146" hidden="1">
              <a:extLst>
                <a:ext uri="{63B3BB69-23CF-44E3-9099-C40C66FF867C}">
                  <a14:compatExt spid="_x0000_s13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9525</xdr:rowOff>
        </xdr:from>
        <xdr:to>
          <xdr:col>8</xdr:col>
          <xdr:colOff>2914650</xdr:colOff>
          <xdr:row>10</xdr:row>
          <xdr:rowOff>0</xdr:rowOff>
        </xdr:to>
        <xdr:sp macro="" textlink="">
          <xdr:nvSpPr>
            <xdr:cNvPr id="13459" name="Drop Down 147" hidden="1">
              <a:extLst>
                <a:ext uri="{63B3BB69-23CF-44E3-9099-C40C66FF867C}">
                  <a14:compatExt spid="_x0000_s13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9525</xdr:rowOff>
        </xdr:from>
        <xdr:to>
          <xdr:col>8</xdr:col>
          <xdr:colOff>2914650</xdr:colOff>
          <xdr:row>11</xdr:row>
          <xdr:rowOff>0</xdr:rowOff>
        </xdr:to>
        <xdr:sp macro="" textlink="">
          <xdr:nvSpPr>
            <xdr:cNvPr id="13460" name="Drop Down 148" hidden="1">
              <a:extLst>
                <a:ext uri="{63B3BB69-23CF-44E3-9099-C40C66FF867C}">
                  <a14:compatExt spid="_x0000_s13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9525</xdr:rowOff>
        </xdr:from>
        <xdr:to>
          <xdr:col>8</xdr:col>
          <xdr:colOff>2914650</xdr:colOff>
          <xdr:row>12</xdr:row>
          <xdr:rowOff>0</xdr:rowOff>
        </xdr:to>
        <xdr:sp macro="" textlink="">
          <xdr:nvSpPr>
            <xdr:cNvPr id="13461" name="Drop Down 149" hidden="1">
              <a:extLst>
                <a:ext uri="{63B3BB69-23CF-44E3-9099-C40C66FF867C}">
                  <a14:compatExt spid="_x0000_s13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9525</xdr:rowOff>
        </xdr:from>
        <xdr:to>
          <xdr:col>8</xdr:col>
          <xdr:colOff>2914650</xdr:colOff>
          <xdr:row>13</xdr:row>
          <xdr:rowOff>0</xdr:rowOff>
        </xdr:to>
        <xdr:sp macro="" textlink="">
          <xdr:nvSpPr>
            <xdr:cNvPr id="13462" name="Drop Down 150" hidden="1">
              <a:extLst>
                <a:ext uri="{63B3BB69-23CF-44E3-9099-C40C66FF867C}">
                  <a14:compatExt spid="_x0000_s13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9525</xdr:rowOff>
        </xdr:from>
        <xdr:to>
          <xdr:col>8</xdr:col>
          <xdr:colOff>2914650</xdr:colOff>
          <xdr:row>14</xdr:row>
          <xdr:rowOff>0</xdr:rowOff>
        </xdr:to>
        <xdr:sp macro="" textlink="">
          <xdr:nvSpPr>
            <xdr:cNvPr id="13463" name="Drop Down 151" hidden="1">
              <a:extLst>
                <a:ext uri="{63B3BB69-23CF-44E3-9099-C40C66FF867C}">
                  <a14:compatExt spid="_x0000_s13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9525</xdr:rowOff>
        </xdr:from>
        <xdr:to>
          <xdr:col>8</xdr:col>
          <xdr:colOff>2914650</xdr:colOff>
          <xdr:row>15</xdr:row>
          <xdr:rowOff>0</xdr:rowOff>
        </xdr:to>
        <xdr:sp macro="" textlink="">
          <xdr:nvSpPr>
            <xdr:cNvPr id="13464" name="Drop Down 152" hidden="1">
              <a:extLst>
                <a:ext uri="{63B3BB69-23CF-44E3-9099-C40C66FF867C}">
                  <a14:compatExt spid="_x0000_s13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9525</xdr:rowOff>
        </xdr:from>
        <xdr:to>
          <xdr:col>8</xdr:col>
          <xdr:colOff>2914650</xdr:colOff>
          <xdr:row>16</xdr:row>
          <xdr:rowOff>0</xdr:rowOff>
        </xdr:to>
        <xdr:sp macro="" textlink="">
          <xdr:nvSpPr>
            <xdr:cNvPr id="13465" name="Drop Down 153" hidden="1">
              <a:extLst>
                <a:ext uri="{63B3BB69-23CF-44E3-9099-C40C66FF867C}">
                  <a14:compatExt spid="_x0000_s13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9525</xdr:rowOff>
        </xdr:from>
        <xdr:to>
          <xdr:col>8</xdr:col>
          <xdr:colOff>2914650</xdr:colOff>
          <xdr:row>17</xdr:row>
          <xdr:rowOff>0</xdr:rowOff>
        </xdr:to>
        <xdr:sp macro="" textlink="">
          <xdr:nvSpPr>
            <xdr:cNvPr id="13466" name="Drop Down 154" hidden="1">
              <a:extLst>
                <a:ext uri="{63B3BB69-23CF-44E3-9099-C40C66FF867C}">
                  <a14:compatExt spid="_x0000_s13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9525</xdr:rowOff>
        </xdr:from>
        <xdr:to>
          <xdr:col>8</xdr:col>
          <xdr:colOff>2914650</xdr:colOff>
          <xdr:row>18</xdr:row>
          <xdr:rowOff>0</xdr:rowOff>
        </xdr:to>
        <xdr:sp macro="" textlink="">
          <xdr:nvSpPr>
            <xdr:cNvPr id="13467" name="Drop Down 155" hidden="1">
              <a:extLst>
                <a:ext uri="{63B3BB69-23CF-44E3-9099-C40C66FF867C}">
                  <a14:compatExt spid="_x0000_s13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9525</xdr:rowOff>
        </xdr:from>
        <xdr:to>
          <xdr:col>8</xdr:col>
          <xdr:colOff>2914650</xdr:colOff>
          <xdr:row>19</xdr:row>
          <xdr:rowOff>0</xdr:rowOff>
        </xdr:to>
        <xdr:sp macro="" textlink="">
          <xdr:nvSpPr>
            <xdr:cNvPr id="13468" name="Drop Down 156" hidden="1">
              <a:extLst>
                <a:ext uri="{63B3BB69-23CF-44E3-9099-C40C66FF867C}">
                  <a14:compatExt spid="_x0000_s13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9525</xdr:rowOff>
        </xdr:from>
        <xdr:to>
          <xdr:col>8</xdr:col>
          <xdr:colOff>2914650</xdr:colOff>
          <xdr:row>20</xdr:row>
          <xdr:rowOff>0</xdr:rowOff>
        </xdr:to>
        <xdr:sp macro="" textlink="">
          <xdr:nvSpPr>
            <xdr:cNvPr id="13469" name="Drop Down 157" hidden="1">
              <a:extLst>
                <a:ext uri="{63B3BB69-23CF-44E3-9099-C40C66FF867C}">
                  <a14:compatExt spid="_x0000_s13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9525</xdr:rowOff>
        </xdr:from>
        <xdr:to>
          <xdr:col>8</xdr:col>
          <xdr:colOff>2914650</xdr:colOff>
          <xdr:row>21</xdr:row>
          <xdr:rowOff>0</xdr:rowOff>
        </xdr:to>
        <xdr:sp macro="" textlink="">
          <xdr:nvSpPr>
            <xdr:cNvPr id="13470" name="Drop Down 158" hidden="1">
              <a:extLst>
                <a:ext uri="{63B3BB69-23CF-44E3-9099-C40C66FF867C}">
                  <a14:compatExt spid="_x0000_s13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9525</xdr:rowOff>
        </xdr:from>
        <xdr:to>
          <xdr:col>8</xdr:col>
          <xdr:colOff>2914650</xdr:colOff>
          <xdr:row>22</xdr:row>
          <xdr:rowOff>0</xdr:rowOff>
        </xdr:to>
        <xdr:sp macro="" textlink="">
          <xdr:nvSpPr>
            <xdr:cNvPr id="13471" name="Drop Down 159" hidden="1">
              <a:extLst>
                <a:ext uri="{63B3BB69-23CF-44E3-9099-C40C66FF867C}">
                  <a14:compatExt spid="_x0000_s13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9525</xdr:rowOff>
        </xdr:from>
        <xdr:to>
          <xdr:col>8</xdr:col>
          <xdr:colOff>2914650</xdr:colOff>
          <xdr:row>23</xdr:row>
          <xdr:rowOff>0</xdr:rowOff>
        </xdr:to>
        <xdr:sp macro="" textlink="">
          <xdr:nvSpPr>
            <xdr:cNvPr id="13472" name="Drop Down 160" hidden="1">
              <a:extLst>
                <a:ext uri="{63B3BB69-23CF-44E3-9099-C40C66FF867C}">
                  <a14:compatExt spid="_x0000_s13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9525</xdr:rowOff>
        </xdr:from>
        <xdr:to>
          <xdr:col>8</xdr:col>
          <xdr:colOff>2914650</xdr:colOff>
          <xdr:row>44</xdr:row>
          <xdr:rowOff>0</xdr:rowOff>
        </xdr:to>
        <xdr:sp macro="" textlink="">
          <xdr:nvSpPr>
            <xdr:cNvPr id="13473" name="Drop Down 161" hidden="1">
              <a:extLst>
                <a:ext uri="{63B3BB69-23CF-44E3-9099-C40C66FF867C}">
                  <a14:compatExt spid="_x0000_s13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9525</xdr:rowOff>
        </xdr:from>
        <xdr:to>
          <xdr:col>10</xdr:col>
          <xdr:colOff>19050</xdr:colOff>
          <xdr:row>4</xdr:row>
          <xdr:rowOff>9525</xdr:rowOff>
        </xdr:to>
        <xdr:sp macro="" textlink="">
          <xdr:nvSpPr>
            <xdr:cNvPr id="13474" name="Drop Down 162" hidden="1">
              <a:extLst>
                <a:ext uri="{63B3BB69-23CF-44E3-9099-C40C66FF867C}">
                  <a14:compatExt spid="_x0000_s13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xdr:row>
          <xdr:rowOff>9525</xdr:rowOff>
        </xdr:from>
        <xdr:to>
          <xdr:col>10</xdr:col>
          <xdr:colOff>19050</xdr:colOff>
          <xdr:row>5</xdr:row>
          <xdr:rowOff>9525</xdr:rowOff>
        </xdr:to>
        <xdr:sp macro="" textlink="">
          <xdr:nvSpPr>
            <xdr:cNvPr id="13475" name="Drop Down 163" hidden="1">
              <a:extLst>
                <a:ext uri="{63B3BB69-23CF-44E3-9099-C40C66FF867C}">
                  <a14:compatExt spid="_x0000_s13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9525</xdr:rowOff>
        </xdr:from>
        <xdr:to>
          <xdr:col>10</xdr:col>
          <xdr:colOff>19050</xdr:colOff>
          <xdr:row>6</xdr:row>
          <xdr:rowOff>9525</xdr:rowOff>
        </xdr:to>
        <xdr:sp macro="" textlink="">
          <xdr:nvSpPr>
            <xdr:cNvPr id="13476" name="Drop Down 164" hidden="1">
              <a:extLst>
                <a:ext uri="{63B3BB69-23CF-44E3-9099-C40C66FF867C}">
                  <a14:compatExt spid="_x0000_s13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9525</xdr:rowOff>
        </xdr:from>
        <xdr:to>
          <xdr:col>10</xdr:col>
          <xdr:colOff>19050</xdr:colOff>
          <xdr:row>7</xdr:row>
          <xdr:rowOff>9525</xdr:rowOff>
        </xdr:to>
        <xdr:sp macro="" textlink="">
          <xdr:nvSpPr>
            <xdr:cNvPr id="13477" name="Drop Down 165" hidden="1">
              <a:extLst>
                <a:ext uri="{63B3BB69-23CF-44E3-9099-C40C66FF867C}">
                  <a14:compatExt spid="_x0000_s13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9525</xdr:rowOff>
        </xdr:from>
        <xdr:to>
          <xdr:col>10</xdr:col>
          <xdr:colOff>19050</xdr:colOff>
          <xdr:row>8</xdr:row>
          <xdr:rowOff>9525</xdr:rowOff>
        </xdr:to>
        <xdr:sp macro="" textlink="">
          <xdr:nvSpPr>
            <xdr:cNvPr id="13478" name="Drop Down 166" hidden="1">
              <a:extLst>
                <a:ext uri="{63B3BB69-23CF-44E3-9099-C40C66FF867C}">
                  <a14:compatExt spid="_x0000_s13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9525</xdr:rowOff>
        </xdr:from>
        <xdr:to>
          <xdr:col>10</xdr:col>
          <xdr:colOff>19050</xdr:colOff>
          <xdr:row>9</xdr:row>
          <xdr:rowOff>9525</xdr:rowOff>
        </xdr:to>
        <xdr:sp macro="" textlink="">
          <xdr:nvSpPr>
            <xdr:cNvPr id="13479" name="Drop Down 167" hidden="1">
              <a:extLst>
                <a:ext uri="{63B3BB69-23CF-44E3-9099-C40C66FF867C}">
                  <a14:compatExt spid="_x0000_s13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9525</xdr:rowOff>
        </xdr:from>
        <xdr:to>
          <xdr:col>10</xdr:col>
          <xdr:colOff>19050</xdr:colOff>
          <xdr:row>10</xdr:row>
          <xdr:rowOff>9525</xdr:rowOff>
        </xdr:to>
        <xdr:sp macro="" textlink="">
          <xdr:nvSpPr>
            <xdr:cNvPr id="13480" name="Drop Down 168" hidden="1">
              <a:extLst>
                <a:ext uri="{63B3BB69-23CF-44E3-9099-C40C66FF867C}">
                  <a14:compatExt spid="_x0000_s13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9525</xdr:rowOff>
        </xdr:from>
        <xdr:to>
          <xdr:col>10</xdr:col>
          <xdr:colOff>19050</xdr:colOff>
          <xdr:row>11</xdr:row>
          <xdr:rowOff>9525</xdr:rowOff>
        </xdr:to>
        <xdr:sp macro="" textlink="">
          <xdr:nvSpPr>
            <xdr:cNvPr id="13481" name="Drop Down 169" hidden="1">
              <a:extLst>
                <a:ext uri="{63B3BB69-23CF-44E3-9099-C40C66FF867C}">
                  <a14:compatExt spid="_x0000_s13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9525</xdr:rowOff>
        </xdr:from>
        <xdr:to>
          <xdr:col>10</xdr:col>
          <xdr:colOff>19050</xdr:colOff>
          <xdr:row>12</xdr:row>
          <xdr:rowOff>9525</xdr:rowOff>
        </xdr:to>
        <xdr:sp macro="" textlink="">
          <xdr:nvSpPr>
            <xdr:cNvPr id="13482" name="Drop Down 170" hidden="1">
              <a:extLst>
                <a:ext uri="{63B3BB69-23CF-44E3-9099-C40C66FF867C}">
                  <a14:compatExt spid="_x0000_s13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9525</xdr:rowOff>
        </xdr:from>
        <xdr:to>
          <xdr:col>10</xdr:col>
          <xdr:colOff>19050</xdr:colOff>
          <xdr:row>13</xdr:row>
          <xdr:rowOff>9525</xdr:rowOff>
        </xdr:to>
        <xdr:sp macro="" textlink="">
          <xdr:nvSpPr>
            <xdr:cNvPr id="13483" name="Drop Down 171" hidden="1">
              <a:extLst>
                <a:ext uri="{63B3BB69-23CF-44E3-9099-C40C66FF867C}">
                  <a14:compatExt spid="_x0000_s13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9525</xdr:rowOff>
        </xdr:from>
        <xdr:to>
          <xdr:col>10</xdr:col>
          <xdr:colOff>19050</xdr:colOff>
          <xdr:row>14</xdr:row>
          <xdr:rowOff>9525</xdr:rowOff>
        </xdr:to>
        <xdr:sp macro="" textlink="">
          <xdr:nvSpPr>
            <xdr:cNvPr id="13484" name="Drop Down 172" hidden="1">
              <a:extLst>
                <a:ext uri="{63B3BB69-23CF-44E3-9099-C40C66FF867C}">
                  <a14:compatExt spid="_x0000_s13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9525</xdr:rowOff>
        </xdr:from>
        <xdr:to>
          <xdr:col>10</xdr:col>
          <xdr:colOff>19050</xdr:colOff>
          <xdr:row>15</xdr:row>
          <xdr:rowOff>9525</xdr:rowOff>
        </xdr:to>
        <xdr:sp macro="" textlink="">
          <xdr:nvSpPr>
            <xdr:cNvPr id="13485" name="Drop Down 173" hidden="1">
              <a:extLst>
                <a:ext uri="{63B3BB69-23CF-44E3-9099-C40C66FF867C}">
                  <a14:compatExt spid="_x0000_s13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9525</xdr:rowOff>
        </xdr:from>
        <xdr:to>
          <xdr:col>10</xdr:col>
          <xdr:colOff>19050</xdr:colOff>
          <xdr:row>16</xdr:row>
          <xdr:rowOff>9525</xdr:rowOff>
        </xdr:to>
        <xdr:sp macro="" textlink="">
          <xdr:nvSpPr>
            <xdr:cNvPr id="13486" name="Drop Down 174" hidden="1">
              <a:extLst>
                <a:ext uri="{63B3BB69-23CF-44E3-9099-C40C66FF867C}">
                  <a14:compatExt spid="_x0000_s13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9525</xdr:rowOff>
        </xdr:from>
        <xdr:to>
          <xdr:col>10</xdr:col>
          <xdr:colOff>19050</xdr:colOff>
          <xdr:row>17</xdr:row>
          <xdr:rowOff>9525</xdr:rowOff>
        </xdr:to>
        <xdr:sp macro="" textlink="">
          <xdr:nvSpPr>
            <xdr:cNvPr id="13487" name="Drop Down 175" hidden="1">
              <a:extLst>
                <a:ext uri="{63B3BB69-23CF-44E3-9099-C40C66FF867C}">
                  <a14:compatExt spid="_x0000_s13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10</xdr:col>
          <xdr:colOff>19050</xdr:colOff>
          <xdr:row>18</xdr:row>
          <xdr:rowOff>9525</xdr:rowOff>
        </xdr:to>
        <xdr:sp macro="" textlink="">
          <xdr:nvSpPr>
            <xdr:cNvPr id="13488" name="Drop Down 176" hidden="1">
              <a:extLst>
                <a:ext uri="{63B3BB69-23CF-44E3-9099-C40C66FF867C}">
                  <a14:compatExt spid="_x0000_s13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9525</xdr:rowOff>
        </xdr:from>
        <xdr:to>
          <xdr:col>10</xdr:col>
          <xdr:colOff>19050</xdr:colOff>
          <xdr:row>19</xdr:row>
          <xdr:rowOff>9525</xdr:rowOff>
        </xdr:to>
        <xdr:sp macro="" textlink="">
          <xdr:nvSpPr>
            <xdr:cNvPr id="13489" name="Drop Down 177" hidden="1">
              <a:extLst>
                <a:ext uri="{63B3BB69-23CF-44E3-9099-C40C66FF867C}">
                  <a14:compatExt spid="_x0000_s13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9525</xdr:rowOff>
        </xdr:from>
        <xdr:to>
          <xdr:col>10</xdr:col>
          <xdr:colOff>19050</xdr:colOff>
          <xdr:row>20</xdr:row>
          <xdr:rowOff>9525</xdr:rowOff>
        </xdr:to>
        <xdr:sp macro="" textlink="">
          <xdr:nvSpPr>
            <xdr:cNvPr id="13490" name="Drop Down 178" hidden="1">
              <a:extLst>
                <a:ext uri="{63B3BB69-23CF-44E3-9099-C40C66FF867C}">
                  <a14:compatExt spid="_x0000_s13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9525</xdr:rowOff>
        </xdr:from>
        <xdr:to>
          <xdr:col>10</xdr:col>
          <xdr:colOff>19050</xdr:colOff>
          <xdr:row>21</xdr:row>
          <xdr:rowOff>9525</xdr:rowOff>
        </xdr:to>
        <xdr:sp macro="" textlink="">
          <xdr:nvSpPr>
            <xdr:cNvPr id="13491" name="Drop Down 179" hidden="1">
              <a:extLst>
                <a:ext uri="{63B3BB69-23CF-44E3-9099-C40C66FF867C}">
                  <a14:compatExt spid="_x0000_s13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xdr:row>
          <xdr:rowOff>9525</xdr:rowOff>
        </xdr:from>
        <xdr:to>
          <xdr:col>10</xdr:col>
          <xdr:colOff>19050</xdr:colOff>
          <xdr:row>22</xdr:row>
          <xdr:rowOff>9525</xdr:rowOff>
        </xdr:to>
        <xdr:sp macro="" textlink="">
          <xdr:nvSpPr>
            <xdr:cNvPr id="13492" name="Drop Down 180" hidden="1">
              <a:extLst>
                <a:ext uri="{63B3BB69-23CF-44E3-9099-C40C66FF867C}">
                  <a14:compatExt spid="_x0000_s13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9525</xdr:rowOff>
        </xdr:from>
        <xdr:to>
          <xdr:col>10</xdr:col>
          <xdr:colOff>19050</xdr:colOff>
          <xdr:row>23</xdr:row>
          <xdr:rowOff>9525</xdr:rowOff>
        </xdr:to>
        <xdr:sp macro="" textlink="">
          <xdr:nvSpPr>
            <xdr:cNvPr id="13493" name="Drop Down 181" hidden="1">
              <a:extLst>
                <a:ext uri="{63B3BB69-23CF-44E3-9099-C40C66FF867C}">
                  <a14:compatExt spid="_x0000_s13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9525</xdr:rowOff>
        </xdr:from>
        <xdr:to>
          <xdr:col>10</xdr:col>
          <xdr:colOff>19050</xdr:colOff>
          <xdr:row>44</xdr:row>
          <xdr:rowOff>9525</xdr:rowOff>
        </xdr:to>
        <xdr:sp macro="" textlink="">
          <xdr:nvSpPr>
            <xdr:cNvPr id="13494" name="Drop Down 182" hidden="1">
              <a:extLst>
                <a:ext uri="{63B3BB69-23CF-44E3-9099-C40C66FF867C}">
                  <a14:compatExt spid="_x0000_s13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xdr:row>
          <xdr:rowOff>9525</xdr:rowOff>
        </xdr:from>
        <xdr:to>
          <xdr:col>13</xdr:col>
          <xdr:colOff>2809875</xdr:colOff>
          <xdr:row>4</xdr:row>
          <xdr:rowOff>9525</xdr:rowOff>
        </xdr:to>
        <xdr:sp macro="" textlink="">
          <xdr:nvSpPr>
            <xdr:cNvPr id="13516" name="Drop Down 204" hidden="1">
              <a:extLst>
                <a:ext uri="{63B3BB69-23CF-44E3-9099-C40C66FF867C}">
                  <a14:compatExt spid="_x0000_s13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xdr:row>
          <xdr:rowOff>9525</xdr:rowOff>
        </xdr:from>
        <xdr:to>
          <xdr:col>13</xdr:col>
          <xdr:colOff>2809875</xdr:colOff>
          <xdr:row>5</xdr:row>
          <xdr:rowOff>9525</xdr:rowOff>
        </xdr:to>
        <xdr:sp macro="" textlink="">
          <xdr:nvSpPr>
            <xdr:cNvPr id="13517" name="Drop Down 205" hidden="1">
              <a:extLst>
                <a:ext uri="{63B3BB69-23CF-44E3-9099-C40C66FF867C}">
                  <a14:compatExt spid="_x0000_s13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xdr:row>
          <xdr:rowOff>9525</xdr:rowOff>
        </xdr:from>
        <xdr:to>
          <xdr:col>13</xdr:col>
          <xdr:colOff>2809875</xdr:colOff>
          <xdr:row>6</xdr:row>
          <xdr:rowOff>9525</xdr:rowOff>
        </xdr:to>
        <xdr:sp macro="" textlink="">
          <xdr:nvSpPr>
            <xdr:cNvPr id="13518" name="Drop Down 206" hidden="1">
              <a:extLst>
                <a:ext uri="{63B3BB69-23CF-44E3-9099-C40C66FF867C}">
                  <a14:compatExt spid="_x0000_s13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xdr:row>
          <xdr:rowOff>9525</xdr:rowOff>
        </xdr:from>
        <xdr:to>
          <xdr:col>13</xdr:col>
          <xdr:colOff>2809875</xdr:colOff>
          <xdr:row>7</xdr:row>
          <xdr:rowOff>9525</xdr:rowOff>
        </xdr:to>
        <xdr:sp macro="" textlink="">
          <xdr:nvSpPr>
            <xdr:cNvPr id="13519" name="Drop Down 207" hidden="1">
              <a:extLst>
                <a:ext uri="{63B3BB69-23CF-44E3-9099-C40C66FF867C}">
                  <a14:compatExt spid="_x0000_s13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9525</xdr:rowOff>
        </xdr:from>
        <xdr:to>
          <xdr:col>13</xdr:col>
          <xdr:colOff>2809875</xdr:colOff>
          <xdr:row>8</xdr:row>
          <xdr:rowOff>9525</xdr:rowOff>
        </xdr:to>
        <xdr:sp macro="" textlink="">
          <xdr:nvSpPr>
            <xdr:cNvPr id="13520" name="Drop Down 208" hidden="1">
              <a:extLst>
                <a:ext uri="{63B3BB69-23CF-44E3-9099-C40C66FF867C}">
                  <a14:compatExt spid="_x0000_s13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9525</xdr:rowOff>
        </xdr:from>
        <xdr:to>
          <xdr:col>13</xdr:col>
          <xdr:colOff>2809875</xdr:colOff>
          <xdr:row>9</xdr:row>
          <xdr:rowOff>9525</xdr:rowOff>
        </xdr:to>
        <xdr:sp macro="" textlink="">
          <xdr:nvSpPr>
            <xdr:cNvPr id="13521" name="Drop Down 209" hidden="1">
              <a:extLst>
                <a:ext uri="{63B3BB69-23CF-44E3-9099-C40C66FF867C}">
                  <a14:compatExt spid="_x0000_s13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9525</xdr:rowOff>
        </xdr:from>
        <xdr:to>
          <xdr:col>13</xdr:col>
          <xdr:colOff>2809875</xdr:colOff>
          <xdr:row>10</xdr:row>
          <xdr:rowOff>9525</xdr:rowOff>
        </xdr:to>
        <xdr:sp macro="" textlink="">
          <xdr:nvSpPr>
            <xdr:cNvPr id="13522" name="Drop Down 210" hidden="1">
              <a:extLst>
                <a:ext uri="{63B3BB69-23CF-44E3-9099-C40C66FF867C}">
                  <a14:compatExt spid="_x0000_s13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9525</xdr:rowOff>
        </xdr:from>
        <xdr:to>
          <xdr:col>13</xdr:col>
          <xdr:colOff>2809875</xdr:colOff>
          <xdr:row>11</xdr:row>
          <xdr:rowOff>9525</xdr:rowOff>
        </xdr:to>
        <xdr:sp macro="" textlink="">
          <xdr:nvSpPr>
            <xdr:cNvPr id="13523" name="Drop Down 211" hidden="1">
              <a:extLst>
                <a:ext uri="{63B3BB69-23CF-44E3-9099-C40C66FF867C}">
                  <a14:compatExt spid="_x0000_s13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9525</xdr:rowOff>
        </xdr:from>
        <xdr:to>
          <xdr:col>13</xdr:col>
          <xdr:colOff>2809875</xdr:colOff>
          <xdr:row>12</xdr:row>
          <xdr:rowOff>9525</xdr:rowOff>
        </xdr:to>
        <xdr:sp macro="" textlink="">
          <xdr:nvSpPr>
            <xdr:cNvPr id="13524" name="Drop Down 212" hidden="1">
              <a:extLst>
                <a:ext uri="{63B3BB69-23CF-44E3-9099-C40C66FF867C}">
                  <a14:compatExt spid="_x0000_s13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9525</xdr:rowOff>
        </xdr:from>
        <xdr:to>
          <xdr:col>13</xdr:col>
          <xdr:colOff>2809875</xdr:colOff>
          <xdr:row>13</xdr:row>
          <xdr:rowOff>9525</xdr:rowOff>
        </xdr:to>
        <xdr:sp macro="" textlink="">
          <xdr:nvSpPr>
            <xdr:cNvPr id="13525" name="Drop Down 213" hidden="1">
              <a:extLst>
                <a:ext uri="{63B3BB69-23CF-44E3-9099-C40C66FF867C}">
                  <a14:compatExt spid="_x0000_s13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9525</xdr:rowOff>
        </xdr:from>
        <xdr:to>
          <xdr:col>13</xdr:col>
          <xdr:colOff>2809875</xdr:colOff>
          <xdr:row>14</xdr:row>
          <xdr:rowOff>9525</xdr:rowOff>
        </xdr:to>
        <xdr:sp macro="" textlink="">
          <xdr:nvSpPr>
            <xdr:cNvPr id="13526" name="Drop Down 214" hidden="1">
              <a:extLst>
                <a:ext uri="{63B3BB69-23CF-44E3-9099-C40C66FF867C}">
                  <a14:compatExt spid="_x0000_s13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9525</xdr:rowOff>
        </xdr:from>
        <xdr:to>
          <xdr:col>13</xdr:col>
          <xdr:colOff>2809875</xdr:colOff>
          <xdr:row>15</xdr:row>
          <xdr:rowOff>9525</xdr:rowOff>
        </xdr:to>
        <xdr:sp macro="" textlink="">
          <xdr:nvSpPr>
            <xdr:cNvPr id="13527" name="Drop Down 215" hidden="1">
              <a:extLst>
                <a:ext uri="{63B3BB69-23CF-44E3-9099-C40C66FF867C}">
                  <a14:compatExt spid="_x0000_s13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9525</xdr:rowOff>
        </xdr:from>
        <xdr:to>
          <xdr:col>13</xdr:col>
          <xdr:colOff>2809875</xdr:colOff>
          <xdr:row>16</xdr:row>
          <xdr:rowOff>9525</xdr:rowOff>
        </xdr:to>
        <xdr:sp macro="" textlink="">
          <xdr:nvSpPr>
            <xdr:cNvPr id="13528" name="Drop Down 216" hidden="1">
              <a:extLst>
                <a:ext uri="{63B3BB69-23CF-44E3-9099-C40C66FF867C}">
                  <a14:compatExt spid="_x0000_s13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9525</xdr:rowOff>
        </xdr:from>
        <xdr:to>
          <xdr:col>13</xdr:col>
          <xdr:colOff>2809875</xdr:colOff>
          <xdr:row>17</xdr:row>
          <xdr:rowOff>9525</xdr:rowOff>
        </xdr:to>
        <xdr:sp macro="" textlink="">
          <xdr:nvSpPr>
            <xdr:cNvPr id="13529" name="Drop Down 217" hidden="1">
              <a:extLst>
                <a:ext uri="{63B3BB69-23CF-44E3-9099-C40C66FF867C}">
                  <a14:compatExt spid="_x0000_s13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9525</xdr:rowOff>
        </xdr:from>
        <xdr:to>
          <xdr:col>13</xdr:col>
          <xdr:colOff>2809875</xdr:colOff>
          <xdr:row>18</xdr:row>
          <xdr:rowOff>9525</xdr:rowOff>
        </xdr:to>
        <xdr:sp macro="" textlink="">
          <xdr:nvSpPr>
            <xdr:cNvPr id="13530" name="Drop Down 218" hidden="1">
              <a:extLst>
                <a:ext uri="{63B3BB69-23CF-44E3-9099-C40C66FF867C}">
                  <a14:compatExt spid="_x0000_s13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9525</xdr:rowOff>
        </xdr:from>
        <xdr:to>
          <xdr:col>13</xdr:col>
          <xdr:colOff>2809875</xdr:colOff>
          <xdr:row>19</xdr:row>
          <xdr:rowOff>9525</xdr:rowOff>
        </xdr:to>
        <xdr:sp macro="" textlink="">
          <xdr:nvSpPr>
            <xdr:cNvPr id="13531" name="Drop Down 219" hidden="1">
              <a:extLst>
                <a:ext uri="{63B3BB69-23CF-44E3-9099-C40C66FF867C}">
                  <a14:compatExt spid="_x0000_s13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9525</xdr:rowOff>
        </xdr:from>
        <xdr:to>
          <xdr:col>13</xdr:col>
          <xdr:colOff>2809875</xdr:colOff>
          <xdr:row>20</xdr:row>
          <xdr:rowOff>9525</xdr:rowOff>
        </xdr:to>
        <xdr:sp macro="" textlink="">
          <xdr:nvSpPr>
            <xdr:cNvPr id="13532" name="Drop Down 220" hidden="1">
              <a:extLst>
                <a:ext uri="{63B3BB69-23CF-44E3-9099-C40C66FF867C}">
                  <a14:compatExt spid="_x0000_s13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9525</xdr:rowOff>
        </xdr:from>
        <xdr:to>
          <xdr:col>13</xdr:col>
          <xdr:colOff>2809875</xdr:colOff>
          <xdr:row>21</xdr:row>
          <xdr:rowOff>9525</xdr:rowOff>
        </xdr:to>
        <xdr:sp macro="" textlink="">
          <xdr:nvSpPr>
            <xdr:cNvPr id="13533" name="Drop Down 221" hidden="1">
              <a:extLst>
                <a:ext uri="{63B3BB69-23CF-44E3-9099-C40C66FF867C}">
                  <a14:compatExt spid="_x0000_s13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9525</xdr:rowOff>
        </xdr:from>
        <xdr:to>
          <xdr:col>13</xdr:col>
          <xdr:colOff>2809875</xdr:colOff>
          <xdr:row>22</xdr:row>
          <xdr:rowOff>9525</xdr:rowOff>
        </xdr:to>
        <xdr:sp macro="" textlink="">
          <xdr:nvSpPr>
            <xdr:cNvPr id="13534" name="Drop Down 222" hidden="1">
              <a:extLst>
                <a:ext uri="{63B3BB69-23CF-44E3-9099-C40C66FF867C}">
                  <a14:compatExt spid="_x0000_s13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xdr:row>
          <xdr:rowOff>9525</xdr:rowOff>
        </xdr:from>
        <xdr:to>
          <xdr:col>13</xdr:col>
          <xdr:colOff>2809875</xdr:colOff>
          <xdr:row>23</xdr:row>
          <xdr:rowOff>9525</xdr:rowOff>
        </xdr:to>
        <xdr:sp macro="" textlink="">
          <xdr:nvSpPr>
            <xdr:cNvPr id="13535" name="Drop Down 223" hidden="1">
              <a:extLst>
                <a:ext uri="{63B3BB69-23CF-44E3-9099-C40C66FF867C}">
                  <a14:compatExt spid="_x0000_s13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9525</xdr:rowOff>
        </xdr:from>
        <xdr:to>
          <xdr:col>13</xdr:col>
          <xdr:colOff>2809875</xdr:colOff>
          <xdr:row>44</xdr:row>
          <xdr:rowOff>9525</xdr:rowOff>
        </xdr:to>
        <xdr:sp macro="" textlink="">
          <xdr:nvSpPr>
            <xdr:cNvPr id="13536" name="Drop Down 224" hidden="1">
              <a:extLst>
                <a:ext uri="{63B3BB69-23CF-44E3-9099-C40C66FF867C}">
                  <a14:compatExt spid="_x0000_s13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9525</xdr:rowOff>
        </xdr:from>
        <xdr:to>
          <xdr:col>16</xdr:col>
          <xdr:colOff>9525</xdr:colOff>
          <xdr:row>4</xdr:row>
          <xdr:rowOff>9525</xdr:rowOff>
        </xdr:to>
        <xdr:sp macro="" textlink="">
          <xdr:nvSpPr>
            <xdr:cNvPr id="13537" name="Drop Down 225" hidden="1">
              <a:extLst>
                <a:ext uri="{63B3BB69-23CF-44E3-9099-C40C66FF867C}">
                  <a14:compatExt spid="_x0000_s13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9525</xdr:rowOff>
        </xdr:from>
        <xdr:to>
          <xdr:col>16</xdr:col>
          <xdr:colOff>9525</xdr:colOff>
          <xdr:row>5</xdr:row>
          <xdr:rowOff>9525</xdr:rowOff>
        </xdr:to>
        <xdr:sp macro="" textlink="">
          <xdr:nvSpPr>
            <xdr:cNvPr id="13538" name="Drop Down 226" hidden="1">
              <a:extLst>
                <a:ext uri="{63B3BB69-23CF-44E3-9099-C40C66FF867C}">
                  <a14:compatExt spid="_x0000_s13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xdr:row>
          <xdr:rowOff>9525</xdr:rowOff>
        </xdr:from>
        <xdr:to>
          <xdr:col>16</xdr:col>
          <xdr:colOff>9525</xdr:colOff>
          <xdr:row>6</xdr:row>
          <xdr:rowOff>9525</xdr:rowOff>
        </xdr:to>
        <xdr:sp macro="" textlink="">
          <xdr:nvSpPr>
            <xdr:cNvPr id="13539" name="Drop Down 227" hidden="1">
              <a:extLst>
                <a:ext uri="{63B3BB69-23CF-44E3-9099-C40C66FF867C}">
                  <a14:compatExt spid="_x0000_s13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xdr:row>
          <xdr:rowOff>9525</xdr:rowOff>
        </xdr:from>
        <xdr:to>
          <xdr:col>16</xdr:col>
          <xdr:colOff>9525</xdr:colOff>
          <xdr:row>7</xdr:row>
          <xdr:rowOff>9525</xdr:rowOff>
        </xdr:to>
        <xdr:sp macro="" textlink="">
          <xdr:nvSpPr>
            <xdr:cNvPr id="13540" name="Drop Down 228" hidden="1">
              <a:extLst>
                <a:ext uri="{63B3BB69-23CF-44E3-9099-C40C66FF867C}">
                  <a14:compatExt spid="_x0000_s13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xdr:row>
          <xdr:rowOff>9525</xdr:rowOff>
        </xdr:from>
        <xdr:to>
          <xdr:col>16</xdr:col>
          <xdr:colOff>9525</xdr:colOff>
          <xdr:row>8</xdr:row>
          <xdr:rowOff>9525</xdr:rowOff>
        </xdr:to>
        <xdr:sp macro="" textlink="">
          <xdr:nvSpPr>
            <xdr:cNvPr id="13541" name="Drop Down 229" hidden="1">
              <a:extLst>
                <a:ext uri="{63B3BB69-23CF-44E3-9099-C40C66FF867C}">
                  <a14:compatExt spid="_x0000_s13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9525</xdr:rowOff>
        </xdr:from>
        <xdr:to>
          <xdr:col>16</xdr:col>
          <xdr:colOff>9525</xdr:colOff>
          <xdr:row>9</xdr:row>
          <xdr:rowOff>9525</xdr:rowOff>
        </xdr:to>
        <xdr:sp macro="" textlink="">
          <xdr:nvSpPr>
            <xdr:cNvPr id="13542" name="Drop Down 230" hidden="1">
              <a:extLst>
                <a:ext uri="{63B3BB69-23CF-44E3-9099-C40C66FF867C}">
                  <a14:compatExt spid="_x0000_s13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9525</xdr:rowOff>
        </xdr:from>
        <xdr:to>
          <xdr:col>16</xdr:col>
          <xdr:colOff>9525</xdr:colOff>
          <xdr:row>10</xdr:row>
          <xdr:rowOff>9525</xdr:rowOff>
        </xdr:to>
        <xdr:sp macro="" textlink="">
          <xdr:nvSpPr>
            <xdr:cNvPr id="13543" name="Drop Down 231" hidden="1">
              <a:extLst>
                <a:ext uri="{63B3BB69-23CF-44E3-9099-C40C66FF867C}">
                  <a14:compatExt spid="_x0000_s13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9525</xdr:rowOff>
        </xdr:from>
        <xdr:to>
          <xdr:col>16</xdr:col>
          <xdr:colOff>9525</xdr:colOff>
          <xdr:row>11</xdr:row>
          <xdr:rowOff>9525</xdr:rowOff>
        </xdr:to>
        <xdr:sp macro="" textlink="">
          <xdr:nvSpPr>
            <xdr:cNvPr id="13544" name="Drop Down 232" hidden="1">
              <a:extLst>
                <a:ext uri="{63B3BB69-23CF-44E3-9099-C40C66FF867C}">
                  <a14:compatExt spid="_x0000_s13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9525</xdr:rowOff>
        </xdr:from>
        <xdr:to>
          <xdr:col>16</xdr:col>
          <xdr:colOff>9525</xdr:colOff>
          <xdr:row>12</xdr:row>
          <xdr:rowOff>9525</xdr:rowOff>
        </xdr:to>
        <xdr:sp macro="" textlink="">
          <xdr:nvSpPr>
            <xdr:cNvPr id="13545" name="Drop Down 233" hidden="1">
              <a:extLst>
                <a:ext uri="{63B3BB69-23CF-44E3-9099-C40C66FF867C}">
                  <a14:compatExt spid="_x0000_s13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9525</xdr:rowOff>
        </xdr:from>
        <xdr:to>
          <xdr:col>16</xdr:col>
          <xdr:colOff>9525</xdr:colOff>
          <xdr:row>13</xdr:row>
          <xdr:rowOff>9525</xdr:rowOff>
        </xdr:to>
        <xdr:sp macro="" textlink="">
          <xdr:nvSpPr>
            <xdr:cNvPr id="13546" name="Drop Down 234" hidden="1">
              <a:extLst>
                <a:ext uri="{63B3BB69-23CF-44E3-9099-C40C66FF867C}">
                  <a14:compatExt spid="_x0000_s13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9525</xdr:rowOff>
        </xdr:from>
        <xdr:to>
          <xdr:col>16</xdr:col>
          <xdr:colOff>9525</xdr:colOff>
          <xdr:row>14</xdr:row>
          <xdr:rowOff>9525</xdr:rowOff>
        </xdr:to>
        <xdr:sp macro="" textlink="">
          <xdr:nvSpPr>
            <xdr:cNvPr id="13547" name="Drop Down 235" hidden="1">
              <a:extLst>
                <a:ext uri="{63B3BB69-23CF-44E3-9099-C40C66FF867C}">
                  <a14:compatExt spid="_x0000_s13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9525</xdr:rowOff>
        </xdr:from>
        <xdr:to>
          <xdr:col>16</xdr:col>
          <xdr:colOff>9525</xdr:colOff>
          <xdr:row>15</xdr:row>
          <xdr:rowOff>9525</xdr:rowOff>
        </xdr:to>
        <xdr:sp macro="" textlink="">
          <xdr:nvSpPr>
            <xdr:cNvPr id="13548" name="Drop Down 236" hidden="1">
              <a:extLst>
                <a:ext uri="{63B3BB69-23CF-44E3-9099-C40C66FF867C}">
                  <a14:compatExt spid="_x0000_s13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9525</xdr:rowOff>
        </xdr:from>
        <xdr:to>
          <xdr:col>16</xdr:col>
          <xdr:colOff>9525</xdr:colOff>
          <xdr:row>16</xdr:row>
          <xdr:rowOff>9525</xdr:rowOff>
        </xdr:to>
        <xdr:sp macro="" textlink="">
          <xdr:nvSpPr>
            <xdr:cNvPr id="13549" name="Drop Down 237" hidden="1">
              <a:extLst>
                <a:ext uri="{63B3BB69-23CF-44E3-9099-C40C66FF867C}">
                  <a14:compatExt spid="_x0000_s13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9525</xdr:rowOff>
        </xdr:from>
        <xdr:to>
          <xdr:col>16</xdr:col>
          <xdr:colOff>9525</xdr:colOff>
          <xdr:row>17</xdr:row>
          <xdr:rowOff>9525</xdr:rowOff>
        </xdr:to>
        <xdr:sp macro="" textlink="">
          <xdr:nvSpPr>
            <xdr:cNvPr id="13550" name="Drop Down 238" hidden="1">
              <a:extLst>
                <a:ext uri="{63B3BB69-23CF-44E3-9099-C40C66FF867C}">
                  <a14:compatExt spid="_x0000_s13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9525</xdr:rowOff>
        </xdr:from>
        <xdr:to>
          <xdr:col>16</xdr:col>
          <xdr:colOff>9525</xdr:colOff>
          <xdr:row>18</xdr:row>
          <xdr:rowOff>9525</xdr:rowOff>
        </xdr:to>
        <xdr:sp macro="" textlink="">
          <xdr:nvSpPr>
            <xdr:cNvPr id="13551" name="Drop Down 239" hidden="1">
              <a:extLst>
                <a:ext uri="{63B3BB69-23CF-44E3-9099-C40C66FF867C}">
                  <a14:compatExt spid="_x0000_s13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18</xdr:row>
          <xdr:rowOff>9525</xdr:rowOff>
        </xdr:from>
        <xdr:to>
          <xdr:col>16</xdr:col>
          <xdr:colOff>9525</xdr:colOff>
          <xdr:row>19</xdr:row>
          <xdr:rowOff>9525</xdr:rowOff>
        </xdr:to>
        <xdr:sp macro="" textlink="">
          <xdr:nvSpPr>
            <xdr:cNvPr id="13552" name="Drop Down 240" hidden="1">
              <a:extLst>
                <a:ext uri="{63B3BB69-23CF-44E3-9099-C40C66FF867C}">
                  <a14:compatExt spid="_x0000_s13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9525</xdr:rowOff>
        </xdr:from>
        <xdr:to>
          <xdr:col>16</xdr:col>
          <xdr:colOff>9525</xdr:colOff>
          <xdr:row>20</xdr:row>
          <xdr:rowOff>9525</xdr:rowOff>
        </xdr:to>
        <xdr:sp macro="" textlink="">
          <xdr:nvSpPr>
            <xdr:cNvPr id="13553" name="Drop Down 241" hidden="1">
              <a:extLst>
                <a:ext uri="{63B3BB69-23CF-44E3-9099-C40C66FF867C}">
                  <a14:compatExt spid="_x0000_s1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xdr:row>
          <xdr:rowOff>9525</xdr:rowOff>
        </xdr:from>
        <xdr:to>
          <xdr:col>16</xdr:col>
          <xdr:colOff>9525</xdr:colOff>
          <xdr:row>21</xdr:row>
          <xdr:rowOff>9525</xdr:rowOff>
        </xdr:to>
        <xdr:sp macro="" textlink="">
          <xdr:nvSpPr>
            <xdr:cNvPr id="13554" name="Drop Down 242" hidden="1">
              <a:extLst>
                <a:ext uri="{63B3BB69-23CF-44E3-9099-C40C66FF867C}">
                  <a14:compatExt spid="_x0000_s13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9525</xdr:rowOff>
        </xdr:from>
        <xdr:to>
          <xdr:col>16</xdr:col>
          <xdr:colOff>9525</xdr:colOff>
          <xdr:row>22</xdr:row>
          <xdr:rowOff>9525</xdr:rowOff>
        </xdr:to>
        <xdr:sp macro="" textlink="">
          <xdr:nvSpPr>
            <xdr:cNvPr id="13555" name="Drop Down 243" hidden="1">
              <a:extLst>
                <a:ext uri="{63B3BB69-23CF-44E3-9099-C40C66FF867C}">
                  <a14:compatExt spid="_x0000_s13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9525</xdr:rowOff>
        </xdr:from>
        <xdr:to>
          <xdr:col>16</xdr:col>
          <xdr:colOff>9525</xdr:colOff>
          <xdr:row>23</xdr:row>
          <xdr:rowOff>9525</xdr:rowOff>
        </xdr:to>
        <xdr:sp macro="" textlink="">
          <xdr:nvSpPr>
            <xdr:cNvPr id="13556" name="Drop Down 244" hidden="1">
              <a:extLst>
                <a:ext uri="{63B3BB69-23CF-44E3-9099-C40C66FF867C}">
                  <a14:compatExt spid="_x0000_s13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9525</xdr:rowOff>
        </xdr:from>
        <xdr:to>
          <xdr:col>16</xdr:col>
          <xdr:colOff>9525</xdr:colOff>
          <xdr:row>44</xdr:row>
          <xdr:rowOff>9525</xdr:rowOff>
        </xdr:to>
        <xdr:sp macro="" textlink="">
          <xdr:nvSpPr>
            <xdr:cNvPr id="13557" name="Drop Down 245" hidden="1">
              <a:extLst>
                <a:ext uri="{63B3BB69-23CF-44E3-9099-C40C66FF867C}">
                  <a14:compatExt spid="_x0000_s13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9525</xdr:rowOff>
        </xdr:from>
        <xdr:to>
          <xdr:col>4</xdr:col>
          <xdr:colOff>1800225</xdr:colOff>
          <xdr:row>4</xdr:row>
          <xdr:rowOff>0</xdr:rowOff>
        </xdr:to>
        <xdr:sp macro="" textlink="">
          <xdr:nvSpPr>
            <xdr:cNvPr id="13558" name="Drop Down 246" hidden="1">
              <a:extLst>
                <a:ext uri="{63B3BB69-23CF-44E3-9099-C40C66FF867C}">
                  <a14:compatExt spid="_x0000_s13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9525</xdr:rowOff>
        </xdr:from>
        <xdr:to>
          <xdr:col>4</xdr:col>
          <xdr:colOff>1800225</xdr:colOff>
          <xdr:row>5</xdr:row>
          <xdr:rowOff>0</xdr:rowOff>
        </xdr:to>
        <xdr:sp macro="" textlink="">
          <xdr:nvSpPr>
            <xdr:cNvPr id="13559" name="Drop Down 247" hidden="1">
              <a:extLst>
                <a:ext uri="{63B3BB69-23CF-44E3-9099-C40C66FF867C}">
                  <a14:compatExt spid="_x0000_s13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9525</xdr:rowOff>
        </xdr:from>
        <xdr:to>
          <xdr:col>4</xdr:col>
          <xdr:colOff>1800225</xdr:colOff>
          <xdr:row>6</xdr:row>
          <xdr:rowOff>0</xdr:rowOff>
        </xdr:to>
        <xdr:sp macro="" textlink="">
          <xdr:nvSpPr>
            <xdr:cNvPr id="13560" name="Drop Down 248" hidden="1">
              <a:extLst>
                <a:ext uri="{63B3BB69-23CF-44E3-9099-C40C66FF867C}">
                  <a14:compatExt spid="_x0000_s13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9525</xdr:rowOff>
        </xdr:from>
        <xdr:to>
          <xdr:col>4</xdr:col>
          <xdr:colOff>1800225</xdr:colOff>
          <xdr:row>7</xdr:row>
          <xdr:rowOff>0</xdr:rowOff>
        </xdr:to>
        <xdr:sp macro="" textlink="">
          <xdr:nvSpPr>
            <xdr:cNvPr id="13561" name="Drop Down 249" hidden="1">
              <a:extLst>
                <a:ext uri="{63B3BB69-23CF-44E3-9099-C40C66FF867C}">
                  <a14:compatExt spid="_x0000_s13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9525</xdr:rowOff>
        </xdr:from>
        <xdr:to>
          <xdr:col>4</xdr:col>
          <xdr:colOff>1800225</xdr:colOff>
          <xdr:row>8</xdr:row>
          <xdr:rowOff>0</xdr:rowOff>
        </xdr:to>
        <xdr:sp macro="" textlink="">
          <xdr:nvSpPr>
            <xdr:cNvPr id="13562" name="Drop Down 250" hidden="1">
              <a:extLst>
                <a:ext uri="{63B3BB69-23CF-44E3-9099-C40C66FF867C}">
                  <a14:compatExt spid="_x0000_s13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9525</xdr:rowOff>
        </xdr:from>
        <xdr:to>
          <xdr:col>4</xdr:col>
          <xdr:colOff>1800225</xdr:colOff>
          <xdr:row>9</xdr:row>
          <xdr:rowOff>0</xdr:rowOff>
        </xdr:to>
        <xdr:sp macro="" textlink="">
          <xdr:nvSpPr>
            <xdr:cNvPr id="13563" name="Drop Down 251" hidden="1">
              <a:extLst>
                <a:ext uri="{63B3BB69-23CF-44E3-9099-C40C66FF867C}">
                  <a14:compatExt spid="_x0000_s13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9525</xdr:rowOff>
        </xdr:from>
        <xdr:to>
          <xdr:col>4</xdr:col>
          <xdr:colOff>1800225</xdr:colOff>
          <xdr:row>10</xdr:row>
          <xdr:rowOff>0</xdr:rowOff>
        </xdr:to>
        <xdr:sp macro="" textlink="">
          <xdr:nvSpPr>
            <xdr:cNvPr id="13564" name="Drop Down 252" hidden="1">
              <a:extLst>
                <a:ext uri="{63B3BB69-23CF-44E3-9099-C40C66FF867C}">
                  <a14:compatExt spid="_x0000_s13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9525</xdr:rowOff>
        </xdr:from>
        <xdr:to>
          <xdr:col>4</xdr:col>
          <xdr:colOff>1800225</xdr:colOff>
          <xdr:row>11</xdr:row>
          <xdr:rowOff>0</xdr:rowOff>
        </xdr:to>
        <xdr:sp macro="" textlink="">
          <xdr:nvSpPr>
            <xdr:cNvPr id="13565" name="Drop Down 253" hidden="1">
              <a:extLst>
                <a:ext uri="{63B3BB69-23CF-44E3-9099-C40C66FF867C}">
                  <a14:compatExt spid="_x0000_s13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4</xdr:col>
          <xdr:colOff>1800225</xdr:colOff>
          <xdr:row>12</xdr:row>
          <xdr:rowOff>0</xdr:rowOff>
        </xdr:to>
        <xdr:sp macro="" textlink="">
          <xdr:nvSpPr>
            <xdr:cNvPr id="13566" name="Drop Down 254" hidden="1">
              <a:extLst>
                <a:ext uri="{63B3BB69-23CF-44E3-9099-C40C66FF867C}">
                  <a14:compatExt spid="_x0000_s13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4</xdr:col>
          <xdr:colOff>1800225</xdr:colOff>
          <xdr:row>13</xdr:row>
          <xdr:rowOff>0</xdr:rowOff>
        </xdr:to>
        <xdr:sp macro="" textlink="">
          <xdr:nvSpPr>
            <xdr:cNvPr id="13567" name="Drop Down 255" hidden="1">
              <a:extLst>
                <a:ext uri="{63B3BB69-23CF-44E3-9099-C40C66FF867C}">
                  <a14:compatExt spid="_x0000_s13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9525</xdr:rowOff>
        </xdr:from>
        <xdr:to>
          <xdr:col>4</xdr:col>
          <xdr:colOff>1800225</xdr:colOff>
          <xdr:row>14</xdr:row>
          <xdr:rowOff>0</xdr:rowOff>
        </xdr:to>
        <xdr:sp macro="" textlink="">
          <xdr:nvSpPr>
            <xdr:cNvPr id="13568" name="Drop Down 256" hidden="1">
              <a:extLst>
                <a:ext uri="{63B3BB69-23CF-44E3-9099-C40C66FF867C}">
                  <a14:compatExt spid="_x0000_s13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9525</xdr:rowOff>
        </xdr:from>
        <xdr:to>
          <xdr:col>4</xdr:col>
          <xdr:colOff>1800225</xdr:colOff>
          <xdr:row>15</xdr:row>
          <xdr:rowOff>0</xdr:rowOff>
        </xdr:to>
        <xdr:sp macro="" textlink="">
          <xdr:nvSpPr>
            <xdr:cNvPr id="13569" name="Drop Down 257" hidden="1">
              <a:extLst>
                <a:ext uri="{63B3BB69-23CF-44E3-9099-C40C66FF867C}">
                  <a14:compatExt spid="_x0000_s13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9525</xdr:rowOff>
        </xdr:from>
        <xdr:to>
          <xdr:col>4</xdr:col>
          <xdr:colOff>1800225</xdr:colOff>
          <xdr:row>16</xdr:row>
          <xdr:rowOff>0</xdr:rowOff>
        </xdr:to>
        <xdr:sp macro="" textlink="">
          <xdr:nvSpPr>
            <xdr:cNvPr id="13570" name="Drop Down 258" hidden="1">
              <a:extLst>
                <a:ext uri="{63B3BB69-23CF-44E3-9099-C40C66FF867C}">
                  <a14:compatExt spid="_x0000_s13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9525</xdr:rowOff>
        </xdr:from>
        <xdr:to>
          <xdr:col>4</xdr:col>
          <xdr:colOff>1800225</xdr:colOff>
          <xdr:row>17</xdr:row>
          <xdr:rowOff>0</xdr:rowOff>
        </xdr:to>
        <xdr:sp macro="" textlink="">
          <xdr:nvSpPr>
            <xdr:cNvPr id="13571" name="Drop Down 259" hidden="1">
              <a:extLst>
                <a:ext uri="{63B3BB69-23CF-44E3-9099-C40C66FF867C}">
                  <a14:compatExt spid="_x0000_s13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9525</xdr:rowOff>
        </xdr:from>
        <xdr:to>
          <xdr:col>4</xdr:col>
          <xdr:colOff>1800225</xdr:colOff>
          <xdr:row>18</xdr:row>
          <xdr:rowOff>0</xdr:rowOff>
        </xdr:to>
        <xdr:sp macro="" textlink="">
          <xdr:nvSpPr>
            <xdr:cNvPr id="13572" name="Drop Down 260" hidden="1">
              <a:extLst>
                <a:ext uri="{63B3BB69-23CF-44E3-9099-C40C66FF867C}">
                  <a14:compatExt spid="_x0000_s13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9525</xdr:rowOff>
        </xdr:from>
        <xdr:to>
          <xdr:col>4</xdr:col>
          <xdr:colOff>1800225</xdr:colOff>
          <xdr:row>19</xdr:row>
          <xdr:rowOff>0</xdr:rowOff>
        </xdr:to>
        <xdr:sp macro="" textlink="">
          <xdr:nvSpPr>
            <xdr:cNvPr id="13573" name="Drop Down 261" hidden="1">
              <a:extLst>
                <a:ext uri="{63B3BB69-23CF-44E3-9099-C40C66FF867C}">
                  <a14:compatExt spid="_x0000_s13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9525</xdr:rowOff>
        </xdr:from>
        <xdr:to>
          <xdr:col>4</xdr:col>
          <xdr:colOff>1800225</xdr:colOff>
          <xdr:row>20</xdr:row>
          <xdr:rowOff>0</xdr:rowOff>
        </xdr:to>
        <xdr:sp macro="" textlink="">
          <xdr:nvSpPr>
            <xdr:cNvPr id="13574" name="Drop Down 262" hidden="1">
              <a:extLst>
                <a:ext uri="{63B3BB69-23CF-44E3-9099-C40C66FF867C}">
                  <a14:compatExt spid="_x0000_s13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9525</xdr:rowOff>
        </xdr:from>
        <xdr:to>
          <xdr:col>4</xdr:col>
          <xdr:colOff>1800225</xdr:colOff>
          <xdr:row>21</xdr:row>
          <xdr:rowOff>0</xdr:rowOff>
        </xdr:to>
        <xdr:sp macro="" textlink="">
          <xdr:nvSpPr>
            <xdr:cNvPr id="13575" name="Drop Down 263" hidden="1">
              <a:extLst>
                <a:ext uri="{63B3BB69-23CF-44E3-9099-C40C66FF867C}">
                  <a14:compatExt spid="_x0000_s13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9525</xdr:rowOff>
        </xdr:from>
        <xdr:to>
          <xdr:col>4</xdr:col>
          <xdr:colOff>1800225</xdr:colOff>
          <xdr:row>22</xdr:row>
          <xdr:rowOff>0</xdr:rowOff>
        </xdr:to>
        <xdr:sp macro="" textlink="">
          <xdr:nvSpPr>
            <xdr:cNvPr id="13576" name="Drop Down 264" hidden="1">
              <a:extLst>
                <a:ext uri="{63B3BB69-23CF-44E3-9099-C40C66FF867C}">
                  <a14:compatExt spid="_x0000_s13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9525</xdr:rowOff>
        </xdr:from>
        <xdr:to>
          <xdr:col>4</xdr:col>
          <xdr:colOff>1800225</xdr:colOff>
          <xdr:row>23</xdr:row>
          <xdr:rowOff>0</xdr:rowOff>
        </xdr:to>
        <xdr:sp macro="" textlink="">
          <xdr:nvSpPr>
            <xdr:cNvPr id="13577" name="Drop Down 265" hidden="1">
              <a:extLst>
                <a:ext uri="{63B3BB69-23CF-44E3-9099-C40C66FF867C}">
                  <a14:compatExt spid="_x0000_s13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9525</xdr:rowOff>
        </xdr:from>
        <xdr:to>
          <xdr:col>4</xdr:col>
          <xdr:colOff>1800225</xdr:colOff>
          <xdr:row>44</xdr:row>
          <xdr:rowOff>0</xdr:rowOff>
        </xdr:to>
        <xdr:sp macro="" textlink="">
          <xdr:nvSpPr>
            <xdr:cNvPr id="13578" name="Drop Down 266" hidden="1">
              <a:extLst>
                <a:ext uri="{63B3BB69-23CF-44E3-9099-C40C66FF867C}">
                  <a14:compatExt spid="_x0000_s13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12</xdr:col>
          <xdr:colOff>0</xdr:colOff>
          <xdr:row>4</xdr:row>
          <xdr:rowOff>28575</xdr:rowOff>
        </xdr:to>
        <xdr:sp macro="" textlink="">
          <xdr:nvSpPr>
            <xdr:cNvPr id="13601" name="Drop Down 289" hidden="1">
              <a:extLst>
                <a:ext uri="{63B3BB69-23CF-44E3-9099-C40C66FF867C}">
                  <a14:compatExt spid="_x0000_s13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xdr:row>
          <xdr:rowOff>9525</xdr:rowOff>
        </xdr:from>
        <xdr:to>
          <xdr:col>12</xdr:col>
          <xdr:colOff>0</xdr:colOff>
          <xdr:row>5</xdr:row>
          <xdr:rowOff>28575</xdr:rowOff>
        </xdr:to>
        <xdr:sp macro="" textlink="">
          <xdr:nvSpPr>
            <xdr:cNvPr id="13602" name="Drop Down 290" hidden="1">
              <a:extLst>
                <a:ext uri="{63B3BB69-23CF-44E3-9099-C40C66FF867C}">
                  <a14:compatExt spid="_x0000_s13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9525</xdr:rowOff>
        </xdr:from>
        <xdr:to>
          <xdr:col>12</xdr:col>
          <xdr:colOff>0</xdr:colOff>
          <xdr:row>6</xdr:row>
          <xdr:rowOff>28575</xdr:rowOff>
        </xdr:to>
        <xdr:sp macro="" textlink="">
          <xdr:nvSpPr>
            <xdr:cNvPr id="13603" name="Drop Down 291" hidden="1">
              <a:extLst>
                <a:ext uri="{63B3BB69-23CF-44E3-9099-C40C66FF867C}">
                  <a14:compatExt spid="_x0000_s13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xdr:row>
          <xdr:rowOff>9525</xdr:rowOff>
        </xdr:from>
        <xdr:to>
          <xdr:col>12</xdr:col>
          <xdr:colOff>0</xdr:colOff>
          <xdr:row>7</xdr:row>
          <xdr:rowOff>28575</xdr:rowOff>
        </xdr:to>
        <xdr:sp macro="" textlink="">
          <xdr:nvSpPr>
            <xdr:cNvPr id="13604" name="Drop Down 292" hidden="1">
              <a:extLst>
                <a:ext uri="{63B3BB69-23CF-44E3-9099-C40C66FF867C}">
                  <a14:compatExt spid="_x0000_s13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xdr:row>
          <xdr:rowOff>9525</xdr:rowOff>
        </xdr:from>
        <xdr:to>
          <xdr:col>12</xdr:col>
          <xdr:colOff>0</xdr:colOff>
          <xdr:row>8</xdr:row>
          <xdr:rowOff>28575</xdr:rowOff>
        </xdr:to>
        <xdr:sp macro="" textlink="">
          <xdr:nvSpPr>
            <xdr:cNvPr id="13605" name="Drop Down 293" hidden="1">
              <a:extLst>
                <a:ext uri="{63B3BB69-23CF-44E3-9099-C40C66FF867C}">
                  <a14:compatExt spid="_x0000_s13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9525</xdr:rowOff>
        </xdr:from>
        <xdr:to>
          <xdr:col>12</xdr:col>
          <xdr:colOff>0</xdr:colOff>
          <xdr:row>9</xdr:row>
          <xdr:rowOff>28575</xdr:rowOff>
        </xdr:to>
        <xdr:sp macro="" textlink="">
          <xdr:nvSpPr>
            <xdr:cNvPr id="13606" name="Drop Down 294" hidden="1">
              <a:extLst>
                <a:ext uri="{63B3BB69-23CF-44E3-9099-C40C66FF867C}">
                  <a14:compatExt spid="_x0000_s13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9525</xdr:rowOff>
        </xdr:from>
        <xdr:to>
          <xdr:col>12</xdr:col>
          <xdr:colOff>0</xdr:colOff>
          <xdr:row>10</xdr:row>
          <xdr:rowOff>28575</xdr:rowOff>
        </xdr:to>
        <xdr:sp macro="" textlink="">
          <xdr:nvSpPr>
            <xdr:cNvPr id="13607" name="Drop Down 295" hidden="1">
              <a:extLst>
                <a:ext uri="{63B3BB69-23CF-44E3-9099-C40C66FF867C}">
                  <a14:compatExt spid="_x0000_s13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9525</xdr:rowOff>
        </xdr:from>
        <xdr:to>
          <xdr:col>12</xdr:col>
          <xdr:colOff>0</xdr:colOff>
          <xdr:row>11</xdr:row>
          <xdr:rowOff>28575</xdr:rowOff>
        </xdr:to>
        <xdr:sp macro="" textlink="">
          <xdr:nvSpPr>
            <xdr:cNvPr id="13608" name="Drop Down 296" hidden="1">
              <a:extLst>
                <a:ext uri="{63B3BB69-23CF-44E3-9099-C40C66FF867C}">
                  <a14:compatExt spid="_x0000_s13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9525</xdr:rowOff>
        </xdr:from>
        <xdr:to>
          <xdr:col>12</xdr:col>
          <xdr:colOff>0</xdr:colOff>
          <xdr:row>12</xdr:row>
          <xdr:rowOff>28575</xdr:rowOff>
        </xdr:to>
        <xdr:sp macro="" textlink="">
          <xdr:nvSpPr>
            <xdr:cNvPr id="13609" name="Drop Down 297" hidden="1">
              <a:extLst>
                <a:ext uri="{63B3BB69-23CF-44E3-9099-C40C66FF867C}">
                  <a14:compatExt spid="_x0000_s13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9525</xdr:rowOff>
        </xdr:from>
        <xdr:to>
          <xdr:col>12</xdr:col>
          <xdr:colOff>0</xdr:colOff>
          <xdr:row>13</xdr:row>
          <xdr:rowOff>28575</xdr:rowOff>
        </xdr:to>
        <xdr:sp macro="" textlink="">
          <xdr:nvSpPr>
            <xdr:cNvPr id="13610" name="Drop Down 298" hidden="1">
              <a:extLst>
                <a:ext uri="{63B3BB69-23CF-44E3-9099-C40C66FF867C}">
                  <a14:compatExt spid="_x0000_s13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9525</xdr:rowOff>
        </xdr:from>
        <xdr:to>
          <xdr:col>12</xdr:col>
          <xdr:colOff>0</xdr:colOff>
          <xdr:row>14</xdr:row>
          <xdr:rowOff>28575</xdr:rowOff>
        </xdr:to>
        <xdr:sp macro="" textlink="">
          <xdr:nvSpPr>
            <xdr:cNvPr id="13611" name="Drop Down 299" hidden="1">
              <a:extLst>
                <a:ext uri="{63B3BB69-23CF-44E3-9099-C40C66FF867C}">
                  <a14:compatExt spid="_x0000_s13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9525</xdr:rowOff>
        </xdr:from>
        <xdr:to>
          <xdr:col>12</xdr:col>
          <xdr:colOff>0</xdr:colOff>
          <xdr:row>15</xdr:row>
          <xdr:rowOff>28575</xdr:rowOff>
        </xdr:to>
        <xdr:sp macro="" textlink="">
          <xdr:nvSpPr>
            <xdr:cNvPr id="13612" name="Drop Down 300" hidden="1">
              <a:extLst>
                <a:ext uri="{63B3BB69-23CF-44E3-9099-C40C66FF867C}">
                  <a14:compatExt spid="_x0000_s13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9525</xdr:rowOff>
        </xdr:from>
        <xdr:to>
          <xdr:col>12</xdr:col>
          <xdr:colOff>0</xdr:colOff>
          <xdr:row>16</xdr:row>
          <xdr:rowOff>28575</xdr:rowOff>
        </xdr:to>
        <xdr:sp macro="" textlink="">
          <xdr:nvSpPr>
            <xdr:cNvPr id="13613" name="Drop Down 301" hidden="1">
              <a:extLst>
                <a:ext uri="{63B3BB69-23CF-44E3-9099-C40C66FF867C}">
                  <a14:compatExt spid="_x0000_s13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9525</xdr:rowOff>
        </xdr:from>
        <xdr:to>
          <xdr:col>12</xdr:col>
          <xdr:colOff>0</xdr:colOff>
          <xdr:row>17</xdr:row>
          <xdr:rowOff>28575</xdr:rowOff>
        </xdr:to>
        <xdr:sp macro="" textlink="">
          <xdr:nvSpPr>
            <xdr:cNvPr id="13614" name="Drop Down 302" hidden="1">
              <a:extLst>
                <a:ext uri="{63B3BB69-23CF-44E3-9099-C40C66FF867C}">
                  <a14:compatExt spid="_x0000_s13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9525</xdr:rowOff>
        </xdr:from>
        <xdr:to>
          <xdr:col>12</xdr:col>
          <xdr:colOff>0</xdr:colOff>
          <xdr:row>18</xdr:row>
          <xdr:rowOff>28575</xdr:rowOff>
        </xdr:to>
        <xdr:sp macro="" textlink="">
          <xdr:nvSpPr>
            <xdr:cNvPr id="13615" name="Drop Down 303" hidden="1">
              <a:extLst>
                <a:ext uri="{63B3BB69-23CF-44E3-9099-C40C66FF867C}">
                  <a14:compatExt spid="_x0000_s13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9525</xdr:rowOff>
        </xdr:from>
        <xdr:to>
          <xdr:col>12</xdr:col>
          <xdr:colOff>0</xdr:colOff>
          <xdr:row>19</xdr:row>
          <xdr:rowOff>28575</xdr:rowOff>
        </xdr:to>
        <xdr:sp macro="" textlink="">
          <xdr:nvSpPr>
            <xdr:cNvPr id="13616" name="Drop Down 304" hidden="1">
              <a:extLst>
                <a:ext uri="{63B3BB69-23CF-44E3-9099-C40C66FF867C}">
                  <a14:compatExt spid="_x0000_s13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9525</xdr:rowOff>
        </xdr:from>
        <xdr:to>
          <xdr:col>12</xdr:col>
          <xdr:colOff>0</xdr:colOff>
          <xdr:row>20</xdr:row>
          <xdr:rowOff>28575</xdr:rowOff>
        </xdr:to>
        <xdr:sp macro="" textlink="">
          <xdr:nvSpPr>
            <xdr:cNvPr id="13617" name="Drop Down 305" hidden="1">
              <a:extLst>
                <a:ext uri="{63B3BB69-23CF-44E3-9099-C40C66FF867C}">
                  <a14:compatExt spid="_x0000_s13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9525</xdr:rowOff>
        </xdr:from>
        <xdr:to>
          <xdr:col>12</xdr:col>
          <xdr:colOff>0</xdr:colOff>
          <xdr:row>21</xdr:row>
          <xdr:rowOff>28575</xdr:rowOff>
        </xdr:to>
        <xdr:sp macro="" textlink="">
          <xdr:nvSpPr>
            <xdr:cNvPr id="13618" name="Drop Down 306" hidden="1">
              <a:extLst>
                <a:ext uri="{63B3BB69-23CF-44E3-9099-C40C66FF867C}">
                  <a14:compatExt spid="_x0000_s13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0</xdr:colOff>
          <xdr:row>22</xdr:row>
          <xdr:rowOff>28575</xdr:rowOff>
        </xdr:to>
        <xdr:sp macro="" textlink="">
          <xdr:nvSpPr>
            <xdr:cNvPr id="13619" name="Drop Down 307" hidden="1">
              <a:extLst>
                <a:ext uri="{63B3BB69-23CF-44E3-9099-C40C66FF867C}">
                  <a14:compatExt spid="_x0000_s13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9525</xdr:rowOff>
        </xdr:from>
        <xdr:to>
          <xdr:col>12</xdr:col>
          <xdr:colOff>0</xdr:colOff>
          <xdr:row>23</xdr:row>
          <xdr:rowOff>28575</xdr:rowOff>
        </xdr:to>
        <xdr:sp macro="" textlink="">
          <xdr:nvSpPr>
            <xdr:cNvPr id="13620" name="Drop Down 308" hidden="1">
              <a:extLst>
                <a:ext uri="{63B3BB69-23CF-44E3-9099-C40C66FF867C}">
                  <a14:compatExt spid="_x0000_s13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9525</xdr:rowOff>
        </xdr:from>
        <xdr:to>
          <xdr:col>12</xdr:col>
          <xdr:colOff>0</xdr:colOff>
          <xdr:row>44</xdr:row>
          <xdr:rowOff>28575</xdr:rowOff>
        </xdr:to>
        <xdr:sp macro="" textlink="">
          <xdr:nvSpPr>
            <xdr:cNvPr id="13621" name="Drop Down 309" hidden="1">
              <a:extLst>
                <a:ext uri="{63B3BB69-23CF-44E3-9099-C40C66FF867C}">
                  <a14:compatExt spid="_x0000_s13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9525</xdr:rowOff>
        </xdr:from>
        <xdr:to>
          <xdr:col>1</xdr:col>
          <xdr:colOff>0</xdr:colOff>
          <xdr:row>24</xdr:row>
          <xdr:rowOff>0</xdr:rowOff>
        </xdr:to>
        <xdr:sp macro="" textlink="">
          <xdr:nvSpPr>
            <xdr:cNvPr id="13634" name="Drop Down 322" hidden="1">
              <a:extLst>
                <a:ext uri="{63B3BB69-23CF-44E3-9099-C40C66FF867C}">
                  <a14:compatExt spid="_x0000_s13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9525</xdr:rowOff>
        </xdr:from>
        <xdr:to>
          <xdr:col>1</xdr:col>
          <xdr:colOff>0</xdr:colOff>
          <xdr:row>25</xdr:row>
          <xdr:rowOff>0</xdr:rowOff>
        </xdr:to>
        <xdr:sp macro="" textlink="">
          <xdr:nvSpPr>
            <xdr:cNvPr id="13635" name="Drop Down 323" hidden="1">
              <a:extLst>
                <a:ext uri="{63B3BB69-23CF-44E3-9099-C40C66FF867C}">
                  <a14:compatExt spid="_x0000_s13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9525</xdr:rowOff>
        </xdr:from>
        <xdr:to>
          <xdr:col>1</xdr:col>
          <xdr:colOff>0</xdr:colOff>
          <xdr:row>26</xdr:row>
          <xdr:rowOff>0</xdr:rowOff>
        </xdr:to>
        <xdr:sp macro="" textlink="">
          <xdr:nvSpPr>
            <xdr:cNvPr id="13636" name="Drop Down 324" hidden="1">
              <a:extLst>
                <a:ext uri="{63B3BB69-23CF-44E3-9099-C40C66FF867C}">
                  <a14:compatExt spid="_x0000_s13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9525</xdr:rowOff>
        </xdr:from>
        <xdr:to>
          <xdr:col>1</xdr:col>
          <xdr:colOff>0</xdr:colOff>
          <xdr:row>27</xdr:row>
          <xdr:rowOff>0</xdr:rowOff>
        </xdr:to>
        <xdr:sp macro="" textlink="">
          <xdr:nvSpPr>
            <xdr:cNvPr id="13637" name="Drop Down 325" hidden="1">
              <a:extLst>
                <a:ext uri="{63B3BB69-23CF-44E3-9099-C40C66FF867C}">
                  <a14:compatExt spid="_x0000_s13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9525</xdr:rowOff>
        </xdr:from>
        <xdr:to>
          <xdr:col>1</xdr:col>
          <xdr:colOff>0</xdr:colOff>
          <xdr:row>28</xdr:row>
          <xdr:rowOff>0</xdr:rowOff>
        </xdr:to>
        <xdr:sp macro="" textlink="">
          <xdr:nvSpPr>
            <xdr:cNvPr id="13638" name="Drop Down 326" hidden="1">
              <a:extLst>
                <a:ext uri="{63B3BB69-23CF-44E3-9099-C40C66FF867C}">
                  <a14:compatExt spid="_x0000_s13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9525</xdr:rowOff>
        </xdr:from>
        <xdr:to>
          <xdr:col>1</xdr:col>
          <xdr:colOff>0</xdr:colOff>
          <xdr:row>29</xdr:row>
          <xdr:rowOff>0</xdr:rowOff>
        </xdr:to>
        <xdr:sp macro="" textlink="">
          <xdr:nvSpPr>
            <xdr:cNvPr id="13639" name="Drop Down 327" hidden="1">
              <a:extLst>
                <a:ext uri="{63B3BB69-23CF-44E3-9099-C40C66FF867C}">
                  <a14:compatExt spid="_x0000_s13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9525</xdr:rowOff>
        </xdr:from>
        <xdr:to>
          <xdr:col>1</xdr:col>
          <xdr:colOff>0</xdr:colOff>
          <xdr:row>30</xdr:row>
          <xdr:rowOff>0</xdr:rowOff>
        </xdr:to>
        <xdr:sp macro="" textlink="">
          <xdr:nvSpPr>
            <xdr:cNvPr id="13640" name="Drop Down 328" hidden="1">
              <a:extLst>
                <a:ext uri="{63B3BB69-23CF-44E3-9099-C40C66FF867C}">
                  <a14:compatExt spid="_x0000_s13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9525</xdr:rowOff>
        </xdr:from>
        <xdr:to>
          <xdr:col>1</xdr:col>
          <xdr:colOff>0</xdr:colOff>
          <xdr:row>31</xdr:row>
          <xdr:rowOff>0</xdr:rowOff>
        </xdr:to>
        <xdr:sp macro="" textlink="">
          <xdr:nvSpPr>
            <xdr:cNvPr id="13641" name="Drop Down 329" hidden="1">
              <a:extLst>
                <a:ext uri="{63B3BB69-23CF-44E3-9099-C40C66FF867C}">
                  <a14:compatExt spid="_x0000_s13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9525</xdr:rowOff>
        </xdr:from>
        <xdr:to>
          <xdr:col>1</xdr:col>
          <xdr:colOff>0</xdr:colOff>
          <xdr:row>32</xdr:row>
          <xdr:rowOff>0</xdr:rowOff>
        </xdr:to>
        <xdr:sp macro="" textlink="">
          <xdr:nvSpPr>
            <xdr:cNvPr id="13642" name="Drop Down 330" hidden="1">
              <a:extLst>
                <a:ext uri="{63B3BB69-23CF-44E3-9099-C40C66FF867C}">
                  <a14:compatExt spid="_x0000_s13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9525</xdr:rowOff>
        </xdr:from>
        <xdr:to>
          <xdr:col>1</xdr:col>
          <xdr:colOff>0</xdr:colOff>
          <xdr:row>33</xdr:row>
          <xdr:rowOff>0</xdr:rowOff>
        </xdr:to>
        <xdr:sp macro="" textlink="">
          <xdr:nvSpPr>
            <xdr:cNvPr id="13643" name="Drop Down 331" hidden="1">
              <a:extLst>
                <a:ext uri="{63B3BB69-23CF-44E3-9099-C40C66FF867C}">
                  <a14:compatExt spid="_x0000_s13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9525</xdr:rowOff>
        </xdr:from>
        <xdr:to>
          <xdr:col>1</xdr:col>
          <xdr:colOff>0</xdr:colOff>
          <xdr:row>34</xdr:row>
          <xdr:rowOff>0</xdr:rowOff>
        </xdr:to>
        <xdr:sp macro="" textlink="">
          <xdr:nvSpPr>
            <xdr:cNvPr id="13644" name="Drop Down 332" hidden="1">
              <a:extLst>
                <a:ext uri="{63B3BB69-23CF-44E3-9099-C40C66FF867C}">
                  <a14:compatExt spid="_x0000_s13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9525</xdr:rowOff>
        </xdr:from>
        <xdr:to>
          <xdr:col>1</xdr:col>
          <xdr:colOff>0</xdr:colOff>
          <xdr:row>35</xdr:row>
          <xdr:rowOff>0</xdr:rowOff>
        </xdr:to>
        <xdr:sp macro="" textlink="">
          <xdr:nvSpPr>
            <xdr:cNvPr id="13645" name="Drop Down 333" hidden="1">
              <a:extLst>
                <a:ext uri="{63B3BB69-23CF-44E3-9099-C40C66FF867C}">
                  <a14:compatExt spid="_x0000_s13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9525</xdr:rowOff>
        </xdr:from>
        <xdr:to>
          <xdr:col>1</xdr:col>
          <xdr:colOff>0</xdr:colOff>
          <xdr:row>36</xdr:row>
          <xdr:rowOff>0</xdr:rowOff>
        </xdr:to>
        <xdr:sp macro="" textlink="">
          <xdr:nvSpPr>
            <xdr:cNvPr id="13646" name="Drop Down 334" hidden="1">
              <a:extLst>
                <a:ext uri="{63B3BB69-23CF-44E3-9099-C40C66FF867C}">
                  <a14:compatExt spid="_x0000_s13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9525</xdr:rowOff>
        </xdr:from>
        <xdr:to>
          <xdr:col>1</xdr:col>
          <xdr:colOff>0</xdr:colOff>
          <xdr:row>37</xdr:row>
          <xdr:rowOff>0</xdr:rowOff>
        </xdr:to>
        <xdr:sp macro="" textlink="">
          <xdr:nvSpPr>
            <xdr:cNvPr id="13647" name="Drop Down 335" hidden="1">
              <a:extLst>
                <a:ext uri="{63B3BB69-23CF-44E3-9099-C40C66FF867C}">
                  <a14:compatExt spid="_x0000_s13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9525</xdr:rowOff>
        </xdr:from>
        <xdr:to>
          <xdr:col>1</xdr:col>
          <xdr:colOff>0</xdr:colOff>
          <xdr:row>38</xdr:row>
          <xdr:rowOff>0</xdr:rowOff>
        </xdr:to>
        <xdr:sp macro="" textlink="">
          <xdr:nvSpPr>
            <xdr:cNvPr id="13648" name="Drop Down 336" hidden="1">
              <a:extLst>
                <a:ext uri="{63B3BB69-23CF-44E3-9099-C40C66FF867C}">
                  <a14:compatExt spid="_x0000_s13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9525</xdr:rowOff>
        </xdr:from>
        <xdr:to>
          <xdr:col>1</xdr:col>
          <xdr:colOff>0</xdr:colOff>
          <xdr:row>39</xdr:row>
          <xdr:rowOff>0</xdr:rowOff>
        </xdr:to>
        <xdr:sp macro="" textlink="">
          <xdr:nvSpPr>
            <xdr:cNvPr id="13649" name="Drop Down 337" hidden="1">
              <a:extLst>
                <a:ext uri="{63B3BB69-23CF-44E3-9099-C40C66FF867C}">
                  <a14:compatExt spid="_x0000_s13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9525</xdr:rowOff>
        </xdr:from>
        <xdr:to>
          <xdr:col>1</xdr:col>
          <xdr:colOff>0</xdr:colOff>
          <xdr:row>40</xdr:row>
          <xdr:rowOff>0</xdr:rowOff>
        </xdr:to>
        <xdr:sp macro="" textlink="">
          <xdr:nvSpPr>
            <xdr:cNvPr id="13650" name="Drop Down 338" hidden="1">
              <a:extLst>
                <a:ext uri="{63B3BB69-23CF-44E3-9099-C40C66FF867C}">
                  <a14:compatExt spid="_x0000_s13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9525</xdr:rowOff>
        </xdr:from>
        <xdr:to>
          <xdr:col>1</xdr:col>
          <xdr:colOff>0</xdr:colOff>
          <xdr:row>41</xdr:row>
          <xdr:rowOff>0</xdr:rowOff>
        </xdr:to>
        <xdr:sp macro="" textlink="">
          <xdr:nvSpPr>
            <xdr:cNvPr id="13651" name="Drop Down 339" hidden="1">
              <a:extLst>
                <a:ext uri="{63B3BB69-23CF-44E3-9099-C40C66FF867C}">
                  <a14:compatExt spid="_x0000_s13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9525</xdr:rowOff>
        </xdr:from>
        <xdr:to>
          <xdr:col>1</xdr:col>
          <xdr:colOff>0</xdr:colOff>
          <xdr:row>42</xdr:row>
          <xdr:rowOff>0</xdr:rowOff>
        </xdr:to>
        <xdr:sp macro="" textlink="">
          <xdr:nvSpPr>
            <xdr:cNvPr id="13652" name="Drop Down 340" hidden="1">
              <a:extLst>
                <a:ext uri="{63B3BB69-23CF-44E3-9099-C40C66FF867C}">
                  <a14:compatExt spid="_x0000_s13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9525</xdr:rowOff>
        </xdr:from>
        <xdr:to>
          <xdr:col>1</xdr:col>
          <xdr:colOff>0</xdr:colOff>
          <xdr:row>43</xdr:row>
          <xdr:rowOff>0</xdr:rowOff>
        </xdr:to>
        <xdr:sp macro="" textlink="">
          <xdr:nvSpPr>
            <xdr:cNvPr id="13653" name="Drop Down 341" hidden="1">
              <a:extLst>
                <a:ext uri="{63B3BB69-23CF-44E3-9099-C40C66FF867C}">
                  <a14:compatExt spid="_x0000_s13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9525</xdr:rowOff>
        </xdr:from>
        <xdr:to>
          <xdr:col>2</xdr:col>
          <xdr:colOff>9525</xdr:colOff>
          <xdr:row>24</xdr:row>
          <xdr:rowOff>9525</xdr:rowOff>
        </xdr:to>
        <xdr:sp macro="" textlink="">
          <xdr:nvSpPr>
            <xdr:cNvPr id="13654" name="Drop Down 342" hidden="1">
              <a:extLst>
                <a:ext uri="{63B3BB69-23CF-44E3-9099-C40C66FF867C}">
                  <a14:compatExt spid="_x0000_s13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9525</xdr:rowOff>
        </xdr:from>
        <xdr:to>
          <xdr:col>2</xdr:col>
          <xdr:colOff>9525</xdr:colOff>
          <xdr:row>25</xdr:row>
          <xdr:rowOff>9525</xdr:rowOff>
        </xdr:to>
        <xdr:sp macro="" textlink="">
          <xdr:nvSpPr>
            <xdr:cNvPr id="13655" name="Drop Down 343" hidden="1">
              <a:extLst>
                <a:ext uri="{63B3BB69-23CF-44E3-9099-C40C66FF867C}">
                  <a14:compatExt spid="_x0000_s13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2</xdr:col>
          <xdr:colOff>9525</xdr:colOff>
          <xdr:row>26</xdr:row>
          <xdr:rowOff>9525</xdr:rowOff>
        </xdr:to>
        <xdr:sp macro="" textlink="">
          <xdr:nvSpPr>
            <xdr:cNvPr id="13656" name="Drop Down 344" hidden="1">
              <a:extLst>
                <a:ext uri="{63B3BB69-23CF-44E3-9099-C40C66FF867C}">
                  <a14:compatExt spid="_x0000_s13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2</xdr:col>
          <xdr:colOff>9525</xdr:colOff>
          <xdr:row>27</xdr:row>
          <xdr:rowOff>9525</xdr:rowOff>
        </xdr:to>
        <xdr:sp macro="" textlink="">
          <xdr:nvSpPr>
            <xdr:cNvPr id="13657" name="Drop Down 345" hidden="1">
              <a:extLst>
                <a:ext uri="{63B3BB69-23CF-44E3-9099-C40C66FF867C}">
                  <a14:compatExt spid="_x0000_s13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9525</xdr:rowOff>
        </xdr:from>
        <xdr:to>
          <xdr:col>2</xdr:col>
          <xdr:colOff>9525</xdr:colOff>
          <xdr:row>28</xdr:row>
          <xdr:rowOff>9525</xdr:rowOff>
        </xdr:to>
        <xdr:sp macro="" textlink="">
          <xdr:nvSpPr>
            <xdr:cNvPr id="13658" name="Drop Down 346" hidden="1">
              <a:extLst>
                <a:ext uri="{63B3BB69-23CF-44E3-9099-C40C66FF867C}">
                  <a14:compatExt spid="_x0000_s13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9525</xdr:rowOff>
        </xdr:from>
        <xdr:to>
          <xdr:col>2</xdr:col>
          <xdr:colOff>9525</xdr:colOff>
          <xdr:row>29</xdr:row>
          <xdr:rowOff>9525</xdr:rowOff>
        </xdr:to>
        <xdr:sp macro="" textlink="">
          <xdr:nvSpPr>
            <xdr:cNvPr id="13659" name="Drop Down 347" hidden="1">
              <a:extLst>
                <a:ext uri="{63B3BB69-23CF-44E3-9099-C40C66FF867C}">
                  <a14:compatExt spid="_x0000_s13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9525</xdr:rowOff>
        </xdr:from>
        <xdr:to>
          <xdr:col>2</xdr:col>
          <xdr:colOff>9525</xdr:colOff>
          <xdr:row>30</xdr:row>
          <xdr:rowOff>9525</xdr:rowOff>
        </xdr:to>
        <xdr:sp macro="" textlink="">
          <xdr:nvSpPr>
            <xdr:cNvPr id="13660" name="Drop Down 348" hidden="1">
              <a:extLst>
                <a:ext uri="{63B3BB69-23CF-44E3-9099-C40C66FF867C}">
                  <a14:compatExt spid="_x0000_s13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2</xdr:col>
          <xdr:colOff>9525</xdr:colOff>
          <xdr:row>31</xdr:row>
          <xdr:rowOff>9525</xdr:rowOff>
        </xdr:to>
        <xdr:sp macro="" textlink="">
          <xdr:nvSpPr>
            <xdr:cNvPr id="13661" name="Drop Down 349" hidden="1">
              <a:extLst>
                <a:ext uri="{63B3BB69-23CF-44E3-9099-C40C66FF867C}">
                  <a14:compatExt spid="_x0000_s13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2</xdr:col>
          <xdr:colOff>9525</xdr:colOff>
          <xdr:row>32</xdr:row>
          <xdr:rowOff>9525</xdr:rowOff>
        </xdr:to>
        <xdr:sp macro="" textlink="">
          <xdr:nvSpPr>
            <xdr:cNvPr id="13662" name="Drop Down 350" hidden="1">
              <a:extLst>
                <a:ext uri="{63B3BB69-23CF-44E3-9099-C40C66FF867C}">
                  <a14:compatExt spid="_x0000_s13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9525</xdr:rowOff>
        </xdr:from>
        <xdr:to>
          <xdr:col>2</xdr:col>
          <xdr:colOff>9525</xdr:colOff>
          <xdr:row>33</xdr:row>
          <xdr:rowOff>9525</xdr:rowOff>
        </xdr:to>
        <xdr:sp macro="" textlink="">
          <xdr:nvSpPr>
            <xdr:cNvPr id="13663" name="Drop Down 351" hidden="1">
              <a:extLst>
                <a:ext uri="{63B3BB69-23CF-44E3-9099-C40C66FF867C}">
                  <a14:compatExt spid="_x0000_s13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9525</xdr:rowOff>
        </xdr:from>
        <xdr:to>
          <xdr:col>2</xdr:col>
          <xdr:colOff>9525</xdr:colOff>
          <xdr:row>34</xdr:row>
          <xdr:rowOff>9525</xdr:rowOff>
        </xdr:to>
        <xdr:sp macro="" textlink="">
          <xdr:nvSpPr>
            <xdr:cNvPr id="13664" name="Drop Down 352" hidden="1">
              <a:extLst>
                <a:ext uri="{63B3BB69-23CF-44E3-9099-C40C66FF867C}">
                  <a14:compatExt spid="_x0000_s13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9525</xdr:rowOff>
        </xdr:from>
        <xdr:to>
          <xdr:col>2</xdr:col>
          <xdr:colOff>9525</xdr:colOff>
          <xdr:row>35</xdr:row>
          <xdr:rowOff>9525</xdr:rowOff>
        </xdr:to>
        <xdr:sp macro="" textlink="">
          <xdr:nvSpPr>
            <xdr:cNvPr id="13665" name="Drop Down 353" hidden="1">
              <a:extLst>
                <a:ext uri="{63B3BB69-23CF-44E3-9099-C40C66FF867C}">
                  <a14:compatExt spid="_x0000_s13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2</xdr:col>
          <xdr:colOff>9525</xdr:colOff>
          <xdr:row>36</xdr:row>
          <xdr:rowOff>9525</xdr:rowOff>
        </xdr:to>
        <xdr:sp macro="" textlink="">
          <xdr:nvSpPr>
            <xdr:cNvPr id="13666" name="Drop Down 354" hidden="1">
              <a:extLst>
                <a:ext uri="{63B3BB69-23CF-44E3-9099-C40C66FF867C}">
                  <a14:compatExt spid="_x0000_s13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9525</xdr:rowOff>
        </xdr:from>
        <xdr:to>
          <xdr:col>2</xdr:col>
          <xdr:colOff>9525</xdr:colOff>
          <xdr:row>37</xdr:row>
          <xdr:rowOff>9525</xdr:rowOff>
        </xdr:to>
        <xdr:sp macro="" textlink="">
          <xdr:nvSpPr>
            <xdr:cNvPr id="13667" name="Drop Down 355" hidden="1">
              <a:extLst>
                <a:ext uri="{63B3BB69-23CF-44E3-9099-C40C66FF867C}">
                  <a14:compatExt spid="_x0000_s13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9525</xdr:rowOff>
        </xdr:from>
        <xdr:to>
          <xdr:col>2</xdr:col>
          <xdr:colOff>9525</xdr:colOff>
          <xdr:row>38</xdr:row>
          <xdr:rowOff>9525</xdr:rowOff>
        </xdr:to>
        <xdr:sp macro="" textlink="">
          <xdr:nvSpPr>
            <xdr:cNvPr id="13668" name="Drop Down 356" hidden="1">
              <a:extLst>
                <a:ext uri="{63B3BB69-23CF-44E3-9099-C40C66FF867C}">
                  <a14:compatExt spid="_x0000_s13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2</xdr:col>
          <xdr:colOff>9525</xdr:colOff>
          <xdr:row>39</xdr:row>
          <xdr:rowOff>9525</xdr:rowOff>
        </xdr:to>
        <xdr:sp macro="" textlink="">
          <xdr:nvSpPr>
            <xdr:cNvPr id="13669" name="Drop Down 357" hidden="1">
              <a:extLst>
                <a:ext uri="{63B3BB69-23CF-44E3-9099-C40C66FF867C}">
                  <a14:compatExt spid="_x0000_s13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39</xdr:row>
          <xdr:rowOff>9525</xdr:rowOff>
        </xdr:from>
        <xdr:to>
          <xdr:col>2</xdr:col>
          <xdr:colOff>9525</xdr:colOff>
          <xdr:row>40</xdr:row>
          <xdr:rowOff>9525</xdr:rowOff>
        </xdr:to>
        <xdr:sp macro="" textlink="">
          <xdr:nvSpPr>
            <xdr:cNvPr id="13670" name="Drop Down 358" hidden="1">
              <a:extLst>
                <a:ext uri="{63B3BB69-23CF-44E3-9099-C40C66FF867C}">
                  <a14:compatExt spid="_x0000_s13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2</xdr:col>
          <xdr:colOff>9525</xdr:colOff>
          <xdr:row>41</xdr:row>
          <xdr:rowOff>9525</xdr:rowOff>
        </xdr:to>
        <xdr:sp macro="" textlink="">
          <xdr:nvSpPr>
            <xdr:cNvPr id="13671" name="Drop Down 359" hidden="1">
              <a:extLst>
                <a:ext uri="{63B3BB69-23CF-44E3-9099-C40C66FF867C}">
                  <a14:compatExt spid="_x0000_s13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41</xdr:row>
          <xdr:rowOff>9525</xdr:rowOff>
        </xdr:from>
        <xdr:to>
          <xdr:col>2</xdr:col>
          <xdr:colOff>9525</xdr:colOff>
          <xdr:row>42</xdr:row>
          <xdr:rowOff>9525</xdr:rowOff>
        </xdr:to>
        <xdr:sp macro="" textlink="">
          <xdr:nvSpPr>
            <xdr:cNvPr id="13672" name="Drop Down 360" hidden="1">
              <a:extLst>
                <a:ext uri="{63B3BB69-23CF-44E3-9099-C40C66FF867C}">
                  <a14:compatExt spid="_x0000_s13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9525</xdr:rowOff>
        </xdr:from>
        <xdr:to>
          <xdr:col>2</xdr:col>
          <xdr:colOff>9525</xdr:colOff>
          <xdr:row>43</xdr:row>
          <xdr:rowOff>9525</xdr:rowOff>
        </xdr:to>
        <xdr:sp macro="" textlink="">
          <xdr:nvSpPr>
            <xdr:cNvPr id="13673" name="Drop Down 361" hidden="1">
              <a:extLst>
                <a:ext uri="{63B3BB69-23CF-44E3-9099-C40C66FF867C}">
                  <a14:compatExt spid="_x0000_s13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9525</xdr:rowOff>
        </xdr:from>
        <xdr:to>
          <xdr:col>3</xdr:col>
          <xdr:colOff>19050</xdr:colOff>
          <xdr:row>24</xdr:row>
          <xdr:rowOff>0</xdr:rowOff>
        </xdr:to>
        <xdr:sp macro="" textlink="">
          <xdr:nvSpPr>
            <xdr:cNvPr id="13674" name="Drop Down 362" hidden="1">
              <a:extLst>
                <a:ext uri="{63B3BB69-23CF-44E3-9099-C40C66FF867C}">
                  <a14:compatExt spid="_x0000_s13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9525</xdr:rowOff>
        </xdr:from>
        <xdr:to>
          <xdr:col>3</xdr:col>
          <xdr:colOff>19050</xdr:colOff>
          <xdr:row>25</xdr:row>
          <xdr:rowOff>0</xdr:rowOff>
        </xdr:to>
        <xdr:sp macro="" textlink="">
          <xdr:nvSpPr>
            <xdr:cNvPr id="13675" name="Drop Down 363" hidden="1">
              <a:extLst>
                <a:ext uri="{63B3BB69-23CF-44E3-9099-C40C66FF867C}">
                  <a14:compatExt spid="_x0000_s13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xdr:row>
          <xdr:rowOff>9525</xdr:rowOff>
        </xdr:from>
        <xdr:to>
          <xdr:col>3</xdr:col>
          <xdr:colOff>19050</xdr:colOff>
          <xdr:row>26</xdr:row>
          <xdr:rowOff>0</xdr:rowOff>
        </xdr:to>
        <xdr:sp macro="" textlink="">
          <xdr:nvSpPr>
            <xdr:cNvPr id="13676" name="Drop Down 364" hidden="1">
              <a:extLst>
                <a:ext uri="{63B3BB69-23CF-44E3-9099-C40C66FF867C}">
                  <a14:compatExt spid="_x0000_s13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9525</xdr:rowOff>
        </xdr:from>
        <xdr:to>
          <xdr:col>3</xdr:col>
          <xdr:colOff>19050</xdr:colOff>
          <xdr:row>27</xdr:row>
          <xdr:rowOff>0</xdr:rowOff>
        </xdr:to>
        <xdr:sp macro="" textlink="">
          <xdr:nvSpPr>
            <xdr:cNvPr id="13677" name="Drop Down 365" hidden="1">
              <a:extLst>
                <a:ext uri="{63B3BB69-23CF-44E3-9099-C40C66FF867C}">
                  <a14:compatExt spid="_x0000_s13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9525</xdr:rowOff>
        </xdr:from>
        <xdr:to>
          <xdr:col>3</xdr:col>
          <xdr:colOff>19050</xdr:colOff>
          <xdr:row>28</xdr:row>
          <xdr:rowOff>0</xdr:rowOff>
        </xdr:to>
        <xdr:sp macro="" textlink="">
          <xdr:nvSpPr>
            <xdr:cNvPr id="13678" name="Drop Down 366" hidden="1">
              <a:extLst>
                <a:ext uri="{63B3BB69-23CF-44E3-9099-C40C66FF867C}">
                  <a14:compatExt spid="_x0000_s13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9525</xdr:rowOff>
        </xdr:from>
        <xdr:to>
          <xdr:col>3</xdr:col>
          <xdr:colOff>19050</xdr:colOff>
          <xdr:row>29</xdr:row>
          <xdr:rowOff>0</xdr:rowOff>
        </xdr:to>
        <xdr:sp macro="" textlink="">
          <xdr:nvSpPr>
            <xdr:cNvPr id="13679" name="Drop Down 367" hidden="1">
              <a:extLst>
                <a:ext uri="{63B3BB69-23CF-44E3-9099-C40C66FF867C}">
                  <a14:compatExt spid="_x0000_s13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9525</xdr:rowOff>
        </xdr:from>
        <xdr:to>
          <xdr:col>3</xdr:col>
          <xdr:colOff>19050</xdr:colOff>
          <xdr:row>30</xdr:row>
          <xdr:rowOff>0</xdr:rowOff>
        </xdr:to>
        <xdr:sp macro="" textlink="">
          <xdr:nvSpPr>
            <xdr:cNvPr id="13680" name="Drop Down 368" hidden="1">
              <a:extLst>
                <a:ext uri="{63B3BB69-23CF-44E3-9099-C40C66FF867C}">
                  <a14:compatExt spid="_x0000_s13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9525</xdr:rowOff>
        </xdr:from>
        <xdr:to>
          <xdr:col>3</xdr:col>
          <xdr:colOff>19050</xdr:colOff>
          <xdr:row>31</xdr:row>
          <xdr:rowOff>0</xdr:rowOff>
        </xdr:to>
        <xdr:sp macro="" textlink="">
          <xdr:nvSpPr>
            <xdr:cNvPr id="13681" name="Drop Down 369" hidden="1">
              <a:extLst>
                <a:ext uri="{63B3BB69-23CF-44E3-9099-C40C66FF867C}">
                  <a14:compatExt spid="_x0000_s13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9525</xdr:rowOff>
        </xdr:from>
        <xdr:to>
          <xdr:col>3</xdr:col>
          <xdr:colOff>19050</xdr:colOff>
          <xdr:row>32</xdr:row>
          <xdr:rowOff>0</xdr:rowOff>
        </xdr:to>
        <xdr:sp macro="" textlink="">
          <xdr:nvSpPr>
            <xdr:cNvPr id="13682" name="Drop Down 370" hidden="1">
              <a:extLst>
                <a:ext uri="{63B3BB69-23CF-44E3-9099-C40C66FF867C}">
                  <a14:compatExt spid="_x0000_s13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xdr:row>
          <xdr:rowOff>9525</xdr:rowOff>
        </xdr:from>
        <xdr:to>
          <xdr:col>3</xdr:col>
          <xdr:colOff>19050</xdr:colOff>
          <xdr:row>33</xdr:row>
          <xdr:rowOff>0</xdr:rowOff>
        </xdr:to>
        <xdr:sp macro="" textlink="">
          <xdr:nvSpPr>
            <xdr:cNvPr id="13683" name="Drop Down 371" hidden="1">
              <a:extLst>
                <a:ext uri="{63B3BB69-23CF-44E3-9099-C40C66FF867C}">
                  <a14:compatExt spid="_x0000_s13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9525</xdr:rowOff>
        </xdr:from>
        <xdr:to>
          <xdr:col>3</xdr:col>
          <xdr:colOff>19050</xdr:colOff>
          <xdr:row>34</xdr:row>
          <xdr:rowOff>0</xdr:rowOff>
        </xdr:to>
        <xdr:sp macro="" textlink="">
          <xdr:nvSpPr>
            <xdr:cNvPr id="13684" name="Drop Down 372" hidden="1">
              <a:extLst>
                <a:ext uri="{63B3BB69-23CF-44E3-9099-C40C66FF867C}">
                  <a14:compatExt spid="_x0000_s13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9525</xdr:rowOff>
        </xdr:from>
        <xdr:to>
          <xdr:col>3</xdr:col>
          <xdr:colOff>19050</xdr:colOff>
          <xdr:row>35</xdr:row>
          <xdr:rowOff>0</xdr:rowOff>
        </xdr:to>
        <xdr:sp macro="" textlink="">
          <xdr:nvSpPr>
            <xdr:cNvPr id="13685" name="Drop Down 373" hidden="1">
              <a:extLst>
                <a:ext uri="{63B3BB69-23CF-44E3-9099-C40C66FF867C}">
                  <a14:compatExt spid="_x0000_s13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9525</xdr:rowOff>
        </xdr:from>
        <xdr:to>
          <xdr:col>3</xdr:col>
          <xdr:colOff>19050</xdr:colOff>
          <xdr:row>36</xdr:row>
          <xdr:rowOff>0</xdr:rowOff>
        </xdr:to>
        <xdr:sp macro="" textlink="">
          <xdr:nvSpPr>
            <xdr:cNvPr id="13686" name="Drop Down 374" hidden="1">
              <a:extLst>
                <a:ext uri="{63B3BB69-23CF-44E3-9099-C40C66FF867C}">
                  <a14:compatExt spid="_x0000_s13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9525</xdr:rowOff>
        </xdr:from>
        <xdr:to>
          <xdr:col>3</xdr:col>
          <xdr:colOff>19050</xdr:colOff>
          <xdr:row>37</xdr:row>
          <xdr:rowOff>0</xdr:rowOff>
        </xdr:to>
        <xdr:sp macro="" textlink="">
          <xdr:nvSpPr>
            <xdr:cNvPr id="13687" name="Drop Down 375" hidden="1">
              <a:extLst>
                <a:ext uri="{63B3BB69-23CF-44E3-9099-C40C66FF867C}">
                  <a14:compatExt spid="_x0000_s13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9525</xdr:rowOff>
        </xdr:from>
        <xdr:to>
          <xdr:col>3</xdr:col>
          <xdr:colOff>19050</xdr:colOff>
          <xdr:row>38</xdr:row>
          <xdr:rowOff>0</xdr:rowOff>
        </xdr:to>
        <xdr:sp macro="" textlink="">
          <xdr:nvSpPr>
            <xdr:cNvPr id="13688" name="Drop Down 376" hidden="1">
              <a:extLst>
                <a:ext uri="{63B3BB69-23CF-44E3-9099-C40C66FF867C}">
                  <a14:compatExt spid="_x0000_s13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9525</xdr:rowOff>
        </xdr:from>
        <xdr:to>
          <xdr:col>3</xdr:col>
          <xdr:colOff>19050</xdr:colOff>
          <xdr:row>39</xdr:row>
          <xdr:rowOff>0</xdr:rowOff>
        </xdr:to>
        <xdr:sp macro="" textlink="">
          <xdr:nvSpPr>
            <xdr:cNvPr id="13689" name="Drop Down 377" hidden="1">
              <a:extLst>
                <a:ext uri="{63B3BB69-23CF-44E3-9099-C40C66FF867C}">
                  <a14:compatExt spid="_x0000_s13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9525</xdr:rowOff>
        </xdr:from>
        <xdr:to>
          <xdr:col>3</xdr:col>
          <xdr:colOff>19050</xdr:colOff>
          <xdr:row>40</xdr:row>
          <xdr:rowOff>0</xdr:rowOff>
        </xdr:to>
        <xdr:sp macro="" textlink="">
          <xdr:nvSpPr>
            <xdr:cNvPr id="13690" name="Drop Down 378" hidden="1">
              <a:extLst>
                <a:ext uri="{63B3BB69-23CF-44E3-9099-C40C66FF867C}">
                  <a14:compatExt spid="_x0000_s13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40</xdr:row>
          <xdr:rowOff>9525</xdr:rowOff>
        </xdr:from>
        <xdr:to>
          <xdr:col>3</xdr:col>
          <xdr:colOff>19050</xdr:colOff>
          <xdr:row>41</xdr:row>
          <xdr:rowOff>0</xdr:rowOff>
        </xdr:to>
        <xdr:sp macro="" textlink="">
          <xdr:nvSpPr>
            <xdr:cNvPr id="13691" name="Drop Down 379" hidden="1">
              <a:extLst>
                <a:ext uri="{63B3BB69-23CF-44E3-9099-C40C66FF867C}">
                  <a14:compatExt spid="_x0000_s13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3</xdr:col>
          <xdr:colOff>19050</xdr:colOff>
          <xdr:row>42</xdr:row>
          <xdr:rowOff>0</xdr:rowOff>
        </xdr:to>
        <xdr:sp macro="" textlink="">
          <xdr:nvSpPr>
            <xdr:cNvPr id="13692" name="Drop Down 380" hidden="1">
              <a:extLst>
                <a:ext uri="{63B3BB69-23CF-44E3-9099-C40C66FF867C}">
                  <a14:compatExt spid="_x0000_s13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9525</xdr:rowOff>
        </xdr:from>
        <xdr:to>
          <xdr:col>3</xdr:col>
          <xdr:colOff>19050</xdr:colOff>
          <xdr:row>43</xdr:row>
          <xdr:rowOff>0</xdr:rowOff>
        </xdr:to>
        <xdr:sp macro="" textlink="">
          <xdr:nvSpPr>
            <xdr:cNvPr id="13693" name="Drop Down 381" hidden="1">
              <a:extLst>
                <a:ext uri="{63B3BB69-23CF-44E3-9099-C40C66FF867C}">
                  <a14:compatExt spid="_x0000_s13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9525</xdr:rowOff>
        </xdr:from>
        <xdr:to>
          <xdr:col>4</xdr:col>
          <xdr:colOff>1800225</xdr:colOff>
          <xdr:row>24</xdr:row>
          <xdr:rowOff>0</xdr:rowOff>
        </xdr:to>
        <xdr:sp macro="" textlink="">
          <xdr:nvSpPr>
            <xdr:cNvPr id="13694" name="Drop Down 382" hidden="1">
              <a:extLst>
                <a:ext uri="{63B3BB69-23CF-44E3-9099-C40C66FF867C}">
                  <a14:compatExt spid="_x0000_s13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9525</xdr:rowOff>
        </xdr:from>
        <xdr:to>
          <xdr:col>4</xdr:col>
          <xdr:colOff>1800225</xdr:colOff>
          <xdr:row>25</xdr:row>
          <xdr:rowOff>0</xdr:rowOff>
        </xdr:to>
        <xdr:sp macro="" textlink="">
          <xdr:nvSpPr>
            <xdr:cNvPr id="13695" name="Drop Down 383" hidden="1">
              <a:extLst>
                <a:ext uri="{63B3BB69-23CF-44E3-9099-C40C66FF867C}">
                  <a14:compatExt spid="_x0000_s13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9525</xdr:rowOff>
        </xdr:from>
        <xdr:to>
          <xdr:col>4</xdr:col>
          <xdr:colOff>1800225</xdr:colOff>
          <xdr:row>26</xdr:row>
          <xdr:rowOff>0</xdr:rowOff>
        </xdr:to>
        <xdr:sp macro="" textlink="">
          <xdr:nvSpPr>
            <xdr:cNvPr id="13696" name="Drop Down 384" hidden="1">
              <a:extLst>
                <a:ext uri="{63B3BB69-23CF-44E3-9099-C40C66FF867C}">
                  <a14:compatExt spid="_x0000_s13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9525</xdr:rowOff>
        </xdr:from>
        <xdr:to>
          <xdr:col>4</xdr:col>
          <xdr:colOff>1800225</xdr:colOff>
          <xdr:row>27</xdr:row>
          <xdr:rowOff>0</xdr:rowOff>
        </xdr:to>
        <xdr:sp macro="" textlink="">
          <xdr:nvSpPr>
            <xdr:cNvPr id="13697" name="Drop Down 385" hidden="1">
              <a:extLst>
                <a:ext uri="{63B3BB69-23CF-44E3-9099-C40C66FF867C}">
                  <a14:compatExt spid="_x0000_s13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xdr:row>
          <xdr:rowOff>9525</xdr:rowOff>
        </xdr:from>
        <xdr:to>
          <xdr:col>4</xdr:col>
          <xdr:colOff>1800225</xdr:colOff>
          <xdr:row>28</xdr:row>
          <xdr:rowOff>0</xdr:rowOff>
        </xdr:to>
        <xdr:sp macro="" textlink="">
          <xdr:nvSpPr>
            <xdr:cNvPr id="13698" name="Drop Down 386" hidden="1">
              <a:extLst>
                <a:ext uri="{63B3BB69-23CF-44E3-9099-C40C66FF867C}">
                  <a14:compatExt spid="_x0000_s13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9525</xdr:rowOff>
        </xdr:from>
        <xdr:to>
          <xdr:col>4</xdr:col>
          <xdr:colOff>1800225</xdr:colOff>
          <xdr:row>29</xdr:row>
          <xdr:rowOff>0</xdr:rowOff>
        </xdr:to>
        <xdr:sp macro="" textlink="">
          <xdr:nvSpPr>
            <xdr:cNvPr id="13699" name="Drop Down 387" hidden="1">
              <a:extLst>
                <a:ext uri="{63B3BB69-23CF-44E3-9099-C40C66FF867C}">
                  <a14:compatExt spid="_x0000_s13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29</xdr:row>
          <xdr:rowOff>9525</xdr:rowOff>
        </xdr:from>
        <xdr:to>
          <xdr:col>4</xdr:col>
          <xdr:colOff>1800225</xdr:colOff>
          <xdr:row>30</xdr:row>
          <xdr:rowOff>0</xdr:rowOff>
        </xdr:to>
        <xdr:sp macro="" textlink="">
          <xdr:nvSpPr>
            <xdr:cNvPr id="13700" name="Drop Down 388" hidden="1">
              <a:extLst>
                <a:ext uri="{63B3BB69-23CF-44E3-9099-C40C66FF867C}">
                  <a14:compatExt spid="_x0000_s13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30</xdr:row>
          <xdr:rowOff>9525</xdr:rowOff>
        </xdr:from>
        <xdr:to>
          <xdr:col>4</xdr:col>
          <xdr:colOff>1800225</xdr:colOff>
          <xdr:row>31</xdr:row>
          <xdr:rowOff>0</xdr:rowOff>
        </xdr:to>
        <xdr:sp macro="" textlink="">
          <xdr:nvSpPr>
            <xdr:cNvPr id="13701" name="Drop Down 389" hidden="1">
              <a:extLst>
                <a:ext uri="{63B3BB69-23CF-44E3-9099-C40C66FF867C}">
                  <a14:compatExt spid="_x0000_s13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31</xdr:row>
          <xdr:rowOff>9525</xdr:rowOff>
        </xdr:from>
        <xdr:to>
          <xdr:col>4</xdr:col>
          <xdr:colOff>1800225</xdr:colOff>
          <xdr:row>32</xdr:row>
          <xdr:rowOff>0</xdr:rowOff>
        </xdr:to>
        <xdr:sp macro="" textlink="">
          <xdr:nvSpPr>
            <xdr:cNvPr id="13702" name="Drop Down 390" hidden="1">
              <a:extLst>
                <a:ext uri="{63B3BB69-23CF-44E3-9099-C40C66FF867C}">
                  <a14:compatExt spid="_x0000_s13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32</xdr:row>
          <xdr:rowOff>9525</xdr:rowOff>
        </xdr:from>
        <xdr:to>
          <xdr:col>4</xdr:col>
          <xdr:colOff>1800225</xdr:colOff>
          <xdr:row>33</xdr:row>
          <xdr:rowOff>0</xdr:rowOff>
        </xdr:to>
        <xdr:sp macro="" textlink="">
          <xdr:nvSpPr>
            <xdr:cNvPr id="13703" name="Drop Down 391" hidden="1">
              <a:extLst>
                <a:ext uri="{63B3BB69-23CF-44E3-9099-C40C66FF867C}">
                  <a14:compatExt spid="_x0000_s13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xdr:row>
          <xdr:rowOff>9525</xdr:rowOff>
        </xdr:from>
        <xdr:to>
          <xdr:col>4</xdr:col>
          <xdr:colOff>1800225</xdr:colOff>
          <xdr:row>34</xdr:row>
          <xdr:rowOff>0</xdr:rowOff>
        </xdr:to>
        <xdr:sp macro="" textlink="">
          <xdr:nvSpPr>
            <xdr:cNvPr id="13704" name="Drop Down 392" hidden="1">
              <a:extLst>
                <a:ext uri="{63B3BB69-23CF-44E3-9099-C40C66FF867C}">
                  <a14:compatExt spid="_x0000_s13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9525</xdr:rowOff>
        </xdr:from>
        <xdr:to>
          <xdr:col>4</xdr:col>
          <xdr:colOff>1800225</xdr:colOff>
          <xdr:row>35</xdr:row>
          <xdr:rowOff>0</xdr:rowOff>
        </xdr:to>
        <xdr:sp macro="" textlink="">
          <xdr:nvSpPr>
            <xdr:cNvPr id="13705" name="Drop Down 393" hidden="1">
              <a:extLst>
                <a:ext uri="{63B3BB69-23CF-44E3-9099-C40C66FF867C}">
                  <a14:compatExt spid="_x0000_s13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9525</xdr:rowOff>
        </xdr:from>
        <xdr:to>
          <xdr:col>4</xdr:col>
          <xdr:colOff>1800225</xdr:colOff>
          <xdr:row>36</xdr:row>
          <xdr:rowOff>0</xdr:rowOff>
        </xdr:to>
        <xdr:sp macro="" textlink="">
          <xdr:nvSpPr>
            <xdr:cNvPr id="13706" name="Drop Down 394" hidden="1">
              <a:extLst>
                <a:ext uri="{63B3BB69-23CF-44E3-9099-C40C66FF867C}">
                  <a14:compatExt spid="_x0000_s13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9525</xdr:rowOff>
        </xdr:from>
        <xdr:to>
          <xdr:col>4</xdr:col>
          <xdr:colOff>1800225</xdr:colOff>
          <xdr:row>37</xdr:row>
          <xdr:rowOff>0</xdr:rowOff>
        </xdr:to>
        <xdr:sp macro="" textlink="">
          <xdr:nvSpPr>
            <xdr:cNvPr id="13707" name="Drop Down 395" hidden="1">
              <a:extLst>
                <a:ext uri="{63B3BB69-23CF-44E3-9099-C40C66FF867C}">
                  <a14:compatExt spid="_x0000_s13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9525</xdr:rowOff>
        </xdr:from>
        <xdr:to>
          <xdr:col>4</xdr:col>
          <xdr:colOff>1800225</xdr:colOff>
          <xdr:row>38</xdr:row>
          <xdr:rowOff>0</xdr:rowOff>
        </xdr:to>
        <xdr:sp macro="" textlink="">
          <xdr:nvSpPr>
            <xdr:cNvPr id="13708" name="Drop Down 396" hidden="1">
              <a:extLst>
                <a:ext uri="{63B3BB69-23CF-44E3-9099-C40C66FF867C}">
                  <a14:compatExt spid="_x0000_s13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9525</xdr:rowOff>
        </xdr:from>
        <xdr:to>
          <xdr:col>4</xdr:col>
          <xdr:colOff>1800225</xdr:colOff>
          <xdr:row>39</xdr:row>
          <xdr:rowOff>0</xdr:rowOff>
        </xdr:to>
        <xdr:sp macro="" textlink="">
          <xdr:nvSpPr>
            <xdr:cNvPr id="13709" name="Drop Down 397" hidden="1">
              <a:extLst>
                <a:ext uri="{63B3BB69-23CF-44E3-9099-C40C66FF867C}">
                  <a14:compatExt spid="_x0000_s13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39</xdr:row>
          <xdr:rowOff>9525</xdr:rowOff>
        </xdr:from>
        <xdr:to>
          <xdr:col>4</xdr:col>
          <xdr:colOff>1800225</xdr:colOff>
          <xdr:row>40</xdr:row>
          <xdr:rowOff>0</xdr:rowOff>
        </xdr:to>
        <xdr:sp macro="" textlink="">
          <xdr:nvSpPr>
            <xdr:cNvPr id="13710" name="Drop Down 398" hidden="1">
              <a:extLst>
                <a:ext uri="{63B3BB69-23CF-44E3-9099-C40C66FF867C}">
                  <a14:compatExt spid="_x0000_s13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9525</xdr:rowOff>
        </xdr:from>
        <xdr:to>
          <xdr:col>4</xdr:col>
          <xdr:colOff>1800225</xdr:colOff>
          <xdr:row>41</xdr:row>
          <xdr:rowOff>0</xdr:rowOff>
        </xdr:to>
        <xdr:sp macro="" textlink="">
          <xdr:nvSpPr>
            <xdr:cNvPr id="13711" name="Drop Down 399" hidden="1">
              <a:extLst>
                <a:ext uri="{63B3BB69-23CF-44E3-9099-C40C66FF867C}">
                  <a14:compatExt spid="_x0000_s13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41</xdr:row>
          <xdr:rowOff>9525</xdr:rowOff>
        </xdr:from>
        <xdr:to>
          <xdr:col>4</xdr:col>
          <xdr:colOff>1800225</xdr:colOff>
          <xdr:row>42</xdr:row>
          <xdr:rowOff>0</xdr:rowOff>
        </xdr:to>
        <xdr:sp macro="" textlink="">
          <xdr:nvSpPr>
            <xdr:cNvPr id="13712" name="Drop Down 400" hidden="1">
              <a:extLst>
                <a:ext uri="{63B3BB69-23CF-44E3-9099-C40C66FF867C}">
                  <a14:compatExt spid="_x0000_s13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9525</xdr:rowOff>
        </xdr:from>
        <xdr:to>
          <xdr:col>4</xdr:col>
          <xdr:colOff>1800225</xdr:colOff>
          <xdr:row>43</xdr:row>
          <xdr:rowOff>0</xdr:rowOff>
        </xdr:to>
        <xdr:sp macro="" textlink="">
          <xdr:nvSpPr>
            <xdr:cNvPr id="13713" name="Drop Down 401" hidden="1">
              <a:extLst>
                <a:ext uri="{63B3BB69-23CF-44E3-9099-C40C66FF867C}">
                  <a14:compatExt spid="_x0000_s13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9525</xdr:rowOff>
        </xdr:from>
        <xdr:to>
          <xdr:col>7</xdr:col>
          <xdr:colOff>0</xdr:colOff>
          <xdr:row>24</xdr:row>
          <xdr:rowOff>9525</xdr:rowOff>
        </xdr:to>
        <xdr:sp macro="" textlink="">
          <xdr:nvSpPr>
            <xdr:cNvPr id="13714" name="Drop Down 402" hidden="1">
              <a:extLst>
                <a:ext uri="{63B3BB69-23CF-44E3-9099-C40C66FF867C}">
                  <a14:compatExt spid="_x0000_s13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9525</xdr:rowOff>
        </xdr:from>
        <xdr:to>
          <xdr:col>7</xdr:col>
          <xdr:colOff>0</xdr:colOff>
          <xdr:row>25</xdr:row>
          <xdr:rowOff>9525</xdr:rowOff>
        </xdr:to>
        <xdr:sp macro="" textlink="">
          <xdr:nvSpPr>
            <xdr:cNvPr id="13715" name="Drop Down 403" hidden="1">
              <a:extLst>
                <a:ext uri="{63B3BB69-23CF-44E3-9099-C40C66FF867C}">
                  <a14:compatExt spid="_x0000_s13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9525</xdr:rowOff>
        </xdr:from>
        <xdr:to>
          <xdr:col>7</xdr:col>
          <xdr:colOff>0</xdr:colOff>
          <xdr:row>26</xdr:row>
          <xdr:rowOff>9525</xdr:rowOff>
        </xdr:to>
        <xdr:sp macro="" textlink="">
          <xdr:nvSpPr>
            <xdr:cNvPr id="13716" name="Drop Down 404" hidden="1">
              <a:extLst>
                <a:ext uri="{63B3BB69-23CF-44E3-9099-C40C66FF867C}">
                  <a14:compatExt spid="_x0000_s13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9525</xdr:rowOff>
        </xdr:from>
        <xdr:to>
          <xdr:col>7</xdr:col>
          <xdr:colOff>0</xdr:colOff>
          <xdr:row>27</xdr:row>
          <xdr:rowOff>9525</xdr:rowOff>
        </xdr:to>
        <xdr:sp macro="" textlink="">
          <xdr:nvSpPr>
            <xdr:cNvPr id="13717" name="Drop Down 405" hidden="1">
              <a:extLst>
                <a:ext uri="{63B3BB69-23CF-44E3-9099-C40C66FF867C}">
                  <a14:compatExt spid="_x0000_s13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9525</xdr:rowOff>
        </xdr:from>
        <xdr:to>
          <xdr:col>7</xdr:col>
          <xdr:colOff>0</xdr:colOff>
          <xdr:row>28</xdr:row>
          <xdr:rowOff>9525</xdr:rowOff>
        </xdr:to>
        <xdr:sp macro="" textlink="">
          <xdr:nvSpPr>
            <xdr:cNvPr id="13718" name="Drop Down 406" hidden="1">
              <a:extLst>
                <a:ext uri="{63B3BB69-23CF-44E3-9099-C40C66FF867C}">
                  <a14:compatExt spid="_x0000_s13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9525</xdr:rowOff>
        </xdr:from>
        <xdr:to>
          <xdr:col>7</xdr:col>
          <xdr:colOff>0</xdr:colOff>
          <xdr:row>29</xdr:row>
          <xdr:rowOff>9525</xdr:rowOff>
        </xdr:to>
        <xdr:sp macro="" textlink="">
          <xdr:nvSpPr>
            <xdr:cNvPr id="13719" name="Drop Down 407" hidden="1">
              <a:extLst>
                <a:ext uri="{63B3BB69-23CF-44E3-9099-C40C66FF867C}">
                  <a14:compatExt spid="_x0000_s13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9525</xdr:rowOff>
        </xdr:from>
        <xdr:to>
          <xdr:col>7</xdr:col>
          <xdr:colOff>0</xdr:colOff>
          <xdr:row>30</xdr:row>
          <xdr:rowOff>9525</xdr:rowOff>
        </xdr:to>
        <xdr:sp macro="" textlink="">
          <xdr:nvSpPr>
            <xdr:cNvPr id="13720" name="Drop Down 408" hidden="1">
              <a:extLst>
                <a:ext uri="{63B3BB69-23CF-44E3-9099-C40C66FF867C}">
                  <a14:compatExt spid="_x0000_s13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7</xdr:col>
          <xdr:colOff>0</xdr:colOff>
          <xdr:row>31</xdr:row>
          <xdr:rowOff>9525</xdr:rowOff>
        </xdr:to>
        <xdr:sp macro="" textlink="">
          <xdr:nvSpPr>
            <xdr:cNvPr id="13721" name="Drop Down 409" hidden="1">
              <a:extLst>
                <a:ext uri="{63B3BB69-23CF-44E3-9099-C40C66FF867C}">
                  <a14:compatExt spid="_x0000_s13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7</xdr:col>
          <xdr:colOff>0</xdr:colOff>
          <xdr:row>32</xdr:row>
          <xdr:rowOff>9525</xdr:rowOff>
        </xdr:to>
        <xdr:sp macro="" textlink="">
          <xdr:nvSpPr>
            <xdr:cNvPr id="13722" name="Drop Down 410" hidden="1">
              <a:extLst>
                <a:ext uri="{63B3BB69-23CF-44E3-9099-C40C66FF867C}">
                  <a14:compatExt spid="_x0000_s13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9525</xdr:rowOff>
        </xdr:from>
        <xdr:to>
          <xdr:col>7</xdr:col>
          <xdr:colOff>0</xdr:colOff>
          <xdr:row>33</xdr:row>
          <xdr:rowOff>9525</xdr:rowOff>
        </xdr:to>
        <xdr:sp macro="" textlink="">
          <xdr:nvSpPr>
            <xdr:cNvPr id="13723" name="Drop Down 411" hidden="1">
              <a:extLst>
                <a:ext uri="{63B3BB69-23CF-44E3-9099-C40C66FF867C}">
                  <a14:compatExt spid="_x0000_s13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7</xdr:col>
          <xdr:colOff>0</xdr:colOff>
          <xdr:row>34</xdr:row>
          <xdr:rowOff>9525</xdr:rowOff>
        </xdr:to>
        <xdr:sp macro="" textlink="">
          <xdr:nvSpPr>
            <xdr:cNvPr id="13724" name="Drop Down 412" hidden="1">
              <a:extLst>
                <a:ext uri="{63B3BB69-23CF-44E3-9099-C40C66FF867C}">
                  <a14:compatExt spid="_x0000_s13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7</xdr:col>
          <xdr:colOff>0</xdr:colOff>
          <xdr:row>35</xdr:row>
          <xdr:rowOff>9525</xdr:rowOff>
        </xdr:to>
        <xdr:sp macro="" textlink="">
          <xdr:nvSpPr>
            <xdr:cNvPr id="13725" name="Drop Down 413" hidden="1">
              <a:extLst>
                <a:ext uri="{63B3BB69-23CF-44E3-9099-C40C66FF867C}">
                  <a14:compatExt spid="_x0000_s13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7</xdr:col>
          <xdr:colOff>0</xdr:colOff>
          <xdr:row>36</xdr:row>
          <xdr:rowOff>9525</xdr:rowOff>
        </xdr:to>
        <xdr:sp macro="" textlink="">
          <xdr:nvSpPr>
            <xdr:cNvPr id="13726" name="Drop Down 414" hidden="1">
              <a:extLst>
                <a:ext uri="{63B3BB69-23CF-44E3-9099-C40C66FF867C}">
                  <a14:compatExt spid="_x0000_s13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7</xdr:col>
          <xdr:colOff>0</xdr:colOff>
          <xdr:row>37</xdr:row>
          <xdr:rowOff>9525</xdr:rowOff>
        </xdr:to>
        <xdr:sp macro="" textlink="">
          <xdr:nvSpPr>
            <xdr:cNvPr id="13727" name="Drop Down 415" hidden="1">
              <a:extLst>
                <a:ext uri="{63B3BB69-23CF-44E3-9099-C40C66FF867C}">
                  <a14:compatExt spid="_x0000_s13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7</xdr:col>
          <xdr:colOff>0</xdr:colOff>
          <xdr:row>38</xdr:row>
          <xdr:rowOff>9525</xdr:rowOff>
        </xdr:to>
        <xdr:sp macro="" textlink="">
          <xdr:nvSpPr>
            <xdr:cNvPr id="13728" name="Drop Down 416" hidden="1">
              <a:extLst>
                <a:ext uri="{63B3BB69-23CF-44E3-9099-C40C66FF867C}">
                  <a14:compatExt spid="_x0000_s13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7</xdr:col>
          <xdr:colOff>0</xdr:colOff>
          <xdr:row>39</xdr:row>
          <xdr:rowOff>9525</xdr:rowOff>
        </xdr:to>
        <xdr:sp macro="" textlink="">
          <xdr:nvSpPr>
            <xdr:cNvPr id="13729" name="Drop Down 417" hidden="1">
              <a:extLst>
                <a:ext uri="{63B3BB69-23CF-44E3-9099-C40C66FF867C}">
                  <a14:compatExt spid="_x0000_s13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7</xdr:col>
          <xdr:colOff>0</xdr:colOff>
          <xdr:row>40</xdr:row>
          <xdr:rowOff>9525</xdr:rowOff>
        </xdr:to>
        <xdr:sp macro="" textlink="">
          <xdr:nvSpPr>
            <xdr:cNvPr id="13730" name="Drop Down 418" hidden="1">
              <a:extLst>
                <a:ext uri="{63B3BB69-23CF-44E3-9099-C40C66FF867C}">
                  <a14:compatExt spid="_x0000_s13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7</xdr:col>
          <xdr:colOff>0</xdr:colOff>
          <xdr:row>41</xdr:row>
          <xdr:rowOff>9525</xdr:rowOff>
        </xdr:to>
        <xdr:sp macro="" textlink="">
          <xdr:nvSpPr>
            <xdr:cNvPr id="13731" name="Drop Down 419" hidden="1">
              <a:extLst>
                <a:ext uri="{63B3BB69-23CF-44E3-9099-C40C66FF867C}">
                  <a14:compatExt spid="_x0000_s13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7</xdr:col>
          <xdr:colOff>0</xdr:colOff>
          <xdr:row>42</xdr:row>
          <xdr:rowOff>9525</xdr:rowOff>
        </xdr:to>
        <xdr:sp macro="" textlink="">
          <xdr:nvSpPr>
            <xdr:cNvPr id="13732" name="Drop Down 420" hidden="1">
              <a:extLst>
                <a:ext uri="{63B3BB69-23CF-44E3-9099-C40C66FF867C}">
                  <a14:compatExt spid="_x0000_s13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7</xdr:col>
          <xdr:colOff>0</xdr:colOff>
          <xdr:row>43</xdr:row>
          <xdr:rowOff>9525</xdr:rowOff>
        </xdr:to>
        <xdr:sp macro="" textlink="">
          <xdr:nvSpPr>
            <xdr:cNvPr id="13733" name="Drop Down 421" hidden="1">
              <a:extLst>
                <a:ext uri="{63B3BB69-23CF-44E3-9099-C40C66FF867C}">
                  <a14:compatExt spid="_x0000_s13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9525</xdr:rowOff>
        </xdr:from>
        <xdr:to>
          <xdr:col>8</xdr:col>
          <xdr:colOff>2914650</xdr:colOff>
          <xdr:row>24</xdr:row>
          <xdr:rowOff>0</xdr:rowOff>
        </xdr:to>
        <xdr:sp macro="" textlink="">
          <xdr:nvSpPr>
            <xdr:cNvPr id="13734" name="Drop Down 422" hidden="1">
              <a:extLst>
                <a:ext uri="{63B3BB69-23CF-44E3-9099-C40C66FF867C}">
                  <a14:compatExt spid="_x0000_s13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9525</xdr:rowOff>
        </xdr:from>
        <xdr:to>
          <xdr:col>8</xdr:col>
          <xdr:colOff>2914650</xdr:colOff>
          <xdr:row>25</xdr:row>
          <xdr:rowOff>0</xdr:rowOff>
        </xdr:to>
        <xdr:sp macro="" textlink="">
          <xdr:nvSpPr>
            <xdr:cNvPr id="13735" name="Drop Down 423" hidden="1">
              <a:extLst>
                <a:ext uri="{63B3BB69-23CF-44E3-9099-C40C66FF867C}">
                  <a14:compatExt spid="_x0000_s13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9525</xdr:rowOff>
        </xdr:from>
        <xdr:to>
          <xdr:col>8</xdr:col>
          <xdr:colOff>2914650</xdr:colOff>
          <xdr:row>26</xdr:row>
          <xdr:rowOff>0</xdr:rowOff>
        </xdr:to>
        <xdr:sp macro="" textlink="">
          <xdr:nvSpPr>
            <xdr:cNvPr id="13736" name="Drop Down 424" hidden="1">
              <a:extLst>
                <a:ext uri="{63B3BB69-23CF-44E3-9099-C40C66FF867C}">
                  <a14:compatExt spid="_x0000_s13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9525</xdr:rowOff>
        </xdr:from>
        <xdr:to>
          <xdr:col>8</xdr:col>
          <xdr:colOff>2914650</xdr:colOff>
          <xdr:row>27</xdr:row>
          <xdr:rowOff>0</xdr:rowOff>
        </xdr:to>
        <xdr:sp macro="" textlink="">
          <xdr:nvSpPr>
            <xdr:cNvPr id="13737" name="Drop Down 425" hidden="1">
              <a:extLst>
                <a:ext uri="{63B3BB69-23CF-44E3-9099-C40C66FF867C}">
                  <a14:compatExt spid="_x0000_s13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9525</xdr:rowOff>
        </xdr:from>
        <xdr:to>
          <xdr:col>8</xdr:col>
          <xdr:colOff>2914650</xdr:colOff>
          <xdr:row>28</xdr:row>
          <xdr:rowOff>0</xdr:rowOff>
        </xdr:to>
        <xdr:sp macro="" textlink="">
          <xdr:nvSpPr>
            <xdr:cNvPr id="13738" name="Drop Down 426" hidden="1">
              <a:extLst>
                <a:ext uri="{63B3BB69-23CF-44E3-9099-C40C66FF867C}">
                  <a14:compatExt spid="_x0000_s13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9525</xdr:rowOff>
        </xdr:from>
        <xdr:to>
          <xdr:col>8</xdr:col>
          <xdr:colOff>2914650</xdr:colOff>
          <xdr:row>29</xdr:row>
          <xdr:rowOff>0</xdr:rowOff>
        </xdr:to>
        <xdr:sp macro="" textlink="">
          <xdr:nvSpPr>
            <xdr:cNvPr id="13739" name="Drop Down 427" hidden="1">
              <a:extLst>
                <a:ext uri="{63B3BB69-23CF-44E3-9099-C40C66FF867C}">
                  <a14:compatExt spid="_x0000_s13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9525</xdr:rowOff>
        </xdr:from>
        <xdr:to>
          <xdr:col>8</xdr:col>
          <xdr:colOff>2914650</xdr:colOff>
          <xdr:row>30</xdr:row>
          <xdr:rowOff>0</xdr:rowOff>
        </xdr:to>
        <xdr:sp macro="" textlink="">
          <xdr:nvSpPr>
            <xdr:cNvPr id="13740" name="Drop Down 428" hidden="1">
              <a:extLst>
                <a:ext uri="{63B3BB69-23CF-44E3-9099-C40C66FF867C}">
                  <a14:compatExt spid="_x0000_s13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9525</xdr:rowOff>
        </xdr:from>
        <xdr:to>
          <xdr:col>8</xdr:col>
          <xdr:colOff>2914650</xdr:colOff>
          <xdr:row>31</xdr:row>
          <xdr:rowOff>0</xdr:rowOff>
        </xdr:to>
        <xdr:sp macro="" textlink="">
          <xdr:nvSpPr>
            <xdr:cNvPr id="13741" name="Drop Down 429" hidden="1">
              <a:extLst>
                <a:ext uri="{63B3BB69-23CF-44E3-9099-C40C66FF867C}">
                  <a14:compatExt spid="_x0000_s13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9525</xdr:rowOff>
        </xdr:from>
        <xdr:to>
          <xdr:col>8</xdr:col>
          <xdr:colOff>2914650</xdr:colOff>
          <xdr:row>32</xdr:row>
          <xdr:rowOff>0</xdr:rowOff>
        </xdr:to>
        <xdr:sp macro="" textlink="">
          <xdr:nvSpPr>
            <xdr:cNvPr id="13742" name="Drop Down 430" hidden="1">
              <a:extLst>
                <a:ext uri="{63B3BB69-23CF-44E3-9099-C40C66FF867C}">
                  <a14:compatExt spid="_x0000_s13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9525</xdr:rowOff>
        </xdr:from>
        <xdr:to>
          <xdr:col>8</xdr:col>
          <xdr:colOff>2914650</xdr:colOff>
          <xdr:row>33</xdr:row>
          <xdr:rowOff>0</xdr:rowOff>
        </xdr:to>
        <xdr:sp macro="" textlink="">
          <xdr:nvSpPr>
            <xdr:cNvPr id="13743" name="Drop Down 431" hidden="1">
              <a:extLst>
                <a:ext uri="{63B3BB69-23CF-44E3-9099-C40C66FF867C}">
                  <a14:compatExt spid="_x0000_s13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9525</xdr:rowOff>
        </xdr:from>
        <xdr:to>
          <xdr:col>8</xdr:col>
          <xdr:colOff>2914650</xdr:colOff>
          <xdr:row>34</xdr:row>
          <xdr:rowOff>0</xdr:rowOff>
        </xdr:to>
        <xdr:sp macro="" textlink="">
          <xdr:nvSpPr>
            <xdr:cNvPr id="13744" name="Drop Down 432" hidden="1">
              <a:extLst>
                <a:ext uri="{63B3BB69-23CF-44E3-9099-C40C66FF867C}">
                  <a14:compatExt spid="_x0000_s13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9525</xdr:rowOff>
        </xdr:from>
        <xdr:to>
          <xdr:col>8</xdr:col>
          <xdr:colOff>2914650</xdr:colOff>
          <xdr:row>35</xdr:row>
          <xdr:rowOff>0</xdr:rowOff>
        </xdr:to>
        <xdr:sp macro="" textlink="">
          <xdr:nvSpPr>
            <xdr:cNvPr id="13745" name="Drop Down 433" hidden="1">
              <a:extLst>
                <a:ext uri="{63B3BB69-23CF-44E3-9099-C40C66FF867C}">
                  <a14:compatExt spid="_x0000_s13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9525</xdr:rowOff>
        </xdr:from>
        <xdr:to>
          <xdr:col>8</xdr:col>
          <xdr:colOff>2914650</xdr:colOff>
          <xdr:row>36</xdr:row>
          <xdr:rowOff>0</xdr:rowOff>
        </xdr:to>
        <xdr:sp macro="" textlink="">
          <xdr:nvSpPr>
            <xdr:cNvPr id="13746" name="Drop Down 434" hidden="1">
              <a:extLst>
                <a:ext uri="{63B3BB69-23CF-44E3-9099-C40C66FF867C}">
                  <a14:compatExt spid="_x0000_s13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9525</xdr:rowOff>
        </xdr:from>
        <xdr:to>
          <xdr:col>8</xdr:col>
          <xdr:colOff>2914650</xdr:colOff>
          <xdr:row>37</xdr:row>
          <xdr:rowOff>0</xdr:rowOff>
        </xdr:to>
        <xdr:sp macro="" textlink="">
          <xdr:nvSpPr>
            <xdr:cNvPr id="13747" name="Drop Down 435" hidden="1">
              <a:extLst>
                <a:ext uri="{63B3BB69-23CF-44E3-9099-C40C66FF867C}">
                  <a14:compatExt spid="_x0000_s13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9525</xdr:rowOff>
        </xdr:from>
        <xdr:to>
          <xdr:col>8</xdr:col>
          <xdr:colOff>2914650</xdr:colOff>
          <xdr:row>38</xdr:row>
          <xdr:rowOff>0</xdr:rowOff>
        </xdr:to>
        <xdr:sp macro="" textlink="">
          <xdr:nvSpPr>
            <xdr:cNvPr id="13748" name="Drop Down 436" hidden="1">
              <a:extLst>
                <a:ext uri="{63B3BB69-23CF-44E3-9099-C40C66FF867C}">
                  <a14:compatExt spid="_x0000_s13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9525</xdr:rowOff>
        </xdr:from>
        <xdr:to>
          <xdr:col>8</xdr:col>
          <xdr:colOff>2914650</xdr:colOff>
          <xdr:row>39</xdr:row>
          <xdr:rowOff>0</xdr:rowOff>
        </xdr:to>
        <xdr:sp macro="" textlink="">
          <xdr:nvSpPr>
            <xdr:cNvPr id="13749" name="Drop Down 437" hidden="1">
              <a:extLst>
                <a:ext uri="{63B3BB69-23CF-44E3-9099-C40C66FF867C}">
                  <a14:compatExt spid="_x0000_s13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9525</xdr:rowOff>
        </xdr:from>
        <xdr:to>
          <xdr:col>8</xdr:col>
          <xdr:colOff>2914650</xdr:colOff>
          <xdr:row>40</xdr:row>
          <xdr:rowOff>0</xdr:rowOff>
        </xdr:to>
        <xdr:sp macro="" textlink="">
          <xdr:nvSpPr>
            <xdr:cNvPr id="13750" name="Drop Down 438" hidden="1">
              <a:extLst>
                <a:ext uri="{63B3BB69-23CF-44E3-9099-C40C66FF867C}">
                  <a14:compatExt spid="_x0000_s13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9525</xdr:rowOff>
        </xdr:from>
        <xdr:to>
          <xdr:col>8</xdr:col>
          <xdr:colOff>2914650</xdr:colOff>
          <xdr:row>41</xdr:row>
          <xdr:rowOff>0</xdr:rowOff>
        </xdr:to>
        <xdr:sp macro="" textlink="">
          <xdr:nvSpPr>
            <xdr:cNvPr id="13751" name="Drop Down 439" hidden="1">
              <a:extLst>
                <a:ext uri="{63B3BB69-23CF-44E3-9099-C40C66FF867C}">
                  <a14:compatExt spid="_x0000_s13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9525</xdr:rowOff>
        </xdr:from>
        <xdr:to>
          <xdr:col>8</xdr:col>
          <xdr:colOff>2914650</xdr:colOff>
          <xdr:row>42</xdr:row>
          <xdr:rowOff>0</xdr:rowOff>
        </xdr:to>
        <xdr:sp macro="" textlink="">
          <xdr:nvSpPr>
            <xdr:cNvPr id="13752" name="Drop Down 440" hidden="1">
              <a:extLst>
                <a:ext uri="{63B3BB69-23CF-44E3-9099-C40C66FF867C}">
                  <a14:compatExt spid="_x0000_s13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9525</xdr:rowOff>
        </xdr:from>
        <xdr:to>
          <xdr:col>8</xdr:col>
          <xdr:colOff>2914650</xdr:colOff>
          <xdr:row>43</xdr:row>
          <xdr:rowOff>0</xdr:rowOff>
        </xdr:to>
        <xdr:sp macro="" textlink="">
          <xdr:nvSpPr>
            <xdr:cNvPr id="13753" name="Drop Down 441" hidden="1">
              <a:extLst>
                <a:ext uri="{63B3BB69-23CF-44E3-9099-C40C66FF867C}">
                  <a14:compatExt spid="_x0000_s13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9525</xdr:rowOff>
        </xdr:from>
        <xdr:to>
          <xdr:col>10</xdr:col>
          <xdr:colOff>19050</xdr:colOff>
          <xdr:row>24</xdr:row>
          <xdr:rowOff>9525</xdr:rowOff>
        </xdr:to>
        <xdr:sp macro="" textlink="">
          <xdr:nvSpPr>
            <xdr:cNvPr id="13754" name="Drop Down 442" hidden="1">
              <a:extLst>
                <a:ext uri="{63B3BB69-23CF-44E3-9099-C40C66FF867C}">
                  <a14:compatExt spid="_x0000_s13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9525</xdr:rowOff>
        </xdr:from>
        <xdr:to>
          <xdr:col>10</xdr:col>
          <xdr:colOff>19050</xdr:colOff>
          <xdr:row>25</xdr:row>
          <xdr:rowOff>9525</xdr:rowOff>
        </xdr:to>
        <xdr:sp macro="" textlink="">
          <xdr:nvSpPr>
            <xdr:cNvPr id="13755" name="Drop Down 443" hidden="1">
              <a:extLst>
                <a:ext uri="{63B3BB69-23CF-44E3-9099-C40C66FF867C}">
                  <a14:compatExt spid="_x0000_s13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10</xdr:col>
          <xdr:colOff>19050</xdr:colOff>
          <xdr:row>26</xdr:row>
          <xdr:rowOff>9525</xdr:rowOff>
        </xdr:to>
        <xdr:sp macro="" textlink="">
          <xdr:nvSpPr>
            <xdr:cNvPr id="13756" name="Drop Down 444" hidden="1">
              <a:extLst>
                <a:ext uri="{63B3BB69-23CF-44E3-9099-C40C66FF867C}">
                  <a14:compatExt spid="_x0000_s13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9525</xdr:rowOff>
        </xdr:from>
        <xdr:to>
          <xdr:col>10</xdr:col>
          <xdr:colOff>19050</xdr:colOff>
          <xdr:row>27</xdr:row>
          <xdr:rowOff>9525</xdr:rowOff>
        </xdr:to>
        <xdr:sp macro="" textlink="">
          <xdr:nvSpPr>
            <xdr:cNvPr id="13757" name="Drop Down 445" hidden="1">
              <a:extLst>
                <a:ext uri="{63B3BB69-23CF-44E3-9099-C40C66FF867C}">
                  <a14:compatExt spid="_x0000_s13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xdr:row>
          <xdr:rowOff>9525</xdr:rowOff>
        </xdr:from>
        <xdr:to>
          <xdr:col>10</xdr:col>
          <xdr:colOff>19050</xdr:colOff>
          <xdr:row>28</xdr:row>
          <xdr:rowOff>9525</xdr:rowOff>
        </xdr:to>
        <xdr:sp macro="" textlink="">
          <xdr:nvSpPr>
            <xdr:cNvPr id="13758" name="Drop Down 446" hidden="1">
              <a:extLst>
                <a:ext uri="{63B3BB69-23CF-44E3-9099-C40C66FF867C}">
                  <a14:compatExt spid="_x0000_s13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9525</xdr:rowOff>
        </xdr:from>
        <xdr:to>
          <xdr:col>10</xdr:col>
          <xdr:colOff>19050</xdr:colOff>
          <xdr:row>29</xdr:row>
          <xdr:rowOff>9525</xdr:rowOff>
        </xdr:to>
        <xdr:sp macro="" textlink="">
          <xdr:nvSpPr>
            <xdr:cNvPr id="13759" name="Drop Down 447" hidden="1">
              <a:extLst>
                <a:ext uri="{63B3BB69-23CF-44E3-9099-C40C66FF867C}">
                  <a14:compatExt spid="_x0000_s13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9525</xdr:rowOff>
        </xdr:from>
        <xdr:to>
          <xdr:col>10</xdr:col>
          <xdr:colOff>19050</xdr:colOff>
          <xdr:row>30</xdr:row>
          <xdr:rowOff>9525</xdr:rowOff>
        </xdr:to>
        <xdr:sp macro="" textlink="">
          <xdr:nvSpPr>
            <xdr:cNvPr id="13760" name="Drop Down 448" hidden="1">
              <a:extLst>
                <a:ext uri="{63B3BB69-23CF-44E3-9099-C40C66FF867C}">
                  <a14:compatExt spid="_x0000_s13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9525</xdr:rowOff>
        </xdr:from>
        <xdr:to>
          <xdr:col>10</xdr:col>
          <xdr:colOff>19050</xdr:colOff>
          <xdr:row>31</xdr:row>
          <xdr:rowOff>9525</xdr:rowOff>
        </xdr:to>
        <xdr:sp macro="" textlink="">
          <xdr:nvSpPr>
            <xdr:cNvPr id="13761" name="Drop Down 449" hidden="1">
              <a:extLst>
                <a:ext uri="{63B3BB69-23CF-44E3-9099-C40C66FF867C}">
                  <a14:compatExt spid="_x0000_s13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31</xdr:row>
          <xdr:rowOff>9525</xdr:rowOff>
        </xdr:from>
        <xdr:to>
          <xdr:col>10</xdr:col>
          <xdr:colOff>19050</xdr:colOff>
          <xdr:row>32</xdr:row>
          <xdr:rowOff>9525</xdr:rowOff>
        </xdr:to>
        <xdr:sp macro="" textlink="">
          <xdr:nvSpPr>
            <xdr:cNvPr id="13762" name="Drop Down 450" hidden="1">
              <a:extLst>
                <a:ext uri="{63B3BB69-23CF-44E3-9099-C40C66FF867C}">
                  <a14:compatExt spid="_x0000_s13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9525</xdr:rowOff>
        </xdr:from>
        <xdr:to>
          <xdr:col>10</xdr:col>
          <xdr:colOff>19050</xdr:colOff>
          <xdr:row>33</xdr:row>
          <xdr:rowOff>9525</xdr:rowOff>
        </xdr:to>
        <xdr:sp macro="" textlink="">
          <xdr:nvSpPr>
            <xdr:cNvPr id="13763" name="Drop Down 451" hidden="1">
              <a:extLst>
                <a:ext uri="{63B3BB69-23CF-44E3-9099-C40C66FF867C}">
                  <a14:compatExt spid="_x0000_s13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9525</xdr:rowOff>
        </xdr:from>
        <xdr:to>
          <xdr:col>10</xdr:col>
          <xdr:colOff>19050</xdr:colOff>
          <xdr:row>34</xdr:row>
          <xdr:rowOff>9525</xdr:rowOff>
        </xdr:to>
        <xdr:sp macro="" textlink="">
          <xdr:nvSpPr>
            <xdr:cNvPr id="13764" name="Drop Down 452" hidden="1">
              <a:extLst>
                <a:ext uri="{63B3BB69-23CF-44E3-9099-C40C66FF867C}">
                  <a14:compatExt spid="_x0000_s13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34</xdr:row>
          <xdr:rowOff>9525</xdr:rowOff>
        </xdr:from>
        <xdr:to>
          <xdr:col>10</xdr:col>
          <xdr:colOff>19050</xdr:colOff>
          <xdr:row>35</xdr:row>
          <xdr:rowOff>9525</xdr:rowOff>
        </xdr:to>
        <xdr:sp macro="" textlink="">
          <xdr:nvSpPr>
            <xdr:cNvPr id="13765" name="Drop Down 453" hidden="1">
              <a:extLst>
                <a:ext uri="{63B3BB69-23CF-44E3-9099-C40C66FF867C}">
                  <a14:compatExt spid="_x0000_s13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9525</xdr:rowOff>
        </xdr:from>
        <xdr:to>
          <xdr:col>10</xdr:col>
          <xdr:colOff>19050</xdr:colOff>
          <xdr:row>36</xdr:row>
          <xdr:rowOff>9525</xdr:rowOff>
        </xdr:to>
        <xdr:sp macro="" textlink="">
          <xdr:nvSpPr>
            <xdr:cNvPr id="13766" name="Drop Down 454" hidden="1">
              <a:extLst>
                <a:ext uri="{63B3BB69-23CF-44E3-9099-C40C66FF867C}">
                  <a14:compatExt spid="_x0000_s13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9525</xdr:rowOff>
        </xdr:from>
        <xdr:to>
          <xdr:col>10</xdr:col>
          <xdr:colOff>19050</xdr:colOff>
          <xdr:row>37</xdr:row>
          <xdr:rowOff>9525</xdr:rowOff>
        </xdr:to>
        <xdr:sp macro="" textlink="">
          <xdr:nvSpPr>
            <xdr:cNvPr id="13767" name="Drop Down 455" hidden="1">
              <a:extLst>
                <a:ext uri="{63B3BB69-23CF-44E3-9099-C40C66FF867C}">
                  <a14:compatExt spid="_x0000_s13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9525</xdr:rowOff>
        </xdr:from>
        <xdr:to>
          <xdr:col>10</xdr:col>
          <xdr:colOff>19050</xdr:colOff>
          <xdr:row>38</xdr:row>
          <xdr:rowOff>9525</xdr:rowOff>
        </xdr:to>
        <xdr:sp macro="" textlink="">
          <xdr:nvSpPr>
            <xdr:cNvPr id="13768" name="Drop Down 456" hidden="1">
              <a:extLst>
                <a:ext uri="{63B3BB69-23CF-44E3-9099-C40C66FF867C}">
                  <a14:compatExt spid="_x0000_s13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9525</xdr:rowOff>
        </xdr:from>
        <xdr:to>
          <xdr:col>10</xdr:col>
          <xdr:colOff>19050</xdr:colOff>
          <xdr:row>39</xdr:row>
          <xdr:rowOff>9525</xdr:rowOff>
        </xdr:to>
        <xdr:sp macro="" textlink="">
          <xdr:nvSpPr>
            <xdr:cNvPr id="13769" name="Drop Down 457" hidden="1">
              <a:extLst>
                <a:ext uri="{63B3BB69-23CF-44E3-9099-C40C66FF867C}">
                  <a14:compatExt spid="_x0000_s13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9525</xdr:rowOff>
        </xdr:from>
        <xdr:to>
          <xdr:col>10</xdr:col>
          <xdr:colOff>19050</xdr:colOff>
          <xdr:row>40</xdr:row>
          <xdr:rowOff>9525</xdr:rowOff>
        </xdr:to>
        <xdr:sp macro="" textlink="">
          <xdr:nvSpPr>
            <xdr:cNvPr id="13770" name="Drop Down 458" hidden="1">
              <a:extLst>
                <a:ext uri="{63B3BB69-23CF-44E3-9099-C40C66FF867C}">
                  <a14:compatExt spid="_x0000_s13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9525</xdr:rowOff>
        </xdr:from>
        <xdr:to>
          <xdr:col>10</xdr:col>
          <xdr:colOff>19050</xdr:colOff>
          <xdr:row>41</xdr:row>
          <xdr:rowOff>9525</xdr:rowOff>
        </xdr:to>
        <xdr:sp macro="" textlink="">
          <xdr:nvSpPr>
            <xdr:cNvPr id="13771" name="Drop Down 459" hidden="1">
              <a:extLst>
                <a:ext uri="{63B3BB69-23CF-44E3-9099-C40C66FF867C}">
                  <a14:compatExt spid="_x0000_s13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9525</xdr:rowOff>
        </xdr:from>
        <xdr:to>
          <xdr:col>10</xdr:col>
          <xdr:colOff>19050</xdr:colOff>
          <xdr:row>42</xdr:row>
          <xdr:rowOff>9525</xdr:rowOff>
        </xdr:to>
        <xdr:sp macro="" textlink="">
          <xdr:nvSpPr>
            <xdr:cNvPr id="13772" name="Drop Down 460" hidden="1">
              <a:extLst>
                <a:ext uri="{63B3BB69-23CF-44E3-9099-C40C66FF867C}">
                  <a14:compatExt spid="_x0000_s13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9525</xdr:rowOff>
        </xdr:from>
        <xdr:to>
          <xdr:col>10</xdr:col>
          <xdr:colOff>19050</xdr:colOff>
          <xdr:row>43</xdr:row>
          <xdr:rowOff>9525</xdr:rowOff>
        </xdr:to>
        <xdr:sp macro="" textlink="">
          <xdr:nvSpPr>
            <xdr:cNvPr id="13773" name="Drop Down 461" hidden="1">
              <a:extLst>
                <a:ext uri="{63B3BB69-23CF-44E3-9099-C40C66FF867C}">
                  <a14:compatExt spid="_x0000_s13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9525</xdr:rowOff>
        </xdr:from>
        <xdr:to>
          <xdr:col>12</xdr:col>
          <xdr:colOff>0</xdr:colOff>
          <xdr:row>24</xdr:row>
          <xdr:rowOff>28575</xdr:rowOff>
        </xdr:to>
        <xdr:sp macro="" textlink="">
          <xdr:nvSpPr>
            <xdr:cNvPr id="13774" name="Drop Down 462" hidden="1">
              <a:extLst>
                <a:ext uri="{63B3BB69-23CF-44E3-9099-C40C66FF867C}">
                  <a14:compatExt spid="_x0000_s13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9525</xdr:rowOff>
        </xdr:from>
        <xdr:to>
          <xdr:col>12</xdr:col>
          <xdr:colOff>0</xdr:colOff>
          <xdr:row>25</xdr:row>
          <xdr:rowOff>28575</xdr:rowOff>
        </xdr:to>
        <xdr:sp macro="" textlink="">
          <xdr:nvSpPr>
            <xdr:cNvPr id="13775" name="Drop Down 463" hidden="1">
              <a:extLst>
                <a:ext uri="{63B3BB69-23CF-44E3-9099-C40C66FF867C}">
                  <a14:compatExt spid="_x0000_s13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xdr:row>
          <xdr:rowOff>9525</xdr:rowOff>
        </xdr:from>
        <xdr:to>
          <xdr:col>12</xdr:col>
          <xdr:colOff>0</xdr:colOff>
          <xdr:row>26</xdr:row>
          <xdr:rowOff>28575</xdr:rowOff>
        </xdr:to>
        <xdr:sp macro="" textlink="">
          <xdr:nvSpPr>
            <xdr:cNvPr id="13776" name="Drop Down 464" hidden="1">
              <a:extLst>
                <a:ext uri="{63B3BB69-23CF-44E3-9099-C40C66FF867C}">
                  <a14:compatExt spid="_x0000_s13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xdr:row>
          <xdr:rowOff>9525</xdr:rowOff>
        </xdr:from>
        <xdr:to>
          <xdr:col>12</xdr:col>
          <xdr:colOff>0</xdr:colOff>
          <xdr:row>27</xdr:row>
          <xdr:rowOff>28575</xdr:rowOff>
        </xdr:to>
        <xdr:sp macro="" textlink="">
          <xdr:nvSpPr>
            <xdr:cNvPr id="13777" name="Drop Down 465" hidden="1">
              <a:extLst>
                <a:ext uri="{63B3BB69-23CF-44E3-9099-C40C66FF867C}">
                  <a14:compatExt spid="_x0000_s13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9525</xdr:rowOff>
        </xdr:from>
        <xdr:to>
          <xdr:col>12</xdr:col>
          <xdr:colOff>0</xdr:colOff>
          <xdr:row>28</xdr:row>
          <xdr:rowOff>28575</xdr:rowOff>
        </xdr:to>
        <xdr:sp macro="" textlink="">
          <xdr:nvSpPr>
            <xdr:cNvPr id="13778" name="Drop Down 466" hidden="1">
              <a:extLst>
                <a:ext uri="{63B3BB69-23CF-44E3-9099-C40C66FF867C}">
                  <a14:compatExt spid="_x0000_s13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9525</xdr:rowOff>
        </xdr:from>
        <xdr:to>
          <xdr:col>12</xdr:col>
          <xdr:colOff>0</xdr:colOff>
          <xdr:row>29</xdr:row>
          <xdr:rowOff>28575</xdr:rowOff>
        </xdr:to>
        <xdr:sp macro="" textlink="">
          <xdr:nvSpPr>
            <xdr:cNvPr id="13779" name="Drop Down 467" hidden="1">
              <a:extLst>
                <a:ext uri="{63B3BB69-23CF-44E3-9099-C40C66FF867C}">
                  <a14:compatExt spid="_x0000_s13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9525</xdr:rowOff>
        </xdr:from>
        <xdr:to>
          <xdr:col>12</xdr:col>
          <xdr:colOff>0</xdr:colOff>
          <xdr:row>30</xdr:row>
          <xdr:rowOff>28575</xdr:rowOff>
        </xdr:to>
        <xdr:sp macro="" textlink="">
          <xdr:nvSpPr>
            <xdr:cNvPr id="13780" name="Drop Down 468" hidden="1">
              <a:extLst>
                <a:ext uri="{63B3BB69-23CF-44E3-9099-C40C66FF867C}">
                  <a14:compatExt spid="_x0000_s13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30</xdr:row>
          <xdr:rowOff>9525</xdr:rowOff>
        </xdr:from>
        <xdr:to>
          <xdr:col>12</xdr:col>
          <xdr:colOff>0</xdr:colOff>
          <xdr:row>31</xdr:row>
          <xdr:rowOff>28575</xdr:rowOff>
        </xdr:to>
        <xdr:sp macro="" textlink="">
          <xdr:nvSpPr>
            <xdr:cNvPr id="13781" name="Drop Down 469" hidden="1">
              <a:extLst>
                <a:ext uri="{63B3BB69-23CF-44E3-9099-C40C66FF867C}">
                  <a14:compatExt spid="_x0000_s13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9525</xdr:rowOff>
        </xdr:from>
        <xdr:to>
          <xdr:col>12</xdr:col>
          <xdr:colOff>0</xdr:colOff>
          <xdr:row>32</xdr:row>
          <xdr:rowOff>28575</xdr:rowOff>
        </xdr:to>
        <xdr:sp macro="" textlink="">
          <xdr:nvSpPr>
            <xdr:cNvPr id="13782" name="Drop Down 470" hidden="1">
              <a:extLst>
                <a:ext uri="{63B3BB69-23CF-44E3-9099-C40C66FF867C}">
                  <a14:compatExt spid="_x0000_s13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32</xdr:row>
          <xdr:rowOff>9525</xdr:rowOff>
        </xdr:from>
        <xdr:to>
          <xdr:col>12</xdr:col>
          <xdr:colOff>0</xdr:colOff>
          <xdr:row>33</xdr:row>
          <xdr:rowOff>28575</xdr:rowOff>
        </xdr:to>
        <xdr:sp macro="" textlink="">
          <xdr:nvSpPr>
            <xdr:cNvPr id="13783" name="Drop Down 471" hidden="1">
              <a:extLst>
                <a:ext uri="{63B3BB69-23CF-44E3-9099-C40C66FF867C}">
                  <a14:compatExt spid="_x0000_s13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9525</xdr:rowOff>
        </xdr:from>
        <xdr:to>
          <xdr:col>12</xdr:col>
          <xdr:colOff>0</xdr:colOff>
          <xdr:row>34</xdr:row>
          <xdr:rowOff>28575</xdr:rowOff>
        </xdr:to>
        <xdr:sp macro="" textlink="">
          <xdr:nvSpPr>
            <xdr:cNvPr id="13784" name="Drop Down 472" hidden="1">
              <a:extLst>
                <a:ext uri="{63B3BB69-23CF-44E3-9099-C40C66FF867C}">
                  <a14:compatExt spid="_x0000_s13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34</xdr:row>
          <xdr:rowOff>9525</xdr:rowOff>
        </xdr:from>
        <xdr:to>
          <xdr:col>12</xdr:col>
          <xdr:colOff>0</xdr:colOff>
          <xdr:row>35</xdr:row>
          <xdr:rowOff>28575</xdr:rowOff>
        </xdr:to>
        <xdr:sp macro="" textlink="">
          <xdr:nvSpPr>
            <xdr:cNvPr id="13785" name="Drop Down 473" hidden="1">
              <a:extLst>
                <a:ext uri="{63B3BB69-23CF-44E3-9099-C40C66FF867C}">
                  <a14:compatExt spid="_x0000_s13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9525</xdr:rowOff>
        </xdr:from>
        <xdr:to>
          <xdr:col>12</xdr:col>
          <xdr:colOff>0</xdr:colOff>
          <xdr:row>36</xdr:row>
          <xdr:rowOff>28575</xdr:rowOff>
        </xdr:to>
        <xdr:sp macro="" textlink="">
          <xdr:nvSpPr>
            <xdr:cNvPr id="13786" name="Drop Down 474" hidden="1">
              <a:extLst>
                <a:ext uri="{63B3BB69-23CF-44E3-9099-C40C66FF867C}">
                  <a14:compatExt spid="_x0000_s13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9525</xdr:rowOff>
        </xdr:from>
        <xdr:to>
          <xdr:col>12</xdr:col>
          <xdr:colOff>0</xdr:colOff>
          <xdr:row>37</xdr:row>
          <xdr:rowOff>28575</xdr:rowOff>
        </xdr:to>
        <xdr:sp macro="" textlink="">
          <xdr:nvSpPr>
            <xdr:cNvPr id="13787" name="Drop Down 475" hidden="1">
              <a:extLst>
                <a:ext uri="{63B3BB69-23CF-44E3-9099-C40C66FF867C}">
                  <a14:compatExt spid="_x0000_s13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12</xdr:col>
          <xdr:colOff>0</xdr:colOff>
          <xdr:row>38</xdr:row>
          <xdr:rowOff>28575</xdr:rowOff>
        </xdr:to>
        <xdr:sp macro="" textlink="">
          <xdr:nvSpPr>
            <xdr:cNvPr id="13788" name="Drop Down 476" hidden="1">
              <a:extLst>
                <a:ext uri="{63B3BB69-23CF-44E3-9099-C40C66FF867C}">
                  <a14:compatExt spid="_x0000_s13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9525</xdr:rowOff>
        </xdr:from>
        <xdr:to>
          <xdr:col>12</xdr:col>
          <xdr:colOff>0</xdr:colOff>
          <xdr:row>39</xdr:row>
          <xdr:rowOff>28575</xdr:rowOff>
        </xdr:to>
        <xdr:sp macro="" textlink="">
          <xdr:nvSpPr>
            <xdr:cNvPr id="13789" name="Drop Down 477" hidden="1">
              <a:extLst>
                <a:ext uri="{63B3BB69-23CF-44E3-9099-C40C66FF867C}">
                  <a14:compatExt spid="_x0000_s13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9525</xdr:rowOff>
        </xdr:from>
        <xdr:to>
          <xdr:col>12</xdr:col>
          <xdr:colOff>0</xdr:colOff>
          <xdr:row>40</xdr:row>
          <xdr:rowOff>28575</xdr:rowOff>
        </xdr:to>
        <xdr:sp macro="" textlink="">
          <xdr:nvSpPr>
            <xdr:cNvPr id="13790" name="Drop Down 478" hidden="1">
              <a:extLst>
                <a:ext uri="{63B3BB69-23CF-44E3-9099-C40C66FF867C}">
                  <a14:compatExt spid="_x0000_s13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9525</xdr:rowOff>
        </xdr:from>
        <xdr:to>
          <xdr:col>12</xdr:col>
          <xdr:colOff>0</xdr:colOff>
          <xdr:row>41</xdr:row>
          <xdr:rowOff>28575</xdr:rowOff>
        </xdr:to>
        <xdr:sp macro="" textlink="">
          <xdr:nvSpPr>
            <xdr:cNvPr id="13791" name="Drop Down 479" hidden="1">
              <a:extLst>
                <a:ext uri="{63B3BB69-23CF-44E3-9099-C40C66FF867C}">
                  <a14:compatExt spid="_x0000_s13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9525</xdr:rowOff>
        </xdr:from>
        <xdr:to>
          <xdr:col>12</xdr:col>
          <xdr:colOff>0</xdr:colOff>
          <xdr:row>42</xdr:row>
          <xdr:rowOff>28575</xdr:rowOff>
        </xdr:to>
        <xdr:sp macro="" textlink="">
          <xdr:nvSpPr>
            <xdr:cNvPr id="13792" name="Drop Down 480" hidden="1">
              <a:extLst>
                <a:ext uri="{63B3BB69-23CF-44E3-9099-C40C66FF867C}">
                  <a14:compatExt spid="_x0000_s13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9525</xdr:rowOff>
        </xdr:from>
        <xdr:to>
          <xdr:col>12</xdr:col>
          <xdr:colOff>0</xdr:colOff>
          <xdr:row>43</xdr:row>
          <xdr:rowOff>28575</xdr:rowOff>
        </xdr:to>
        <xdr:sp macro="" textlink="">
          <xdr:nvSpPr>
            <xdr:cNvPr id="13793" name="Drop Down 481" hidden="1">
              <a:extLst>
                <a:ext uri="{63B3BB69-23CF-44E3-9099-C40C66FF867C}">
                  <a14:compatExt spid="_x0000_s13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9525</xdr:rowOff>
        </xdr:from>
        <xdr:to>
          <xdr:col>13</xdr:col>
          <xdr:colOff>2809875</xdr:colOff>
          <xdr:row>24</xdr:row>
          <xdr:rowOff>9525</xdr:rowOff>
        </xdr:to>
        <xdr:sp macro="" textlink="">
          <xdr:nvSpPr>
            <xdr:cNvPr id="13794" name="Drop Down 482" hidden="1">
              <a:extLst>
                <a:ext uri="{63B3BB69-23CF-44E3-9099-C40C66FF867C}">
                  <a14:compatExt spid="_x0000_s13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9525</xdr:rowOff>
        </xdr:from>
        <xdr:to>
          <xdr:col>13</xdr:col>
          <xdr:colOff>2809875</xdr:colOff>
          <xdr:row>25</xdr:row>
          <xdr:rowOff>9525</xdr:rowOff>
        </xdr:to>
        <xdr:sp macro="" textlink="">
          <xdr:nvSpPr>
            <xdr:cNvPr id="13795" name="Drop Down 483" hidden="1">
              <a:extLst>
                <a:ext uri="{63B3BB69-23CF-44E3-9099-C40C66FF867C}">
                  <a14:compatExt spid="_x0000_s13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9525</xdr:rowOff>
        </xdr:from>
        <xdr:to>
          <xdr:col>13</xdr:col>
          <xdr:colOff>2809875</xdr:colOff>
          <xdr:row>26</xdr:row>
          <xdr:rowOff>9525</xdr:rowOff>
        </xdr:to>
        <xdr:sp macro="" textlink="">
          <xdr:nvSpPr>
            <xdr:cNvPr id="13796" name="Drop Down 484" hidden="1">
              <a:extLst>
                <a:ext uri="{63B3BB69-23CF-44E3-9099-C40C66FF867C}">
                  <a14:compatExt spid="_x0000_s13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9525</xdr:rowOff>
        </xdr:from>
        <xdr:to>
          <xdr:col>13</xdr:col>
          <xdr:colOff>2809875</xdr:colOff>
          <xdr:row>27</xdr:row>
          <xdr:rowOff>9525</xdr:rowOff>
        </xdr:to>
        <xdr:sp macro="" textlink="">
          <xdr:nvSpPr>
            <xdr:cNvPr id="13797" name="Drop Down 485" hidden="1">
              <a:extLst>
                <a:ext uri="{63B3BB69-23CF-44E3-9099-C40C66FF867C}">
                  <a14:compatExt spid="_x0000_s13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9525</xdr:rowOff>
        </xdr:from>
        <xdr:to>
          <xdr:col>13</xdr:col>
          <xdr:colOff>2809875</xdr:colOff>
          <xdr:row>28</xdr:row>
          <xdr:rowOff>9525</xdr:rowOff>
        </xdr:to>
        <xdr:sp macro="" textlink="">
          <xdr:nvSpPr>
            <xdr:cNvPr id="13798" name="Drop Down 486" hidden="1">
              <a:extLst>
                <a:ext uri="{63B3BB69-23CF-44E3-9099-C40C66FF867C}">
                  <a14:compatExt spid="_x0000_s13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9525</xdr:rowOff>
        </xdr:from>
        <xdr:to>
          <xdr:col>13</xdr:col>
          <xdr:colOff>2809875</xdr:colOff>
          <xdr:row>29</xdr:row>
          <xdr:rowOff>9525</xdr:rowOff>
        </xdr:to>
        <xdr:sp macro="" textlink="">
          <xdr:nvSpPr>
            <xdr:cNvPr id="13799" name="Drop Down 487" hidden="1">
              <a:extLst>
                <a:ext uri="{63B3BB69-23CF-44E3-9099-C40C66FF867C}">
                  <a14:compatExt spid="_x0000_s13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9525</xdr:rowOff>
        </xdr:from>
        <xdr:to>
          <xdr:col>13</xdr:col>
          <xdr:colOff>2809875</xdr:colOff>
          <xdr:row>30</xdr:row>
          <xdr:rowOff>9525</xdr:rowOff>
        </xdr:to>
        <xdr:sp macro="" textlink="">
          <xdr:nvSpPr>
            <xdr:cNvPr id="13800" name="Drop Down 488" hidden="1">
              <a:extLst>
                <a:ext uri="{63B3BB69-23CF-44E3-9099-C40C66FF867C}">
                  <a14:compatExt spid="_x0000_s13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30</xdr:row>
          <xdr:rowOff>9525</xdr:rowOff>
        </xdr:from>
        <xdr:to>
          <xdr:col>13</xdr:col>
          <xdr:colOff>2809875</xdr:colOff>
          <xdr:row>31</xdr:row>
          <xdr:rowOff>9525</xdr:rowOff>
        </xdr:to>
        <xdr:sp macro="" textlink="">
          <xdr:nvSpPr>
            <xdr:cNvPr id="13801" name="Drop Down 489" hidden="1">
              <a:extLst>
                <a:ext uri="{63B3BB69-23CF-44E3-9099-C40C66FF867C}">
                  <a14:compatExt spid="_x0000_s13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9525</xdr:rowOff>
        </xdr:from>
        <xdr:to>
          <xdr:col>13</xdr:col>
          <xdr:colOff>2809875</xdr:colOff>
          <xdr:row>32</xdr:row>
          <xdr:rowOff>9525</xdr:rowOff>
        </xdr:to>
        <xdr:sp macro="" textlink="">
          <xdr:nvSpPr>
            <xdr:cNvPr id="13802" name="Drop Down 490" hidden="1">
              <a:extLst>
                <a:ext uri="{63B3BB69-23CF-44E3-9099-C40C66FF867C}">
                  <a14:compatExt spid="_x0000_s13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9525</xdr:rowOff>
        </xdr:from>
        <xdr:to>
          <xdr:col>13</xdr:col>
          <xdr:colOff>2809875</xdr:colOff>
          <xdr:row>33</xdr:row>
          <xdr:rowOff>9525</xdr:rowOff>
        </xdr:to>
        <xdr:sp macro="" textlink="">
          <xdr:nvSpPr>
            <xdr:cNvPr id="13803" name="Drop Down 491" hidden="1">
              <a:extLst>
                <a:ext uri="{63B3BB69-23CF-44E3-9099-C40C66FF867C}">
                  <a14:compatExt spid="_x0000_s13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9525</xdr:rowOff>
        </xdr:from>
        <xdr:to>
          <xdr:col>13</xdr:col>
          <xdr:colOff>2809875</xdr:colOff>
          <xdr:row>34</xdr:row>
          <xdr:rowOff>9525</xdr:rowOff>
        </xdr:to>
        <xdr:sp macro="" textlink="">
          <xdr:nvSpPr>
            <xdr:cNvPr id="13804" name="Drop Down 492" hidden="1">
              <a:extLst>
                <a:ext uri="{63B3BB69-23CF-44E3-9099-C40C66FF867C}">
                  <a14:compatExt spid="_x0000_s13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9525</xdr:rowOff>
        </xdr:from>
        <xdr:to>
          <xdr:col>13</xdr:col>
          <xdr:colOff>2809875</xdr:colOff>
          <xdr:row>35</xdr:row>
          <xdr:rowOff>9525</xdr:rowOff>
        </xdr:to>
        <xdr:sp macro="" textlink="">
          <xdr:nvSpPr>
            <xdr:cNvPr id="13805" name="Drop Down 493" hidden="1">
              <a:extLst>
                <a:ext uri="{63B3BB69-23CF-44E3-9099-C40C66FF867C}">
                  <a14:compatExt spid="_x0000_s13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9525</xdr:rowOff>
        </xdr:from>
        <xdr:to>
          <xdr:col>13</xdr:col>
          <xdr:colOff>2809875</xdr:colOff>
          <xdr:row>36</xdr:row>
          <xdr:rowOff>9525</xdr:rowOff>
        </xdr:to>
        <xdr:sp macro="" textlink="">
          <xdr:nvSpPr>
            <xdr:cNvPr id="13806" name="Drop Down 494" hidden="1">
              <a:extLst>
                <a:ext uri="{63B3BB69-23CF-44E3-9099-C40C66FF867C}">
                  <a14:compatExt spid="_x0000_s13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9525</xdr:rowOff>
        </xdr:from>
        <xdr:to>
          <xdr:col>13</xdr:col>
          <xdr:colOff>2809875</xdr:colOff>
          <xdr:row>37</xdr:row>
          <xdr:rowOff>9525</xdr:rowOff>
        </xdr:to>
        <xdr:sp macro="" textlink="">
          <xdr:nvSpPr>
            <xdr:cNvPr id="13807" name="Drop Down 495" hidden="1">
              <a:extLst>
                <a:ext uri="{63B3BB69-23CF-44E3-9099-C40C66FF867C}">
                  <a14:compatExt spid="_x0000_s13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9525</xdr:rowOff>
        </xdr:from>
        <xdr:to>
          <xdr:col>13</xdr:col>
          <xdr:colOff>2809875</xdr:colOff>
          <xdr:row>38</xdr:row>
          <xdr:rowOff>9525</xdr:rowOff>
        </xdr:to>
        <xdr:sp macro="" textlink="">
          <xdr:nvSpPr>
            <xdr:cNvPr id="13808" name="Drop Down 496" hidden="1">
              <a:extLst>
                <a:ext uri="{63B3BB69-23CF-44E3-9099-C40C66FF867C}">
                  <a14:compatExt spid="_x0000_s13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9525</xdr:rowOff>
        </xdr:from>
        <xdr:to>
          <xdr:col>13</xdr:col>
          <xdr:colOff>2809875</xdr:colOff>
          <xdr:row>39</xdr:row>
          <xdr:rowOff>9525</xdr:rowOff>
        </xdr:to>
        <xdr:sp macro="" textlink="">
          <xdr:nvSpPr>
            <xdr:cNvPr id="13809" name="Drop Down 497" hidden="1">
              <a:extLst>
                <a:ext uri="{63B3BB69-23CF-44E3-9099-C40C66FF867C}">
                  <a14:compatExt spid="_x0000_s13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9525</xdr:rowOff>
        </xdr:from>
        <xdr:to>
          <xdr:col>13</xdr:col>
          <xdr:colOff>2809875</xdr:colOff>
          <xdr:row>40</xdr:row>
          <xdr:rowOff>9525</xdr:rowOff>
        </xdr:to>
        <xdr:sp macro="" textlink="">
          <xdr:nvSpPr>
            <xdr:cNvPr id="13810" name="Drop Down 498" hidden="1">
              <a:extLst>
                <a:ext uri="{63B3BB69-23CF-44E3-9099-C40C66FF867C}">
                  <a14:compatExt spid="_x0000_s13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9525</xdr:rowOff>
        </xdr:from>
        <xdr:to>
          <xdr:col>13</xdr:col>
          <xdr:colOff>2809875</xdr:colOff>
          <xdr:row>41</xdr:row>
          <xdr:rowOff>9525</xdr:rowOff>
        </xdr:to>
        <xdr:sp macro="" textlink="">
          <xdr:nvSpPr>
            <xdr:cNvPr id="13811" name="Drop Down 499" hidden="1">
              <a:extLst>
                <a:ext uri="{63B3BB69-23CF-44E3-9099-C40C66FF867C}">
                  <a14:compatExt spid="_x0000_s13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9525</xdr:rowOff>
        </xdr:from>
        <xdr:to>
          <xdr:col>13</xdr:col>
          <xdr:colOff>2809875</xdr:colOff>
          <xdr:row>42</xdr:row>
          <xdr:rowOff>9525</xdr:rowOff>
        </xdr:to>
        <xdr:sp macro="" textlink="">
          <xdr:nvSpPr>
            <xdr:cNvPr id="13812" name="Drop Down 500" hidden="1">
              <a:extLst>
                <a:ext uri="{63B3BB69-23CF-44E3-9099-C40C66FF867C}">
                  <a14:compatExt spid="_x0000_s13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42</xdr:row>
          <xdr:rowOff>9525</xdr:rowOff>
        </xdr:from>
        <xdr:to>
          <xdr:col>13</xdr:col>
          <xdr:colOff>2809875</xdr:colOff>
          <xdr:row>43</xdr:row>
          <xdr:rowOff>9525</xdr:rowOff>
        </xdr:to>
        <xdr:sp macro="" textlink="">
          <xdr:nvSpPr>
            <xdr:cNvPr id="13813" name="Drop Down 501" hidden="1">
              <a:extLst>
                <a:ext uri="{63B3BB69-23CF-44E3-9099-C40C66FF867C}">
                  <a14:compatExt spid="_x0000_s13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23</xdr:row>
          <xdr:rowOff>9525</xdr:rowOff>
        </xdr:from>
        <xdr:to>
          <xdr:col>16</xdr:col>
          <xdr:colOff>9525</xdr:colOff>
          <xdr:row>24</xdr:row>
          <xdr:rowOff>9525</xdr:rowOff>
        </xdr:to>
        <xdr:sp macro="" textlink="">
          <xdr:nvSpPr>
            <xdr:cNvPr id="13814" name="Drop Down 502" hidden="1">
              <a:extLst>
                <a:ext uri="{63B3BB69-23CF-44E3-9099-C40C66FF867C}">
                  <a14:compatExt spid="_x0000_s13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24</xdr:row>
          <xdr:rowOff>9525</xdr:rowOff>
        </xdr:from>
        <xdr:to>
          <xdr:col>16</xdr:col>
          <xdr:colOff>9525</xdr:colOff>
          <xdr:row>25</xdr:row>
          <xdr:rowOff>9525</xdr:rowOff>
        </xdr:to>
        <xdr:sp macro="" textlink="">
          <xdr:nvSpPr>
            <xdr:cNvPr id="13815" name="Drop Down 503" hidden="1">
              <a:extLst>
                <a:ext uri="{63B3BB69-23CF-44E3-9099-C40C66FF867C}">
                  <a14:compatExt spid="_x0000_s13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xdr:row>
          <xdr:rowOff>9525</xdr:rowOff>
        </xdr:from>
        <xdr:to>
          <xdr:col>16</xdr:col>
          <xdr:colOff>9525</xdr:colOff>
          <xdr:row>26</xdr:row>
          <xdr:rowOff>9525</xdr:rowOff>
        </xdr:to>
        <xdr:sp macro="" textlink="">
          <xdr:nvSpPr>
            <xdr:cNvPr id="13816" name="Drop Down 504" hidden="1">
              <a:extLst>
                <a:ext uri="{63B3BB69-23CF-44E3-9099-C40C66FF867C}">
                  <a14:compatExt spid="_x0000_s13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26</xdr:row>
          <xdr:rowOff>9525</xdr:rowOff>
        </xdr:from>
        <xdr:to>
          <xdr:col>16</xdr:col>
          <xdr:colOff>9525</xdr:colOff>
          <xdr:row>27</xdr:row>
          <xdr:rowOff>9525</xdr:rowOff>
        </xdr:to>
        <xdr:sp macro="" textlink="">
          <xdr:nvSpPr>
            <xdr:cNvPr id="13817" name="Drop Down 505" hidden="1">
              <a:extLst>
                <a:ext uri="{63B3BB69-23CF-44E3-9099-C40C66FF867C}">
                  <a14:compatExt spid="_x0000_s13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9525</xdr:rowOff>
        </xdr:from>
        <xdr:to>
          <xdr:col>16</xdr:col>
          <xdr:colOff>9525</xdr:colOff>
          <xdr:row>28</xdr:row>
          <xdr:rowOff>9525</xdr:rowOff>
        </xdr:to>
        <xdr:sp macro="" textlink="">
          <xdr:nvSpPr>
            <xdr:cNvPr id="13818" name="Drop Down 506" hidden="1">
              <a:extLst>
                <a:ext uri="{63B3BB69-23CF-44E3-9099-C40C66FF867C}">
                  <a14:compatExt spid="_x0000_s13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9525</xdr:rowOff>
        </xdr:from>
        <xdr:to>
          <xdr:col>16</xdr:col>
          <xdr:colOff>9525</xdr:colOff>
          <xdr:row>29</xdr:row>
          <xdr:rowOff>9525</xdr:rowOff>
        </xdr:to>
        <xdr:sp macro="" textlink="">
          <xdr:nvSpPr>
            <xdr:cNvPr id="13819" name="Drop Down 507" hidden="1">
              <a:extLst>
                <a:ext uri="{63B3BB69-23CF-44E3-9099-C40C66FF867C}">
                  <a14:compatExt spid="_x0000_s13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9525</xdr:rowOff>
        </xdr:from>
        <xdr:to>
          <xdr:col>16</xdr:col>
          <xdr:colOff>9525</xdr:colOff>
          <xdr:row>30</xdr:row>
          <xdr:rowOff>9525</xdr:rowOff>
        </xdr:to>
        <xdr:sp macro="" textlink="">
          <xdr:nvSpPr>
            <xdr:cNvPr id="13820" name="Drop Down 508" hidden="1">
              <a:extLst>
                <a:ext uri="{63B3BB69-23CF-44E3-9099-C40C66FF867C}">
                  <a14:compatExt spid="_x0000_s13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9525</xdr:rowOff>
        </xdr:from>
        <xdr:to>
          <xdr:col>16</xdr:col>
          <xdr:colOff>9525</xdr:colOff>
          <xdr:row>31</xdr:row>
          <xdr:rowOff>9525</xdr:rowOff>
        </xdr:to>
        <xdr:sp macro="" textlink="">
          <xdr:nvSpPr>
            <xdr:cNvPr id="13821" name="Drop Down 509" hidden="1">
              <a:extLst>
                <a:ext uri="{63B3BB69-23CF-44E3-9099-C40C66FF867C}">
                  <a14:compatExt spid="_x0000_s13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31</xdr:row>
          <xdr:rowOff>9525</xdr:rowOff>
        </xdr:from>
        <xdr:to>
          <xdr:col>16</xdr:col>
          <xdr:colOff>9525</xdr:colOff>
          <xdr:row>32</xdr:row>
          <xdr:rowOff>9525</xdr:rowOff>
        </xdr:to>
        <xdr:sp macro="" textlink="">
          <xdr:nvSpPr>
            <xdr:cNvPr id="13822" name="Drop Down 510" hidden="1">
              <a:extLst>
                <a:ext uri="{63B3BB69-23CF-44E3-9099-C40C66FF867C}">
                  <a14:compatExt spid="_x0000_s13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32</xdr:row>
          <xdr:rowOff>9525</xdr:rowOff>
        </xdr:from>
        <xdr:to>
          <xdr:col>16</xdr:col>
          <xdr:colOff>9525</xdr:colOff>
          <xdr:row>33</xdr:row>
          <xdr:rowOff>9525</xdr:rowOff>
        </xdr:to>
        <xdr:sp macro="" textlink="">
          <xdr:nvSpPr>
            <xdr:cNvPr id="13823" name="Drop Down 511" hidden="1">
              <a:extLst>
                <a:ext uri="{63B3BB69-23CF-44E3-9099-C40C66FF867C}">
                  <a14:compatExt spid="_x0000_s13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33</xdr:row>
          <xdr:rowOff>9525</xdr:rowOff>
        </xdr:from>
        <xdr:to>
          <xdr:col>16</xdr:col>
          <xdr:colOff>9525</xdr:colOff>
          <xdr:row>34</xdr:row>
          <xdr:rowOff>9525</xdr:rowOff>
        </xdr:to>
        <xdr:sp macro="" textlink="">
          <xdr:nvSpPr>
            <xdr:cNvPr id="13824" name="Drop Down 512" hidden="1">
              <a:extLst>
                <a:ext uri="{63B3BB69-23CF-44E3-9099-C40C66FF867C}">
                  <a14:compatExt spid="_x0000_s13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34</xdr:row>
          <xdr:rowOff>9525</xdr:rowOff>
        </xdr:from>
        <xdr:to>
          <xdr:col>16</xdr:col>
          <xdr:colOff>9525</xdr:colOff>
          <xdr:row>35</xdr:row>
          <xdr:rowOff>9525</xdr:rowOff>
        </xdr:to>
        <xdr:sp macro="" textlink="">
          <xdr:nvSpPr>
            <xdr:cNvPr id="13825" name="Drop Down 513" hidden="1">
              <a:extLst>
                <a:ext uri="{63B3BB69-23CF-44E3-9099-C40C66FF867C}">
                  <a14:compatExt spid="_x0000_s13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35</xdr:row>
          <xdr:rowOff>9525</xdr:rowOff>
        </xdr:from>
        <xdr:to>
          <xdr:col>16</xdr:col>
          <xdr:colOff>9525</xdr:colOff>
          <xdr:row>36</xdr:row>
          <xdr:rowOff>9525</xdr:rowOff>
        </xdr:to>
        <xdr:sp macro="" textlink="">
          <xdr:nvSpPr>
            <xdr:cNvPr id="13826" name="Drop Down 514" hidden="1">
              <a:extLst>
                <a:ext uri="{63B3BB69-23CF-44E3-9099-C40C66FF867C}">
                  <a14:compatExt spid="_x0000_s13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36</xdr:row>
          <xdr:rowOff>9525</xdr:rowOff>
        </xdr:from>
        <xdr:to>
          <xdr:col>16</xdr:col>
          <xdr:colOff>9525</xdr:colOff>
          <xdr:row>37</xdr:row>
          <xdr:rowOff>9525</xdr:rowOff>
        </xdr:to>
        <xdr:sp macro="" textlink="">
          <xdr:nvSpPr>
            <xdr:cNvPr id="13827" name="Drop Down 515" hidden="1">
              <a:extLst>
                <a:ext uri="{63B3BB69-23CF-44E3-9099-C40C66FF867C}">
                  <a14:compatExt spid="_x0000_s13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37</xdr:row>
          <xdr:rowOff>9525</xdr:rowOff>
        </xdr:from>
        <xdr:to>
          <xdr:col>16</xdr:col>
          <xdr:colOff>9525</xdr:colOff>
          <xdr:row>38</xdr:row>
          <xdr:rowOff>9525</xdr:rowOff>
        </xdr:to>
        <xdr:sp macro="" textlink="">
          <xdr:nvSpPr>
            <xdr:cNvPr id="13828" name="Drop Down 516" hidden="1">
              <a:extLst>
                <a:ext uri="{63B3BB69-23CF-44E3-9099-C40C66FF867C}">
                  <a14:compatExt spid="_x0000_s13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38</xdr:row>
          <xdr:rowOff>9525</xdr:rowOff>
        </xdr:from>
        <xdr:to>
          <xdr:col>16</xdr:col>
          <xdr:colOff>9525</xdr:colOff>
          <xdr:row>39</xdr:row>
          <xdr:rowOff>9525</xdr:rowOff>
        </xdr:to>
        <xdr:sp macro="" textlink="">
          <xdr:nvSpPr>
            <xdr:cNvPr id="13829" name="Drop Down 517" hidden="1">
              <a:extLst>
                <a:ext uri="{63B3BB69-23CF-44E3-9099-C40C66FF867C}">
                  <a14:compatExt spid="_x0000_s13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39</xdr:row>
          <xdr:rowOff>9525</xdr:rowOff>
        </xdr:from>
        <xdr:to>
          <xdr:col>16</xdr:col>
          <xdr:colOff>9525</xdr:colOff>
          <xdr:row>40</xdr:row>
          <xdr:rowOff>9525</xdr:rowOff>
        </xdr:to>
        <xdr:sp macro="" textlink="">
          <xdr:nvSpPr>
            <xdr:cNvPr id="13830" name="Drop Down 518" hidden="1">
              <a:extLst>
                <a:ext uri="{63B3BB69-23CF-44E3-9099-C40C66FF867C}">
                  <a14:compatExt spid="_x0000_s13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40</xdr:row>
          <xdr:rowOff>9525</xdr:rowOff>
        </xdr:from>
        <xdr:to>
          <xdr:col>16</xdr:col>
          <xdr:colOff>9525</xdr:colOff>
          <xdr:row>41</xdr:row>
          <xdr:rowOff>9525</xdr:rowOff>
        </xdr:to>
        <xdr:sp macro="" textlink="">
          <xdr:nvSpPr>
            <xdr:cNvPr id="13831" name="Drop Down 519" hidden="1">
              <a:extLst>
                <a:ext uri="{63B3BB69-23CF-44E3-9099-C40C66FF867C}">
                  <a14:compatExt spid="_x0000_s13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41</xdr:row>
          <xdr:rowOff>9525</xdr:rowOff>
        </xdr:from>
        <xdr:to>
          <xdr:col>16</xdr:col>
          <xdr:colOff>9525</xdr:colOff>
          <xdr:row>42</xdr:row>
          <xdr:rowOff>9525</xdr:rowOff>
        </xdr:to>
        <xdr:sp macro="" textlink="">
          <xdr:nvSpPr>
            <xdr:cNvPr id="13832" name="Drop Down 520" hidden="1">
              <a:extLst>
                <a:ext uri="{63B3BB69-23CF-44E3-9099-C40C66FF867C}">
                  <a14:compatExt spid="_x0000_s13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42</xdr:row>
          <xdr:rowOff>9525</xdr:rowOff>
        </xdr:from>
        <xdr:to>
          <xdr:col>16</xdr:col>
          <xdr:colOff>9525</xdr:colOff>
          <xdr:row>43</xdr:row>
          <xdr:rowOff>9525</xdr:rowOff>
        </xdr:to>
        <xdr:sp macro="" textlink="">
          <xdr:nvSpPr>
            <xdr:cNvPr id="13833" name="Drop Down 521" hidden="1">
              <a:extLst>
                <a:ext uri="{63B3BB69-23CF-44E3-9099-C40C66FF867C}">
                  <a14:compatExt spid="_x0000_s1383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4</xdr:col>
          <xdr:colOff>1057275</xdr:colOff>
          <xdr:row>5</xdr:row>
          <xdr:rowOff>9525</xdr:rowOff>
        </xdr:to>
        <xdr:sp macro="" textlink="">
          <xdr:nvSpPr>
            <xdr:cNvPr id="6153" name="Drop Down 9" hidden="1">
              <a:extLst>
                <a:ext uri="{63B3BB69-23CF-44E3-9099-C40C66FF867C}">
                  <a14:compatExt spid="_x0000_s6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180975</xdr:rowOff>
        </xdr:from>
        <xdr:to>
          <xdr:col>8</xdr:col>
          <xdr:colOff>0</xdr:colOff>
          <xdr:row>6</xdr:row>
          <xdr:rowOff>9525</xdr:rowOff>
        </xdr:to>
        <xdr:sp macro="" textlink="">
          <xdr:nvSpPr>
            <xdr:cNvPr id="6157" name="Drop Down 13" hidden="1">
              <a:extLst>
                <a:ext uri="{63B3BB69-23CF-44E3-9099-C40C66FF867C}">
                  <a14:compatExt spid="_x0000_s6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28575</xdr:rowOff>
        </xdr:from>
        <xdr:to>
          <xdr:col>4</xdr:col>
          <xdr:colOff>1057275</xdr:colOff>
          <xdr:row>7</xdr:row>
          <xdr:rowOff>19050</xdr:rowOff>
        </xdr:to>
        <xdr:sp macro="" textlink="">
          <xdr:nvSpPr>
            <xdr:cNvPr id="6159" name="Drop Down 15" hidden="1">
              <a:extLst>
                <a:ext uri="{63B3BB69-23CF-44E3-9099-C40C66FF867C}">
                  <a14:compatExt spid="_x0000_s6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295275</xdr:rowOff>
        </xdr:from>
        <xdr:to>
          <xdr:col>8</xdr:col>
          <xdr:colOff>0</xdr:colOff>
          <xdr:row>5</xdr:row>
          <xdr:rowOff>0</xdr:rowOff>
        </xdr:to>
        <xdr:sp macro="" textlink="">
          <xdr:nvSpPr>
            <xdr:cNvPr id="6160" name="Drop Down 16" hidden="1">
              <a:extLst>
                <a:ext uri="{63B3BB69-23CF-44E3-9099-C40C66FF867C}">
                  <a14:compatExt spid="_x0000_s6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180975</xdr:rowOff>
        </xdr:from>
        <xdr:to>
          <xdr:col>4</xdr:col>
          <xdr:colOff>1057275</xdr:colOff>
          <xdr:row>6</xdr:row>
          <xdr:rowOff>9525</xdr:rowOff>
        </xdr:to>
        <xdr:sp macro="" textlink="">
          <xdr:nvSpPr>
            <xdr:cNvPr id="6163" name="Drop Down 19" hidden="1">
              <a:extLst>
                <a:ext uri="{63B3BB69-23CF-44E3-9099-C40C66FF867C}">
                  <a14:compatExt spid="_x0000_s6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4</xdr:col>
          <xdr:colOff>1047750</xdr:colOff>
          <xdr:row>8</xdr:row>
          <xdr:rowOff>19050</xdr:rowOff>
        </xdr:to>
        <xdr:sp macro="" textlink="">
          <xdr:nvSpPr>
            <xdr:cNvPr id="6164" name="Drop Down 20" hidden="1">
              <a:extLst>
                <a:ext uri="{63B3BB69-23CF-44E3-9099-C40C66FF867C}">
                  <a14:compatExt spid="_x0000_s6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200025</xdr:rowOff>
        </xdr:to>
        <xdr:sp macro="" textlink="">
          <xdr:nvSpPr>
            <xdr:cNvPr id="6165" name="Drop Down 21" hidden="1">
              <a:extLst>
                <a:ext uri="{63B3BB69-23CF-44E3-9099-C40C66FF867C}">
                  <a14:compatExt spid="_x0000_s6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200025</xdr:rowOff>
        </xdr:from>
        <xdr:to>
          <xdr:col>8</xdr:col>
          <xdr:colOff>0</xdr:colOff>
          <xdr:row>8</xdr:row>
          <xdr:rowOff>0</xdr:rowOff>
        </xdr:to>
        <xdr:sp macro="" textlink="">
          <xdr:nvSpPr>
            <xdr:cNvPr id="6166" name="Drop Down 22" hidden="1">
              <a:extLst>
                <a:ext uri="{63B3BB69-23CF-44E3-9099-C40C66FF867C}">
                  <a14:compatExt spid="_x0000_s6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295275</xdr:rowOff>
        </xdr:from>
        <xdr:to>
          <xdr:col>10</xdr:col>
          <xdr:colOff>942975</xdr:colOff>
          <xdr:row>5</xdr:row>
          <xdr:rowOff>0</xdr:rowOff>
        </xdr:to>
        <xdr:sp macro="" textlink="">
          <xdr:nvSpPr>
            <xdr:cNvPr id="6168" name="Drop Down 24" hidden="1">
              <a:extLst>
                <a:ext uri="{63B3BB69-23CF-44E3-9099-C40C66FF867C}">
                  <a14:compatExt spid="_x0000_s6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xdr:row>
          <xdr:rowOff>0</xdr:rowOff>
        </xdr:from>
        <xdr:to>
          <xdr:col>10</xdr:col>
          <xdr:colOff>942975</xdr:colOff>
          <xdr:row>6</xdr:row>
          <xdr:rowOff>19050</xdr:rowOff>
        </xdr:to>
        <xdr:sp macro="" textlink="">
          <xdr:nvSpPr>
            <xdr:cNvPr id="6169" name="Drop Down 25" hidden="1">
              <a:extLst>
                <a:ext uri="{63B3BB69-23CF-44E3-9099-C40C66FF867C}">
                  <a14:compatExt spid="_x0000_s6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10</xdr:col>
          <xdr:colOff>942975</xdr:colOff>
          <xdr:row>6</xdr:row>
          <xdr:rowOff>200025</xdr:rowOff>
        </xdr:to>
        <xdr:sp macro="" textlink="">
          <xdr:nvSpPr>
            <xdr:cNvPr id="6170" name="Drop Down 26" hidden="1">
              <a:extLst>
                <a:ext uri="{63B3BB69-23CF-44E3-9099-C40C66FF867C}">
                  <a14:compatExt spid="_x0000_s6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10</xdr:col>
          <xdr:colOff>942975</xdr:colOff>
          <xdr:row>8</xdr:row>
          <xdr:rowOff>9525</xdr:rowOff>
        </xdr:to>
        <xdr:sp macro="" textlink="">
          <xdr:nvSpPr>
            <xdr:cNvPr id="6171" name="Drop Down 27" hidden="1">
              <a:extLst>
                <a:ext uri="{63B3BB69-23CF-44E3-9099-C40C66FF867C}">
                  <a14:compatExt spid="_x0000_s6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xdr:row>
          <xdr:rowOff>0</xdr:rowOff>
        </xdr:from>
        <xdr:to>
          <xdr:col>11</xdr:col>
          <xdr:colOff>466725</xdr:colOff>
          <xdr:row>5</xdr:row>
          <xdr:rowOff>9525</xdr:rowOff>
        </xdr:to>
        <xdr:sp macro="" textlink="">
          <xdr:nvSpPr>
            <xdr:cNvPr id="6172" name="Drop Down 28" hidden="1">
              <a:extLst>
                <a:ext uri="{63B3BB69-23CF-44E3-9099-C40C66FF867C}">
                  <a14:compatExt spid="_x0000_s6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0</xdr:rowOff>
        </xdr:from>
        <xdr:to>
          <xdr:col>11</xdr:col>
          <xdr:colOff>466725</xdr:colOff>
          <xdr:row>6</xdr:row>
          <xdr:rowOff>19050</xdr:rowOff>
        </xdr:to>
        <xdr:sp macro="" textlink="">
          <xdr:nvSpPr>
            <xdr:cNvPr id="6173" name="Drop Down 29" hidden="1">
              <a:extLst>
                <a:ext uri="{63B3BB69-23CF-44E3-9099-C40C66FF867C}">
                  <a14:compatExt spid="_x0000_s6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xdr:row>
          <xdr:rowOff>0</xdr:rowOff>
        </xdr:from>
        <xdr:to>
          <xdr:col>11</xdr:col>
          <xdr:colOff>466725</xdr:colOff>
          <xdr:row>6</xdr:row>
          <xdr:rowOff>200025</xdr:rowOff>
        </xdr:to>
        <xdr:sp macro="" textlink="">
          <xdr:nvSpPr>
            <xdr:cNvPr id="6174" name="Drop Down 30" hidden="1">
              <a:extLst>
                <a:ext uri="{63B3BB69-23CF-44E3-9099-C40C66FF867C}">
                  <a14:compatExt spid="_x0000_s6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xdr:row>
          <xdr:rowOff>0</xdr:rowOff>
        </xdr:from>
        <xdr:to>
          <xdr:col>11</xdr:col>
          <xdr:colOff>466725</xdr:colOff>
          <xdr:row>8</xdr:row>
          <xdr:rowOff>9525</xdr:rowOff>
        </xdr:to>
        <xdr:sp macro="" textlink="">
          <xdr:nvSpPr>
            <xdr:cNvPr id="6175" name="Drop Down 31" hidden="1">
              <a:extLst>
                <a:ext uri="{63B3BB69-23CF-44E3-9099-C40C66FF867C}">
                  <a14:compatExt spid="_x0000_s6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2</xdr:col>
          <xdr:colOff>0</xdr:colOff>
          <xdr:row>13</xdr:row>
          <xdr:rowOff>9525</xdr:rowOff>
        </xdr:to>
        <xdr:sp macro="" textlink="">
          <xdr:nvSpPr>
            <xdr:cNvPr id="6176" name="Drop Down 32" hidden="1">
              <a:extLst>
                <a:ext uri="{63B3BB69-23CF-44E3-9099-C40C66FF867C}">
                  <a14:compatExt spid="_x0000_s6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2</xdr:col>
          <xdr:colOff>0</xdr:colOff>
          <xdr:row>14</xdr:row>
          <xdr:rowOff>9525</xdr:rowOff>
        </xdr:to>
        <xdr:sp macro="" textlink="">
          <xdr:nvSpPr>
            <xdr:cNvPr id="6177" name="Drop Down 33" hidden="1">
              <a:extLst>
                <a:ext uri="{63B3BB69-23CF-44E3-9099-C40C66FF867C}">
                  <a14:compatExt spid="_x0000_s6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2</xdr:col>
          <xdr:colOff>0</xdr:colOff>
          <xdr:row>15</xdr:row>
          <xdr:rowOff>9525</xdr:rowOff>
        </xdr:to>
        <xdr:sp macro="" textlink="">
          <xdr:nvSpPr>
            <xdr:cNvPr id="6178" name="Drop Down 34" hidden="1">
              <a:extLst>
                <a:ext uri="{63B3BB69-23CF-44E3-9099-C40C66FF867C}">
                  <a14:compatExt spid="_x0000_s6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2</xdr:col>
          <xdr:colOff>0</xdr:colOff>
          <xdr:row>16</xdr:row>
          <xdr:rowOff>9525</xdr:rowOff>
        </xdr:to>
        <xdr:sp macro="" textlink="">
          <xdr:nvSpPr>
            <xdr:cNvPr id="6179" name="Drop Down 35" hidden="1">
              <a:extLst>
                <a:ext uri="{63B3BB69-23CF-44E3-9099-C40C66FF867C}">
                  <a14:compatExt spid="_x0000_s6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4</xdr:col>
          <xdr:colOff>1057275</xdr:colOff>
          <xdr:row>13</xdr:row>
          <xdr:rowOff>9525</xdr:rowOff>
        </xdr:to>
        <xdr:sp macro="" textlink="">
          <xdr:nvSpPr>
            <xdr:cNvPr id="6180" name="Drop Down 36" hidden="1">
              <a:extLst>
                <a:ext uri="{63B3BB69-23CF-44E3-9099-C40C66FF867C}">
                  <a14:compatExt spid="_x0000_s6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1057275</xdr:colOff>
          <xdr:row>14</xdr:row>
          <xdr:rowOff>9525</xdr:rowOff>
        </xdr:to>
        <xdr:sp macro="" textlink="">
          <xdr:nvSpPr>
            <xdr:cNvPr id="6181" name="Drop Down 37" hidden="1">
              <a:extLst>
                <a:ext uri="{63B3BB69-23CF-44E3-9099-C40C66FF867C}">
                  <a14:compatExt spid="_x0000_s6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1057275</xdr:colOff>
          <xdr:row>15</xdr:row>
          <xdr:rowOff>9525</xdr:rowOff>
        </xdr:to>
        <xdr:sp macro="" textlink="">
          <xdr:nvSpPr>
            <xdr:cNvPr id="6182" name="Drop Down 38" hidden="1">
              <a:extLst>
                <a:ext uri="{63B3BB69-23CF-44E3-9099-C40C66FF867C}">
                  <a14:compatExt spid="_x0000_s6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1057275</xdr:colOff>
          <xdr:row>16</xdr:row>
          <xdr:rowOff>9525</xdr:rowOff>
        </xdr:to>
        <xdr:sp macro="" textlink="">
          <xdr:nvSpPr>
            <xdr:cNvPr id="6183" name="Drop Down 39" hidden="1">
              <a:extLst>
                <a:ext uri="{63B3BB69-23CF-44E3-9099-C40C66FF867C}">
                  <a14:compatExt spid="_x0000_s6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381000</xdr:rowOff>
        </xdr:from>
        <xdr:to>
          <xdr:col>8</xdr:col>
          <xdr:colOff>0</xdr:colOff>
          <xdr:row>13</xdr:row>
          <xdr:rowOff>0</xdr:rowOff>
        </xdr:to>
        <xdr:sp macro="" textlink="">
          <xdr:nvSpPr>
            <xdr:cNvPr id="6188" name="Drop Down 44" hidden="1">
              <a:extLst>
                <a:ext uri="{63B3BB69-23CF-44E3-9099-C40C66FF867C}">
                  <a14:compatExt spid="_x0000_s6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8</xdr:col>
          <xdr:colOff>0</xdr:colOff>
          <xdr:row>14</xdr:row>
          <xdr:rowOff>9525</xdr:rowOff>
        </xdr:to>
        <xdr:sp macro="" textlink="">
          <xdr:nvSpPr>
            <xdr:cNvPr id="6189" name="Drop Down 45" hidden="1">
              <a:extLst>
                <a:ext uri="{63B3BB69-23CF-44E3-9099-C40C66FF867C}">
                  <a14:compatExt spid="_x0000_s6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0</xdr:rowOff>
        </xdr:from>
        <xdr:to>
          <xdr:col>8</xdr:col>
          <xdr:colOff>0</xdr:colOff>
          <xdr:row>15</xdr:row>
          <xdr:rowOff>9525</xdr:rowOff>
        </xdr:to>
        <xdr:sp macro="" textlink="">
          <xdr:nvSpPr>
            <xdr:cNvPr id="6190" name="Drop Down 46" hidden="1">
              <a:extLst>
                <a:ext uri="{63B3BB69-23CF-44E3-9099-C40C66FF867C}">
                  <a14:compatExt spid="_x0000_s6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8</xdr:col>
          <xdr:colOff>9525</xdr:colOff>
          <xdr:row>16</xdr:row>
          <xdr:rowOff>9525</xdr:rowOff>
        </xdr:to>
        <xdr:sp macro="" textlink="">
          <xdr:nvSpPr>
            <xdr:cNvPr id="6191" name="Drop Down 47" hidden="1">
              <a:extLst>
                <a:ext uri="{63B3BB69-23CF-44E3-9099-C40C66FF867C}">
                  <a14:compatExt spid="_x0000_s6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9</xdr:col>
          <xdr:colOff>0</xdr:colOff>
          <xdr:row>13</xdr:row>
          <xdr:rowOff>9525</xdr:rowOff>
        </xdr:to>
        <xdr:sp macro="" textlink="">
          <xdr:nvSpPr>
            <xdr:cNvPr id="6192" name="Drop Down 48" hidden="1">
              <a:extLst>
                <a:ext uri="{63B3BB69-23CF-44E3-9099-C40C66FF867C}">
                  <a14:compatExt spid="_x0000_s6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9</xdr:col>
          <xdr:colOff>0</xdr:colOff>
          <xdr:row>14</xdr:row>
          <xdr:rowOff>9525</xdr:rowOff>
        </xdr:to>
        <xdr:sp macro="" textlink="">
          <xdr:nvSpPr>
            <xdr:cNvPr id="6193" name="Drop Down 49" hidden="1">
              <a:extLst>
                <a:ext uri="{63B3BB69-23CF-44E3-9099-C40C66FF867C}">
                  <a14:compatExt spid="_x0000_s6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0</xdr:colOff>
          <xdr:row>15</xdr:row>
          <xdr:rowOff>9525</xdr:rowOff>
        </xdr:to>
        <xdr:sp macro="" textlink="">
          <xdr:nvSpPr>
            <xdr:cNvPr id="6194" name="Drop Down 50" hidden="1">
              <a:extLst>
                <a:ext uri="{63B3BB69-23CF-44E3-9099-C40C66FF867C}">
                  <a14:compatExt spid="_x0000_s6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9525</xdr:rowOff>
        </xdr:to>
        <xdr:sp macro="" textlink="">
          <xdr:nvSpPr>
            <xdr:cNvPr id="6195" name="Drop Down 51" hidden="1">
              <a:extLst>
                <a:ext uri="{63B3BB69-23CF-44E3-9099-C40C66FF867C}">
                  <a14:compatExt spid="_x0000_s6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2</xdr:col>
          <xdr:colOff>0</xdr:colOff>
          <xdr:row>14</xdr:row>
          <xdr:rowOff>9525</xdr:rowOff>
        </xdr:to>
        <xdr:sp macro="" textlink="">
          <xdr:nvSpPr>
            <xdr:cNvPr id="6198" name="Drop Down 54" hidden="1">
              <a:extLst>
                <a:ext uri="{63B3BB69-23CF-44E3-9099-C40C66FF867C}">
                  <a14:compatExt spid="_x0000_s6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2</xdr:col>
          <xdr:colOff>0</xdr:colOff>
          <xdr:row>15</xdr:row>
          <xdr:rowOff>9525</xdr:rowOff>
        </xdr:to>
        <xdr:sp macro="" textlink="">
          <xdr:nvSpPr>
            <xdr:cNvPr id="6199" name="Drop Down 55" hidden="1">
              <a:extLst>
                <a:ext uri="{63B3BB69-23CF-44E3-9099-C40C66FF867C}">
                  <a14:compatExt spid="_x0000_s6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2</xdr:col>
          <xdr:colOff>0</xdr:colOff>
          <xdr:row>16</xdr:row>
          <xdr:rowOff>9525</xdr:rowOff>
        </xdr:to>
        <xdr:sp macro="" textlink="">
          <xdr:nvSpPr>
            <xdr:cNvPr id="6200" name="Drop Down 56" hidden="1">
              <a:extLst>
                <a:ext uri="{63B3BB69-23CF-44E3-9099-C40C66FF867C}">
                  <a14:compatExt spid="_x0000_s6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4</xdr:col>
          <xdr:colOff>1057275</xdr:colOff>
          <xdr:row>13</xdr:row>
          <xdr:rowOff>9525</xdr:rowOff>
        </xdr:to>
        <xdr:sp macro="" textlink="">
          <xdr:nvSpPr>
            <xdr:cNvPr id="6204" name="Drop Down 60" hidden="1">
              <a:extLst>
                <a:ext uri="{63B3BB69-23CF-44E3-9099-C40C66FF867C}">
                  <a14:compatExt spid="_x0000_s6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1057275</xdr:colOff>
          <xdr:row>14</xdr:row>
          <xdr:rowOff>9525</xdr:rowOff>
        </xdr:to>
        <xdr:sp macro="" textlink="">
          <xdr:nvSpPr>
            <xdr:cNvPr id="6210" name="Drop Down 66" hidden="1">
              <a:extLst>
                <a:ext uri="{63B3BB69-23CF-44E3-9099-C40C66FF867C}">
                  <a14:compatExt spid="_x0000_s6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1057275</xdr:colOff>
          <xdr:row>14</xdr:row>
          <xdr:rowOff>9525</xdr:rowOff>
        </xdr:to>
        <xdr:sp macro="" textlink="">
          <xdr:nvSpPr>
            <xdr:cNvPr id="6211" name="Drop Down 67" hidden="1">
              <a:extLst>
                <a:ext uri="{63B3BB69-23CF-44E3-9099-C40C66FF867C}">
                  <a14:compatExt spid="_x0000_s6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1057275</xdr:colOff>
          <xdr:row>15</xdr:row>
          <xdr:rowOff>9525</xdr:rowOff>
        </xdr:to>
        <xdr:sp macro="" textlink="">
          <xdr:nvSpPr>
            <xdr:cNvPr id="6212" name="Drop Down 68" hidden="1">
              <a:extLst>
                <a:ext uri="{63B3BB69-23CF-44E3-9099-C40C66FF867C}">
                  <a14:compatExt spid="_x0000_s6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1057275</xdr:colOff>
          <xdr:row>15</xdr:row>
          <xdr:rowOff>9525</xdr:rowOff>
        </xdr:to>
        <xdr:sp macro="" textlink="">
          <xdr:nvSpPr>
            <xdr:cNvPr id="6213" name="Drop Down 69" hidden="1">
              <a:extLst>
                <a:ext uri="{63B3BB69-23CF-44E3-9099-C40C66FF867C}">
                  <a14:compatExt spid="_x0000_s6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1057275</xdr:colOff>
          <xdr:row>16</xdr:row>
          <xdr:rowOff>9525</xdr:rowOff>
        </xdr:to>
        <xdr:sp macro="" textlink="">
          <xdr:nvSpPr>
            <xdr:cNvPr id="6214" name="Drop Down 70" hidden="1">
              <a:extLst>
                <a:ext uri="{63B3BB69-23CF-44E3-9099-C40C66FF867C}">
                  <a14:compatExt spid="_x0000_s6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1057275</xdr:colOff>
          <xdr:row>16</xdr:row>
          <xdr:rowOff>9525</xdr:rowOff>
        </xdr:to>
        <xdr:sp macro="" textlink="">
          <xdr:nvSpPr>
            <xdr:cNvPr id="6215" name="Drop Down 71" hidden="1">
              <a:extLst>
                <a:ext uri="{63B3BB69-23CF-44E3-9099-C40C66FF867C}">
                  <a14:compatExt spid="_x0000_s6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xdr:row>
          <xdr:rowOff>19050</xdr:rowOff>
        </xdr:from>
        <xdr:to>
          <xdr:col>13</xdr:col>
          <xdr:colOff>495300</xdr:colOff>
          <xdr:row>5</xdr:row>
          <xdr:rowOff>28575</xdr:rowOff>
        </xdr:to>
        <xdr:sp macro="" textlink="">
          <xdr:nvSpPr>
            <xdr:cNvPr id="6222" name="Drop Down 78" hidden="1">
              <a:extLst>
                <a:ext uri="{63B3BB69-23CF-44E3-9099-C40C66FF867C}">
                  <a14:compatExt spid="_x0000_s6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xdr:row>
          <xdr:rowOff>19050</xdr:rowOff>
        </xdr:from>
        <xdr:to>
          <xdr:col>13</xdr:col>
          <xdr:colOff>495300</xdr:colOff>
          <xdr:row>6</xdr:row>
          <xdr:rowOff>47625</xdr:rowOff>
        </xdr:to>
        <xdr:sp macro="" textlink="">
          <xdr:nvSpPr>
            <xdr:cNvPr id="6223" name="Drop Down 79" hidden="1">
              <a:extLst>
                <a:ext uri="{63B3BB69-23CF-44E3-9099-C40C66FF867C}">
                  <a14:compatExt spid="_x0000_s6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xdr:row>
          <xdr:rowOff>19050</xdr:rowOff>
        </xdr:from>
        <xdr:to>
          <xdr:col>13</xdr:col>
          <xdr:colOff>495300</xdr:colOff>
          <xdr:row>7</xdr:row>
          <xdr:rowOff>19050</xdr:rowOff>
        </xdr:to>
        <xdr:sp macro="" textlink="">
          <xdr:nvSpPr>
            <xdr:cNvPr id="6224" name="Drop Down 80" hidden="1">
              <a:extLst>
                <a:ext uri="{63B3BB69-23CF-44E3-9099-C40C66FF867C}">
                  <a14:compatExt spid="_x0000_s6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19050</xdr:rowOff>
        </xdr:from>
        <xdr:to>
          <xdr:col>13</xdr:col>
          <xdr:colOff>495300</xdr:colOff>
          <xdr:row>8</xdr:row>
          <xdr:rowOff>38100</xdr:rowOff>
        </xdr:to>
        <xdr:sp macro="" textlink="">
          <xdr:nvSpPr>
            <xdr:cNvPr id="6225" name="Drop Down 81" hidden="1">
              <a:extLst>
                <a:ext uri="{63B3BB69-23CF-44E3-9099-C40C66FF867C}">
                  <a14:compatExt spid="_x0000_s6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4</xdr:col>
          <xdr:colOff>1047750</xdr:colOff>
          <xdr:row>36</xdr:row>
          <xdr:rowOff>200025</xdr:rowOff>
        </xdr:to>
        <xdr:sp macro="" textlink="">
          <xdr:nvSpPr>
            <xdr:cNvPr id="6227" name="Drop Down 83" hidden="1">
              <a:extLst>
                <a:ext uri="{63B3BB69-23CF-44E3-9099-C40C66FF867C}">
                  <a14:compatExt spid="_x0000_s6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4</xdr:col>
          <xdr:colOff>1047750</xdr:colOff>
          <xdr:row>38</xdr:row>
          <xdr:rowOff>9525</xdr:rowOff>
        </xdr:to>
        <xdr:sp macro="" textlink="">
          <xdr:nvSpPr>
            <xdr:cNvPr id="6228" name="Drop Down 84" hidden="1">
              <a:extLst>
                <a:ext uri="{63B3BB69-23CF-44E3-9099-C40C66FF867C}">
                  <a14:compatExt spid="_x0000_s6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0</xdr:rowOff>
        </xdr:from>
        <xdr:to>
          <xdr:col>4</xdr:col>
          <xdr:colOff>1047750</xdr:colOff>
          <xdr:row>39</xdr:row>
          <xdr:rowOff>19050</xdr:rowOff>
        </xdr:to>
        <xdr:sp macro="" textlink="">
          <xdr:nvSpPr>
            <xdr:cNvPr id="6229" name="Drop Down 85" hidden="1">
              <a:extLst>
                <a:ext uri="{63B3BB69-23CF-44E3-9099-C40C66FF867C}">
                  <a14:compatExt spid="_x0000_s6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39</xdr:row>
          <xdr:rowOff>0</xdr:rowOff>
        </xdr:from>
        <xdr:to>
          <xdr:col>4</xdr:col>
          <xdr:colOff>1047750</xdr:colOff>
          <xdr:row>40</xdr:row>
          <xdr:rowOff>9525</xdr:rowOff>
        </xdr:to>
        <xdr:sp macro="" textlink="">
          <xdr:nvSpPr>
            <xdr:cNvPr id="6230" name="Drop Down 86" hidden="1">
              <a:extLst>
                <a:ext uri="{63B3BB69-23CF-44E3-9099-C40C66FF867C}">
                  <a14:compatExt spid="_x0000_s6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4</xdr:col>
          <xdr:colOff>9525</xdr:colOff>
          <xdr:row>38</xdr:row>
          <xdr:rowOff>9525</xdr:rowOff>
        </xdr:to>
        <xdr:sp macro="" textlink="">
          <xdr:nvSpPr>
            <xdr:cNvPr id="6231" name="Drop Down 87" hidden="1">
              <a:extLst>
                <a:ext uri="{63B3BB69-23CF-44E3-9099-C40C66FF867C}">
                  <a14:compatExt spid="_x0000_s6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9525</xdr:colOff>
          <xdr:row>39</xdr:row>
          <xdr:rowOff>9525</xdr:rowOff>
        </xdr:to>
        <xdr:sp macro="" textlink="">
          <xdr:nvSpPr>
            <xdr:cNvPr id="6232" name="Drop Down 88" hidden="1">
              <a:extLst>
                <a:ext uri="{63B3BB69-23CF-44E3-9099-C40C66FF867C}">
                  <a14:compatExt spid="_x0000_s6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4</xdr:col>
          <xdr:colOff>9525</xdr:colOff>
          <xdr:row>40</xdr:row>
          <xdr:rowOff>9525</xdr:rowOff>
        </xdr:to>
        <xdr:sp macro="" textlink="">
          <xdr:nvSpPr>
            <xdr:cNvPr id="6233" name="Drop Down 89" hidden="1">
              <a:extLst>
                <a:ext uri="{63B3BB69-23CF-44E3-9099-C40C66FF867C}">
                  <a14:compatExt spid="_x0000_s6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4</xdr:col>
          <xdr:colOff>9525</xdr:colOff>
          <xdr:row>36</xdr:row>
          <xdr:rowOff>200025</xdr:rowOff>
        </xdr:to>
        <xdr:sp macro="" textlink="">
          <xdr:nvSpPr>
            <xdr:cNvPr id="6235" name="Drop Down 91" hidden="1">
              <a:extLst>
                <a:ext uri="{63B3BB69-23CF-44E3-9099-C40C66FF867C}">
                  <a14:compatExt spid="_x0000_s6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13</xdr:col>
          <xdr:colOff>9525</xdr:colOff>
          <xdr:row>5</xdr:row>
          <xdr:rowOff>19050</xdr:rowOff>
        </xdr:to>
        <xdr:sp macro="" textlink="">
          <xdr:nvSpPr>
            <xdr:cNvPr id="6241" name="Drop Down 97" hidden="1">
              <a:extLst>
                <a:ext uri="{63B3BB69-23CF-44E3-9099-C40C66FF867C}">
                  <a14:compatExt spid="_x0000_s6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9525</xdr:colOff>
          <xdr:row>6</xdr:row>
          <xdr:rowOff>28575</xdr:rowOff>
        </xdr:to>
        <xdr:sp macro="" textlink="">
          <xdr:nvSpPr>
            <xdr:cNvPr id="6242" name="Drop Down 98" hidden="1">
              <a:extLst>
                <a:ext uri="{63B3BB69-23CF-44E3-9099-C40C66FF867C}">
                  <a14:compatExt spid="_x0000_s6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xdr:row>
          <xdr:rowOff>0</xdr:rowOff>
        </xdr:from>
        <xdr:to>
          <xdr:col>13</xdr:col>
          <xdr:colOff>9525</xdr:colOff>
          <xdr:row>7</xdr:row>
          <xdr:rowOff>0</xdr:rowOff>
        </xdr:to>
        <xdr:sp macro="" textlink="">
          <xdr:nvSpPr>
            <xdr:cNvPr id="6243" name="Drop Down 99" hidden="1">
              <a:extLst>
                <a:ext uri="{63B3BB69-23CF-44E3-9099-C40C66FF867C}">
                  <a14:compatExt spid="_x0000_s6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13</xdr:col>
          <xdr:colOff>9525</xdr:colOff>
          <xdr:row>8</xdr:row>
          <xdr:rowOff>19050</xdr:rowOff>
        </xdr:to>
        <xdr:sp macro="" textlink="">
          <xdr:nvSpPr>
            <xdr:cNvPr id="6244" name="Drop Down 100" hidden="1">
              <a:extLst>
                <a:ext uri="{63B3BB69-23CF-44E3-9099-C40C66FF867C}">
                  <a14:compatExt spid="_x0000_s6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600075</xdr:colOff>
          <xdr:row>13</xdr:row>
          <xdr:rowOff>19050</xdr:rowOff>
        </xdr:to>
        <xdr:sp macro="" textlink="">
          <xdr:nvSpPr>
            <xdr:cNvPr id="6246" name="Drop Down 102" hidden="1">
              <a:extLst>
                <a:ext uri="{63B3BB69-23CF-44E3-9099-C40C66FF867C}">
                  <a14:compatExt spid="_x0000_s6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600075</xdr:colOff>
          <xdr:row>14</xdr:row>
          <xdr:rowOff>19050</xdr:rowOff>
        </xdr:to>
        <xdr:sp macro="" textlink="">
          <xdr:nvSpPr>
            <xdr:cNvPr id="6247" name="Drop Down 103" hidden="1">
              <a:extLst>
                <a:ext uri="{63B3BB69-23CF-44E3-9099-C40C66FF867C}">
                  <a14:compatExt spid="_x0000_s6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600075</xdr:colOff>
          <xdr:row>15</xdr:row>
          <xdr:rowOff>19050</xdr:rowOff>
        </xdr:to>
        <xdr:sp macro="" textlink="">
          <xdr:nvSpPr>
            <xdr:cNvPr id="6248" name="Drop Down 104" hidden="1">
              <a:extLst>
                <a:ext uri="{63B3BB69-23CF-44E3-9099-C40C66FF867C}">
                  <a14:compatExt spid="_x0000_s6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600075</xdr:colOff>
          <xdr:row>16</xdr:row>
          <xdr:rowOff>19050</xdr:rowOff>
        </xdr:to>
        <xdr:sp macro="" textlink="">
          <xdr:nvSpPr>
            <xdr:cNvPr id="6249" name="Drop Down 105" hidden="1">
              <a:extLst>
                <a:ext uri="{63B3BB69-23CF-44E3-9099-C40C66FF867C}">
                  <a14:compatExt spid="_x0000_s6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4</xdr:col>
          <xdr:colOff>1028700</xdr:colOff>
          <xdr:row>22</xdr:row>
          <xdr:rowOff>200025</xdr:rowOff>
        </xdr:to>
        <xdr:sp macro="" textlink="">
          <xdr:nvSpPr>
            <xdr:cNvPr id="6251" name="Drop Down 107" hidden="1">
              <a:extLst>
                <a:ext uri="{63B3BB69-23CF-44E3-9099-C40C66FF867C}">
                  <a14:compatExt spid="_x0000_s6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19050</xdr:rowOff>
        </xdr:from>
        <xdr:to>
          <xdr:col>3</xdr:col>
          <xdr:colOff>733425</xdr:colOff>
          <xdr:row>24</xdr:row>
          <xdr:rowOff>9525</xdr:rowOff>
        </xdr:to>
        <xdr:sp macro="" textlink="">
          <xdr:nvSpPr>
            <xdr:cNvPr id="6252" name="Drop Down 108" hidden="1">
              <a:extLst>
                <a:ext uri="{63B3BB69-23CF-44E3-9099-C40C66FF867C}">
                  <a14:compatExt spid="_x0000_s6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19050</xdr:rowOff>
        </xdr:from>
        <xdr:to>
          <xdr:col>3</xdr:col>
          <xdr:colOff>733425</xdr:colOff>
          <xdr:row>25</xdr:row>
          <xdr:rowOff>28575</xdr:rowOff>
        </xdr:to>
        <xdr:sp macro="" textlink="">
          <xdr:nvSpPr>
            <xdr:cNvPr id="6253" name="Drop Down 109" hidden="1">
              <a:extLst>
                <a:ext uri="{63B3BB69-23CF-44E3-9099-C40C66FF867C}">
                  <a14:compatExt spid="_x0000_s6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28575</xdr:rowOff>
        </xdr:from>
        <xdr:to>
          <xdr:col>3</xdr:col>
          <xdr:colOff>723900</xdr:colOff>
          <xdr:row>26</xdr:row>
          <xdr:rowOff>9525</xdr:rowOff>
        </xdr:to>
        <xdr:sp macro="" textlink="">
          <xdr:nvSpPr>
            <xdr:cNvPr id="6254" name="Drop Down 110" hidden="1">
              <a:extLst>
                <a:ext uri="{63B3BB69-23CF-44E3-9099-C40C66FF867C}">
                  <a14:compatExt spid="_x0000_s6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4</xdr:col>
          <xdr:colOff>1028700</xdr:colOff>
          <xdr:row>23</xdr:row>
          <xdr:rowOff>200025</xdr:rowOff>
        </xdr:to>
        <xdr:sp macro="" textlink="">
          <xdr:nvSpPr>
            <xdr:cNvPr id="6255" name="Drop Down 111" hidden="1">
              <a:extLst>
                <a:ext uri="{63B3BB69-23CF-44E3-9099-C40C66FF867C}">
                  <a14:compatExt spid="_x0000_s6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0</xdr:rowOff>
        </xdr:from>
        <xdr:to>
          <xdr:col>4</xdr:col>
          <xdr:colOff>1028700</xdr:colOff>
          <xdr:row>24</xdr:row>
          <xdr:rowOff>200025</xdr:rowOff>
        </xdr:to>
        <xdr:sp macro="" textlink="">
          <xdr:nvSpPr>
            <xdr:cNvPr id="6256" name="Drop Down 112" hidden="1">
              <a:extLst>
                <a:ext uri="{63B3BB69-23CF-44E3-9099-C40C66FF867C}">
                  <a14:compatExt spid="_x0000_s6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4</xdr:col>
          <xdr:colOff>1028700</xdr:colOff>
          <xdr:row>25</xdr:row>
          <xdr:rowOff>200025</xdr:rowOff>
        </xdr:to>
        <xdr:sp macro="" textlink="">
          <xdr:nvSpPr>
            <xdr:cNvPr id="6257" name="Drop Down 113" hidden="1">
              <a:extLst>
                <a:ext uri="{63B3BB69-23CF-44E3-9099-C40C66FF867C}">
                  <a14:compatExt spid="_x0000_s6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3</xdr:col>
          <xdr:colOff>723900</xdr:colOff>
          <xdr:row>23</xdr:row>
          <xdr:rowOff>9525</xdr:rowOff>
        </xdr:to>
        <xdr:sp macro="" textlink="">
          <xdr:nvSpPr>
            <xdr:cNvPr id="6259" name="Drop Down 115" hidden="1">
              <a:extLst>
                <a:ext uri="{63B3BB69-23CF-44E3-9099-C40C66FF867C}">
                  <a14:compatExt spid="_x0000_s6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29</xdr:row>
          <xdr:rowOff>0</xdr:rowOff>
        </xdr:from>
        <xdr:to>
          <xdr:col>4</xdr:col>
          <xdr:colOff>1028700</xdr:colOff>
          <xdr:row>29</xdr:row>
          <xdr:rowOff>200025</xdr:rowOff>
        </xdr:to>
        <xdr:sp macro="" textlink="">
          <xdr:nvSpPr>
            <xdr:cNvPr id="6260" name="Drop Down 116" hidden="1">
              <a:extLst>
                <a:ext uri="{63B3BB69-23CF-44E3-9099-C40C66FF867C}">
                  <a14:compatExt spid="_x0000_s6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30</xdr:row>
          <xdr:rowOff>0</xdr:rowOff>
        </xdr:from>
        <xdr:to>
          <xdr:col>4</xdr:col>
          <xdr:colOff>1028700</xdr:colOff>
          <xdr:row>30</xdr:row>
          <xdr:rowOff>200025</xdr:rowOff>
        </xdr:to>
        <xdr:sp macro="" textlink="">
          <xdr:nvSpPr>
            <xdr:cNvPr id="6261" name="Drop Down 117" hidden="1">
              <a:extLst>
                <a:ext uri="{63B3BB69-23CF-44E3-9099-C40C66FF867C}">
                  <a14:compatExt spid="_x0000_s6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31</xdr:row>
          <xdr:rowOff>0</xdr:rowOff>
        </xdr:from>
        <xdr:to>
          <xdr:col>4</xdr:col>
          <xdr:colOff>1028700</xdr:colOff>
          <xdr:row>31</xdr:row>
          <xdr:rowOff>200025</xdr:rowOff>
        </xdr:to>
        <xdr:sp macro="" textlink="">
          <xdr:nvSpPr>
            <xdr:cNvPr id="6262" name="Drop Down 118" hidden="1">
              <a:extLst>
                <a:ext uri="{63B3BB69-23CF-44E3-9099-C40C66FF867C}">
                  <a14:compatExt spid="_x0000_s6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32</xdr:row>
          <xdr:rowOff>0</xdr:rowOff>
        </xdr:from>
        <xdr:to>
          <xdr:col>4</xdr:col>
          <xdr:colOff>1028700</xdr:colOff>
          <xdr:row>32</xdr:row>
          <xdr:rowOff>200025</xdr:rowOff>
        </xdr:to>
        <xdr:sp macro="" textlink="">
          <xdr:nvSpPr>
            <xdr:cNvPr id="6263" name="Drop Down 119" hidden="1">
              <a:extLst>
                <a:ext uri="{63B3BB69-23CF-44E3-9099-C40C66FF867C}">
                  <a14:compatExt spid="_x0000_s6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9525</xdr:rowOff>
        </xdr:from>
        <xdr:to>
          <xdr:col>3</xdr:col>
          <xdr:colOff>723900</xdr:colOff>
          <xdr:row>30</xdr:row>
          <xdr:rowOff>9525</xdr:rowOff>
        </xdr:to>
        <xdr:sp macro="" textlink="">
          <xdr:nvSpPr>
            <xdr:cNvPr id="6264" name="Drop Down 120" hidden="1">
              <a:extLst>
                <a:ext uri="{63B3BB69-23CF-44E3-9099-C40C66FF867C}">
                  <a14:compatExt spid="_x0000_s6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3</xdr:col>
          <xdr:colOff>723900</xdr:colOff>
          <xdr:row>31</xdr:row>
          <xdr:rowOff>19050</xdr:rowOff>
        </xdr:to>
        <xdr:sp macro="" textlink="">
          <xdr:nvSpPr>
            <xdr:cNvPr id="6265" name="Drop Down 121" hidden="1">
              <a:extLst>
                <a:ext uri="{63B3BB69-23CF-44E3-9099-C40C66FF867C}">
                  <a14:compatExt spid="_x0000_s6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3</xdr:col>
          <xdr:colOff>723900</xdr:colOff>
          <xdr:row>32</xdr:row>
          <xdr:rowOff>9525</xdr:rowOff>
        </xdr:to>
        <xdr:sp macro="" textlink="">
          <xdr:nvSpPr>
            <xdr:cNvPr id="6266" name="Drop Down 122" hidden="1">
              <a:extLst>
                <a:ext uri="{63B3BB69-23CF-44E3-9099-C40C66FF867C}">
                  <a14:compatExt spid="_x0000_s6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9525</xdr:rowOff>
        </xdr:from>
        <xdr:to>
          <xdr:col>3</xdr:col>
          <xdr:colOff>723900</xdr:colOff>
          <xdr:row>33</xdr:row>
          <xdr:rowOff>9525</xdr:rowOff>
        </xdr:to>
        <xdr:sp macro="" textlink="">
          <xdr:nvSpPr>
            <xdr:cNvPr id="6267" name="Drop Down 123" hidden="1">
              <a:extLst>
                <a:ext uri="{63B3BB69-23CF-44E3-9099-C40C66FF867C}">
                  <a14:compatExt spid="_x0000_s626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1076325</xdr:colOff>
          <xdr:row>3</xdr:row>
          <xdr:rowOff>9525</xdr:rowOff>
        </xdr:to>
        <xdr:sp macro="" textlink="">
          <xdr:nvSpPr>
            <xdr:cNvPr id="28673" name="Drop Down 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19050</xdr:rowOff>
        </xdr:from>
        <xdr:to>
          <xdr:col>3</xdr:col>
          <xdr:colOff>1076325</xdr:colOff>
          <xdr:row>4</xdr:row>
          <xdr:rowOff>28575</xdr:rowOff>
        </xdr:to>
        <xdr:sp macro="" textlink="">
          <xdr:nvSpPr>
            <xdr:cNvPr id="28713" name="Drop Down 41" hidden="1">
              <a:extLst>
                <a:ext uri="{63B3BB69-23CF-44E3-9099-C40C66FF867C}">
                  <a14:compatExt spid="_x0000_s28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xdr:row>
          <xdr:rowOff>19050</xdr:rowOff>
        </xdr:from>
        <xdr:to>
          <xdr:col>3</xdr:col>
          <xdr:colOff>1076325</xdr:colOff>
          <xdr:row>5</xdr:row>
          <xdr:rowOff>28575</xdr:rowOff>
        </xdr:to>
        <xdr:sp macro="" textlink="">
          <xdr:nvSpPr>
            <xdr:cNvPr id="28714" name="Drop Down 42" hidden="1">
              <a:extLst>
                <a:ext uri="{63B3BB69-23CF-44E3-9099-C40C66FF867C}">
                  <a14:compatExt spid="_x0000_s28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1666875</xdr:colOff>
          <xdr:row>5</xdr:row>
          <xdr:rowOff>9525</xdr:rowOff>
        </xdr:from>
        <xdr:to>
          <xdr:col>3</xdr:col>
          <xdr:colOff>1066800</xdr:colOff>
          <xdr:row>6</xdr:row>
          <xdr:rowOff>19050</xdr:rowOff>
        </xdr:to>
        <xdr:sp macro="" textlink="">
          <xdr:nvSpPr>
            <xdr:cNvPr id="28715" name="Drop Down 43" hidden="1">
              <a:extLst>
                <a:ext uri="{63B3BB69-23CF-44E3-9099-C40C66FF867C}">
                  <a14:compatExt spid="_x0000_s28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xdr:row>
          <xdr:rowOff>9525</xdr:rowOff>
        </xdr:from>
        <xdr:to>
          <xdr:col>9</xdr:col>
          <xdr:colOff>0</xdr:colOff>
          <xdr:row>3</xdr:row>
          <xdr:rowOff>19050</xdr:rowOff>
        </xdr:to>
        <xdr:sp macro="" textlink="">
          <xdr:nvSpPr>
            <xdr:cNvPr id="28727" name="Drop Down 55" hidden="1">
              <a:extLst>
                <a:ext uri="{63B3BB69-23CF-44E3-9099-C40C66FF867C}">
                  <a14:compatExt spid="_x0000_s28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xdr:row>
          <xdr:rowOff>9525</xdr:rowOff>
        </xdr:from>
        <xdr:to>
          <xdr:col>7</xdr:col>
          <xdr:colOff>952500</xdr:colOff>
          <xdr:row>3</xdr:row>
          <xdr:rowOff>19050</xdr:rowOff>
        </xdr:to>
        <xdr:sp macro="" textlink="">
          <xdr:nvSpPr>
            <xdr:cNvPr id="28728" name="Drop Down 56" hidden="1">
              <a:extLst>
                <a:ext uri="{63B3BB69-23CF-44E3-9099-C40C66FF867C}">
                  <a14:compatExt spid="_x0000_s28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9525</xdr:rowOff>
        </xdr:from>
        <xdr:to>
          <xdr:col>2</xdr:col>
          <xdr:colOff>9525</xdr:colOff>
          <xdr:row>3</xdr:row>
          <xdr:rowOff>19050</xdr:rowOff>
        </xdr:to>
        <xdr:sp macro="" textlink="">
          <xdr:nvSpPr>
            <xdr:cNvPr id="28733" name="Drop Down 61" hidden="1">
              <a:extLst>
                <a:ext uri="{63B3BB69-23CF-44E3-9099-C40C66FF867C}">
                  <a14:compatExt spid="_x0000_s28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2</xdr:col>
          <xdr:colOff>9525</xdr:colOff>
          <xdr:row>4</xdr:row>
          <xdr:rowOff>19050</xdr:rowOff>
        </xdr:to>
        <xdr:sp macro="" textlink="">
          <xdr:nvSpPr>
            <xdr:cNvPr id="28734" name="Drop Down 62" hidden="1">
              <a:extLst>
                <a:ext uri="{63B3BB69-23CF-44E3-9099-C40C66FF867C}">
                  <a14:compatExt spid="_x0000_s28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2</xdr:col>
          <xdr:colOff>9525</xdr:colOff>
          <xdr:row>5</xdr:row>
          <xdr:rowOff>19050</xdr:rowOff>
        </xdr:to>
        <xdr:sp macro="" textlink="">
          <xdr:nvSpPr>
            <xdr:cNvPr id="28735" name="Drop Down 63" hidden="1">
              <a:extLst>
                <a:ext uri="{63B3BB69-23CF-44E3-9099-C40C66FF867C}">
                  <a14:compatExt spid="_x0000_s28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2</xdr:col>
          <xdr:colOff>9525</xdr:colOff>
          <xdr:row>6</xdr:row>
          <xdr:rowOff>19050</xdr:rowOff>
        </xdr:to>
        <xdr:sp macro="" textlink="">
          <xdr:nvSpPr>
            <xdr:cNvPr id="28736" name="Drop Down 64" hidden="1">
              <a:extLst>
                <a:ext uri="{63B3BB69-23CF-44E3-9099-C40C66FF867C}">
                  <a14:compatExt spid="_x0000_s28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2</xdr:col>
          <xdr:colOff>9525</xdr:colOff>
          <xdr:row>7</xdr:row>
          <xdr:rowOff>19050</xdr:rowOff>
        </xdr:to>
        <xdr:sp macro="" textlink="">
          <xdr:nvSpPr>
            <xdr:cNvPr id="28737" name="Drop Down 65" hidden="1">
              <a:extLst>
                <a:ext uri="{63B3BB69-23CF-44E3-9099-C40C66FF867C}">
                  <a14:compatExt spid="_x0000_s28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2</xdr:col>
          <xdr:colOff>9525</xdr:colOff>
          <xdr:row>8</xdr:row>
          <xdr:rowOff>19050</xdr:rowOff>
        </xdr:to>
        <xdr:sp macro="" textlink="">
          <xdr:nvSpPr>
            <xdr:cNvPr id="28738" name="Drop Down 66" hidden="1">
              <a:extLst>
                <a:ext uri="{63B3BB69-23CF-44E3-9099-C40C66FF867C}">
                  <a14:compatExt spid="_x0000_s28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2</xdr:col>
          <xdr:colOff>9525</xdr:colOff>
          <xdr:row>9</xdr:row>
          <xdr:rowOff>19050</xdr:rowOff>
        </xdr:to>
        <xdr:sp macro="" textlink="">
          <xdr:nvSpPr>
            <xdr:cNvPr id="28739" name="Drop Down 67" hidden="1">
              <a:extLst>
                <a:ext uri="{63B3BB69-23CF-44E3-9099-C40C66FF867C}">
                  <a14:compatExt spid="_x0000_s28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2</xdr:col>
          <xdr:colOff>9525</xdr:colOff>
          <xdr:row>10</xdr:row>
          <xdr:rowOff>19050</xdr:rowOff>
        </xdr:to>
        <xdr:sp macro="" textlink="">
          <xdr:nvSpPr>
            <xdr:cNvPr id="28740" name="Drop Down 68" hidden="1">
              <a:extLst>
                <a:ext uri="{63B3BB69-23CF-44E3-9099-C40C66FF867C}">
                  <a14:compatExt spid="_x0000_s28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2</xdr:col>
          <xdr:colOff>9525</xdr:colOff>
          <xdr:row>11</xdr:row>
          <xdr:rowOff>19050</xdr:rowOff>
        </xdr:to>
        <xdr:sp macro="" textlink="">
          <xdr:nvSpPr>
            <xdr:cNvPr id="28741" name="Drop Down 69" hidden="1">
              <a:extLst>
                <a:ext uri="{63B3BB69-23CF-44E3-9099-C40C66FF867C}">
                  <a14:compatExt spid="_x0000_s28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2</xdr:col>
          <xdr:colOff>9525</xdr:colOff>
          <xdr:row>12</xdr:row>
          <xdr:rowOff>19050</xdr:rowOff>
        </xdr:to>
        <xdr:sp macro="" textlink="">
          <xdr:nvSpPr>
            <xdr:cNvPr id="28742" name="Drop Down 70" hidden="1">
              <a:extLst>
                <a:ext uri="{63B3BB69-23CF-44E3-9099-C40C66FF867C}">
                  <a14:compatExt spid="_x0000_s28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xdr:col>
          <xdr:colOff>9525</xdr:colOff>
          <xdr:row>13</xdr:row>
          <xdr:rowOff>19050</xdr:rowOff>
        </xdr:to>
        <xdr:sp macro="" textlink="">
          <xdr:nvSpPr>
            <xdr:cNvPr id="28743" name="Drop Down 71" hidden="1">
              <a:extLst>
                <a:ext uri="{63B3BB69-23CF-44E3-9099-C40C66FF867C}">
                  <a14:compatExt spid="_x0000_s28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2</xdr:col>
          <xdr:colOff>9525</xdr:colOff>
          <xdr:row>14</xdr:row>
          <xdr:rowOff>19050</xdr:rowOff>
        </xdr:to>
        <xdr:sp macro="" textlink="">
          <xdr:nvSpPr>
            <xdr:cNvPr id="28744" name="Drop Down 72" hidden="1">
              <a:extLst>
                <a:ext uri="{63B3BB69-23CF-44E3-9099-C40C66FF867C}">
                  <a14:compatExt spid="_x0000_s28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9525</xdr:rowOff>
        </xdr:from>
        <xdr:to>
          <xdr:col>3</xdr:col>
          <xdr:colOff>1076325</xdr:colOff>
          <xdr:row>7</xdr:row>
          <xdr:rowOff>19050</xdr:rowOff>
        </xdr:to>
        <xdr:sp macro="" textlink="">
          <xdr:nvSpPr>
            <xdr:cNvPr id="28745" name="Drop Down 73" hidden="1">
              <a:extLst>
                <a:ext uri="{63B3BB69-23CF-44E3-9099-C40C66FF867C}">
                  <a14:compatExt spid="_x0000_s28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9525</xdr:rowOff>
        </xdr:from>
        <xdr:to>
          <xdr:col>3</xdr:col>
          <xdr:colOff>1076325</xdr:colOff>
          <xdr:row>8</xdr:row>
          <xdr:rowOff>19050</xdr:rowOff>
        </xdr:to>
        <xdr:sp macro="" textlink="">
          <xdr:nvSpPr>
            <xdr:cNvPr id="28746" name="Drop Down 74" hidden="1">
              <a:extLst>
                <a:ext uri="{63B3BB69-23CF-44E3-9099-C40C66FF867C}">
                  <a14:compatExt spid="_x0000_s28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9525</xdr:rowOff>
        </xdr:from>
        <xdr:to>
          <xdr:col>3</xdr:col>
          <xdr:colOff>1076325</xdr:colOff>
          <xdr:row>9</xdr:row>
          <xdr:rowOff>19050</xdr:rowOff>
        </xdr:to>
        <xdr:sp macro="" textlink="">
          <xdr:nvSpPr>
            <xdr:cNvPr id="28747" name="Drop Down 75" hidden="1">
              <a:extLst>
                <a:ext uri="{63B3BB69-23CF-44E3-9099-C40C66FF867C}">
                  <a14:compatExt spid="_x0000_s28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9525</xdr:rowOff>
        </xdr:from>
        <xdr:to>
          <xdr:col>3</xdr:col>
          <xdr:colOff>1076325</xdr:colOff>
          <xdr:row>10</xdr:row>
          <xdr:rowOff>19050</xdr:rowOff>
        </xdr:to>
        <xdr:sp macro="" textlink="">
          <xdr:nvSpPr>
            <xdr:cNvPr id="28748" name="Drop Down 76" hidden="1">
              <a:extLst>
                <a:ext uri="{63B3BB69-23CF-44E3-9099-C40C66FF867C}">
                  <a14:compatExt spid="_x0000_s28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9525</xdr:rowOff>
        </xdr:from>
        <xdr:to>
          <xdr:col>3</xdr:col>
          <xdr:colOff>1076325</xdr:colOff>
          <xdr:row>11</xdr:row>
          <xdr:rowOff>19050</xdr:rowOff>
        </xdr:to>
        <xdr:sp macro="" textlink="">
          <xdr:nvSpPr>
            <xdr:cNvPr id="28749" name="Drop Down 77" hidden="1">
              <a:extLst>
                <a:ext uri="{63B3BB69-23CF-44E3-9099-C40C66FF867C}">
                  <a14:compatExt spid="_x0000_s28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9525</xdr:rowOff>
        </xdr:from>
        <xdr:to>
          <xdr:col>3</xdr:col>
          <xdr:colOff>1076325</xdr:colOff>
          <xdr:row>12</xdr:row>
          <xdr:rowOff>19050</xdr:rowOff>
        </xdr:to>
        <xdr:sp macro="" textlink="">
          <xdr:nvSpPr>
            <xdr:cNvPr id="28750" name="Drop Down 78" hidden="1">
              <a:extLst>
                <a:ext uri="{63B3BB69-23CF-44E3-9099-C40C66FF867C}">
                  <a14:compatExt spid="_x0000_s28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1076325</xdr:colOff>
          <xdr:row>13</xdr:row>
          <xdr:rowOff>19050</xdr:rowOff>
        </xdr:to>
        <xdr:sp macro="" textlink="">
          <xdr:nvSpPr>
            <xdr:cNvPr id="28751" name="Drop Down 79" hidden="1">
              <a:extLst>
                <a:ext uri="{63B3BB69-23CF-44E3-9099-C40C66FF867C}">
                  <a14:compatExt spid="_x0000_s28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9525</xdr:rowOff>
        </xdr:from>
        <xdr:to>
          <xdr:col>3</xdr:col>
          <xdr:colOff>1076325</xdr:colOff>
          <xdr:row>14</xdr:row>
          <xdr:rowOff>19050</xdr:rowOff>
        </xdr:to>
        <xdr:sp macro="" textlink="">
          <xdr:nvSpPr>
            <xdr:cNvPr id="28752" name="Drop Down 80" hidden="1">
              <a:extLst>
                <a:ext uri="{63B3BB69-23CF-44E3-9099-C40C66FF867C}">
                  <a14:compatExt spid="_x0000_s28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9525</xdr:rowOff>
        </xdr:from>
        <xdr:to>
          <xdr:col>7</xdr:col>
          <xdr:colOff>952500</xdr:colOff>
          <xdr:row>4</xdr:row>
          <xdr:rowOff>19050</xdr:rowOff>
        </xdr:to>
        <xdr:sp macro="" textlink="">
          <xdr:nvSpPr>
            <xdr:cNvPr id="28753" name="Drop Down 81" hidden="1">
              <a:extLst>
                <a:ext uri="{63B3BB69-23CF-44E3-9099-C40C66FF867C}">
                  <a14:compatExt spid="_x0000_s28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9525</xdr:rowOff>
        </xdr:from>
        <xdr:to>
          <xdr:col>7</xdr:col>
          <xdr:colOff>952500</xdr:colOff>
          <xdr:row>5</xdr:row>
          <xdr:rowOff>19050</xdr:rowOff>
        </xdr:to>
        <xdr:sp macro="" textlink="">
          <xdr:nvSpPr>
            <xdr:cNvPr id="28754" name="Drop Down 82" hidden="1">
              <a:extLst>
                <a:ext uri="{63B3BB69-23CF-44E3-9099-C40C66FF867C}">
                  <a14:compatExt spid="_x0000_s28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9525</xdr:rowOff>
        </xdr:from>
        <xdr:to>
          <xdr:col>7</xdr:col>
          <xdr:colOff>952500</xdr:colOff>
          <xdr:row>6</xdr:row>
          <xdr:rowOff>19050</xdr:rowOff>
        </xdr:to>
        <xdr:sp macro="" textlink="">
          <xdr:nvSpPr>
            <xdr:cNvPr id="28755" name="Drop Down 83" hidden="1">
              <a:extLst>
                <a:ext uri="{63B3BB69-23CF-44E3-9099-C40C66FF867C}">
                  <a14:compatExt spid="_x0000_s28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9525</xdr:rowOff>
        </xdr:from>
        <xdr:to>
          <xdr:col>7</xdr:col>
          <xdr:colOff>952500</xdr:colOff>
          <xdr:row>7</xdr:row>
          <xdr:rowOff>19050</xdr:rowOff>
        </xdr:to>
        <xdr:sp macro="" textlink="">
          <xdr:nvSpPr>
            <xdr:cNvPr id="28756" name="Drop Down 84" hidden="1">
              <a:extLst>
                <a:ext uri="{63B3BB69-23CF-44E3-9099-C40C66FF867C}">
                  <a14:compatExt spid="_x0000_s28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9525</xdr:rowOff>
        </xdr:from>
        <xdr:to>
          <xdr:col>7</xdr:col>
          <xdr:colOff>952500</xdr:colOff>
          <xdr:row>8</xdr:row>
          <xdr:rowOff>19050</xdr:rowOff>
        </xdr:to>
        <xdr:sp macro="" textlink="">
          <xdr:nvSpPr>
            <xdr:cNvPr id="28757" name="Drop Down 85" hidden="1">
              <a:extLst>
                <a:ext uri="{63B3BB69-23CF-44E3-9099-C40C66FF867C}">
                  <a14:compatExt spid="_x0000_s28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9525</xdr:rowOff>
        </xdr:from>
        <xdr:to>
          <xdr:col>7</xdr:col>
          <xdr:colOff>952500</xdr:colOff>
          <xdr:row>9</xdr:row>
          <xdr:rowOff>19050</xdr:rowOff>
        </xdr:to>
        <xdr:sp macro="" textlink="">
          <xdr:nvSpPr>
            <xdr:cNvPr id="28758" name="Drop Down 86" hidden="1">
              <a:extLst>
                <a:ext uri="{63B3BB69-23CF-44E3-9099-C40C66FF867C}">
                  <a14:compatExt spid="_x0000_s28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9525</xdr:rowOff>
        </xdr:from>
        <xdr:to>
          <xdr:col>7</xdr:col>
          <xdr:colOff>952500</xdr:colOff>
          <xdr:row>10</xdr:row>
          <xdr:rowOff>19050</xdr:rowOff>
        </xdr:to>
        <xdr:sp macro="" textlink="">
          <xdr:nvSpPr>
            <xdr:cNvPr id="28759" name="Drop Down 87" hidden="1">
              <a:extLst>
                <a:ext uri="{63B3BB69-23CF-44E3-9099-C40C66FF867C}">
                  <a14:compatExt spid="_x0000_s28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9525</xdr:rowOff>
        </xdr:from>
        <xdr:to>
          <xdr:col>7</xdr:col>
          <xdr:colOff>952500</xdr:colOff>
          <xdr:row>11</xdr:row>
          <xdr:rowOff>19050</xdr:rowOff>
        </xdr:to>
        <xdr:sp macro="" textlink="">
          <xdr:nvSpPr>
            <xdr:cNvPr id="28760" name="Drop Down 88" hidden="1">
              <a:extLst>
                <a:ext uri="{63B3BB69-23CF-44E3-9099-C40C66FF867C}">
                  <a14:compatExt spid="_x0000_s28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9525</xdr:rowOff>
        </xdr:from>
        <xdr:to>
          <xdr:col>7</xdr:col>
          <xdr:colOff>952500</xdr:colOff>
          <xdr:row>12</xdr:row>
          <xdr:rowOff>19050</xdr:rowOff>
        </xdr:to>
        <xdr:sp macro="" textlink="">
          <xdr:nvSpPr>
            <xdr:cNvPr id="28761" name="Drop Down 89" hidden="1">
              <a:extLst>
                <a:ext uri="{63B3BB69-23CF-44E3-9099-C40C66FF867C}">
                  <a14:compatExt spid="_x0000_s28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xdr:row>
          <xdr:rowOff>9525</xdr:rowOff>
        </xdr:from>
        <xdr:to>
          <xdr:col>7</xdr:col>
          <xdr:colOff>952500</xdr:colOff>
          <xdr:row>13</xdr:row>
          <xdr:rowOff>19050</xdr:rowOff>
        </xdr:to>
        <xdr:sp macro="" textlink="">
          <xdr:nvSpPr>
            <xdr:cNvPr id="28762" name="Drop Down 90" hidden="1">
              <a:extLst>
                <a:ext uri="{63B3BB69-23CF-44E3-9099-C40C66FF867C}">
                  <a14:compatExt spid="_x0000_s28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9525</xdr:rowOff>
        </xdr:from>
        <xdr:to>
          <xdr:col>7</xdr:col>
          <xdr:colOff>952500</xdr:colOff>
          <xdr:row>14</xdr:row>
          <xdr:rowOff>19050</xdr:rowOff>
        </xdr:to>
        <xdr:sp macro="" textlink="">
          <xdr:nvSpPr>
            <xdr:cNvPr id="28763" name="Drop Down 91" hidden="1">
              <a:extLst>
                <a:ext uri="{63B3BB69-23CF-44E3-9099-C40C66FF867C}">
                  <a14:compatExt spid="_x0000_s28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9525</xdr:rowOff>
        </xdr:from>
        <xdr:to>
          <xdr:col>9</xdr:col>
          <xdr:colOff>0</xdr:colOff>
          <xdr:row>4</xdr:row>
          <xdr:rowOff>19050</xdr:rowOff>
        </xdr:to>
        <xdr:sp macro="" textlink="">
          <xdr:nvSpPr>
            <xdr:cNvPr id="28764" name="Drop Down 92" hidden="1">
              <a:extLst>
                <a:ext uri="{63B3BB69-23CF-44E3-9099-C40C66FF867C}">
                  <a14:compatExt spid="_x0000_s28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xdr:row>
          <xdr:rowOff>9525</xdr:rowOff>
        </xdr:from>
        <xdr:to>
          <xdr:col>9</xdr:col>
          <xdr:colOff>0</xdr:colOff>
          <xdr:row>5</xdr:row>
          <xdr:rowOff>19050</xdr:rowOff>
        </xdr:to>
        <xdr:sp macro="" textlink="">
          <xdr:nvSpPr>
            <xdr:cNvPr id="28765" name="Drop Down 93" hidden="1">
              <a:extLst>
                <a:ext uri="{63B3BB69-23CF-44E3-9099-C40C66FF867C}">
                  <a14:compatExt spid="_x0000_s28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xdr:row>
          <xdr:rowOff>9525</xdr:rowOff>
        </xdr:from>
        <xdr:to>
          <xdr:col>9</xdr:col>
          <xdr:colOff>0</xdr:colOff>
          <xdr:row>6</xdr:row>
          <xdr:rowOff>19050</xdr:rowOff>
        </xdr:to>
        <xdr:sp macro="" textlink="">
          <xdr:nvSpPr>
            <xdr:cNvPr id="28766" name="Drop Down 94" hidden="1">
              <a:extLst>
                <a:ext uri="{63B3BB69-23CF-44E3-9099-C40C66FF867C}">
                  <a14:compatExt spid="_x0000_s28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xdr:row>
          <xdr:rowOff>9525</xdr:rowOff>
        </xdr:from>
        <xdr:to>
          <xdr:col>9</xdr:col>
          <xdr:colOff>0</xdr:colOff>
          <xdr:row>7</xdr:row>
          <xdr:rowOff>19050</xdr:rowOff>
        </xdr:to>
        <xdr:sp macro="" textlink="">
          <xdr:nvSpPr>
            <xdr:cNvPr id="28767" name="Drop Down 95" hidden="1">
              <a:extLst>
                <a:ext uri="{63B3BB69-23CF-44E3-9099-C40C66FF867C}">
                  <a14:compatExt spid="_x0000_s28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9525</xdr:rowOff>
        </xdr:from>
        <xdr:to>
          <xdr:col>9</xdr:col>
          <xdr:colOff>0</xdr:colOff>
          <xdr:row>8</xdr:row>
          <xdr:rowOff>19050</xdr:rowOff>
        </xdr:to>
        <xdr:sp macro="" textlink="">
          <xdr:nvSpPr>
            <xdr:cNvPr id="28768" name="Drop Down 96" hidden="1">
              <a:extLst>
                <a:ext uri="{63B3BB69-23CF-44E3-9099-C40C66FF867C}">
                  <a14:compatExt spid="_x0000_s28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9525</xdr:rowOff>
        </xdr:from>
        <xdr:to>
          <xdr:col>9</xdr:col>
          <xdr:colOff>0</xdr:colOff>
          <xdr:row>9</xdr:row>
          <xdr:rowOff>19050</xdr:rowOff>
        </xdr:to>
        <xdr:sp macro="" textlink="">
          <xdr:nvSpPr>
            <xdr:cNvPr id="28769" name="Drop Down 97" hidden="1">
              <a:extLst>
                <a:ext uri="{63B3BB69-23CF-44E3-9099-C40C66FF867C}">
                  <a14:compatExt spid="_x0000_s28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9525</xdr:rowOff>
        </xdr:from>
        <xdr:to>
          <xdr:col>9</xdr:col>
          <xdr:colOff>0</xdr:colOff>
          <xdr:row>10</xdr:row>
          <xdr:rowOff>19050</xdr:rowOff>
        </xdr:to>
        <xdr:sp macro="" textlink="">
          <xdr:nvSpPr>
            <xdr:cNvPr id="28770" name="Drop Down 98" hidden="1">
              <a:extLst>
                <a:ext uri="{63B3BB69-23CF-44E3-9099-C40C66FF867C}">
                  <a14:compatExt spid="_x0000_s28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9525</xdr:rowOff>
        </xdr:from>
        <xdr:to>
          <xdr:col>9</xdr:col>
          <xdr:colOff>0</xdr:colOff>
          <xdr:row>11</xdr:row>
          <xdr:rowOff>19050</xdr:rowOff>
        </xdr:to>
        <xdr:sp macro="" textlink="">
          <xdr:nvSpPr>
            <xdr:cNvPr id="28771" name="Drop Down 99" hidden="1">
              <a:extLst>
                <a:ext uri="{63B3BB69-23CF-44E3-9099-C40C66FF867C}">
                  <a14:compatExt spid="_x0000_s28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9525</xdr:rowOff>
        </xdr:from>
        <xdr:to>
          <xdr:col>9</xdr:col>
          <xdr:colOff>0</xdr:colOff>
          <xdr:row>12</xdr:row>
          <xdr:rowOff>19050</xdr:rowOff>
        </xdr:to>
        <xdr:sp macro="" textlink="">
          <xdr:nvSpPr>
            <xdr:cNvPr id="28772" name="Drop Down 100" hidden="1">
              <a:extLst>
                <a:ext uri="{63B3BB69-23CF-44E3-9099-C40C66FF867C}">
                  <a14:compatExt spid="_x0000_s28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9525</xdr:rowOff>
        </xdr:from>
        <xdr:to>
          <xdr:col>9</xdr:col>
          <xdr:colOff>0</xdr:colOff>
          <xdr:row>13</xdr:row>
          <xdr:rowOff>19050</xdr:rowOff>
        </xdr:to>
        <xdr:sp macro="" textlink="">
          <xdr:nvSpPr>
            <xdr:cNvPr id="28773" name="Drop Down 101" hidden="1">
              <a:extLst>
                <a:ext uri="{63B3BB69-23CF-44E3-9099-C40C66FF867C}">
                  <a14:compatExt spid="_x0000_s28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9525</xdr:rowOff>
        </xdr:from>
        <xdr:to>
          <xdr:col>9</xdr:col>
          <xdr:colOff>0</xdr:colOff>
          <xdr:row>14</xdr:row>
          <xdr:rowOff>19050</xdr:rowOff>
        </xdr:to>
        <xdr:sp macro="" textlink="">
          <xdr:nvSpPr>
            <xdr:cNvPr id="28774" name="Drop Down 102" hidden="1">
              <a:extLst>
                <a:ext uri="{63B3BB69-23CF-44E3-9099-C40C66FF867C}">
                  <a14:compatExt spid="_x0000_s28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9525</xdr:rowOff>
        </xdr:from>
        <xdr:to>
          <xdr:col>3</xdr:col>
          <xdr:colOff>9525</xdr:colOff>
          <xdr:row>3</xdr:row>
          <xdr:rowOff>19050</xdr:rowOff>
        </xdr:to>
        <xdr:sp macro="" textlink="">
          <xdr:nvSpPr>
            <xdr:cNvPr id="28777" name="Drop Down 105" hidden="1">
              <a:extLst>
                <a:ext uri="{63B3BB69-23CF-44E3-9099-C40C66FF867C}">
                  <a14:compatExt spid="_x0000_s28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9525</xdr:rowOff>
        </xdr:from>
        <xdr:to>
          <xdr:col>3</xdr:col>
          <xdr:colOff>9525</xdr:colOff>
          <xdr:row>4</xdr:row>
          <xdr:rowOff>19050</xdr:rowOff>
        </xdr:to>
        <xdr:sp macro="" textlink="">
          <xdr:nvSpPr>
            <xdr:cNvPr id="28778" name="Drop Down 106" hidden="1">
              <a:extLst>
                <a:ext uri="{63B3BB69-23CF-44E3-9099-C40C66FF867C}">
                  <a14:compatExt spid="_x0000_s28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9525</xdr:rowOff>
        </xdr:from>
        <xdr:to>
          <xdr:col>3</xdr:col>
          <xdr:colOff>9525</xdr:colOff>
          <xdr:row>5</xdr:row>
          <xdr:rowOff>19050</xdr:rowOff>
        </xdr:to>
        <xdr:sp macro="" textlink="">
          <xdr:nvSpPr>
            <xdr:cNvPr id="28779" name="Drop Down 107" hidden="1">
              <a:extLst>
                <a:ext uri="{63B3BB69-23CF-44E3-9099-C40C66FF867C}">
                  <a14:compatExt spid="_x0000_s28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9525</xdr:rowOff>
        </xdr:from>
        <xdr:to>
          <xdr:col>3</xdr:col>
          <xdr:colOff>9525</xdr:colOff>
          <xdr:row>6</xdr:row>
          <xdr:rowOff>19050</xdr:rowOff>
        </xdr:to>
        <xdr:sp macro="" textlink="">
          <xdr:nvSpPr>
            <xdr:cNvPr id="28780" name="Drop Down 108" hidden="1">
              <a:extLst>
                <a:ext uri="{63B3BB69-23CF-44E3-9099-C40C66FF867C}">
                  <a14:compatExt spid="_x0000_s28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9525</xdr:rowOff>
        </xdr:from>
        <xdr:to>
          <xdr:col>3</xdr:col>
          <xdr:colOff>9525</xdr:colOff>
          <xdr:row>7</xdr:row>
          <xdr:rowOff>19050</xdr:rowOff>
        </xdr:to>
        <xdr:sp macro="" textlink="">
          <xdr:nvSpPr>
            <xdr:cNvPr id="28781" name="Drop Down 109" hidden="1">
              <a:extLst>
                <a:ext uri="{63B3BB69-23CF-44E3-9099-C40C66FF867C}">
                  <a14:compatExt spid="_x0000_s28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9525</xdr:rowOff>
        </xdr:from>
        <xdr:to>
          <xdr:col>3</xdr:col>
          <xdr:colOff>9525</xdr:colOff>
          <xdr:row>8</xdr:row>
          <xdr:rowOff>19050</xdr:rowOff>
        </xdr:to>
        <xdr:sp macro="" textlink="">
          <xdr:nvSpPr>
            <xdr:cNvPr id="28782" name="Drop Down 110" hidden="1">
              <a:extLst>
                <a:ext uri="{63B3BB69-23CF-44E3-9099-C40C66FF867C}">
                  <a14:compatExt spid="_x0000_s28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9525</xdr:rowOff>
        </xdr:from>
        <xdr:to>
          <xdr:col>3</xdr:col>
          <xdr:colOff>9525</xdr:colOff>
          <xdr:row>9</xdr:row>
          <xdr:rowOff>19050</xdr:rowOff>
        </xdr:to>
        <xdr:sp macro="" textlink="">
          <xdr:nvSpPr>
            <xdr:cNvPr id="28783" name="Drop Down 111" hidden="1">
              <a:extLst>
                <a:ext uri="{63B3BB69-23CF-44E3-9099-C40C66FF867C}">
                  <a14:compatExt spid="_x0000_s28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9525</xdr:rowOff>
        </xdr:from>
        <xdr:to>
          <xdr:col>3</xdr:col>
          <xdr:colOff>9525</xdr:colOff>
          <xdr:row>10</xdr:row>
          <xdr:rowOff>19050</xdr:rowOff>
        </xdr:to>
        <xdr:sp macro="" textlink="">
          <xdr:nvSpPr>
            <xdr:cNvPr id="28784" name="Drop Down 112" hidden="1">
              <a:extLst>
                <a:ext uri="{63B3BB69-23CF-44E3-9099-C40C66FF867C}">
                  <a14:compatExt spid="_x0000_s28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9525</xdr:rowOff>
        </xdr:from>
        <xdr:to>
          <xdr:col>3</xdr:col>
          <xdr:colOff>9525</xdr:colOff>
          <xdr:row>11</xdr:row>
          <xdr:rowOff>19050</xdr:rowOff>
        </xdr:to>
        <xdr:sp macro="" textlink="">
          <xdr:nvSpPr>
            <xdr:cNvPr id="28785" name="Drop Down 113" hidden="1">
              <a:extLst>
                <a:ext uri="{63B3BB69-23CF-44E3-9099-C40C66FF867C}">
                  <a14:compatExt spid="_x0000_s28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9525</xdr:rowOff>
        </xdr:from>
        <xdr:to>
          <xdr:col>3</xdr:col>
          <xdr:colOff>9525</xdr:colOff>
          <xdr:row>12</xdr:row>
          <xdr:rowOff>19050</xdr:rowOff>
        </xdr:to>
        <xdr:sp macro="" textlink="">
          <xdr:nvSpPr>
            <xdr:cNvPr id="28786" name="Drop Down 114" hidden="1">
              <a:extLst>
                <a:ext uri="{63B3BB69-23CF-44E3-9099-C40C66FF867C}">
                  <a14:compatExt spid="_x0000_s28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9525</xdr:rowOff>
        </xdr:from>
        <xdr:to>
          <xdr:col>3</xdr:col>
          <xdr:colOff>9525</xdr:colOff>
          <xdr:row>13</xdr:row>
          <xdr:rowOff>19050</xdr:rowOff>
        </xdr:to>
        <xdr:sp macro="" textlink="">
          <xdr:nvSpPr>
            <xdr:cNvPr id="28787" name="Drop Down 115" hidden="1">
              <a:extLst>
                <a:ext uri="{63B3BB69-23CF-44E3-9099-C40C66FF867C}">
                  <a14:compatExt spid="_x0000_s28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9525</xdr:rowOff>
        </xdr:from>
        <xdr:to>
          <xdr:col>3</xdr:col>
          <xdr:colOff>9525</xdr:colOff>
          <xdr:row>14</xdr:row>
          <xdr:rowOff>19050</xdr:rowOff>
        </xdr:to>
        <xdr:sp macro="" textlink="">
          <xdr:nvSpPr>
            <xdr:cNvPr id="28788" name="Drop Down 116" hidden="1">
              <a:extLst>
                <a:ext uri="{63B3BB69-23CF-44E3-9099-C40C66FF867C}">
                  <a14:compatExt spid="_x0000_s28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3</xdr:col>
          <xdr:colOff>1076325</xdr:colOff>
          <xdr:row>18</xdr:row>
          <xdr:rowOff>9525</xdr:rowOff>
        </xdr:to>
        <xdr:sp macro="" textlink="">
          <xdr:nvSpPr>
            <xdr:cNvPr id="28789" name="Drop Down 117" hidden="1">
              <a:extLst>
                <a:ext uri="{63B3BB69-23CF-44E3-9099-C40C66FF867C}">
                  <a14:compatExt spid="_x0000_s28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19050</xdr:rowOff>
        </xdr:from>
        <xdr:to>
          <xdr:col>3</xdr:col>
          <xdr:colOff>1076325</xdr:colOff>
          <xdr:row>19</xdr:row>
          <xdr:rowOff>28575</xdr:rowOff>
        </xdr:to>
        <xdr:sp macro="" textlink="">
          <xdr:nvSpPr>
            <xdr:cNvPr id="28790" name="Drop Down 118" hidden="1">
              <a:extLst>
                <a:ext uri="{63B3BB69-23CF-44E3-9099-C40C66FF867C}">
                  <a14:compatExt spid="_x0000_s2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19050</xdr:rowOff>
        </xdr:from>
        <xdr:to>
          <xdr:col>3</xdr:col>
          <xdr:colOff>1076325</xdr:colOff>
          <xdr:row>20</xdr:row>
          <xdr:rowOff>28575</xdr:rowOff>
        </xdr:to>
        <xdr:sp macro="" textlink="">
          <xdr:nvSpPr>
            <xdr:cNvPr id="28791" name="Drop Down 119" hidden="1">
              <a:extLst>
                <a:ext uri="{63B3BB69-23CF-44E3-9099-C40C66FF867C}">
                  <a14:compatExt spid="_x0000_s28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1666875</xdr:colOff>
          <xdr:row>20</xdr:row>
          <xdr:rowOff>9525</xdr:rowOff>
        </xdr:from>
        <xdr:to>
          <xdr:col>3</xdr:col>
          <xdr:colOff>1066800</xdr:colOff>
          <xdr:row>21</xdr:row>
          <xdr:rowOff>19050</xdr:rowOff>
        </xdr:to>
        <xdr:sp macro="" textlink="">
          <xdr:nvSpPr>
            <xdr:cNvPr id="28792" name="Drop Down 120" hidden="1">
              <a:extLst>
                <a:ext uri="{63B3BB69-23CF-44E3-9099-C40C66FF867C}">
                  <a14:compatExt spid="_x0000_s28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9525</xdr:rowOff>
        </xdr:from>
        <xdr:to>
          <xdr:col>9</xdr:col>
          <xdr:colOff>0</xdr:colOff>
          <xdr:row>18</xdr:row>
          <xdr:rowOff>19050</xdr:rowOff>
        </xdr:to>
        <xdr:sp macro="" textlink="">
          <xdr:nvSpPr>
            <xdr:cNvPr id="28793" name="Drop Down 121" hidden="1">
              <a:extLst>
                <a:ext uri="{63B3BB69-23CF-44E3-9099-C40C66FF867C}">
                  <a14:compatExt spid="_x0000_s28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xdr:row>
          <xdr:rowOff>9525</xdr:rowOff>
        </xdr:from>
        <xdr:to>
          <xdr:col>7</xdr:col>
          <xdr:colOff>952500</xdr:colOff>
          <xdr:row>18</xdr:row>
          <xdr:rowOff>19050</xdr:rowOff>
        </xdr:to>
        <xdr:sp macro="" textlink="">
          <xdr:nvSpPr>
            <xdr:cNvPr id="28794" name="Drop Down 122" hidden="1">
              <a:extLst>
                <a:ext uri="{63B3BB69-23CF-44E3-9099-C40C66FF867C}">
                  <a14:compatExt spid="_x0000_s28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xdr:col>
          <xdr:colOff>9525</xdr:colOff>
          <xdr:row>18</xdr:row>
          <xdr:rowOff>19050</xdr:rowOff>
        </xdr:to>
        <xdr:sp macro="" textlink="">
          <xdr:nvSpPr>
            <xdr:cNvPr id="28795" name="Drop Down 123" hidden="1">
              <a:extLst>
                <a:ext uri="{63B3BB69-23CF-44E3-9099-C40C66FF867C}">
                  <a14:compatExt spid="_x0000_s28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xdr:col>
          <xdr:colOff>9525</xdr:colOff>
          <xdr:row>19</xdr:row>
          <xdr:rowOff>19050</xdr:rowOff>
        </xdr:to>
        <xdr:sp macro="" textlink="">
          <xdr:nvSpPr>
            <xdr:cNvPr id="28796" name="Drop Down 124" hidden="1">
              <a:extLst>
                <a:ext uri="{63B3BB69-23CF-44E3-9099-C40C66FF867C}">
                  <a14:compatExt spid="_x0000_s28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xdr:col>
          <xdr:colOff>9525</xdr:colOff>
          <xdr:row>20</xdr:row>
          <xdr:rowOff>19050</xdr:rowOff>
        </xdr:to>
        <xdr:sp macro="" textlink="">
          <xdr:nvSpPr>
            <xdr:cNvPr id="28797" name="Drop Down 125" hidden="1">
              <a:extLst>
                <a:ext uri="{63B3BB69-23CF-44E3-9099-C40C66FF867C}">
                  <a14:compatExt spid="_x0000_s28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xdr:col>
          <xdr:colOff>9525</xdr:colOff>
          <xdr:row>21</xdr:row>
          <xdr:rowOff>19050</xdr:rowOff>
        </xdr:to>
        <xdr:sp macro="" textlink="">
          <xdr:nvSpPr>
            <xdr:cNvPr id="28798" name="Drop Down 126" hidden="1">
              <a:extLst>
                <a:ext uri="{63B3BB69-23CF-44E3-9099-C40C66FF867C}">
                  <a14:compatExt spid="_x0000_s28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xdr:col>
          <xdr:colOff>9525</xdr:colOff>
          <xdr:row>22</xdr:row>
          <xdr:rowOff>19050</xdr:rowOff>
        </xdr:to>
        <xdr:sp macro="" textlink="">
          <xdr:nvSpPr>
            <xdr:cNvPr id="28799" name="Drop Down 127" hidden="1">
              <a:extLst>
                <a:ext uri="{63B3BB69-23CF-44E3-9099-C40C66FF867C}">
                  <a14:compatExt spid="_x0000_s28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2</xdr:col>
          <xdr:colOff>9525</xdr:colOff>
          <xdr:row>23</xdr:row>
          <xdr:rowOff>19050</xdr:rowOff>
        </xdr:to>
        <xdr:sp macro="" textlink="">
          <xdr:nvSpPr>
            <xdr:cNvPr id="28800" name="Drop Down 128" hidden="1">
              <a:extLst>
                <a:ext uri="{63B3BB69-23CF-44E3-9099-C40C66FF867C}">
                  <a14:compatExt spid="_x0000_s28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9525</xdr:rowOff>
        </xdr:from>
        <xdr:to>
          <xdr:col>2</xdr:col>
          <xdr:colOff>9525</xdr:colOff>
          <xdr:row>24</xdr:row>
          <xdr:rowOff>19050</xdr:rowOff>
        </xdr:to>
        <xdr:sp macro="" textlink="">
          <xdr:nvSpPr>
            <xdr:cNvPr id="28801" name="Drop Down 129" hidden="1">
              <a:extLst>
                <a:ext uri="{63B3BB69-23CF-44E3-9099-C40C66FF867C}">
                  <a14:compatExt spid="_x0000_s28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9525</xdr:rowOff>
        </xdr:from>
        <xdr:to>
          <xdr:col>2</xdr:col>
          <xdr:colOff>9525</xdr:colOff>
          <xdr:row>25</xdr:row>
          <xdr:rowOff>19050</xdr:rowOff>
        </xdr:to>
        <xdr:sp macro="" textlink="">
          <xdr:nvSpPr>
            <xdr:cNvPr id="28802" name="Drop Down 130" hidden="1">
              <a:extLst>
                <a:ext uri="{63B3BB69-23CF-44E3-9099-C40C66FF867C}">
                  <a14:compatExt spid="_x0000_s28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2</xdr:col>
          <xdr:colOff>9525</xdr:colOff>
          <xdr:row>26</xdr:row>
          <xdr:rowOff>19050</xdr:rowOff>
        </xdr:to>
        <xdr:sp macro="" textlink="">
          <xdr:nvSpPr>
            <xdr:cNvPr id="28803" name="Drop Down 131" hidden="1">
              <a:extLst>
                <a:ext uri="{63B3BB69-23CF-44E3-9099-C40C66FF867C}">
                  <a14:compatExt spid="_x0000_s28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2</xdr:col>
          <xdr:colOff>9525</xdr:colOff>
          <xdr:row>27</xdr:row>
          <xdr:rowOff>19050</xdr:rowOff>
        </xdr:to>
        <xdr:sp macro="" textlink="">
          <xdr:nvSpPr>
            <xdr:cNvPr id="28804" name="Drop Down 132" hidden="1">
              <a:extLst>
                <a:ext uri="{63B3BB69-23CF-44E3-9099-C40C66FF867C}">
                  <a14:compatExt spid="_x0000_s28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9525</xdr:rowOff>
        </xdr:from>
        <xdr:to>
          <xdr:col>2</xdr:col>
          <xdr:colOff>9525</xdr:colOff>
          <xdr:row>28</xdr:row>
          <xdr:rowOff>19050</xdr:rowOff>
        </xdr:to>
        <xdr:sp macro="" textlink="">
          <xdr:nvSpPr>
            <xdr:cNvPr id="28805" name="Drop Down 133" hidden="1">
              <a:extLst>
                <a:ext uri="{63B3BB69-23CF-44E3-9099-C40C66FF867C}">
                  <a14:compatExt spid="_x0000_s28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9525</xdr:rowOff>
        </xdr:from>
        <xdr:to>
          <xdr:col>2</xdr:col>
          <xdr:colOff>9525</xdr:colOff>
          <xdr:row>29</xdr:row>
          <xdr:rowOff>19050</xdr:rowOff>
        </xdr:to>
        <xdr:sp macro="" textlink="">
          <xdr:nvSpPr>
            <xdr:cNvPr id="28806" name="Drop Down 134" hidden="1">
              <a:extLst>
                <a:ext uri="{63B3BB69-23CF-44E3-9099-C40C66FF867C}">
                  <a14:compatExt spid="_x0000_s28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9525</xdr:rowOff>
        </xdr:from>
        <xdr:to>
          <xdr:col>3</xdr:col>
          <xdr:colOff>1076325</xdr:colOff>
          <xdr:row>22</xdr:row>
          <xdr:rowOff>19050</xdr:rowOff>
        </xdr:to>
        <xdr:sp macro="" textlink="">
          <xdr:nvSpPr>
            <xdr:cNvPr id="28807" name="Drop Down 135" hidden="1">
              <a:extLst>
                <a:ext uri="{63B3BB69-23CF-44E3-9099-C40C66FF867C}">
                  <a14:compatExt spid="_x0000_s28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9525</xdr:rowOff>
        </xdr:from>
        <xdr:to>
          <xdr:col>3</xdr:col>
          <xdr:colOff>1076325</xdr:colOff>
          <xdr:row>23</xdr:row>
          <xdr:rowOff>19050</xdr:rowOff>
        </xdr:to>
        <xdr:sp macro="" textlink="">
          <xdr:nvSpPr>
            <xdr:cNvPr id="28808" name="Drop Down 136" hidden="1">
              <a:extLst>
                <a:ext uri="{63B3BB69-23CF-44E3-9099-C40C66FF867C}">
                  <a14:compatExt spid="_x0000_s28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9525</xdr:rowOff>
        </xdr:from>
        <xdr:to>
          <xdr:col>3</xdr:col>
          <xdr:colOff>1076325</xdr:colOff>
          <xdr:row>24</xdr:row>
          <xdr:rowOff>19050</xdr:rowOff>
        </xdr:to>
        <xdr:sp macro="" textlink="">
          <xdr:nvSpPr>
            <xdr:cNvPr id="28809" name="Drop Down 137" hidden="1">
              <a:extLst>
                <a:ext uri="{63B3BB69-23CF-44E3-9099-C40C66FF867C}">
                  <a14:compatExt spid="_x0000_s28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9525</xdr:rowOff>
        </xdr:from>
        <xdr:to>
          <xdr:col>3</xdr:col>
          <xdr:colOff>1076325</xdr:colOff>
          <xdr:row>25</xdr:row>
          <xdr:rowOff>19050</xdr:rowOff>
        </xdr:to>
        <xdr:sp macro="" textlink="">
          <xdr:nvSpPr>
            <xdr:cNvPr id="28810" name="Drop Down 138" hidden="1">
              <a:extLst>
                <a:ext uri="{63B3BB69-23CF-44E3-9099-C40C66FF867C}">
                  <a14:compatExt spid="_x0000_s28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9525</xdr:rowOff>
        </xdr:from>
        <xdr:to>
          <xdr:col>3</xdr:col>
          <xdr:colOff>1076325</xdr:colOff>
          <xdr:row>26</xdr:row>
          <xdr:rowOff>19050</xdr:rowOff>
        </xdr:to>
        <xdr:sp macro="" textlink="">
          <xdr:nvSpPr>
            <xdr:cNvPr id="28811" name="Drop Down 139" hidden="1">
              <a:extLst>
                <a:ext uri="{63B3BB69-23CF-44E3-9099-C40C66FF867C}">
                  <a14:compatExt spid="_x0000_s28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9525</xdr:rowOff>
        </xdr:from>
        <xdr:to>
          <xdr:col>3</xdr:col>
          <xdr:colOff>1076325</xdr:colOff>
          <xdr:row>27</xdr:row>
          <xdr:rowOff>19050</xdr:rowOff>
        </xdr:to>
        <xdr:sp macro="" textlink="">
          <xdr:nvSpPr>
            <xdr:cNvPr id="28812" name="Drop Down 140" hidden="1">
              <a:extLst>
                <a:ext uri="{63B3BB69-23CF-44E3-9099-C40C66FF867C}">
                  <a14:compatExt spid="_x0000_s28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9525</xdr:rowOff>
        </xdr:from>
        <xdr:to>
          <xdr:col>3</xdr:col>
          <xdr:colOff>1076325</xdr:colOff>
          <xdr:row>28</xdr:row>
          <xdr:rowOff>19050</xdr:rowOff>
        </xdr:to>
        <xdr:sp macro="" textlink="">
          <xdr:nvSpPr>
            <xdr:cNvPr id="28813" name="Drop Down 141" hidden="1">
              <a:extLst>
                <a:ext uri="{63B3BB69-23CF-44E3-9099-C40C66FF867C}">
                  <a14:compatExt spid="_x0000_s28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9525</xdr:rowOff>
        </xdr:from>
        <xdr:to>
          <xdr:col>3</xdr:col>
          <xdr:colOff>1076325</xdr:colOff>
          <xdr:row>29</xdr:row>
          <xdr:rowOff>19050</xdr:rowOff>
        </xdr:to>
        <xdr:sp macro="" textlink="">
          <xdr:nvSpPr>
            <xdr:cNvPr id="28814" name="Drop Down 142" hidden="1">
              <a:extLst>
                <a:ext uri="{63B3BB69-23CF-44E3-9099-C40C66FF867C}">
                  <a14:compatExt spid="_x0000_s28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9525</xdr:rowOff>
        </xdr:from>
        <xdr:to>
          <xdr:col>7</xdr:col>
          <xdr:colOff>952500</xdr:colOff>
          <xdr:row>19</xdr:row>
          <xdr:rowOff>19050</xdr:rowOff>
        </xdr:to>
        <xdr:sp macro="" textlink="">
          <xdr:nvSpPr>
            <xdr:cNvPr id="28815" name="Drop Down 143" hidden="1">
              <a:extLst>
                <a:ext uri="{63B3BB69-23CF-44E3-9099-C40C66FF867C}">
                  <a14:compatExt spid="_x0000_s28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9525</xdr:rowOff>
        </xdr:from>
        <xdr:to>
          <xdr:col>7</xdr:col>
          <xdr:colOff>952500</xdr:colOff>
          <xdr:row>20</xdr:row>
          <xdr:rowOff>19050</xdr:rowOff>
        </xdr:to>
        <xdr:sp macro="" textlink="">
          <xdr:nvSpPr>
            <xdr:cNvPr id="28816" name="Drop Down 144" hidden="1">
              <a:extLst>
                <a:ext uri="{63B3BB69-23CF-44E3-9099-C40C66FF867C}">
                  <a14:compatExt spid="_x0000_s28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9525</xdr:rowOff>
        </xdr:from>
        <xdr:to>
          <xdr:col>7</xdr:col>
          <xdr:colOff>952500</xdr:colOff>
          <xdr:row>21</xdr:row>
          <xdr:rowOff>19050</xdr:rowOff>
        </xdr:to>
        <xdr:sp macro="" textlink="">
          <xdr:nvSpPr>
            <xdr:cNvPr id="28817" name="Drop Down 145" hidden="1">
              <a:extLst>
                <a:ext uri="{63B3BB69-23CF-44E3-9099-C40C66FF867C}">
                  <a14:compatExt spid="_x0000_s28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9525</xdr:rowOff>
        </xdr:from>
        <xdr:to>
          <xdr:col>7</xdr:col>
          <xdr:colOff>952500</xdr:colOff>
          <xdr:row>22</xdr:row>
          <xdr:rowOff>19050</xdr:rowOff>
        </xdr:to>
        <xdr:sp macro="" textlink="">
          <xdr:nvSpPr>
            <xdr:cNvPr id="28818" name="Drop Down 146" hidden="1">
              <a:extLst>
                <a:ext uri="{63B3BB69-23CF-44E3-9099-C40C66FF867C}">
                  <a14:compatExt spid="_x0000_s28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xdr:row>
          <xdr:rowOff>9525</xdr:rowOff>
        </xdr:from>
        <xdr:to>
          <xdr:col>7</xdr:col>
          <xdr:colOff>952500</xdr:colOff>
          <xdr:row>23</xdr:row>
          <xdr:rowOff>19050</xdr:rowOff>
        </xdr:to>
        <xdr:sp macro="" textlink="">
          <xdr:nvSpPr>
            <xdr:cNvPr id="28819" name="Drop Down 147" hidden="1">
              <a:extLst>
                <a:ext uri="{63B3BB69-23CF-44E3-9099-C40C66FF867C}">
                  <a14:compatExt spid="_x0000_s28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9525</xdr:rowOff>
        </xdr:from>
        <xdr:to>
          <xdr:col>7</xdr:col>
          <xdr:colOff>952500</xdr:colOff>
          <xdr:row>24</xdr:row>
          <xdr:rowOff>19050</xdr:rowOff>
        </xdr:to>
        <xdr:sp macro="" textlink="">
          <xdr:nvSpPr>
            <xdr:cNvPr id="28820" name="Drop Down 148" hidden="1">
              <a:extLst>
                <a:ext uri="{63B3BB69-23CF-44E3-9099-C40C66FF867C}">
                  <a14:compatExt spid="_x0000_s28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9525</xdr:rowOff>
        </xdr:from>
        <xdr:to>
          <xdr:col>7</xdr:col>
          <xdr:colOff>952500</xdr:colOff>
          <xdr:row>25</xdr:row>
          <xdr:rowOff>19050</xdr:rowOff>
        </xdr:to>
        <xdr:sp macro="" textlink="">
          <xdr:nvSpPr>
            <xdr:cNvPr id="28821" name="Drop Down 149" hidden="1">
              <a:extLst>
                <a:ext uri="{63B3BB69-23CF-44E3-9099-C40C66FF867C}">
                  <a14:compatExt spid="_x0000_s28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xdr:row>
          <xdr:rowOff>9525</xdr:rowOff>
        </xdr:from>
        <xdr:to>
          <xdr:col>7</xdr:col>
          <xdr:colOff>952500</xdr:colOff>
          <xdr:row>26</xdr:row>
          <xdr:rowOff>19050</xdr:rowOff>
        </xdr:to>
        <xdr:sp macro="" textlink="">
          <xdr:nvSpPr>
            <xdr:cNvPr id="28822" name="Drop Down 150" hidden="1">
              <a:extLst>
                <a:ext uri="{63B3BB69-23CF-44E3-9099-C40C66FF867C}">
                  <a14:compatExt spid="_x0000_s28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xdr:row>
          <xdr:rowOff>9525</xdr:rowOff>
        </xdr:from>
        <xdr:to>
          <xdr:col>7</xdr:col>
          <xdr:colOff>952500</xdr:colOff>
          <xdr:row>27</xdr:row>
          <xdr:rowOff>19050</xdr:rowOff>
        </xdr:to>
        <xdr:sp macro="" textlink="">
          <xdr:nvSpPr>
            <xdr:cNvPr id="28823" name="Drop Down 151" hidden="1">
              <a:extLst>
                <a:ext uri="{63B3BB69-23CF-44E3-9099-C40C66FF867C}">
                  <a14:compatExt spid="_x0000_s28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xdr:row>
          <xdr:rowOff>9525</xdr:rowOff>
        </xdr:from>
        <xdr:to>
          <xdr:col>7</xdr:col>
          <xdr:colOff>952500</xdr:colOff>
          <xdr:row>28</xdr:row>
          <xdr:rowOff>19050</xdr:rowOff>
        </xdr:to>
        <xdr:sp macro="" textlink="">
          <xdr:nvSpPr>
            <xdr:cNvPr id="28824" name="Drop Down 152" hidden="1">
              <a:extLst>
                <a:ext uri="{63B3BB69-23CF-44E3-9099-C40C66FF867C}">
                  <a14:compatExt spid="_x0000_s28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xdr:row>
          <xdr:rowOff>9525</xdr:rowOff>
        </xdr:from>
        <xdr:to>
          <xdr:col>7</xdr:col>
          <xdr:colOff>952500</xdr:colOff>
          <xdr:row>29</xdr:row>
          <xdr:rowOff>19050</xdr:rowOff>
        </xdr:to>
        <xdr:sp macro="" textlink="">
          <xdr:nvSpPr>
            <xdr:cNvPr id="28825" name="Drop Down 153" hidden="1">
              <a:extLst>
                <a:ext uri="{63B3BB69-23CF-44E3-9099-C40C66FF867C}">
                  <a14:compatExt spid="_x0000_s28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9525</xdr:rowOff>
        </xdr:from>
        <xdr:to>
          <xdr:col>9</xdr:col>
          <xdr:colOff>0</xdr:colOff>
          <xdr:row>19</xdr:row>
          <xdr:rowOff>19050</xdr:rowOff>
        </xdr:to>
        <xdr:sp macro="" textlink="">
          <xdr:nvSpPr>
            <xdr:cNvPr id="28826" name="Drop Down 154" hidden="1">
              <a:extLst>
                <a:ext uri="{63B3BB69-23CF-44E3-9099-C40C66FF867C}">
                  <a14:compatExt spid="_x0000_s28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9525</xdr:rowOff>
        </xdr:from>
        <xdr:to>
          <xdr:col>9</xdr:col>
          <xdr:colOff>0</xdr:colOff>
          <xdr:row>20</xdr:row>
          <xdr:rowOff>19050</xdr:rowOff>
        </xdr:to>
        <xdr:sp macro="" textlink="">
          <xdr:nvSpPr>
            <xdr:cNvPr id="28827" name="Drop Down 155" hidden="1">
              <a:extLst>
                <a:ext uri="{63B3BB69-23CF-44E3-9099-C40C66FF867C}">
                  <a14:compatExt spid="_x0000_s28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9525</xdr:rowOff>
        </xdr:from>
        <xdr:to>
          <xdr:col>9</xdr:col>
          <xdr:colOff>0</xdr:colOff>
          <xdr:row>21</xdr:row>
          <xdr:rowOff>19050</xdr:rowOff>
        </xdr:to>
        <xdr:sp macro="" textlink="">
          <xdr:nvSpPr>
            <xdr:cNvPr id="28828" name="Drop Down 156" hidden="1">
              <a:extLst>
                <a:ext uri="{63B3BB69-23CF-44E3-9099-C40C66FF867C}">
                  <a14:compatExt spid="_x0000_s28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9525</xdr:rowOff>
        </xdr:from>
        <xdr:to>
          <xdr:col>9</xdr:col>
          <xdr:colOff>0</xdr:colOff>
          <xdr:row>22</xdr:row>
          <xdr:rowOff>19050</xdr:rowOff>
        </xdr:to>
        <xdr:sp macro="" textlink="">
          <xdr:nvSpPr>
            <xdr:cNvPr id="28829" name="Drop Down 157" hidden="1">
              <a:extLst>
                <a:ext uri="{63B3BB69-23CF-44E3-9099-C40C66FF867C}">
                  <a14:compatExt spid="_x0000_s28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9525</xdr:rowOff>
        </xdr:from>
        <xdr:to>
          <xdr:col>9</xdr:col>
          <xdr:colOff>0</xdr:colOff>
          <xdr:row>23</xdr:row>
          <xdr:rowOff>19050</xdr:rowOff>
        </xdr:to>
        <xdr:sp macro="" textlink="">
          <xdr:nvSpPr>
            <xdr:cNvPr id="28830" name="Drop Down 158" hidden="1">
              <a:extLst>
                <a:ext uri="{63B3BB69-23CF-44E3-9099-C40C66FF867C}">
                  <a14:compatExt spid="_x0000_s28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9525</xdr:rowOff>
        </xdr:from>
        <xdr:to>
          <xdr:col>9</xdr:col>
          <xdr:colOff>0</xdr:colOff>
          <xdr:row>24</xdr:row>
          <xdr:rowOff>19050</xdr:rowOff>
        </xdr:to>
        <xdr:sp macro="" textlink="">
          <xdr:nvSpPr>
            <xdr:cNvPr id="28831" name="Drop Down 159" hidden="1">
              <a:extLst>
                <a:ext uri="{63B3BB69-23CF-44E3-9099-C40C66FF867C}">
                  <a14:compatExt spid="_x0000_s28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9525</xdr:rowOff>
        </xdr:from>
        <xdr:to>
          <xdr:col>9</xdr:col>
          <xdr:colOff>0</xdr:colOff>
          <xdr:row>25</xdr:row>
          <xdr:rowOff>19050</xdr:rowOff>
        </xdr:to>
        <xdr:sp macro="" textlink="">
          <xdr:nvSpPr>
            <xdr:cNvPr id="28832" name="Drop Down 160" hidden="1">
              <a:extLst>
                <a:ext uri="{63B3BB69-23CF-44E3-9099-C40C66FF867C}">
                  <a14:compatExt spid="_x0000_s28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9525</xdr:rowOff>
        </xdr:from>
        <xdr:to>
          <xdr:col>9</xdr:col>
          <xdr:colOff>0</xdr:colOff>
          <xdr:row>26</xdr:row>
          <xdr:rowOff>19050</xdr:rowOff>
        </xdr:to>
        <xdr:sp macro="" textlink="">
          <xdr:nvSpPr>
            <xdr:cNvPr id="28833" name="Drop Down 161" hidden="1">
              <a:extLst>
                <a:ext uri="{63B3BB69-23CF-44E3-9099-C40C66FF867C}">
                  <a14:compatExt spid="_x0000_s28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9525</xdr:rowOff>
        </xdr:from>
        <xdr:to>
          <xdr:col>9</xdr:col>
          <xdr:colOff>0</xdr:colOff>
          <xdr:row>27</xdr:row>
          <xdr:rowOff>19050</xdr:rowOff>
        </xdr:to>
        <xdr:sp macro="" textlink="">
          <xdr:nvSpPr>
            <xdr:cNvPr id="28834" name="Drop Down 162" hidden="1">
              <a:extLst>
                <a:ext uri="{63B3BB69-23CF-44E3-9099-C40C66FF867C}">
                  <a14:compatExt spid="_x0000_s28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9525</xdr:rowOff>
        </xdr:from>
        <xdr:to>
          <xdr:col>9</xdr:col>
          <xdr:colOff>0</xdr:colOff>
          <xdr:row>28</xdr:row>
          <xdr:rowOff>19050</xdr:rowOff>
        </xdr:to>
        <xdr:sp macro="" textlink="">
          <xdr:nvSpPr>
            <xdr:cNvPr id="28835" name="Drop Down 163" hidden="1">
              <a:extLst>
                <a:ext uri="{63B3BB69-23CF-44E3-9099-C40C66FF867C}">
                  <a14:compatExt spid="_x0000_s28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9525</xdr:rowOff>
        </xdr:from>
        <xdr:to>
          <xdr:col>9</xdr:col>
          <xdr:colOff>0</xdr:colOff>
          <xdr:row>29</xdr:row>
          <xdr:rowOff>19050</xdr:rowOff>
        </xdr:to>
        <xdr:sp macro="" textlink="">
          <xdr:nvSpPr>
            <xdr:cNvPr id="28836" name="Drop Down 164" hidden="1">
              <a:extLst>
                <a:ext uri="{63B3BB69-23CF-44E3-9099-C40C66FF867C}">
                  <a14:compatExt spid="_x0000_s28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3</xdr:col>
          <xdr:colOff>9525</xdr:colOff>
          <xdr:row>18</xdr:row>
          <xdr:rowOff>19050</xdr:rowOff>
        </xdr:to>
        <xdr:sp macro="" textlink="">
          <xdr:nvSpPr>
            <xdr:cNvPr id="28837" name="Drop Down 165" hidden="1">
              <a:extLst>
                <a:ext uri="{63B3BB69-23CF-44E3-9099-C40C66FF867C}">
                  <a14:compatExt spid="_x0000_s28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9525</xdr:rowOff>
        </xdr:from>
        <xdr:to>
          <xdr:col>3</xdr:col>
          <xdr:colOff>9525</xdr:colOff>
          <xdr:row>19</xdr:row>
          <xdr:rowOff>19050</xdr:rowOff>
        </xdr:to>
        <xdr:sp macro="" textlink="">
          <xdr:nvSpPr>
            <xdr:cNvPr id="28838" name="Drop Down 166" hidden="1">
              <a:extLst>
                <a:ext uri="{63B3BB69-23CF-44E3-9099-C40C66FF867C}">
                  <a14:compatExt spid="_x0000_s28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9525</xdr:rowOff>
        </xdr:from>
        <xdr:to>
          <xdr:col>3</xdr:col>
          <xdr:colOff>9525</xdr:colOff>
          <xdr:row>20</xdr:row>
          <xdr:rowOff>19050</xdr:rowOff>
        </xdr:to>
        <xdr:sp macro="" textlink="">
          <xdr:nvSpPr>
            <xdr:cNvPr id="28839" name="Drop Down 167" hidden="1">
              <a:extLst>
                <a:ext uri="{63B3BB69-23CF-44E3-9099-C40C66FF867C}">
                  <a14:compatExt spid="_x0000_s28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9525</xdr:rowOff>
        </xdr:from>
        <xdr:to>
          <xdr:col>3</xdr:col>
          <xdr:colOff>9525</xdr:colOff>
          <xdr:row>21</xdr:row>
          <xdr:rowOff>19050</xdr:rowOff>
        </xdr:to>
        <xdr:sp macro="" textlink="">
          <xdr:nvSpPr>
            <xdr:cNvPr id="28840" name="Drop Down 168" hidden="1">
              <a:extLst>
                <a:ext uri="{63B3BB69-23CF-44E3-9099-C40C66FF867C}">
                  <a14:compatExt spid="_x0000_s28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9525</xdr:rowOff>
        </xdr:from>
        <xdr:to>
          <xdr:col>3</xdr:col>
          <xdr:colOff>9525</xdr:colOff>
          <xdr:row>22</xdr:row>
          <xdr:rowOff>19050</xdr:rowOff>
        </xdr:to>
        <xdr:sp macro="" textlink="">
          <xdr:nvSpPr>
            <xdr:cNvPr id="28841" name="Drop Down 169" hidden="1">
              <a:extLst>
                <a:ext uri="{63B3BB69-23CF-44E3-9099-C40C66FF867C}">
                  <a14:compatExt spid="_x0000_s28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9525</xdr:rowOff>
        </xdr:from>
        <xdr:to>
          <xdr:col>3</xdr:col>
          <xdr:colOff>9525</xdr:colOff>
          <xdr:row>23</xdr:row>
          <xdr:rowOff>19050</xdr:rowOff>
        </xdr:to>
        <xdr:sp macro="" textlink="">
          <xdr:nvSpPr>
            <xdr:cNvPr id="28842" name="Drop Down 170" hidden="1">
              <a:extLst>
                <a:ext uri="{63B3BB69-23CF-44E3-9099-C40C66FF867C}">
                  <a14:compatExt spid="_x0000_s28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9525</xdr:rowOff>
        </xdr:from>
        <xdr:to>
          <xdr:col>3</xdr:col>
          <xdr:colOff>9525</xdr:colOff>
          <xdr:row>24</xdr:row>
          <xdr:rowOff>19050</xdr:rowOff>
        </xdr:to>
        <xdr:sp macro="" textlink="">
          <xdr:nvSpPr>
            <xdr:cNvPr id="28843" name="Drop Down 171" hidden="1">
              <a:extLst>
                <a:ext uri="{63B3BB69-23CF-44E3-9099-C40C66FF867C}">
                  <a14:compatExt spid="_x0000_s28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9525</xdr:rowOff>
        </xdr:from>
        <xdr:to>
          <xdr:col>3</xdr:col>
          <xdr:colOff>9525</xdr:colOff>
          <xdr:row>25</xdr:row>
          <xdr:rowOff>19050</xdr:rowOff>
        </xdr:to>
        <xdr:sp macro="" textlink="">
          <xdr:nvSpPr>
            <xdr:cNvPr id="28844" name="Drop Down 172" hidden="1">
              <a:extLst>
                <a:ext uri="{63B3BB69-23CF-44E3-9099-C40C66FF867C}">
                  <a14:compatExt spid="_x0000_s28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9525</xdr:rowOff>
        </xdr:from>
        <xdr:to>
          <xdr:col>3</xdr:col>
          <xdr:colOff>9525</xdr:colOff>
          <xdr:row>26</xdr:row>
          <xdr:rowOff>19050</xdr:rowOff>
        </xdr:to>
        <xdr:sp macro="" textlink="">
          <xdr:nvSpPr>
            <xdr:cNvPr id="28845" name="Drop Down 173" hidden="1">
              <a:extLst>
                <a:ext uri="{63B3BB69-23CF-44E3-9099-C40C66FF867C}">
                  <a14:compatExt spid="_x0000_s28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9525</xdr:rowOff>
        </xdr:from>
        <xdr:to>
          <xdr:col>3</xdr:col>
          <xdr:colOff>9525</xdr:colOff>
          <xdr:row>27</xdr:row>
          <xdr:rowOff>19050</xdr:rowOff>
        </xdr:to>
        <xdr:sp macro="" textlink="">
          <xdr:nvSpPr>
            <xdr:cNvPr id="28846" name="Drop Down 174" hidden="1">
              <a:extLst>
                <a:ext uri="{63B3BB69-23CF-44E3-9099-C40C66FF867C}">
                  <a14:compatExt spid="_x0000_s28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9525</xdr:rowOff>
        </xdr:from>
        <xdr:to>
          <xdr:col>3</xdr:col>
          <xdr:colOff>9525</xdr:colOff>
          <xdr:row>28</xdr:row>
          <xdr:rowOff>19050</xdr:rowOff>
        </xdr:to>
        <xdr:sp macro="" textlink="">
          <xdr:nvSpPr>
            <xdr:cNvPr id="28847" name="Drop Down 175" hidden="1">
              <a:extLst>
                <a:ext uri="{63B3BB69-23CF-44E3-9099-C40C66FF867C}">
                  <a14:compatExt spid="_x0000_s28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9525</xdr:rowOff>
        </xdr:from>
        <xdr:to>
          <xdr:col>3</xdr:col>
          <xdr:colOff>9525</xdr:colOff>
          <xdr:row>29</xdr:row>
          <xdr:rowOff>19050</xdr:rowOff>
        </xdr:to>
        <xdr:sp macro="" textlink="">
          <xdr:nvSpPr>
            <xdr:cNvPr id="28848" name="Drop Down 176" hidden="1">
              <a:extLst>
                <a:ext uri="{63B3BB69-23CF-44E3-9099-C40C66FF867C}">
                  <a14:compatExt spid="_x0000_s28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10</xdr:col>
          <xdr:colOff>0</xdr:colOff>
          <xdr:row>18</xdr:row>
          <xdr:rowOff>19050</xdr:rowOff>
        </xdr:to>
        <xdr:sp macro="" textlink="">
          <xdr:nvSpPr>
            <xdr:cNvPr id="28860" name="Drop Down 188" hidden="1">
              <a:extLst>
                <a:ext uri="{63B3BB69-23CF-44E3-9099-C40C66FF867C}">
                  <a14:compatExt spid="_x0000_s28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9525</xdr:rowOff>
        </xdr:from>
        <xdr:to>
          <xdr:col>10</xdr:col>
          <xdr:colOff>0</xdr:colOff>
          <xdr:row>19</xdr:row>
          <xdr:rowOff>19050</xdr:rowOff>
        </xdr:to>
        <xdr:sp macro="" textlink="">
          <xdr:nvSpPr>
            <xdr:cNvPr id="28861" name="Drop Down 189" hidden="1">
              <a:extLst>
                <a:ext uri="{63B3BB69-23CF-44E3-9099-C40C66FF867C}">
                  <a14:compatExt spid="_x0000_s28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9525</xdr:rowOff>
        </xdr:from>
        <xdr:to>
          <xdr:col>10</xdr:col>
          <xdr:colOff>0</xdr:colOff>
          <xdr:row>20</xdr:row>
          <xdr:rowOff>19050</xdr:rowOff>
        </xdr:to>
        <xdr:sp macro="" textlink="">
          <xdr:nvSpPr>
            <xdr:cNvPr id="28862" name="Drop Down 190" hidden="1">
              <a:extLst>
                <a:ext uri="{63B3BB69-23CF-44E3-9099-C40C66FF867C}">
                  <a14:compatExt spid="_x0000_s2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9525</xdr:rowOff>
        </xdr:from>
        <xdr:to>
          <xdr:col>10</xdr:col>
          <xdr:colOff>0</xdr:colOff>
          <xdr:row>21</xdr:row>
          <xdr:rowOff>19050</xdr:rowOff>
        </xdr:to>
        <xdr:sp macro="" textlink="">
          <xdr:nvSpPr>
            <xdr:cNvPr id="28863" name="Drop Down 191" hidden="1">
              <a:extLst>
                <a:ext uri="{63B3BB69-23CF-44E3-9099-C40C66FF867C}">
                  <a14:compatExt spid="_x0000_s2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xdr:row>
          <xdr:rowOff>9525</xdr:rowOff>
        </xdr:from>
        <xdr:to>
          <xdr:col>10</xdr:col>
          <xdr:colOff>0</xdr:colOff>
          <xdr:row>22</xdr:row>
          <xdr:rowOff>19050</xdr:rowOff>
        </xdr:to>
        <xdr:sp macro="" textlink="">
          <xdr:nvSpPr>
            <xdr:cNvPr id="28864" name="Drop Down 192" hidden="1">
              <a:extLst>
                <a:ext uri="{63B3BB69-23CF-44E3-9099-C40C66FF867C}">
                  <a14:compatExt spid="_x0000_s28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9525</xdr:rowOff>
        </xdr:from>
        <xdr:to>
          <xdr:col>10</xdr:col>
          <xdr:colOff>0</xdr:colOff>
          <xdr:row>23</xdr:row>
          <xdr:rowOff>19050</xdr:rowOff>
        </xdr:to>
        <xdr:sp macro="" textlink="">
          <xdr:nvSpPr>
            <xdr:cNvPr id="28865" name="Drop Down 193" hidden="1">
              <a:extLst>
                <a:ext uri="{63B3BB69-23CF-44E3-9099-C40C66FF867C}">
                  <a14:compatExt spid="_x0000_s2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9525</xdr:rowOff>
        </xdr:from>
        <xdr:to>
          <xdr:col>10</xdr:col>
          <xdr:colOff>0</xdr:colOff>
          <xdr:row>24</xdr:row>
          <xdr:rowOff>19050</xdr:rowOff>
        </xdr:to>
        <xdr:sp macro="" textlink="">
          <xdr:nvSpPr>
            <xdr:cNvPr id="28866" name="Drop Down 194" hidden="1">
              <a:extLst>
                <a:ext uri="{63B3BB69-23CF-44E3-9099-C40C66FF867C}">
                  <a14:compatExt spid="_x0000_s2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9525</xdr:rowOff>
        </xdr:from>
        <xdr:to>
          <xdr:col>10</xdr:col>
          <xdr:colOff>0</xdr:colOff>
          <xdr:row>25</xdr:row>
          <xdr:rowOff>19050</xdr:rowOff>
        </xdr:to>
        <xdr:sp macro="" textlink="">
          <xdr:nvSpPr>
            <xdr:cNvPr id="28867" name="Drop Down 195" hidden="1">
              <a:extLst>
                <a:ext uri="{63B3BB69-23CF-44E3-9099-C40C66FF867C}">
                  <a14:compatExt spid="_x0000_s28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10</xdr:col>
          <xdr:colOff>0</xdr:colOff>
          <xdr:row>26</xdr:row>
          <xdr:rowOff>19050</xdr:rowOff>
        </xdr:to>
        <xdr:sp macro="" textlink="">
          <xdr:nvSpPr>
            <xdr:cNvPr id="28868" name="Drop Down 196" hidden="1">
              <a:extLst>
                <a:ext uri="{63B3BB69-23CF-44E3-9099-C40C66FF867C}">
                  <a14:compatExt spid="_x0000_s2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9525</xdr:rowOff>
        </xdr:from>
        <xdr:to>
          <xdr:col>10</xdr:col>
          <xdr:colOff>0</xdr:colOff>
          <xdr:row>27</xdr:row>
          <xdr:rowOff>19050</xdr:rowOff>
        </xdr:to>
        <xdr:sp macro="" textlink="">
          <xdr:nvSpPr>
            <xdr:cNvPr id="28869" name="Drop Down 197" hidden="1">
              <a:extLst>
                <a:ext uri="{63B3BB69-23CF-44E3-9099-C40C66FF867C}">
                  <a14:compatExt spid="_x0000_s2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xdr:row>
          <xdr:rowOff>9525</xdr:rowOff>
        </xdr:from>
        <xdr:to>
          <xdr:col>10</xdr:col>
          <xdr:colOff>0</xdr:colOff>
          <xdr:row>28</xdr:row>
          <xdr:rowOff>19050</xdr:rowOff>
        </xdr:to>
        <xdr:sp macro="" textlink="">
          <xdr:nvSpPr>
            <xdr:cNvPr id="28870" name="Drop Down 198" hidden="1">
              <a:extLst>
                <a:ext uri="{63B3BB69-23CF-44E3-9099-C40C66FF867C}">
                  <a14:compatExt spid="_x0000_s2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9525</xdr:rowOff>
        </xdr:from>
        <xdr:to>
          <xdr:col>10</xdr:col>
          <xdr:colOff>0</xdr:colOff>
          <xdr:row>29</xdr:row>
          <xdr:rowOff>19050</xdr:rowOff>
        </xdr:to>
        <xdr:sp macro="" textlink="">
          <xdr:nvSpPr>
            <xdr:cNvPr id="28871" name="Drop Down 199" hidden="1">
              <a:extLst>
                <a:ext uri="{63B3BB69-23CF-44E3-9099-C40C66FF867C}">
                  <a14:compatExt spid="_x0000_s2887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9</xdr:col>
          <xdr:colOff>9525</xdr:colOff>
          <xdr:row>3</xdr:row>
          <xdr:rowOff>200025</xdr:rowOff>
        </xdr:to>
        <xdr:sp macro="" textlink="">
          <xdr:nvSpPr>
            <xdr:cNvPr id="15362" name="Drop Down 2" hidden="1">
              <a:extLst>
                <a:ext uri="{63B3BB69-23CF-44E3-9099-C40C66FF867C}">
                  <a14:compatExt spid="_x0000_s15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xdr:row>
          <xdr:rowOff>0</xdr:rowOff>
        </xdr:from>
        <xdr:to>
          <xdr:col>4</xdr:col>
          <xdr:colOff>19050</xdr:colOff>
          <xdr:row>3</xdr:row>
          <xdr:rowOff>209550</xdr:rowOff>
        </xdr:to>
        <xdr:sp macro="" textlink="">
          <xdr:nvSpPr>
            <xdr:cNvPr id="15363" name="Drop Down 3" hidden="1">
              <a:extLst>
                <a:ext uri="{63B3BB69-23CF-44E3-9099-C40C66FF867C}">
                  <a14:compatExt spid="_x0000_s15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9525</xdr:colOff>
          <xdr:row>4</xdr:row>
          <xdr:rowOff>0</xdr:rowOff>
        </xdr:to>
        <xdr:sp macro="" textlink="">
          <xdr:nvSpPr>
            <xdr:cNvPr id="15364" name="Drop Down 4" hidden="1">
              <a:extLst>
                <a:ext uri="{63B3BB69-23CF-44E3-9099-C40C66FF867C}">
                  <a14:compatExt spid="_x0000_s1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1</xdr:col>
          <xdr:colOff>923925</xdr:colOff>
          <xdr:row>3</xdr:row>
          <xdr:rowOff>200025</xdr:rowOff>
        </xdr:to>
        <xdr:sp macro="" textlink="">
          <xdr:nvSpPr>
            <xdr:cNvPr id="15365" name="Drop Down 5" hidden="1">
              <a:extLst>
                <a:ext uri="{63B3BB69-23CF-44E3-9099-C40C66FF867C}">
                  <a14:compatExt spid="_x0000_s15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0</xdr:rowOff>
        </xdr:from>
        <xdr:to>
          <xdr:col>11</xdr:col>
          <xdr:colOff>9525</xdr:colOff>
          <xdr:row>3</xdr:row>
          <xdr:rowOff>209550</xdr:rowOff>
        </xdr:to>
        <xdr:sp macro="" textlink="">
          <xdr:nvSpPr>
            <xdr:cNvPr id="15427" name="Drop Down 67" hidden="1">
              <a:extLst>
                <a:ext uri="{63B3BB69-23CF-44E3-9099-C40C66FF867C}">
                  <a14:compatExt spid="_x0000_s15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xdr:row>
          <xdr:rowOff>0</xdr:rowOff>
        </xdr:from>
        <xdr:to>
          <xdr:col>13</xdr:col>
          <xdr:colOff>9525</xdr:colOff>
          <xdr:row>3</xdr:row>
          <xdr:rowOff>200025</xdr:rowOff>
        </xdr:to>
        <xdr:sp macro="" textlink="">
          <xdr:nvSpPr>
            <xdr:cNvPr id="15428" name="Drop Down 68" hidden="1">
              <a:extLst>
                <a:ext uri="{63B3BB69-23CF-44E3-9099-C40C66FF867C}">
                  <a14:compatExt spid="_x0000_s15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xdr:row>
          <xdr:rowOff>0</xdr:rowOff>
        </xdr:from>
        <xdr:to>
          <xdr:col>4</xdr:col>
          <xdr:colOff>809625</xdr:colOff>
          <xdr:row>3</xdr:row>
          <xdr:rowOff>209550</xdr:rowOff>
        </xdr:to>
        <xdr:sp macro="" textlink="">
          <xdr:nvSpPr>
            <xdr:cNvPr id="15429" name="Drop Down 69" hidden="1">
              <a:extLst>
                <a:ext uri="{63B3BB69-23CF-44E3-9099-C40C66FF867C}">
                  <a14:compatExt spid="_x0000_s15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xdr:row>
          <xdr:rowOff>0</xdr:rowOff>
        </xdr:from>
        <xdr:to>
          <xdr:col>12</xdr:col>
          <xdr:colOff>0</xdr:colOff>
          <xdr:row>3</xdr:row>
          <xdr:rowOff>200025</xdr:rowOff>
        </xdr:to>
        <xdr:sp macro="" textlink="">
          <xdr:nvSpPr>
            <xdr:cNvPr id="15430" name="Drop Down 70" hidden="1">
              <a:extLst>
                <a:ext uri="{63B3BB69-23CF-44E3-9099-C40C66FF867C}">
                  <a14:compatExt spid="_x0000_s15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9525</xdr:colOff>
          <xdr:row>5</xdr:row>
          <xdr:rowOff>28575</xdr:rowOff>
        </xdr:to>
        <xdr:sp macro="" textlink="">
          <xdr:nvSpPr>
            <xdr:cNvPr id="15454" name="Drop Down 94" hidden="1">
              <a:extLst>
                <a:ext uri="{63B3BB69-23CF-44E3-9099-C40C66FF867C}">
                  <a14:compatExt spid="_x0000_s15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9525</xdr:colOff>
          <xdr:row>6</xdr:row>
          <xdr:rowOff>28575</xdr:rowOff>
        </xdr:to>
        <xdr:sp macro="" textlink="">
          <xdr:nvSpPr>
            <xdr:cNvPr id="15455" name="Drop Down 95" hidden="1">
              <a:extLst>
                <a:ext uri="{63B3BB69-23CF-44E3-9099-C40C66FF867C}">
                  <a14:compatExt spid="_x0000_s15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9525</xdr:colOff>
          <xdr:row>7</xdr:row>
          <xdr:rowOff>28575</xdr:rowOff>
        </xdr:to>
        <xdr:sp macro="" textlink="">
          <xdr:nvSpPr>
            <xdr:cNvPr id="15456" name="Drop Down 96" hidden="1">
              <a:extLst>
                <a:ext uri="{63B3BB69-23CF-44E3-9099-C40C66FF867C}">
                  <a14:compatExt spid="_x0000_s15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9525</xdr:colOff>
          <xdr:row>8</xdr:row>
          <xdr:rowOff>28575</xdr:rowOff>
        </xdr:to>
        <xdr:sp macro="" textlink="">
          <xdr:nvSpPr>
            <xdr:cNvPr id="15457" name="Drop Down 97" hidden="1">
              <a:extLst>
                <a:ext uri="{63B3BB69-23CF-44E3-9099-C40C66FF867C}">
                  <a14:compatExt spid="_x0000_s15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9525</xdr:colOff>
          <xdr:row>9</xdr:row>
          <xdr:rowOff>28575</xdr:rowOff>
        </xdr:to>
        <xdr:sp macro="" textlink="">
          <xdr:nvSpPr>
            <xdr:cNvPr id="15458" name="Drop Down 98" hidden="1">
              <a:extLst>
                <a:ext uri="{63B3BB69-23CF-44E3-9099-C40C66FF867C}">
                  <a14:compatExt spid="_x0000_s15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9525</xdr:colOff>
          <xdr:row>10</xdr:row>
          <xdr:rowOff>28575</xdr:rowOff>
        </xdr:to>
        <xdr:sp macro="" textlink="">
          <xdr:nvSpPr>
            <xdr:cNvPr id="15459" name="Drop Down 99" hidden="1">
              <a:extLst>
                <a:ext uri="{63B3BB69-23CF-44E3-9099-C40C66FF867C}">
                  <a14:compatExt spid="_x0000_s15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9525</xdr:colOff>
          <xdr:row>11</xdr:row>
          <xdr:rowOff>28575</xdr:rowOff>
        </xdr:to>
        <xdr:sp macro="" textlink="">
          <xdr:nvSpPr>
            <xdr:cNvPr id="15460" name="Drop Down 100" hidden="1">
              <a:extLst>
                <a:ext uri="{63B3BB69-23CF-44E3-9099-C40C66FF867C}">
                  <a14:compatExt spid="_x0000_s15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3</xdr:col>
          <xdr:colOff>9525</xdr:colOff>
          <xdr:row>12</xdr:row>
          <xdr:rowOff>28575</xdr:rowOff>
        </xdr:to>
        <xdr:sp macro="" textlink="">
          <xdr:nvSpPr>
            <xdr:cNvPr id="15461" name="Drop Down 101" hidden="1">
              <a:extLst>
                <a:ext uri="{63B3BB69-23CF-44E3-9099-C40C66FF867C}">
                  <a14:compatExt spid="_x0000_s15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3</xdr:col>
          <xdr:colOff>9525</xdr:colOff>
          <xdr:row>13</xdr:row>
          <xdr:rowOff>28575</xdr:rowOff>
        </xdr:to>
        <xdr:sp macro="" textlink="">
          <xdr:nvSpPr>
            <xdr:cNvPr id="15462" name="Drop Down 102" hidden="1">
              <a:extLst>
                <a:ext uri="{63B3BB69-23CF-44E3-9099-C40C66FF867C}">
                  <a14:compatExt spid="_x0000_s15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3</xdr:col>
          <xdr:colOff>9525</xdr:colOff>
          <xdr:row>14</xdr:row>
          <xdr:rowOff>28575</xdr:rowOff>
        </xdr:to>
        <xdr:sp macro="" textlink="">
          <xdr:nvSpPr>
            <xdr:cNvPr id="15463" name="Drop Down 103" hidden="1">
              <a:extLst>
                <a:ext uri="{63B3BB69-23CF-44E3-9099-C40C66FF867C}">
                  <a14:compatExt spid="_x0000_s15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0</xdr:rowOff>
        </xdr:from>
        <xdr:to>
          <xdr:col>3</xdr:col>
          <xdr:colOff>9525</xdr:colOff>
          <xdr:row>15</xdr:row>
          <xdr:rowOff>28575</xdr:rowOff>
        </xdr:to>
        <xdr:sp macro="" textlink="">
          <xdr:nvSpPr>
            <xdr:cNvPr id="15464" name="Drop Down 104" hidden="1">
              <a:extLst>
                <a:ext uri="{63B3BB69-23CF-44E3-9099-C40C66FF867C}">
                  <a14:compatExt spid="_x0000_s15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0</xdr:rowOff>
        </xdr:from>
        <xdr:to>
          <xdr:col>3</xdr:col>
          <xdr:colOff>9525</xdr:colOff>
          <xdr:row>16</xdr:row>
          <xdr:rowOff>28575</xdr:rowOff>
        </xdr:to>
        <xdr:sp macro="" textlink="">
          <xdr:nvSpPr>
            <xdr:cNvPr id="15465" name="Drop Down 105" hidden="1">
              <a:extLst>
                <a:ext uri="{63B3BB69-23CF-44E3-9099-C40C66FF867C}">
                  <a14:compatExt spid="_x0000_s15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xdr:row>
          <xdr:rowOff>0</xdr:rowOff>
        </xdr:from>
        <xdr:to>
          <xdr:col>1</xdr:col>
          <xdr:colOff>923925</xdr:colOff>
          <xdr:row>5</xdr:row>
          <xdr:rowOff>9525</xdr:rowOff>
        </xdr:to>
        <xdr:sp macro="" textlink="">
          <xdr:nvSpPr>
            <xdr:cNvPr id="15466" name="Drop Down 106" hidden="1">
              <a:extLst>
                <a:ext uri="{63B3BB69-23CF-44E3-9099-C40C66FF867C}">
                  <a14:compatExt spid="_x0000_s15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1</xdr:col>
          <xdr:colOff>923925</xdr:colOff>
          <xdr:row>6</xdr:row>
          <xdr:rowOff>9525</xdr:rowOff>
        </xdr:to>
        <xdr:sp macro="" textlink="">
          <xdr:nvSpPr>
            <xdr:cNvPr id="15467" name="Drop Down 107" hidden="1">
              <a:extLst>
                <a:ext uri="{63B3BB69-23CF-44E3-9099-C40C66FF867C}">
                  <a14:compatExt spid="_x0000_s15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1</xdr:col>
          <xdr:colOff>923925</xdr:colOff>
          <xdr:row>7</xdr:row>
          <xdr:rowOff>9525</xdr:rowOff>
        </xdr:to>
        <xdr:sp macro="" textlink="">
          <xdr:nvSpPr>
            <xdr:cNvPr id="15468" name="Drop Down 108" hidden="1">
              <a:extLst>
                <a:ext uri="{63B3BB69-23CF-44E3-9099-C40C66FF867C}">
                  <a14:compatExt spid="_x0000_s15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xdr:row>
          <xdr:rowOff>0</xdr:rowOff>
        </xdr:from>
        <xdr:to>
          <xdr:col>1</xdr:col>
          <xdr:colOff>923925</xdr:colOff>
          <xdr:row>8</xdr:row>
          <xdr:rowOff>9525</xdr:rowOff>
        </xdr:to>
        <xdr:sp macro="" textlink="">
          <xdr:nvSpPr>
            <xdr:cNvPr id="15469" name="Drop Down 109" hidden="1">
              <a:extLst>
                <a:ext uri="{63B3BB69-23CF-44E3-9099-C40C66FF867C}">
                  <a14:compatExt spid="_x0000_s15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0</xdr:rowOff>
        </xdr:from>
        <xdr:to>
          <xdr:col>1</xdr:col>
          <xdr:colOff>923925</xdr:colOff>
          <xdr:row>9</xdr:row>
          <xdr:rowOff>9525</xdr:rowOff>
        </xdr:to>
        <xdr:sp macro="" textlink="">
          <xdr:nvSpPr>
            <xdr:cNvPr id="15470" name="Drop Down 110" hidden="1">
              <a:extLst>
                <a:ext uri="{63B3BB69-23CF-44E3-9099-C40C66FF867C}">
                  <a14:compatExt spid="_x0000_s15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xdr:row>
          <xdr:rowOff>0</xdr:rowOff>
        </xdr:from>
        <xdr:to>
          <xdr:col>1</xdr:col>
          <xdr:colOff>923925</xdr:colOff>
          <xdr:row>10</xdr:row>
          <xdr:rowOff>9525</xdr:rowOff>
        </xdr:to>
        <xdr:sp macro="" textlink="">
          <xdr:nvSpPr>
            <xdr:cNvPr id="15471" name="Drop Down 111" hidden="1">
              <a:extLst>
                <a:ext uri="{63B3BB69-23CF-44E3-9099-C40C66FF867C}">
                  <a14:compatExt spid="_x0000_s15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xdr:row>
          <xdr:rowOff>0</xdr:rowOff>
        </xdr:from>
        <xdr:to>
          <xdr:col>1</xdr:col>
          <xdr:colOff>923925</xdr:colOff>
          <xdr:row>11</xdr:row>
          <xdr:rowOff>9525</xdr:rowOff>
        </xdr:to>
        <xdr:sp macro="" textlink="">
          <xdr:nvSpPr>
            <xdr:cNvPr id="15472" name="Drop Down 112" hidden="1">
              <a:extLst>
                <a:ext uri="{63B3BB69-23CF-44E3-9099-C40C66FF867C}">
                  <a14:compatExt spid="_x0000_s15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0</xdr:rowOff>
        </xdr:from>
        <xdr:to>
          <xdr:col>1</xdr:col>
          <xdr:colOff>923925</xdr:colOff>
          <xdr:row>12</xdr:row>
          <xdr:rowOff>9525</xdr:rowOff>
        </xdr:to>
        <xdr:sp macro="" textlink="">
          <xdr:nvSpPr>
            <xdr:cNvPr id="15473" name="Drop Down 113" hidden="1">
              <a:extLst>
                <a:ext uri="{63B3BB69-23CF-44E3-9099-C40C66FF867C}">
                  <a14:compatExt spid="_x0000_s15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0</xdr:rowOff>
        </xdr:from>
        <xdr:to>
          <xdr:col>1</xdr:col>
          <xdr:colOff>923925</xdr:colOff>
          <xdr:row>13</xdr:row>
          <xdr:rowOff>9525</xdr:rowOff>
        </xdr:to>
        <xdr:sp macro="" textlink="">
          <xdr:nvSpPr>
            <xdr:cNvPr id="15474" name="Drop Down 114" hidden="1">
              <a:extLst>
                <a:ext uri="{63B3BB69-23CF-44E3-9099-C40C66FF867C}">
                  <a14:compatExt spid="_x0000_s15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1</xdr:col>
          <xdr:colOff>923925</xdr:colOff>
          <xdr:row>14</xdr:row>
          <xdr:rowOff>9525</xdr:rowOff>
        </xdr:to>
        <xdr:sp macro="" textlink="">
          <xdr:nvSpPr>
            <xdr:cNvPr id="15475" name="Drop Down 115" hidden="1">
              <a:extLst>
                <a:ext uri="{63B3BB69-23CF-44E3-9099-C40C66FF867C}">
                  <a14:compatExt spid="_x0000_s15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0</xdr:rowOff>
        </xdr:from>
        <xdr:to>
          <xdr:col>1</xdr:col>
          <xdr:colOff>923925</xdr:colOff>
          <xdr:row>15</xdr:row>
          <xdr:rowOff>9525</xdr:rowOff>
        </xdr:to>
        <xdr:sp macro="" textlink="">
          <xdr:nvSpPr>
            <xdr:cNvPr id="15476" name="Drop Down 116" hidden="1">
              <a:extLst>
                <a:ext uri="{63B3BB69-23CF-44E3-9099-C40C66FF867C}">
                  <a14:compatExt spid="_x0000_s15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xdr:row>
          <xdr:rowOff>0</xdr:rowOff>
        </xdr:from>
        <xdr:to>
          <xdr:col>1</xdr:col>
          <xdr:colOff>923925</xdr:colOff>
          <xdr:row>16</xdr:row>
          <xdr:rowOff>9525</xdr:rowOff>
        </xdr:to>
        <xdr:sp macro="" textlink="">
          <xdr:nvSpPr>
            <xdr:cNvPr id="15477" name="Drop Down 117" hidden="1">
              <a:extLst>
                <a:ext uri="{63B3BB69-23CF-44E3-9099-C40C66FF867C}">
                  <a14:compatExt spid="_x0000_s15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xdr:row>
          <xdr:rowOff>0</xdr:rowOff>
        </xdr:from>
        <xdr:to>
          <xdr:col>1</xdr:col>
          <xdr:colOff>923925</xdr:colOff>
          <xdr:row>17</xdr:row>
          <xdr:rowOff>9525</xdr:rowOff>
        </xdr:to>
        <xdr:sp macro="" textlink="">
          <xdr:nvSpPr>
            <xdr:cNvPr id="15478" name="Drop Down 118" hidden="1">
              <a:extLst>
                <a:ext uri="{63B3BB69-23CF-44E3-9099-C40C66FF867C}">
                  <a14:compatExt spid="_x0000_s15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xdr:row>
          <xdr:rowOff>0</xdr:rowOff>
        </xdr:from>
        <xdr:to>
          <xdr:col>1</xdr:col>
          <xdr:colOff>923925</xdr:colOff>
          <xdr:row>18</xdr:row>
          <xdr:rowOff>9525</xdr:rowOff>
        </xdr:to>
        <xdr:sp macro="" textlink="">
          <xdr:nvSpPr>
            <xdr:cNvPr id="15479" name="Drop Down 119" hidden="1">
              <a:extLst>
                <a:ext uri="{63B3BB69-23CF-44E3-9099-C40C66FF867C}">
                  <a14:compatExt spid="_x0000_s15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1</xdr:col>
          <xdr:colOff>923925</xdr:colOff>
          <xdr:row>19</xdr:row>
          <xdr:rowOff>9525</xdr:rowOff>
        </xdr:to>
        <xdr:sp macro="" textlink="">
          <xdr:nvSpPr>
            <xdr:cNvPr id="15480" name="Drop Down 120" hidden="1">
              <a:extLst>
                <a:ext uri="{63B3BB69-23CF-44E3-9099-C40C66FF867C}">
                  <a14:compatExt spid="_x0000_s15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0</xdr:rowOff>
        </xdr:from>
        <xdr:to>
          <xdr:col>1</xdr:col>
          <xdr:colOff>923925</xdr:colOff>
          <xdr:row>21</xdr:row>
          <xdr:rowOff>9525</xdr:rowOff>
        </xdr:to>
        <xdr:sp macro="" textlink="">
          <xdr:nvSpPr>
            <xdr:cNvPr id="15481" name="Drop Down 121" hidden="1">
              <a:extLst>
                <a:ext uri="{63B3BB69-23CF-44E3-9099-C40C66FF867C}">
                  <a14:compatExt spid="_x0000_s15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0</xdr:rowOff>
        </xdr:from>
        <xdr:to>
          <xdr:col>1</xdr:col>
          <xdr:colOff>923925</xdr:colOff>
          <xdr:row>20</xdr:row>
          <xdr:rowOff>9525</xdr:rowOff>
        </xdr:to>
        <xdr:sp macro="" textlink="">
          <xdr:nvSpPr>
            <xdr:cNvPr id="15482" name="Drop Down 122" hidden="1">
              <a:extLst>
                <a:ext uri="{63B3BB69-23CF-44E3-9099-C40C66FF867C}">
                  <a14:compatExt spid="_x0000_s15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1</xdr:col>
          <xdr:colOff>923925</xdr:colOff>
          <xdr:row>22</xdr:row>
          <xdr:rowOff>9525</xdr:rowOff>
        </xdr:to>
        <xdr:sp macro="" textlink="">
          <xdr:nvSpPr>
            <xdr:cNvPr id="15483" name="Drop Down 123" hidden="1">
              <a:extLst>
                <a:ext uri="{63B3BB69-23CF-44E3-9099-C40C66FF867C}">
                  <a14:compatExt spid="_x0000_s15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0</xdr:rowOff>
        </xdr:from>
        <xdr:to>
          <xdr:col>1</xdr:col>
          <xdr:colOff>923925</xdr:colOff>
          <xdr:row>23</xdr:row>
          <xdr:rowOff>9525</xdr:rowOff>
        </xdr:to>
        <xdr:sp macro="" textlink="">
          <xdr:nvSpPr>
            <xdr:cNvPr id="15484" name="Drop Down 124" hidden="1">
              <a:extLst>
                <a:ext uri="{63B3BB69-23CF-44E3-9099-C40C66FF867C}">
                  <a14:compatExt spid="_x0000_s15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0</xdr:rowOff>
        </xdr:from>
        <xdr:to>
          <xdr:col>1</xdr:col>
          <xdr:colOff>923925</xdr:colOff>
          <xdr:row>24</xdr:row>
          <xdr:rowOff>9525</xdr:rowOff>
        </xdr:to>
        <xdr:sp macro="" textlink="">
          <xdr:nvSpPr>
            <xdr:cNvPr id="15485" name="Drop Down 125" hidden="1">
              <a:extLst>
                <a:ext uri="{63B3BB69-23CF-44E3-9099-C40C66FF867C}">
                  <a14:compatExt spid="_x0000_s15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1</xdr:col>
          <xdr:colOff>923925</xdr:colOff>
          <xdr:row>25</xdr:row>
          <xdr:rowOff>9525</xdr:rowOff>
        </xdr:to>
        <xdr:sp macro="" textlink="">
          <xdr:nvSpPr>
            <xdr:cNvPr id="15486" name="Drop Down 126" hidden="1">
              <a:extLst>
                <a:ext uri="{63B3BB69-23CF-44E3-9099-C40C66FF867C}">
                  <a14:compatExt spid="_x0000_s15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0</xdr:rowOff>
        </xdr:from>
        <xdr:to>
          <xdr:col>1</xdr:col>
          <xdr:colOff>923925</xdr:colOff>
          <xdr:row>26</xdr:row>
          <xdr:rowOff>9525</xdr:rowOff>
        </xdr:to>
        <xdr:sp macro="" textlink="">
          <xdr:nvSpPr>
            <xdr:cNvPr id="15487" name="Drop Down 127" hidden="1">
              <a:extLst>
                <a:ext uri="{63B3BB69-23CF-44E3-9099-C40C66FF867C}">
                  <a14:compatExt spid="_x0000_s15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1</xdr:col>
          <xdr:colOff>923925</xdr:colOff>
          <xdr:row>27</xdr:row>
          <xdr:rowOff>9525</xdr:rowOff>
        </xdr:to>
        <xdr:sp macro="" textlink="">
          <xdr:nvSpPr>
            <xdr:cNvPr id="15488" name="Drop Down 128" hidden="1">
              <a:extLst>
                <a:ext uri="{63B3BB69-23CF-44E3-9099-C40C66FF867C}">
                  <a14:compatExt spid="_x0000_s15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0</xdr:rowOff>
        </xdr:from>
        <xdr:to>
          <xdr:col>3</xdr:col>
          <xdr:colOff>9525</xdr:colOff>
          <xdr:row>18</xdr:row>
          <xdr:rowOff>28575</xdr:rowOff>
        </xdr:to>
        <xdr:sp macro="" textlink="">
          <xdr:nvSpPr>
            <xdr:cNvPr id="15489" name="Drop Down 129" hidden="1">
              <a:extLst>
                <a:ext uri="{63B3BB69-23CF-44E3-9099-C40C66FF867C}">
                  <a14:compatExt spid="_x0000_s15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9525</xdr:colOff>
          <xdr:row>17</xdr:row>
          <xdr:rowOff>28575</xdr:rowOff>
        </xdr:to>
        <xdr:sp macro="" textlink="">
          <xdr:nvSpPr>
            <xdr:cNvPr id="15490" name="Drop Down 130" hidden="1">
              <a:extLst>
                <a:ext uri="{63B3BB69-23CF-44E3-9099-C40C66FF867C}">
                  <a14:compatExt spid="_x0000_s15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9525</xdr:colOff>
          <xdr:row>19</xdr:row>
          <xdr:rowOff>28575</xdr:rowOff>
        </xdr:to>
        <xdr:sp macro="" textlink="">
          <xdr:nvSpPr>
            <xdr:cNvPr id="15491" name="Drop Down 131" hidden="1">
              <a:extLst>
                <a:ext uri="{63B3BB69-23CF-44E3-9099-C40C66FF867C}">
                  <a14:compatExt spid="_x0000_s15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9525</xdr:colOff>
          <xdr:row>20</xdr:row>
          <xdr:rowOff>28575</xdr:rowOff>
        </xdr:to>
        <xdr:sp macro="" textlink="">
          <xdr:nvSpPr>
            <xdr:cNvPr id="15492" name="Drop Down 132" hidden="1">
              <a:extLst>
                <a:ext uri="{63B3BB69-23CF-44E3-9099-C40C66FF867C}">
                  <a14:compatExt spid="_x0000_s15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9525</xdr:colOff>
          <xdr:row>21</xdr:row>
          <xdr:rowOff>28575</xdr:rowOff>
        </xdr:to>
        <xdr:sp macro="" textlink="">
          <xdr:nvSpPr>
            <xdr:cNvPr id="15493" name="Drop Down 133" hidden="1">
              <a:extLst>
                <a:ext uri="{63B3BB69-23CF-44E3-9099-C40C66FF867C}">
                  <a14:compatExt spid="_x0000_s15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9525</xdr:colOff>
          <xdr:row>22</xdr:row>
          <xdr:rowOff>28575</xdr:rowOff>
        </xdr:to>
        <xdr:sp macro="" textlink="">
          <xdr:nvSpPr>
            <xdr:cNvPr id="15494" name="Drop Down 134" hidden="1">
              <a:extLst>
                <a:ext uri="{63B3BB69-23CF-44E3-9099-C40C66FF867C}">
                  <a14:compatExt spid="_x0000_s15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3</xdr:col>
          <xdr:colOff>9525</xdr:colOff>
          <xdr:row>24</xdr:row>
          <xdr:rowOff>28575</xdr:rowOff>
        </xdr:to>
        <xdr:sp macro="" textlink="">
          <xdr:nvSpPr>
            <xdr:cNvPr id="15495" name="Drop Down 135" hidden="1">
              <a:extLst>
                <a:ext uri="{63B3BB69-23CF-44E3-9099-C40C66FF867C}">
                  <a14:compatExt spid="_x0000_s15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3</xdr:col>
          <xdr:colOff>9525</xdr:colOff>
          <xdr:row>23</xdr:row>
          <xdr:rowOff>28575</xdr:rowOff>
        </xdr:to>
        <xdr:sp macro="" textlink="">
          <xdr:nvSpPr>
            <xdr:cNvPr id="15496" name="Drop Down 136" hidden="1">
              <a:extLst>
                <a:ext uri="{63B3BB69-23CF-44E3-9099-C40C66FF867C}">
                  <a14:compatExt spid="_x0000_s15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3</xdr:col>
          <xdr:colOff>9525</xdr:colOff>
          <xdr:row>25</xdr:row>
          <xdr:rowOff>28575</xdr:rowOff>
        </xdr:to>
        <xdr:sp macro="" textlink="">
          <xdr:nvSpPr>
            <xdr:cNvPr id="15497" name="Drop Down 137" hidden="1">
              <a:extLst>
                <a:ext uri="{63B3BB69-23CF-44E3-9099-C40C66FF867C}">
                  <a14:compatExt spid="_x0000_s15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3</xdr:col>
          <xdr:colOff>9525</xdr:colOff>
          <xdr:row>26</xdr:row>
          <xdr:rowOff>28575</xdr:rowOff>
        </xdr:to>
        <xdr:sp macro="" textlink="">
          <xdr:nvSpPr>
            <xdr:cNvPr id="15498" name="Drop Down 138" hidden="1">
              <a:extLst>
                <a:ext uri="{63B3BB69-23CF-44E3-9099-C40C66FF867C}">
                  <a14:compatExt spid="_x0000_s15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0</xdr:rowOff>
        </xdr:from>
        <xdr:to>
          <xdr:col>3</xdr:col>
          <xdr:colOff>9525</xdr:colOff>
          <xdr:row>27</xdr:row>
          <xdr:rowOff>28575</xdr:rowOff>
        </xdr:to>
        <xdr:sp macro="" textlink="">
          <xdr:nvSpPr>
            <xdr:cNvPr id="15499" name="Drop Down 139" hidden="1">
              <a:extLst>
                <a:ext uri="{63B3BB69-23CF-44E3-9099-C40C66FF867C}">
                  <a14:compatExt spid="_x0000_s15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0</xdr:rowOff>
        </xdr:from>
        <xdr:to>
          <xdr:col>4</xdr:col>
          <xdr:colOff>19050</xdr:colOff>
          <xdr:row>5</xdr:row>
          <xdr:rowOff>19050</xdr:rowOff>
        </xdr:to>
        <xdr:sp macro="" textlink="">
          <xdr:nvSpPr>
            <xdr:cNvPr id="15500" name="Drop Down 140" hidden="1">
              <a:extLst>
                <a:ext uri="{63B3BB69-23CF-44E3-9099-C40C66FF867C}">
                  <a14:compatExt spid="_x0000_s15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xdr:row>
          <xdr:rowOff>0</xdr:rowOff>
        </xdr:from>
        <xdr:to>
          <xdr:col>4</xdr:col>
          <xdr:colOff>19050</xdr:colOff>
          <xdr:row>6</xdr:row>
          <xdr:rowOff>19050</xdr:rowOff>
        </xdr:to>
        <xdr:sp macro="" textlink="">
          <xdr:nvSpPr>
            <xdr:cNvPr id="15501" name="Drop Down 141" hidden="1">
              <a:extLst>
                <a:ext uri="{63B3BB69-23CF-44E3-9099-C40C66FF867C}">
                  <a14:compatExt spid="_x0000_s15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xdr:row>
          <xdr:rowOff>0</xdr:rowOff>
        </xdr:from>
        <xdr:to>
          <xdr:col>4</xdr:col>
          <xdr:colOff>19050</xdr:colOff>
          <xdr:row>7</xdr:row>
          <xdr:rowOff>19050</xdr:rowOff>
        </xdr:to>
        <xdr:sp macro="" textlink="">
          <xdr:nvSpPr>
            <xdr:cNvPr id="15502" name="Drop Down 142" hidden="1">
              <a:extLst>
                <a:ext uri="{63B3BB69-23CF-44E3-9099-C40C66FF867C}">
                  <a14:compatExt spid="_x0000_s15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xdr:row>
          <xdr:rowOff>0</xdr:rowOff>
        </xdr:from>
        <xdr:to>
          <xdr:col>4</xdr:col>
          <xdr:colOff>19050</xdr:colOff>
          <xdr:row>8</xdr:row>
          <xdr:rowOff>19050</xdr:rowOff>
        </xdr:to>
        <xdr:sp macro="" textlink="">
          <xdr:nvSpPr>
            <xdr:cNvPr id="15503" name="Drop Down 143" hidden="1">
              <a:extLst>
                <a:ext uri="{63B3BB69-23CF-44E3-9099-C40C66FF867C}">
                  <a14:compatExt spid="_x0000_s15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xdr:row>
          <xdr:rowOff>0</xdr:rowOff>
        </xdr:from>
        <xdr:to>
          <xdr:col>4</xdr:col>
          <xdr:colOff>19050</xdr:colOff>
          <xdr:row>9</xdr:row>
          <xdr:rowOff>19050</xdr:rowOff>
        </xdr:to>
        <xdr:sp macro="" textlink="">
          <xdr:nvSpPr>
            <xdr:cNvPr id="15504" name="Drop Down 144" hidden="1">
              <a:extLst>
                <a:ext uri="{63B3BB69-23CF-44E3-9099-C40C66FF867C}">
                  <a14:compatExt spid="_x0000_s15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xdr:row>
          <xdr:rowOff>0</xdr:rowOff>
        </xdr:from>
        <xdr:to>
          <xdr:col>4</xdr:col>
          <xdr:colOff>19050</xdr:colOff>
          <xdr:row>10</xdr:row>
          <xdr:rowOff>19050</xdr:rowOff>
        </xdr:to>
        <xdr:sp macro="" textlink="">
          <xdr:nvSpPr>
            <xdr:cNvPr id="15505" name="Drop Down 145" hidden="1">
              <a:extLst>
                <a:ext uri="{63B3BB69-23CF-44E3-9099-C40C66FF867C}">
                  <a14:compatExt spid="_x0000_s15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xdr:row>
          <xdr:rowOff>0</xdr:rowOff>
        </xdr:from>
        <xdr:to>
          <xdr:col>4</xdr:col>
          <xdr:colOff>19050</xdr:colOff>
          <xdr:row>11</xdr:row>
          <xdr:rowOff>19050</xdr:rowOff>
        </xdr:to>
        <xdr:sp macro="" textlink="">
          <xdr:nvSpPr>
            <xdr:cNvPr id="15506" name="Drop Down 146" hidden="1">
              <a:extLst>
                <a:ext uri="{63B3BB69-23CF-44E3-9099-C40C66FF867C}">
                  <a14:compatExt spid="_x0000_s15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xdr:row>
          <xdr:rowOff>0</xdr:rowOff>
        </xdr:from>
        <xdr:to>
          <xdr:col>4</xdr:col>
          <xdr:colOff>19050</xdr:colOff>
          <xdr:row>12</xdr:row>
          <xdr:rowOff>19050</xdr:rowOff>
        </xdr:to>
        <xdr:sp macro="" textlink="">
          <xdr:nvSpPr>
            <xdr:cNvPr id="15507" name="Drop Down 147" hidden="1">
              <a:extLst>
                <a:ext uri="{63B3BB69-23CF-44E3-9099-C40C66FF867C}">
                  <a14:compatExt spid="_x0000_s15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xdr:row>
          <xdr:rowOff>0</xdr:rowOff>
        </xdr:from>
        <xdr:to>
          <xdr:col>4</xdr:col>
          <xdr:colOff>19050</xdr:colOff>
          <xdr:row>13</xdr:row>
          <xdr:rowOff>19050</xdr:rowOff>
        </xdr:to>
        <xdr:sp macro="" textlink="">
          <xdr:nvSpPr>
            <xdr:cNvPr id="15508" name="Drop Down 148" hidden="1">
              <a:extLst>
                <a:ext uri="{63B3BB69-23CF-44E3-9099-C40C66FF867C}">
                  <a14:compatExt spid="_x0000_s15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xdr:row>
          <xdr:rowOff>0</xdr:rowOff>
        </xdr:from>
        <xdr:to>
          <xdr:col>4</xdr:col>
          <xdr:colOff>19050</xdr:colOff>
          <xdr:row>14</xdr:row>
          <xdr:rowOff>19050</xdr:rowOff>
        </xdr:to>
        <xdr:sp macro="" textlink="">
          <xdr:nvSpPr>
            <xdr:cNvPr id="15509" name="Drop Down 149" hidden="1">
              <a:extLst>
                <a:ext uri="{63B3BB69-23CF-44E3-9099-C40C66FF867C}">
                  <a14:compatExt spid="_x0000_s15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xdr:row>
          <xdr:rowOff>0</xdr:rowOff>
        </xdr:from>
        <xdr:to>
          <xdr:col>4</xdr:col>
          <xdr:colOff>19050</xdr:colOff>
          <xdr:row>15</xdr:row>
          <xdr:rowOff>19050</xdr:rowOff>
        </xdr:to>
        <xdr:sp macro="" textlink="">
          <xdr:nvSpPr>
            <xdr:cNvPr id="15510" name="Drop Down 150" hidden="1">
              <a:extLst>
                <a:ext uri="{63B3BB69-23CF-44E3-9099-C40C66FF867C}">
                  <a14:compatExt spid="_x0000_s15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xdr:row>
          <xdr:rowOff>0</xdr:rowOff>
        </xdr:from>
        <xdr:to>
          <xdr:col>4</xdr:col>
          <xdr:colOff>19050</xdr:colOff>
          <xdr:row>16</xdr:row>
          <xdr:rowOff>19050</xdr:rowOff>
        </xdr:to>
        <xdr:sp macro="" textlink="">
          <xdr:nvSpPr>
            <xdr:cNvPr id="15511" name="Drop Down 151" hidden="1">
              <a:extLst>
                <a:ext uri="{63B3BB69-23CF-44E3-9099-C40C66FF867C}">
                  <a14:compatExt spid="_x0000_s15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0</xdr:rowOff>
        </xdr:from>
        <xdr:to>
          <xdr:col>4</xdr:col>
          <xdr:colOff>19050</xdr:colOff>
          <xdr:row>17</xdr:row>
          <xdr:rowOff>19050</xdr:rowOff>
        </xdr:to>
        <xdr:sp macro="" textlink="">
          <xdr:nvSpPr>
            <xdr:cNvPr id="15512" name="Drop Down 152" hidden="1">
              <a:extLst>
                <a:ext uri="{63B3BB69-23CF-44E3-9099-C40C66FF867C}">
                  <a14:compatExt spid="_x0000_s15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0</xdr:rowOff>
        </xdr:from>
        <xdr:to>
          <xdr:col>4</xdr:col>
          <xdr:colOff>19050</xdr:colOff>
          <xdr:row>18</xdr:row>
          <xdr:rowOff>19050</xdr:rowOff>
        </xdr:to>
        <xdr:sp macro="" textlink="">
          <xdr:nvSpPr>
            <xdr:cNvPr id="15513" name="Drop Down 153" hidden="1">
              <a:extLst>
                <a:ext uri="{63B3BB69-23CF-44E3-9099-C40C66FF867C}">
                  <a14:compatExt spid="_x0000_s15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0</xdr:rowOff>
        </xdr:from>
        <xdr:to>
          <xdr:col>4</xdr:col>
          <xdr:colOff>19050</xdr:colOff>
          <xdr:row>19</xdr:row>
          <xdr:rowOff>19050</xdr:rowOff>
        </xdr:to>
        <xdr:sp macro="" textlink="">
          <xdr:nvSpPr>
            <xdr:cNvPr id="15514" name="Drop Down 154" hidden="1">
              <a:extLst>
                <a:ext uri="{63B3BB69-23CF-44E3-9099-C40C66FF867C}">
                  <a14:compatExt spid="_x0000_s15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0</xdr:rowOff>
        </xdr:from>
        <xdr:to>
          <xdr:col>4</xdr:col>
          <xdr:colOff>19050</xdr:colOff>
          <xdr:row>20</xdr:row>
          <xdr:rowOff>19050</xdr:rowOff>
        </xdr:to>
        <xdr:sp macro="" textlink="">
          <xdr:nvSpPr>
            <xdr:cNvPr id="15515" name="Drop Down 155" hidden="1">
              <a:extLst>
                <a:ext uri="{63B3BB69-23CF-44E3-9099-C40C66FF867C}">
                  <a14:compatExt spid="_x0000_s15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0</xdr:rowOff>
        </xdr:from>
        <xdr:to>
          <xdr:col>4</xdr:col>
          <xdr:colOff>19050</xdr:colOff>
          <xdr:row>21</xdr:row>
          <xdr:rowOff>19050</xdr:rowOff>
        </xdr:to>
        <xdr:sp macro="" textlink="">
          <xdr:nvSpPr>
            <xdr:cNvPr id="15516" name="Drop Down 156" hidden="1">
              <a:extLst>
                <a:ext uri="{63B3BB69-23CF-44E3-9099-C40C66FF867C}">
                  <a14:compatExt spid="_x0000_s15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0</xdr:rowOff>
        </xdr:from>
        <xdr:to>
          <xdr:col>4</xdr:col>
          <xdr:colOff>19050</xdr:colOff>
          <xdr:row>22</xdr:row>
          <xdr:rowOff>19050</xdr:rowOff>
        </xdr:to>
        <xdr:sp macro="" textlink="">
          <xdr:nvSpPr>
            <xdr:cNvPr id="15517" name="Drop Down 157" hidden="1">
              <a:extLst>
                <a:ext uri="{63B3BB69-23CF-44E3-9099-C40C66FF867C}">
                  <a14:compatExt spid="_x0000_s15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22</xdr:row>
          <xdr:rowOff>0</xdr:rowOff>
        </xdr:from>
        <xdr:to>
          <xdr:col>4</xdr:col>
          <xdr:colOff>19050</xdr:colOff>
          <xdr:row>23</xdr:row>
          <xdr:rowOff>19050</xdr:rowOff>
        </xdr:to>
        <xdr:sp macro="" textlink="">
          <xdr:nvSpPr>
            <xdr:cNvPr id="15518" name="Drop Down 158" hidden="1">
              <a:extLst>
                <a:ext uri="{63B3BB69-23CF-44E3-9099-C40C66FF867C}">
                  <a14:compatExt spid="_x0000_s15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23</xdr:row>
          <xdr:rowOff>0</xdr:rowOff>
        </xdr:from>
        <xdr:to>
          <xdr:col>4</xdr:col>
          <xdr:colOff>19050</xdr:colOff>
          <xdr:row>24</xdr:row>
          <xdr:rowOff>19050</xdr:rowOff>
        </xdr:to>
        <xdr:sp macro="" textlink="">
          <xdr:nvSpPr>
            <xdr:cNvPr id="15519" name="Drop Down 159" hidden="1">
              <a:extLst>
                <a:ext uri="{63B3BB69-23CF-44E3-9099-C40C66FF867C}">
                  <a14:compatExt spid="_x0000_s15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0</xdr:rowOff>
        </xdr:from>
        <xdr:to>
          <xdr:col>4</xdr:col>
          <xdr:colOff>19050</xdr:colOff>
          <xdr:row>25</xdr:row>
          <xdr:rowOff>19050</xdr:rowOff>
        </xdr:to>
        <xdr:sp macro="" textlink="">
          <xdr:nvSpPr>
            <xdr:cNvPr id="15520" name="Drop Down 160" hidden="1">
              <a:extLst>
                <a:ext uri="{63B3BB69-23CF-44E3-9099-C40C66FF867C}">
                  <a14:compatExt spid="_x0000_s15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0</xdr:rowOff>
        </xdr:from>
        <xdr:to>
          <xdr:col>4</xdr:col>
          <xdr:colOff>19050</xdr:colOff>
          <xdr:row>26</xdr:row>
          <xdr:rowOff>19050</xdr:rowOff>
        </xdr:to>
        <xdr:sp macro="" textlink="">
          <xdr:nvSpPr>
            <xdr:cNvPr id="15521" name="Drop Down 161" hidden="1">
              <a:extLst>
                <a:ext uri="{63B3BB69-23CF-44E3-9099-C40C66FF867C}">
                  <a14:compatExt spid="_x0000_s15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0</xdr:rowOff>
        </xdr:from>
        <xdr:to>
          <xdr:col>4</xdr:col>
          <xdr:colOff>19050</xdr:colOff>
          <xdr:row>27</xdr:row>
          <xdr:rowOff>19050</xdr:rowOff>
        </xdr:to>
        <xdr:sp macro="" textlink="">
          <xdr:nvSpPr>
            <xdr:cNvPr id="15522" name="Drop Down 162" hidden="1">
              <a:extLst>
                <a:ext uri="{63B3BB69-23CF-44E3-9099-C40C66FF867C}">
                  <a14:compatExt spid="_x0000_s15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xdr:row>
          <xdr:rowOff>0</xdr:rowOff>
        </xdr:from>
        <xdr:to>
          <xdr:col>4</xdr:col>
          <xdr:colOff>809625</xdr:colOff>
          <xdr:row>5</xdr:row>
          <xdr:rowOff>19050</xdr:rowOff>
        </xdr:to>
        <xdr:sp macro="" textlink="">
          <xdr:nvSpPr>
            <xdr:cNvPr id="15523" name="Drop Down 163" hidden="1">
              <a:extLst>
                <a:ext uri="{63B3BB69-23CF-44E3-9099-C40C66FF867C}">
                  <a14:compatExt spid="_x0000_s15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0</xdr:rowOff>
        </xdr:from>
        <xdr:to>
          <xdr:col>4</xdr:col>
          <xdr:colOff>809625</xdr:colOff>
          <xdr:row>6</xdr:row>
          <xdr:rowOff>19050</xdr:rowOff>
        </xdr:to>
        <xdr:sp macro="" textlink="">
          <xdr:nvSpPr>
            <xdr:cNvPr id="15524" name="Drop Down 164" hidden="1">
              <a:extLst>
                <a:ext uri="{63B3BB69-23CF-44E3-9099-C40C66FF867C}">
                  <a14:compatExt spid="_x0000_s15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0</xdr:rowOff>
        </xdr:from>
        <xdr:to>
          <xdr:col>4</xdr:col>
          <xdr:colOff>809625</xdr:colOff>
          <xdr:row>7</xdr:row>
          <xdr:rowOff>19050</xdr:rowOff>
        </xdr:to>
        <xdr:sp macro="" textlink="">
          <xdr:nvSpPr>
            <xdr:cNvPr id="15525" name="Drop Down 165" hidden="1">
              <a:extLst>
                <a:ext uri="{63B3BB69-23CF-44E3-9099-C40C66FF867C}">
                  <a14:compatExt spid="_x0000_s15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4</xdr:col>
          <xdr:colOff>809625</xdr:colOff>
          <xdr:row>8</xdr:row>
          <xdr:rowOff>19050</xdr:rowOff>
        </xdr:to>
        <xdr:sp macro="" textlink="">
          <xdr:nvSpPr>
            <xdr:cNvPr id="15526" name="Drop Down 166" hidden="1">
              <a:extLst>
                <a:ext uri="{63B3BB69-23CF-44E3-9099-C40C66FF867C}">
                  <a14:compatExt spid="_x0000_s15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xdr:row>
          <xdr:rowOff>0</xdr:rowOff>
        </xdr:from>
        <xdr:to>
          <xdr:col>4</xdr:col>
          <xdr:colOff>809625</xdr:colOff>
          <xdr:row>9</xdr:row>
          <xdr:rowOff>19050</xdr:rowOff>
        </xdr:to>
        <xdr:sp macro="" textlink="">
          <xdr:nvSpPr>
            <xdr:cNvPr id="15527" name="Drop Down 167" hidden="1">
              <a:extLst>
                <a:ext uri="{63B3BB69-23CF-44E3-9099-C40C66FF867C}">
                  <a14:compatExt spid="_x0000_s15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xdr:row>
          <xdr:rowOff>0</xdr:rowOff>
        </xdr:from>
        <xdr:to>
          <xdr:col>4</xdr:col>
          <xdr:colOff>809625</xdr:colOff>
          <xdr:row>10</xdr:row>
          <xdr:rowOff>19050</xdr:rowOff>
        </xdr:to>
        <xdr:sp macro="" textlink="">
          <xdr:nvSpPr>
            <xdr:cNvPr id="15528" name="Drop Down 168" hidden="1">
              <a:extLst>
                <a:ext uri="{63B3BB69-23CF-44E3-9099-C40C66FF867C}">
                  <a14:compatExt spid="_x0000_s15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xdr:row>
          <xdr:rowOff>0</xdr:rowOff>
        </xdr:from>
        <xdr:to>
          <xdr:col>4</xdr:col>
          <xdr:colOff>809625</xdr:colOff>
          <xdr:row>11</xdr:row>
          <xdr:rowOff>19050</xdr:rowOff>
        </xdr:to>
        <xdr:sp macro="" textlink="">
          <xdr:nvSpPr>
            <xdr:cNvPr id="15529" name="Drop Down 169" hidden="1">
              <a:extLst>
                <a:ext uri="{63B3BB69-23CF-44E3-9099-C40C66FF867C}">
                  <a14:compatExt spid="_x0000_s15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xdr:row>
          <xdr:rowOff>0</xdr:rowOff>
        </xdr:from>
        <xdr:to>
          <xdr:col>4</xdr:col>
          <xdr:colOff>809625</xdr:colOff>
          <xdr:row>12</xdr:row>
          <xdr:rowOff>19050</xdr:rowOff>
        </xdr:to>
        <xdr:sp macro="" textlink="">
          <xdr:nvSpPr>
            <xdr:cNvPr id="15530" name="Drop Down 170" hidden="1">
              <a:extLst>
                <a:ext uri="{63B3BB69-23CF-44E3-9099-C40C66FF867C}">
                  <a14:compatExt spid="_x0000_s15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12</xdr:row>
          <xdr:rowOff>0</xdr:rowOff>
        </xdr:from>
        <xdr:to>
          <xdr:col>4</xdr:col>
          <xdr:colOff>809625</xdr:colOff>
          <xdr:row>13</xdr:row>
          <xdr:rowOff>19050</xdr:rowOff>
        </xdr:to>
        <xdr:sp macro="" textlink="">
          <xdr:nvSpPr>
            <xdr:cNvPr id="15531" name="Drop Down 171" hidden="1">
              <a:extLst>
                <a:ext uri="{63B3BB69-23CF-44E3-9099-C40C66FF867C}">
                  <a14:compatExt spid="_x0000_s15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13</xdr:row>
          <xdr:rowOff>0</xdr:rowOff>
        </xdr:from>
        <xdr:to>
          <xdr:col>4</xdr:col>
          <xdr:colOff>809625</xdr:colOff>
          <xdr:row>14</xdr:row>
          <xdr:rowOff>19050</xdr:rowOff>
        </xdr:to>
        <xdr:sp macro="" textlink="">
          <xdr:nvSpPr>
            <xdr:cNvPr id="15532" name="Drop Down 172" hidden="1">
              <a:extLst>
                <a:ext uri="{63B3BB69-23CF-44E3-9099-C40C66FF867C}">
                  <a14:compatExt spid="_x0000_s15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0</xdr:rowOff>
        </xdr:from>
        <xdr:to>
          <xdr:col>4</xdr:col>
          <xdr:colOff>809625</xdr:colOff>
          <xdr:row>15</xdr:row>
          <xdr:rowOff>19050</xdr:rowOff>
        </xdr:to>
        <xdr:sp macro="" textlink="">
          <xdr:nvSpPr>
            <xdr:cNvPr id="15533" name="Drop Down 173" hidden="1">
              <a:extLst>
                <a:ext uri="{63B3BB69-23CF-44E3-9099-C40C66FF867C}">
                  <a14:compatExt spid="_x0000_s15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0</xdr:rowOff>
        </xdr:from>
        <xdr:to>
          <xdr:col>4</xdr:col>
          <xdr:colOff>809625</xdr:colOff>
          <xdr:row>16</xdr:row>
          <xdr:rowOff>19050</xdr:rowOff>
        </xdr:to>
        <xdr:sp macro="" textlink="">
          <xdr:nvSpPr>
            <xdr:cNvPr id="15534" name="Drop Down 174" hidden="1">
              <a:extLst>
                <a:ext uri="{63B3BB69-23CF-44E3-9099-C40C66FF867C}">
                  <a14:compatExt spid="_x0000_s15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0</xdr:rowOff>
        </xdr:from>
        <xdr:to>
          <xdr:col>4</xdr:col>
          <xdr:colOff>809625</xdr:colOff>
          <xdr:row>17</xdr:row>
          <xdr:rowOff>19050</xdr:rowOff>
        </xdr:to>
        <xdr:sp macro="" textlink="">
          <xdr:nvSpPr>
            <xdr:cNvPr id="15535" name="Drop Down 175" hidden="1">
              <a:extLst>
                <a:ext uri="{63B3BB69-23CF-44E3-9099-C40C66FF867C}">
                  <a14:compatExt spid="_x0000_s15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0</xdr:rowOff>
        </xdr:from>
        <xdr:to>
          <xdr:col>4</xdr:col>
          <xdr:colOff>809625</xdr:colOff>
          <xdr:row>18</xdr:row>
          <xdr:rowOff>19050</xdr:rowOff>
        </xdr:to>
        <xdr:sp macro="" textlink="">
          <xdr:nvSpPr>
            <xdr:cNvPr id="15536" name="Drop Down 176" hidden="1">
              <a:extLst>
                <a:ext uri="{63B3BB69-23CF-44E3-9099-C40C66FF867C}">
                  <a14:compatExt spid="_x0000_s15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0</xdr:rowOff>
        </xdr:from>
        <xdr:to>
          <xdr:col>4</xdr:col>
          <xdr:colOff>809625</xdr:colOff>
          <xdr:row>19</xdr:row>
          <xdr:rowOff>19050</xdr:rowOff>
        </xdr:to>
        <xdr:sp macro="" textlink="">
          <xdr:nvSpPr>
            <xdr:cNvPr id="15537" name="Drop Down 177" hidden="1">
              <a:extLst>
                <a:ext uri="{63B3BB69-23CF-44E3-9099-C40C66FF867C}">
                  <a14:compatExt spid="_x0000_s15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0</xdr:rowOff>
        </xdr:from>
        <xdr:to>
          <xdr:col>4</xdr:col>
          <xdr:colOff>809625</xdr:colOff>
          <xdr:row>20</xdr:row>
          <xdr:rowOff>19050</xdr:rowOff>
        </xdr:to>
        <xdr:sp macro="" textlink="">
          <xdr:nvSpPr>
            <xdr:cNvPr id="15538" name="Drop Down 178" hidden="1">
              <a:extLst>
                <a:ext uri="{63B3BB69-23CF-44E3-9099-C40C66FF867C}">
                  <a14:compatExt spid="_x0000_s15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0</xdr:rowOff>
        </xdr:from>
        <xdr:to>
          <xdr:col>4</xdr:col>
          <xdr:colOff>809625</xdr:colOff>
          <xdr:row>21</xdr:row>
          <xdr:rowOff>19050</xdr:rowOff>
        </xdr:to>
        <xdr:sp macro="" textlink="">
          <xdr:nvSpPr>
            <xdr:cNvPr id="15539" name="Drop Down 179" hidden="1">
              <a:extLst>
                <a:ext uri="{63B3BB69-23CF-44E3-9099-C40C66FF867C}">
                  <a14:compatExt spid="_x0000_s15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0</xdr:rowOff>
        </xdr:from>
        <xdr:to>
          <xdr:col>4</xdr:col>
          <xdr:colOff>809625</xdr:colOff>
          <xdr:row>22</xdr:row>
          <xdr:rowOff>19050</xdr:rowOff>
        </xdr:to>
        <xdr:sp macro="" textlink="">
          <xdr:nvSpPr>
            <xdr:cNvPr id="15540" name="Drop Down 180" hidden="1">
              <a:extLst>
                <a:ext uri="{63B3BB69-23CF-44E3-9099-C40C66FF867C}">
                  <a14:compatExt spid="_x0000_s15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22</xdr:row>
          <xdr:rowOff>0</xdr:rowOff>
        </xdr:from>
        <xdr:to>
          <xdr:col>4</xdr:col>
          <xdr:colOff>809625</xdr:colOff>
          <xdr:row>23</xdr:row>
          <xdr:rowOff>19050</xdr:rowOff>
        </xdr:to>
        <xdr:sp macro="" textlink="">
          <xdr:nvSpPr>
            <xdr:cNvPr id="15541" name="Drop Down 181" hidden="1">
              <a:extLst>
                <a:ext uri="{63B3BB69-23CF-44E3-9099-C40C66FF867C}">
                  <a14:compatExt spid="_x0000_s15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0</xdr:rowOff>
        </xdr:from>
        <xdr:to>
          <xdr:col>4</xdr:col>
          <xdr:colOff>809625</xdr:colOff>
          <xdr:row>24</xdr:row>
          <xdr:rowOff>19050</xdr:rowOff>
        </xdr:to>
        <xdr:sp macro="" textlink="">
          <xdr:nvSpPr>
            <xdr:cNvPr id="15542" name="Drop Down 182" hidden="1">
              <a:extLst>
                <a:ext uri="{63B3BB69-23CF-44E3-9099-C40C66FF867C}">
                  <a14:compatExt spid="_x0000_s15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0</xdr:rowOff>
        </xdr:from>
        <xdr:to>
          <xdr:col>4</xdr:col>
          <xdr:colOff>809625</xdr:colOff>
          <xdr:row>25</xdr:row>
          <xdr:rowOff>19050</xdr:rowOff>
        </xdr:to>
        <xdr:sp macro="" textlink="">
          <xdr:nvSpPr>
            <xdr:cNvPr id="15543" name="Drop Down 183" hidden="1">
              <a:extLst>
                <a:ext uri="{63B3BB69-23CF-44E3-9099-C40C66FF867C}">
                  <a14:compatExt spid="_x0000_s15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0</xdr:rowOff>
        </xdr:from>
        <xdr:to>
          <xdr:col>4</xdr:col>
          <xdr:colOff>809625</xdr:colOff>
          <xdr:row>26</xdr:row>
          <xdr:rowOff>19050</xdr:rowOff>
        </xdr:to>
        <xdr:sp macro="" textlink="">
          <xdr:nvSpPr>
            <xdr:cNvPr id="15544" name="Drop Down 184" hidden="1">
              <a:extLst>
                <a:ext uri="{63B3BB69-23CF-44E3-9099-C40C66FF867C}">
                  <a14:compatExt spid="_x0000_s15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0</xdr:rowOff>
        </xdr:from>
        <xdr:to>
          <xdr:col>4</xdr:col>
          <xdr:colOff>809625</xdr:colOff>
          <xdr:row>27</xdr:row>
          <xdr:rowOff>19050</xdr:rowOff>
        </xdr:to>
        <xdr:sp macro="" textlink="">
          <xdr:nvSpPr>
            <xdr:cNvPr id="15545" name="Drop Down 185" hidden="1">
              <a:extLst>
                <a:ext uri="{63B3BB69-23CF-44E3-9099-C40C66FF867C}">
                  <a14:compatExt spid="_x0000_s15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xdr:row>
          <xdr:rowOff>0</xdr:rowOff>
        </xdr:from>
        <xdr:to>
          <xdr:col>9</xdr:col>
          <xdr:colOff>9525</xdr:colOff>
          <xdr:row>5</xdr:row>
          <xdr:rowOff>9525</xdr:rowOff>
        </xdr:to>
        <xdr:sp macro="" textlink="">
          <xdr:nvSpPr>
            <xdr:cNvPr id="15546" name="Drop Down 186" hidden="1">
              <a:extLst>
                <a:ext uri="{63B3BB69-23CF-44E3-9099-C40C66FF867C}">
                  <a14:compatExt spid="_x0000_s15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xdr:row>
          <xdr:rowOff>0</xdr:rowOff>
        </xdr:from>
        <xdr:to>
          <xdr:col>9</xdr:col>
          <xdr:colOff>9525</xdr:colOff>
          <xdr:row>6</xdr:row>
          <xdr:rowOff>9525</xdr:rowOff>
        </xdr:to>
        <xdr:sp macro="" textlink="">
          <xdr:nvSpPr>
            <xdr:cNvPr id="15547" name="Drop Down 187" hidden="1">
              <a:extLst>
                <a:ext uri="{63B3BB69-23CF-44E3-9099-C40C66FF867C}">
                  <a14:compatExt spid="_x0000_s15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xdr:row>
          <xdr:rowOff>0</xdr:rowOff>
        </xdr:from>
        <xdr:to>
          <xdr:col>9</xdr:col>
          <xdr:colOff>9525</xdr:colOff>
          <xdr:row>7</xdr:row>
          <xdr:rowOff>9525</xdr:rowOff>
        </xdr:to>
        <xdr:sp macro="" textlink="">
          <xdr:nvSpPr>
            <xdr:cNvPr id="15548" name="Drop Down 188" hidden="1">
              <a:extLst>
                <a:ext uri="{63B3BB69-23CF-44E3-9099-C40C66FF867C}">
                  <a14:compatExt spid="_x0000_s15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0</xdr:rowOff>
        </xdr:from>
        <xdr:to>
          <xdr:col>9</xdr:col>
          <xdr:colOff>9525</xdr:colOff>
          <xdr:row>8</xdr:row>
          <xdr:rowOff>9525</xdr:rowOff>
        </xdr:to>
        <xdr:sp macro="" textlink="">
          <xdr:nvSpPr>
            <xdr:cNvPr id="15549" name="Drop Down 189" hidden="1">
              <a:extLst>
                <a:ext uri="{63B3BB69-23CF-44E3-9099-C40C66FF867C}">
                  <a14:compatExt spid="_x0000_s15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9525</xdr:colOff>
          <xdr:row>9</xdr:row>
          <xdr:rowOff>9525</xdr:rowOff>
        </xdr:to>
        <xdr:sp macro="" textlink="">
          <xdr:nvSpPr>
            <xdr:cNvPr id="15550" name="Drop Down 190" hidden="1">
              <a:extLst>
                <a:ext uri="{63B3BB69-23CF-44E3-9099-C40C66FF867C}">
                  <a14:compatExt spid="_x0000_s15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9525</xdr:colOff>
          <xdr:row>10</xdr:row>
          <xdr:rowOff>9525</xdr:rowOff>
        </xdr:to>
        <xdr:sp macro="" textlink="">
          <xdr:nvSpPr>
            <xdr:cNvPr id="15551" name="Drop Down 191" hidden="1">
              <a:extLst>
                <a:ext uri="{63B3BB69-23CF-44E3-9099-C40C66FF867C}">
                  <a14:compatExt spid="_x0000_s15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9</xdr:col>
          <xdr:colOff>9525</xdr:colOff>
          <xdr:row>11</xdr:row>
          <xdr:rowOff>9525</xdr:rowOff>
        </xdr:to>
        <xdr:sp macro="" textlink="">
          <xdr:nvSpPr>
            <xdr:cNvPr id="15552" name="Drop Down 192" hidden="1">
              <a:extLst>
                <a:ext uri="{63B3BB69-23CF-44E3-9099-C40C66FF867C}">
                  <a14:compatExt spid="_x0000_s15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9</xdr:col>
          <xdr:colOff>9525</xdr:colOff>
          <xdr:row>12</xdr:row>
          <xdr:rowOff>9525</xdr:rowOff>
        </xdr:to>
        <xdr:sp macro="" textlink="">
          <xdr:nvSpPr>
            <xdr:cNvPr id="15553" name="Drop Down 193" hidden="1">
              <a:extLst>
                <a:ext uri="{63B3BB69-23CF-44E3-9099-C40C66FF867C}">
                  <a14:compatExt spid="_x0000_s15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9</xdr:col>
          <xdr:colOff>9525</xdr:colOff>
          <xdr:row>13</xdr:row>
          <xdr:rowOff>9525</xdr:rowOff>
        </xdr:to>
        <xdr:sp macro="" textlink="">
          <xdr:nvSpPr>
            <xdr:cNvPr id="15554" name="Drop Down 194" hidden="1">
              <a:extLst>
                <a:ext uri="{63B3BB69-23CF-44E3-9099-C40C66FF867C}">
                  <a14:compatExt spid="_x0000_s15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9</xdr:col>
          <xdr:colOff>9525</xdr:colOff>
          <xdr:row>14</xdr:row>
          <xdr:rowOff>9525</xdr:rowOff>
        </xdr:to>
        <xdr:sp macro="" textlink="">
          <xdr:nvSpPr>
            <xdr:cNvPr id="15555" name="Drop Down 195" hidden="1">
              <a:extLst>
                <a:ext uri="{63B3BB69-23CF-44E3-9099-C40C66FF867C}">
                  <a14:compatExt spid="_x0000_s15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9525</xdr:colOff>
          <xdr:row>15</xdr:row>
          <xdr:rowOff>9525</xdr:rowOff>
        </xdr:to>
        <xdr:sp macro="" textlink="">
          <xdr:nvSpPr>
            <xdr:cNvPr id="15556" name="Drop Down 196" hidden="1">
              <a:extLst>
                <a:ext uri="{63B3BB69-23CF-44E3-9099-C40C66FF867C}">
                  <a14:compatExt spid="_x0000_s15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9525</xdr:colOff>
          <xdr:row>16</xdr:row>
          <xdr:rowOff>9525</xdr:rowOff>
        </xdr:to>
        <xdr:sp macro="" textlink="">
          <xdr:nvSpPr>
            <xdr:cNvPr id="15557" name="Drop Down 197" hidden="1">
              <a:extLst>
                <a:ext uri="{63B3BB69-23CF-44E3-9099-C40C66FF867C}">
                  <a14:compatExt spid="_x0000_s15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9525</xdr:colOff>
          <xdr:row>17</xdr:row>
          <xdr:rowOff>9525</xdr:rowOff>
        </xdr:to>
        <xdr:sp macro="" textlink="">
          <xdr:nvSpPr>
            <xdr:cNvPr id="15558" name="Drop Down 198" hidden="1">
              <a:extLst>
                <a:ext uri="{63B3BB69-23CF-44E3-9099-C40C66FF867C}">
                  <a14:compatExt spid="_x0000_s15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9525</xdr:colOff>
          <xdr:row>18</xdr:row>
          <xdr:rowOff>9525</xdr:rowOff>
        </xdr:to>
        <xdr:sp macro="" textlink="">
          <xdr:nvSpPr>
            <xdr:cNvPr id="15559" name="Drop Down 199" hidden="1">
              <a:extLst>
                <a:ext uri="{63B3BB69-23CF-44E3-9099-C40C66FF867C}">
                  <a14:compatExt spid="_x0000_s15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9525</xdr:colOff>
          <xdr:row>19</xdr:row>
          <xdr:rowOff>9525</xdr:rowOff>
        </xdr:to>
        <xdr:sp macro="" textlink="">
          <xdr:nvSpPr>
            <xdr:cNvPr id="15560" name="Drop Down 200" hidden="1">
              <a:extLst>
                <a:ext uri="{63B3BB69-23CF-44E3-9099-C40C66FF867C}">
                  <a14:compatExt spid="_x0000_s15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9525</xdr:colOff>
          <xdr:row>20</xdr:row>
          <xdr:rowOff>9525</xdr:rowOff>
        </xdr:to>
        <xdr:sp macro="" textlink="">
          <xdr:nvSpPr>
            <xdr:cNvPr id="15561" name="Drop Down 201" hidden="1">
              <a:extLst>
                <a:ext uri="{63B3BB69-23CF-44E3-9099-C40C66FF867C}">
                  <a14:compatExt spid="_x0000_s15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9525</xdr:colOff>
          <xdr:row>21</xdr:row>
          <xdr:rowOff>9525</xdr:rowOff>
        </xdr:to>
        <xdr:sp macro="" textlink="">
          <xdr:nvSpPr>
            <xdr:cNvPr id="15562" name="Drop Down 202" hidden="1">
              <a:extLst>
                <a:ext uri="{63B3BB69-23CF-44E3-9099-C40C66FF867C}">
                  <a14:compatExt spid="_x0000_s15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9525</xdr:colOff>
          <xdr:row>22</xdr:row>
          <xdr:rowOff>9525</xdr:rowOff>
        </xdr:to>
        <xdr:sp macro="" textlink="">
          <xdr:nvSpPr>
            <xdr:cNvPr id="15563" name="Drop Down 203" hidden="1">
              <a:extLst>
                <a:ext uri="{63B3BB69-23CF-44E3-9099-C40C66FF867C}">
                  <a14:compatExt spid="_x0000_s15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9525</xdr:colOff>
          <xdr:row>23</xdr:row>
          <xdr:rowOff>9525</xdr:rowOff>
        </xdr:to>
        <xdr:sp macro="" textlink="">
          <xdr:nvSpPr>
            <xdr:cNvPr id="15564" name="Drop Down 204" hidden="1">
              <a:extLst>
                <a:ext uri="{63B3BB69-23CF-44E3-9099-C40C66FF867C}">
                  <a14:compatExt spid="_x0000_s15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9525</xdr:colOff>
          <xdr:row>24</xdr:row>
          <xdr:rowOff>9525</xdr:rowOff>
        </xdr:to>
        <xdr:sp macro="" textlink="">
          <xdr:nvSpPr>
            <xdr:cNvPr id="15565" name="Drop Down 205" hidden="1">
              <a:extLst>
                <a:ext uri="{63B3BB69-23CF-44E3-9099-C40C66FF867C}">
                  <a14:compatExt spid="_x0000_s15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9525</xdr:colOff>
          <xdr:row>25</xdr:row>
          <xdr:rowOff>9525</xdr:rowOff>
        </xdr:to>
        <xdr:sp macro="" textlink="">
          <xdr:nvSpPr>
            <xdr:cNvPr id="15566" name="Drop Down 206" hidden="1">
              <a:extLst>
                <a:ext uri="{63B3BB69-23CF-44E3-9099-C40C66FF867C}">
                  <a14:compatExt spid="_x0000_s15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9525</xdr:colOff>
          <xdr:row>26</xdr:row>
          <xdr:rowOff>9525</xdr:rowOff>
        </xdr:to>
        <xdr:sp macro="" textlink="">
          <xdr:nvSpPr>
            <xdr:cNvPr id="15567" name="Drop Down 207" hidden="1">
              <a:extLst>
                <a:ext uri="{63B3BB69-23CF-44E3-9099-C40C66FF867C}">
                  <a14:compatExt spid="_x0000_s15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9525</xdr:colOff>
          <xdr:row>27</xdr:row>
          <xdr:rowOff>9525</xdr:rowOff>
        </xdr:to>
        <xdr:sp macro="" textlink="">
          <xdr:nvSpPr>
            <xdr:cNvPr id="15568" name="Drop Down 208" hidden="1">
              <a:extLst>
                <a:ext uri="{63B3BB69-23CF-44E3-9099-C40C66FF867C}">
                  <a14:compatExt spid="_x0000_s15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xdr:row>
          <xdr:rowOff>0</xdr:rowOff>
        </xdr:from>
        <xdr:to>
          <xdr:col>11</xdr:col>
          <xdr:colOff>9525</xdr:colOff>
          <xdr:row>6</xdr:row>
          <xdr:rowOff>19050</xdr:rowOff>
        </xdr:to>
        <xdr:sp macro="" textlink="">
          <xdr:nvSpPr>
            <xdr:cNvPr id="15569" name="Drop Down 209" hidden="1">
              <a:extLst>
                <a:ext uri="{63B3BB69-23CF-44E3-9099-C40C66FF867C}">
                  <a14:compatExt spid="_x0000_s15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xdr:row>
          <xdr:rowOff>0</xdr:rowOff>
        </xdr:from>
        <xdr:to>
          <xdr:col>11</xdr:col>
          <xdr:colOff>9525</xdr:colOff>
          <xdr:row>5</xdr:row>
          <xdr:rowOff>19050</xdr:rowOff>
        </xdr:to>
        <xdr:sp macro="" textlink="">
          <xdr:nvSpPr>
            <xdr:cNvPr id="15570" name="Drop Down 210" hidden="1">
              <a:extLst>
                <a:ext uri="{63B3BB69-23CF-44E3-9099-C40C66FF867C}">
                  <a14:compatExt spid="_x0000_s15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6</xdr:row>
          <xdr:rowOff>0</xdr:rowOff>
        </xdr:from>
        <xdr:to>
          <xdr:col>11</xdr:col>
          <xdr:colOff>9525</xdr:colOff>
          <xdr:row>7</xdr:row>
          <xdr:rowOff>19050</xdr:rowOff>
        </xdr:to>
        <xdr:sp macro="" textlink="">
          <xdr:nvSpPr>
            <xdr:cNvPr id="15571" name="Drop Down 211" hidden="1">
              <a:extLst>
                <a:ext uri="{63B3BB69-23CF-44E3-9099-C40C66FF867C}">
                  <a14:compatExt spid="_x0000_s15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7</xdr:row>
          <xdr:rowOff>0</xdr:rowOff>
        </xdr:from>
        <xdr:to>
          <xdr:col>11</xdr:col>
          <xdr:colOff>9525</xdr:colOff>
          <xdr:row>8</xdr:row>
          <xdr:rowOff>19050</xdr:rowOff>
        </xdr:to>
        <xdr:sp macro="" textlink="">
          <xdr:nvSpPr>
            <xdr:cNvPr id="15572" name="Drop Down 212" hidden="1">
              <a:extLst>
                <a:ext uri="{63B3BB69-23CF-44E3-9099-C40C66FF867C}">
                  <a14:compatExt spid="_x0000_s15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8</xdr:row>
          <xdr:rowOff>0</xdr:rowOff>
        </xdr:from>
        <xdr:to>
          <xdr:col>11</xdr:col>
          <xdr:colOff>9525</xdr:colOff>
          <xdr:row>9</xdr:row>
          <xdr:rowOff>19050</xdr:rowOff>
        </xdr:to>
        <xdr:sp macro="" textlink="">
          <xdr:nvSpPr>
            <xdr:cNvPr id="15573" name="Drop Down 213" hidden="1">
              <a:extLst>
                <a:ext uri="{63B3BB69-23CF-44E3-9099-C40C66FF867C}">
                  <a14:compatExt spid="_x0000_s15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9</xdr:row>
          <xdr:rowOff>0</xdr:rowOff>
        </xdr:from>
        <xdr:to>
          <xdr:col>11</xdr:col>
          <xdr:colOff>9525</xdr:colOff>
          <xdr:row>10</xdr:row>
          <xdr:rowOff>19050</xdr:rowOff>
        </xdr:to>
        <xdr:sp macro="" textlink="">
          <xdr:nvSpPr>
            <xdr:cNvPr id="15574" name="Drop Down 214" hidden="1">
              <a:extLst>
                <a:ext uri="{63B3BB69-23CF-44E3-9099-C40C66FF867C}">
                  <a14:compatExt spid="_x0000_s15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10</xdr:row>
          <xdr:rowOff>0</xdr:rowOff>
        </xdr:from>
        <xdr:to>
          <xdr:col>11</xdr:col>
          <xdr:colOff>9525</xdr:colOff>
          <xdr:row>11</xdr:row>
          <xdr:rowOff>19050</xdr:rowOff>
        </xdr:to>
        <xdr:sp macro="" textlink="">
          <xdr:nvSpPr>
            <xdr:cNvPr id="15575" name="Drop Down 215" hidden="1">
              <a:extLst>
                <a:ext uri="{63B3BB69-23CF-44E3-9099-C40C66FF867C}">
                  <a14:compatExt spid="_x0000_s15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11</xdr:row>
          <xdr:rowOff>0</xdr:rowOff>
        </xdr:from>
        <xdr:to>
          <xdr:col>11</xdr:col>
          <xdr:colOff>9525</xdr:colOff>
          <xdr:row>12</xdr:row>
          <xdr:rowOff>19050</xdr:rowOff>
        </xdr:to>
        <xdr:sp macro="" textlink="">
          <xdr:nvSpPr>
            <xdr:cNvPr id="15576" name="Drop Down 216" hidden="1">
              <a:extLst>
                <a:ext uri="{63B3BB69-23CF-44E3-9099-C40C66FF867C}">
                  <a14:compatExt spid="_x0000_s15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12</xdr:row>
          <xdr:rowOff>0</xdr:rowOff>
        </xdr:from>
        <xdr:to>
          <xdr:col>11</xdr:col>
          <xdr:colOff>9525</xdr:colOff>
          <xdr:row>13</xdr:row>
          <xdr:rowOff>19050</xdr:rowOff>
        </xdr:to>
        <xdr:sp macro="" textlink="">
          <xdr:nvSpPr>
            <xdr:cNvPr id="15577" name="Drop Down 217" hidden="1">
              <a:extLst>
                <a:ext uri="{63B3BB69-23CF-44E3-9099-C40C66FF867C}">
                  <a14:compatExt spid="_x0000_s15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13</xdr:row>
          <xdr:rowOff>0</xdr:rowOff>
        </xdr:from>
        <xdr:to>
          <xdr:col>11</xdr:col>
          <xdr:colOff>9525</xdr:colOff>
          <xdr:row>14</xdr:row>
          <xdr:rowOff>19050</xdr:rowOff>
        </xdr:to>
        <xdr:sp macro="" textlink="">
          <xdr:nvSpPr>
            <xdr:cNvPr id="15578" name="Drop Down 218" hidden="1">
              <a:extLst>
                <a:ext uri="{63B3BB69-23CF-44E3-9099-C40C66FF867C}">
                  <a14:compatExt spid="_x0000_s15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xdr:row>
          <xdr:rowOff>0</xdr:rowOff>
        </xdr:from>
        <xdr:to>
          <xdr:col>11</xdr:col>
          <xdr:colOff>9525</xdr:colOff>
          <xdr:row>15</xdr:row>
          <xdr:rowOff>19050</xdr:rowOff>
        </xdr:to>
        <xdr:sp macro="" textlink="">
          <xdr:nvSpPr>
            <xdr:cNvPr id="15579" name="Drop Down 219" hidden="1">
              <a:extLst>
                <a:ext uri="{63B3BB69-23CF-44E3-9099-C40C66FF867C}">
                  <a14:compatExt spid="_x0000_s15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15</xdr:row>
          <xdr:rowOff>0</xdr:rowOff>
        </xdr:from>
        <xdr:to>
          <xdr:col>11</xdr:col>
          <xdr:colOff>9525</xdr:colOff>
          <xdr:row>16</xdr:row>
          <xdr:rowOff>19050</xdr:rowOff>
        </xdr:to>
        <xdr:sp macro="" textlink="">
          <xdr:nvSpPr>
            <xdr:cNvPr id="15580" name="Drop Down 220" hidden="1">
              <a:extLst>
                <a:ext uri="{63B3BB69-23CF-44E3-9099-C40C66FF867C}">
                  <a14:compatExt spid="_x0000_s15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16</xdr:row>
          <xdr:rowOff>0</xdr:rowOff>
        </xdr:from>
        <xdr:to>
          <xdr:col>11</xdr:col>
          <xdr:colOff>9525</xdr:colOff>
          <xdr:row>17</xdr:row>
          <xdr:rowOff>19050</xdr:rowOff>
        </xdr:to>
        <xdr:sp macro="" textlink="">
          <xdr:nvSpPr>
            <xdr:cNvPr id="15581" name="Drop Down 221" hidden="1">
              <a:extLst>
                <a:ext uri="{63B3BB69-23CF-44E3-9099-C40C66FF867C}">
                  <a14:compatExt spid="_x0000_s15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17</xdr:row>
          <xdr:rowOff>0</xdr:rowOff>
        </xdr:from>
        <xdr:to>
          <xdr:col>11</xdr:col>
          <xdr:colOff>9525</xdr:colOff>
          <xdr:row>18</xdr:row>
          <xdr:rowOff>19050</xdr:rowOff>
        </xdr:to>
        <xdr:sp macro="" textlink="">
          <xdr:nvSpPr>
            <xdr:cNvPr id="15582" name="Drop Down 222" hidden="1">
              <a:extLst>
                <a:ext uri="{63B3BB69-23CF-44E3-9099-C40C66FF867C}">
                  <a14:compatExt spid="_x0000_s15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18</xdr:row>
          <xdr:rowOff>0</xdr:rowOff>
        </xdr:from>
        <xdr:to>
          <xdr:col>11</xdr:col>
          <xdr:colOff>9525</xdr:colOff>
          <xdr:row>19</xdr:row>
          <xdr:rowOff>19050</xdr:rowOff>
        </xdr:to>
        <xdr:sp macro="" textlink="">
          <xdr:nvSpPr>
            <xdr:cNvPr id="15583" name="Drop Down 223" hidden="1">
              <a:extLst>
                <a:ext uri="{63B3BB69-23CF-44E3-9099-C40C66FF867C}">
                  <a14:compatExt spid="_x0000_s15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19</xdr:row>
          <xdr:rowOff>0</xdr:rowOff>
        </xdr:from>
        <xdr:to>
          <xdr:col>11</xdr:col>
          <xdr:colOff>9525</xdr:colOff>
          <xdr:row>20</xdr:row>
          <xdr:rowOff>19050</xdr:rowOff>
        </xdr:to>
        <xdr:sp macro="" textlink="">
          <xdr:nvSpPr>
            <xdr:cNvPr id="15584" name="Drop Down 224" hidden="1">
              <a:extLst>
                <a:ext uri="{63B3BB69-23CF-44E3-9099-C40C66FF867C}">
                  <a14:compatExt spid="_x0000_s15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20</xdr:row>
          <xdr:rowOff>0</xdr:rowOff>
        </xdr:from>
        <xdr:to>
          <xdr:col>11</xdr:col>
          <xdr:colOff>9525</xdr:colOff>
          <xdr:row>21</xdr:row>
          <xdr:rowOff>19050</xdr:rowOff>
        </xdr:to>
        <xdr:sp macro="" textlink="">
          <xdr:nvSpPr>
            <xdr:cNvPr id="15585" name="Drop Down 225" hidden="1">
              <a:extLst>
                <a:ext uri="{63B3BB69-23CF-44E3-9099-C40C66FF867C}">
                  <a14:compatExt spid="_x0000_s15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xdr:row>
          <xdr:rowOff>0</xdr:rowOff>
        </xdr:from>
        <xdr:to>
          <xdr:col>11</xdr:col>
          <xdr:colOff>9525</xdr:colOff>
          <xdr:row>22</xdr:row>
          <xdr:rowOff>19050</xdr:rowOff>
        </xdr:to>
        <xdr:sp macro="" textlink="">
          <xdr:nvSpPr>
            <xdr:cNvPr id="15586" name="Drop Down 226" hidden="1">
              <a:extLst>
                <a:ext uri="{63B3BB69-23CF-44E3-9099-C40C66FF867C}">
                  <a14:compatExt spid="_x0000_s15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22</xdr:row>
          <xdr:rowOff>0</xdr:rowOff>
        </xdr:from>
        <xdr:to>
          <xdr:col>11</xdr:col>
          <xdr:colOff>9525</xdr:colOff>
          <xdr:row>23</xdr:row>
          <xdr:rowOff>19050</xdr:rowOff>
        </xdr:to>
        <xdr:sp macro="" textlink="">
          <xdr:nvSpPr>
            <xdr:cNvPr id="15587" name="Drop Down 227" hidden="1">
              <a:extLst>
                <a:ext uri="{63B3BB69-23CF-44E3-9099-C40C66FF867C}">
                  <a14:compatExt spid="_x0000_s15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23</xdr:row>
          <xdr:rowOff>0</xdr:rowOff>
        </xdr:from>
        <xdr:to>
          <xdr:col>11</xdr:col>
          <xdr:colOff>9525</xdr:colOff>
          <xdr:row>24</xdr:row>
          <xdr:rowOff>19050</xdr:rowOff>
        </xdr:to>
        <xdr:sp macro="" textlink="">
          <xdr:nvSpPr>
            <xdr:cNvPr id="15588" name="Drop Down 228" hidden="1">
              <a:extLst>
                <a:ext uri="{63B3BB69-23CF-44E3-9099-C40C66FF867C}">
                  <a14:compatExt spid="_x0000_s15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24</xdr:row>
          <xdr:rowOff>0</xdr:rowOff>
        </xdr:from>
        <xdr:to>
          <xdr:col>11</xdr:col>
          <xdr:colOff>9525</xdr:colOff>
          <xdr:row>25</xdr:row>
          <xdr:rowOff>19050</xdr:rowOff>
        </xdr:to>
        <xdr:sp macro="" textlink="">
          <xdr:nvSpPr>
            <xdr:cNvPr id="15589" name="Drop Down 229" hidden="1">
              <a:extLst>
                <a:ext uri="{63B3BB69-23CF-44E3-9099-C40C66FF867C}">
                  <a14:compatExt spid="_x0000_s15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0</xdr:rowOff>
        </xdr:from>
        <xdr:to>
          <xdr:col>11</xdr:col>
          <xdr:colOff>9525</xdr:colOff>
          <xdr:row>26</xdr:row>
          <xdr:rowOff>19050</xdr:rowOff>
        </xdr:to>
        <xdr:sp macro="" textlink="">
          <xdr:nvSpPr>
            <xdr:cNvPr id="15590" name="Drop Down 230" hidden="1">
              <a:extLst>
                <a:ext uri="{63B3BB69-23CF-44E3-9099-C40C66FF867C}">
                  <a14:compatExt spid="_x0000_s15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0</xdr:rowOff>
        </xdr:from>
        <xdr:to>
          <xdr:col>11</xdr:col>
          <xdr:colOff>9525</xdr:colOff>
          <xdr:row>27</xdr:row>
          <xdr:rowOff>19050</xdr:rowOff>
        </xdr:to>
        <xdr:sp macro="" textlink="">
          <xdr:nvSpPr>
            <xdr:cNvPr id="15591" name="Drop Down 231" hidden="1">
              <a:extLst>
                <a:ext uri="{63B3BB69-23CF-44E3-9099-C40C66FF867C}">
                  <a14:compatExt spid="_x0000_s15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0</xdr:rowOff>
        </xdr:from>
        <xdr:to>
          <xdr:col>12</xdr:col>
          <xdr:colOff>0</xdr:colOff>
          <xdr:row>5</xdr:row>
          <xdr:rowOff>9525</xdr:rowOff>
        </xdr:to>
        <xdr:sp macro="" textlink="">
          <xdr:nvSpPr>
            <xdr:cNvPr id="15592" name="Drop Down 232" hidden="1">
              <a:extLst>
                <a:ext uri="{63B3BB69-23CF-44E3-9099-C40C66FF867C}">
                  <a14:compatExt spid="_x0000_s15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0</xdr:rowOff>
        </xdr:from>
        <xdr:to>
          <xdr:col>12</xdr:col>
          <xdr:colOff>0</xdr:colOff>
          <xdr:row>6</xdr:row>
          <xdr:rowOff>9525</xdr:rowOff>
        </xdr:to>
        <xdr:sp macro="" textlink="">
          <xdr:nvSpPr>
            <xdr:cNvPr id="15593" name="Drop Down 233" hidden="1">
              <a:extLst>
                <a:ext uri="{63B3BB69-23CF-44E3-9099-C40C66FF867C}">
                  <a14:compatExt spid="_x0000_s15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xdr:row>
          <xdr:rowOff>0</xdr:rowOff>
        </xdr:from>
        <xdr:to>
          <xdr:col>12</xdr:col>
          <xdr:colOff>0</xdr:colOff>
          <xdr:row>7</xdr:row>
          <xdr:rowOff>9525</xdr:rowOff>
        </xdr:to>
        <xdr:sp macro="" textlink="">
          <xdr:nvSpPr>
            <xdr:cNvPr id="15594" name="Drop Down 234" hidden="1">
              <a:extLst>
                <a:ext uri="{63B3BB69-23CF-44E3-9099-C40C66FF867C}">
                  <a14:compatExt spid="_x0000_s15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xdr:row>
          <xdr:rowOff>0</xdr:rowOff>
        </xdr:from>
        <xdr:to>
          <xdr:col>12</xdr:col>
          <xdr:colOff>0</xdr:colOff>
          <xdr:row>8</xdr:row>
          <xdr:rowOff>9525</xdr:rowOff>
        </xdr:to>
        <xdr:sp macro="" textlink="">
          <xdr:nvSpPr>
            <xdr:cNvPr id="15595" name="Drop Down 235" hidden="1">
              <a:extLst>
                <a:ext uri="{63B3BB69-23CF-44E3-9099-C40C66FF867C}">
                  <a14:compatExt spid="_x0000_s15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0</xdr:rowOff>
        </xdr:from>
        <xdr:to>
          <xdr:col>12</xdr:col>
          <xdr:colOff>0</xdr:colOff>
          <xdr:row>9</xdr:row>
          <xdr:rowOff>9525</xdr:rowOff>
        </xdr:to>
        <xdr:sp macro="" textlink="">
          <xdr:nvSpPr>
            <xdr:cNvPr id="15596" name="Drop Down 236" hidden="1">
              <a:extLst>
                <a:ext uri="{63B3BB69-23CF-44E3-9099-C40C66FF867C}">
                  <a14:compatExt spid="_x0000_s15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xdr:row>
          <xdr:rowOff>0</xdr:rowOff>
        </xdr:from>
        <xdr:to>
          <xdr:col>12</xdr:col>
          <xdr:colOff>0</xdr:colOff>
          <xdr:row>10</xdr:row>
          <xdr:rowOff>9525</xdr:rowOff>
        </xdr:to>
        <xdr:sp macro="" textlink="">
          <xdr:nvSpPr>
            <xdr:cNvPr id="15597" name="Drop Down 237" hidden="1">
              <a:extLst>
                <a:ext uri="{63B3BB69-23CF-44E3-9099-C40C66FF867C}">
                  <a14:compatExt spid="_x0000_s15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xdr:row>
          <xdr:rowOff>0</xdr:rowOff>
        </xdr:from>
        <xdr:to>
          <xdr:col>12</xdr:col>
          <xdr:colOff>0</xdr:colOff>
          <xdr:row>11</xdr:row>
          <xdr:rowOff>9525</xdr:rowOff>
        </xdr:to>
        <xdr:sp macro="" textlink="">
          <xdr:nvSpPr>
            <xdr:cNvPr id="15598" name="Drop Down 238" hidden="1">
              <a:extLst>
                <a:ext uri="{63B3BB69-23CF-44E3-9099-C40C66FF867C}">
                  <a14:compatExt spid="_x0000_s15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xdr:row>
          <xdr:rowOff>0</xdr:rowOff>
        </xdr:from>
        <xdr:to>
          <xdr:col>12</xdr:col>
          <xdr:colOff>0</xdr:colOff>
          <xdr:row>12</xdr:row>
          <xdr:rowOff>9525</xdr:rowOff>
        </xdr:to>
        <xdr:sp macro="" textlink="">
          <xdr:nvSpPr>
            <xdr:cNvPr id="15599" name="Drop Down 239" hidden="1">
              <a:extLst>
                <a:ext uri="{63B3BB69-23CF-44E3-9099-C40C66FF867C}">
                  <a14:compatExt spid="_x0000_s15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0</xdr:rowOff>
        </xdr:from>
        <xdr:to>
          <xdr:col>12</xdr:col>
          <xdr:colOff>0</xdr:colOff>
          <xdr:row>13</xdr:row>
          <xdr:rowOff>9525</xdr:rowOff>
        </xdr:to>
        <xdr:sp macro="" textlink="">
          <xdr:nvSpPr>
            <xdr:cNvPr id="15600" name="Drop Down 240" hidden="1">
              <a:extLst>
                <a:ext uri="{63B3BB69-23CF-44E3-9099-C40C66FF867C}">
                  <a14:compatExt spid="_x0000_s15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xdr:row>
          <xdr:rowOff>0</xdr:rowOff>
        </xdr:from>
        <xdr:to>
          <xdr:col>12</xdr:col>
          <xdr:colOff>0</xdr:colOff>
          <xdr:row>14</xdr:row>
          <xdr:rowOff>9525</xdr:rowOff>
        </xdr:to>
        <xdr:sp macro="" textlink="">
          <xdr:nvSpPr>
            <xdr:cNvPr id="15601" name="Drop Down 241" hidden="1">
              <a:extLst>
                <a:ext uri="{63B3BB69-23CF-44E3-9099-C40C66FF867C}">
                  <a14:compatExt spid="_x0000_s15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0</xdr:rowOff>
        </xdr:from>
        <xdr:to>
          <xdr:col>12</xdr:col>
          <xdr:colOff>0</xdr:colOff>
          <xdr:row>15</xdr:row>
          <xdr:rowOff>9525</xdr:rowOff>
        </xdr:to>
        <xdr:sp macro="" textlink="">
          <xdr:nvSpPr>
            <xdr:cNvPr id="15602" name="Drop Down 242" hidden="1">
              <a:extLst>
                <a:ext uri="{63B3BB69-23CF-44E3-9099-C40C66FF867C}">
                  <a14:compatExt spid="_x0000_s15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0</xdr:rowOff>
        </xdr:from>
        <xdr:to>
          <xdr:col>12</xdr:col>
          <xdr:colOff>0</xdr:colOff>
          <xdr:row>16</xdr:row>
          <xdr:rowOff>9525</xdr:rowOff>
        </xdr:to>
        <xdr:sp macro="" textlink="">
          <xdr:nvSpPr>
            <xdr:cNvPr id="15603" name="Drop Down 243" hidden="1">
              <a:extLst>
                <a:ext uri="{63B3BB69-23CF-44E3-9099-C40C66FF867C}">
                  <a14:compatExt spid="_x0000_s15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16</xdr:row>
          <xdr:rowOff>0</xdr:rowOff>
        </xdr:from>
        <xdr:to>
          <xdr:col>12</xdr:col>
          <xdr:colOff>0</xdr:colOff>
          <xdr:row>17</xdr:row>
          <xdr:rowOff>9525</xdr:rowOff>
        </xdr:to>
        <xdr:sp macro="" textlink="">
          <xdr:nvSpPr>
            <xdr:cNvPr id="15604" name="Drop Down 244" hidden="1">
              <a:extLst>
                <a:ext uri="{63B3BB69-23CF-44E3-9099-C40C66FF867C}">
                  <a14:compatExt spid="_x0000_s15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17</xdr:row>
          <xdr:rowOff>0</xdr:rowOff>
        </xdr:from>
        <xdr:to>
          <xdr:col>12</xdr:col>
          <xdr:colOff>0</xdr:colOff>
          <xdr:row>18</xdr:row>
          <xdr:rowOff>9525</xdr:rowOff>
        </xdr:to>
        <xdr:sp macro="" textlink="">
          <xdr:nvSpPr>
            <xdr:cNvPr id="15605" name="Drop Down 245" hidden="1">
              <a:extLst>
                <a:ext uri="{63B3BB69-23CF-44E3-9099-C40C66FF867C}">
                  <a14:compatExt spid="_x0000_s15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0</xdr:rowOff>
        </xdr:from>
        <xdr:to>
          <xdr:col>12</xdr:col>
          <xdr:colOff>0</xdr:colOff>
          <xdr:row>19</xdr:row>
          <xdr:rowOff>9525</xdr:rowOff>
        </xdr:to>
        <xdr:sp macro="" textlink="">
          <xdr:nvSpPr>
            <xdr:cNvPr id="15606" name="Drop Down 246" hidden="1">
              <a:extLst>
                <a:ext uri="{63B3BB69-23CF-44E3-9099-C40C66FF867C}">
                  <a14:compatExt spid="_x0000_s15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19</xdr:row>
          <xdr:rowOff>0</xdr:rowOff>
        </xdr:from>
        <xdr:to>
          <xdr:col>12</xdr:col>
          <xdr:colOff>0</xdr:colOff>
          <xdr:row>20</xdr:row>
          <xdr:rowOff>9525</xdr:rowOff>
        </xdr:to>
        <xdr:sp macro="" textlink="">
          <xdr:nvSpPr>
            <xdr:cNvPr id="15607" name="Drop Down 247" hidden="1">
              <a:extLst>
                <a:ext uri="{63B3BB69-23CF-44E3-9099-C40C66FF867C}">
                  <a14:compatExt spid="_x0000_s15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20</xdr:row>
          <xdr:rowOff>0</xdr:rowOff>
        </xdr:from>
        <xdr:to>
          <xdr:col>12</xdr:col>
          <xdr:colOff>0</xdr:colOff>
          <xdr:row>21</xdr:row>
          <xdr:rowOff>9525</xdr:rowOff>
        </xdr:to>
        <xdr:sp macro="" textlink="">
          <xdr:nvSpPr>
            <xdr:cNvPr id="15608" name="Drop Down 248" hidden="1">
              <a:extLst>
                <a:ext uri="{63B3BB69-23CF-44E3-9099-C40C66FF867C}">
                  <a14:compatExt spid="_x0000_s15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0</xdr:rowOff>
        </xdr:from>
        <xdr:to>
          <xdr:col>12</xdr:col>
          <xdr:colOff>0</xdr:colOff>
          <xdr:row>22</xdr:row>
          <xdr:rowOff>9525</xdr:rowOff>
        </xdr:to>
        <xdr:sp macro="" textlink="">
          <xdr:nvSpPr>
            <xdr:cNvPr id="15609" name="Drop Down 249" hidden="1">
              <a:extLst>
                <a:ext uri="{63B3BB69-23CF-44E3-9099-C40C66FF867C}">
                  <a14:compatExt spid="_x0000_s15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0</xdr:rowOff>
        </xdr:from>
        <xdr:to>
          <xdr:col>12</xdr:col>
          <xdr:colOff>0</xdr:colOff>
          <xdr:row>23</xdr:row>
          <xdr:rowOff>9525</xdr:rowOff>
        </xdr:to>
        <xdr:sp macro="" textlink="">
          <xdr:nvSpPr>
            <xdr:cNvPr id="15610" name="Drop Down 250" hidden="1">
              <a:extLst>
                <a:ext uri="{63B3BB69-23CF-44E3-9099-C40C66FF867C}">
                  <a14:compatExt spid="_x0000_s15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0</xdr:rowOff>
        </xdr:from>
        <xdr:to>
          <xdr:col>12</xdr:col>
          <xdr:colOff>0</xdr:colOff>
          <xdr:row>24</xdr:row>
          <xdr:rowOff>9525</xdr:rowOff>
        </xdr:to>
        <xdr:sp macro="" textlink="">
          <xdr:nvSpPr>
            <xdr:cNvPr id="15611" name="Drop Down 251" hidden="1">
              <a:extLst>
                <a:ext uri="{63B3BB69-23CF-44E3-9099-C40C66FF867C}">
                  <a14:compatExt spid="_x0000_s15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0</xdr:rowOff>
        </xdr:from>
        <xdr:to>
          <xdr:col>12</xdr:col>
          <xdr:colOff>0</xdr:colOff>
          <xdr:row>25</xdr:row>
          <xdr:rowOff>9525</xdr:rowOff>
        </xdr:to>
        <xdr:sp macro="" textlink="">
          <xdr:nvSpPr>
            <xdr:cNvPr id="15612" name="Drop Down 252" hidden="1">
              <a:extLst>
                <a:ext uri="{63B3BB69-23CF-44E3-9099-C40C66FF867C}">
                  <a14:compatExt spid="_x0000_s15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0</xdr:rowOff>
        </xdr:from>
        <xdr:to>
          <xdr:col>12</xdr:col>
          <xdr:colOff>0</xdr:colOff>
          <xdr:row>26</xdr:row>
          <xdr:rowOff>9525</xdr:rowOff>
        </xdr:to>
        <xdr:sp macro="" textlink="">
          <xdr:nvSpPr>
            <xdr:cNvPr id="15613" name="Drop Down 253" hidden="1">
              <a:extLst>
                <a:ext uri="{63B3BB69-23CF-44E3-9099-C40C66FF867C}">
                  <a14:compatExt spid="_x0000_s15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0</xdr:rowOff>
        </xdr:from>
        <xdr:to>
          <xdr:col>12</xdr:col>
          <xdr:colOff>0</xdr:colOff>
          <xdr:row>27</xdr:row>
          <xdr:rowOff>9525</xdr:rowOff>
        </xdr:to>
        <xdr:sp macro="" textlink="">
          <xdr:nvSpPr>
            <xdr:cNvPr id="15614" name="Drop Down 254" hidden="1">
              <a:extLst>
                <a:ext uri="{63B3BB69-23CF-44E3-9099-C40C66FF867C}">
                  <a14:compatExt spid="_x0000_s15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13</xdr:col>
          <xdr:colOff>9525</xdr:colOff>
          <xdr:row>5</xdr:row>
          <xdr:rowOff>9525</xdr:rowOff>
        </xdr:to>
        <xdr:sp macro="" textlink="">
          <xdr:nvSpPr>
            <xdr:cNvPr id="15615" name="Drop Down 255" hidden="1">
              <a:extLst>
                <a:ext uri="{63B3BB69-23CF-44E3-9099-C40C66FF867C}">
                  <a14:compatExt spid="_x0000_s15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9525</xdr:colOff>
          <xdr:row>6</xdr:row>
          <xdr:rowOff>9525</xdr:rowOff>
        </xdr:to>
        <xdr:sp macro="" textlink="">
          <xdr:nvSpPr>
            <xdr:cNvPr id="15616" name="Drop Down 256" hidden="1">
              <a:extLst>
                <a:ext uri="{63B3BB69-23CF-44E3-9099-C40C66FF867C}">
                  <a14:compatExt spid="_x0000_s15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xdr:row>
          <xdr:rowOff>0</xdr:rowOff>
        </xdr:from>
        <xdr:to>
          <xdr:col>13</xdr:col>
          <xdr:colOff>9525</xdr:colOff>
          <xdr:row>7</xdr:row>
          <xdr:rowOff>9525</xdr:rowOff>
        </xdr:to>
        <xdr:sp macro="" textlink="">
          <xdr:nvSpPr>
            <xdr:cNvPr id="15617" name="Drop Down 257" hidden="1">
              <a:extLst>
                <a:ext uri="{63B3BB69-23CF-44E3-9099-C40C66FF867C}">
                  <a14:compatExt spid="_x0000_s15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13</xdr:col>
          <xdr:colOff>9525</xdr:colOff>
          <xdr:row>8</xdr:row>
          <xdr:rowOff>9525</xdr:rowOff>
        </xdr:to>
        <xdr:sp macro="" textlink="">
          <xdr:nvSpPr>
            <xdr:cNvPr id="15618" name="Drop Down 258" hidden="1">
              <a:extLst>
                <a:ext uri="{63B3BB69-23CF-44E3-9099-C40C66FF867C}">
                  <a14:compatExt spid="_x0000_s15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9525</xdr:colOff>
          <xdr:row>9</xdr:row>
          <xdr:rowOff>9525</xdr:rowOff>
        </xdr:to>
        <xdr:sp macro="" textlink="">
          <xdr:nvSpPr>
            <xdr:cNvPr id="15619" name="Drop Down 259" hidden="1">
              <a:extLst>
                <a:ext uri="{63B3BB69-23CF-44E3-9099-C40C66FF867C}">
                  <a14:compatExt spid="_x0000_s15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9525</xdr:colOff>
          <xdr:row>10</xdr:row>
          <xdr:rowOff>9525</xdr:rowOff>
        </xdr:to>
        <xdr:sp macro="" textlink="">
          <xdr:nvSpPr>
            <xdr:cNvPr id="15620" name="Drop Down 260" hidden="1">
              <a:extLst>
                <a:ext uri="{63B3BB69-23CF-44E3-9099-C40C66FF867C}">
                  <a14:compatExt spid="_x0000_s15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xdr:colOff>
          <xdr:row>11</xdr:row>
          <xdr:rowOff>9525</xdr:rowOff>
        </xdr:to>
        <xdr:sp macro="" textlink="">
          <xdr:nvSpPr>
            <xdr:cNvPr id="15621" name="Drop Down 261" hidden="1">
              <a:extLst>
                <a:ext uri="{63B3BB69-23CF-44E3-9099-C40C66FF867C}">
                  <a14:compatExt spid="_x0000_s15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9525</xdr:colOff>
          <xdr:row>12</xdr:row>
          <xdr:rowOff>9525</xdr:rowOff>
        </xdr:to>
        <xdr:sp macro="" textlink="">
          <xdr:nvSpPr>
            <xdr:cNvPr id="15622" name="Drop Down 262" hidden="1">
              <a:extLst>
                <a:ext uri="{63B3BB69-23CF-44E3-9099-C40C66FF867C}">
                  <a14:compatExt spid="_x0000_s15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9525</xdr:colOff>
          <xdr:row>13</xdr:row>
          <xdr:rowOff>9525</xdr:rowOff>
        </xdr:to>
        <xdr:sp macro="" textlink="">
          <xdr:nvSpPr>
            <xdr:cNvPr id="15623" name="Drop Down 263" hidden="1">
              <a:extLst>
                <a:ext uri="{63B3BB69-23CF-44E3-9099-C40C66FF867C}">
                  <a14:compatExt spid="_x0000_s15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9525</xdr:colOff>
          <xdr:row>14</xdr:row>
          <xdr:rowOff>9525</xdr:rowOff>
        </xdr:to>
        <xdr:sp macro="" textlink="">
          <xdr:nvSpPr>
            <xdr:cNvPr id="15624" name="Drop Down 264" hidden="1">
              <a:extLst>
                <a:ext uri="{63B3BB69-23CF-44E3-9099-C40C66FF867C}">
                  <a14:compatExt spid="_x0000_s15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xdr:colOff>
          <xdr:row>15</xdr:row>
          <xdr:rowOff>9525</xdr:rowOff>
        </xdr:to>
        <xdr:sp macro="" textlink="">
          <xdr:nvSpPr>
            <xdr:cNvPr id="15625" name="Drop Down 265" hidden="1">
              <a:extLst>
                <a:ext uri="{63B3BB69-23CF-44E3-9099-C40C66FF867C}">
                  <a14:compatExt spid="_x0000_s15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9525</xdr:colOff>
          <xdr:row>16</xdr:row>
          <xdr:rowOff>9525</xdr:rowOff>
        </xdr:to>
        <xdr:sp macro="" textlink="">
          <xdr:nvSpPr>
            <xdr:cNvPr id="15626" name="Drop Down 266" hidden="1">
              <a:extLst>
                <a:ext uri="{63B3BB69-23CF-44E3-9099-C40C66FF867C}">
                  <a14:compatExt spid="_x0000_s15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9525</xdr:colOff>
          <xdr:row>17</xdr:row>
          <xdr:rowOff>9525</xdr:rowOff>
        </xdr:to>
        <xdr:sp macro="" textlink="">
          <xdr:nvSpPr>
            <xdr:cNvPr id="15627" name="Drop Down 267" hidden="1">
              <a:extLst>
                <a:ext uri="{63B3BB69-23CF-44E3-9099-C40C66FF867C}">
                  <a14:compatExt spid="_x0000_s15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9525</xdr:colOff>
          <xdr:row>18</xdr:row>
          <xdr:rowOff>9525</xdr:rowOff>
        </xdr:to>
        <xdr:sp macro="" textlink="">
          <xdr:nvSpPr>
            <xdr:cNvPr id="15628" name="Drop Down 268" hidden="1">
              <a:extLst>
                <a:ext uri="{63B3BB69-23CF-44E3-9099-C40C66FF867C}">
                  <a14:compatExt spid="_x0000_s15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0</xdr:rowOff>
        </xdr:from>
        <xdr:to>
          <xdr:col>13</xdr:col>
          <xdr:colOff>9525</xdr:colOff>
          <xdr:row>19</xdr:row>
          <xdr:rowOff>9525</xdr:rowOff>
        </xdr:to>
        <xdr:sp macro="" textlink="">
          <xdr:nvSpPr>
            <xdr:cNvPr id="15629" name="Drop Down 269" hidden="1">
              <a:extLst>
                <a:ext uri="{63B3BB69-23CF-44E3-9099-C40C66FF867C}">
                  <a14:compatExt spid="_x0000_s15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0</xdr:rowOff>
        </xdr:from>
        <xdr:to>
          <xdr:col>13</xdr:col>
          <xdr:colOff>9525</xdr:colOff>
          <xdr:row>20</xdr:row>
          <xdr:rowOff>9525</xdr:rowOff>
        </xdr:to>
        <xdr:sp macro="" textlink="">
          <xdr:nvSpPr>
            <xdr:cNvPr id="15630" name="Drop Down 270" hidden="1">
              <a:extLst>
                <a:ext uri="{63B3BB69-23CF-44E3-9099-C40C66FF867C}">
                  <a14:compatExt spid="_x0000_s15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xdr:row>
          <xdr:rowOff>0</xdr:rowOff>
        </xdr:from>
        <xdr:to>
          <xdr:col>13</xdr:col>
          <xdr:colOff>9525</xdr:colOff>
          <xdr:row>21</xdr:row>
          <xdr:rowOff>9525</xdr:rowOff>
        </xdr:to>
        <xdr:sp macro="" textlink="">
          <xdr:nvSpPr>
            <xdr:cNvPr id="15631" name="Drop Down 271" hidden="1">
              <a:extLst>
                <a:ext uri="{63B3BB69-23CF-44E3-9099-C40C66FF867C}">
                  <a14:compatExt spid="_x0000_s15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0</xdr:rowOff>
        </xdr:from>
        <xdr:to>
          <xdr:col>13</xdr:col>
          <xdr:colOff>9525</xdr:colOff>
          <xdr:row>22</xdr:row>
          <xdr:rowOff>9525</xdr:rowOff>
        </xdr:to>
        <xdr:sp macro="" textlink="">
          <xdr:nvSpPr>
            <xdr:cNvPr id="15632" name="Drop Down 272" hidden="1">
              <a:extLst>
                <a:ext uri="{63B3BB69-23CF-44E3-9099-C40C66FF867C}">
                  <a14:compatExt spid="_x0000_s15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0</xdr:rowOff>
        </xdr:from>
        <xdr:to>
          <xdr:col>13</xdr:col>
          <xdr:colOff>9525</xdr:colOff>
          <xdr:row>23</xdr:row>
          <xdr:rowOff>9525</xdr:rowOff>
        </xdr:to>
        <xdr:sp macro="" textlink="">
          <xdr:nvSpPr>
            <xdr:cNvPr id="15633" name="Drop Down 273" hidden="1">
              <a:extLst>
                <a:ext uri="{63B3BB69-23CF-44E3-9099-C40C66FF867C}">
                  <a14:compatExt spid="_x0000_s15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0</xdr:rowOff>
        </xdr:from>
        <xdr:to>
          <xdr:col>13</xdr:col>
          <xdr:colOff>9525</xdr:colOff>
          <xdr:row>24</xdr:row>
          <xdr:rowOff>9525</xdr:rowOff>
        </xdr:to>
        <xdr:sp macro="" textlink="">
          <xdr:nvSpPr>
            <xdr:cNvPr id="15634" name="Drop Down 274" hidden="1">
              <a:extLst>
                <a:ext uri="{63B3BB69-23CF-44E3-9099-C40C66FF867C}">
                  <a14:compatExt spid="_x0000_s15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13</xdr:col>
          <xdr:colOff>9525</xdr:colOff>
          <xdr:row>25</xdr:row>
          <xdr:rowOff>9525</xdr:rowOff>
        </xdr:to>
        <xdr:sp macro="" textlink="">
          <xdr:nvSpPr>
            <xdr:cNvPr id="15635" name="Drop Down 275" hidden="1">
              <a:extLst>
                <a:ext uri="{63B3BB69-23CF-44E3-9099-C40C66FF867C}">
                  <a14:compatExt spid="_x0000_s15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636" name="Drop Down 276" hidden="1">
              <a:extLst>
                <a:ext uri="{63B3BB69-23CF-44E3-9099-C40C66FF867C}">
                  <a14:compatExt spid="_x0000_s15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13</xdr:col>
          <xdr:colOff>9525</xdr:colOff>
          <xdr:row>27</xdr:row>
          <xdr:rowOff>9525</xdr:rowOff>
        </xdr:to>
        <xdr:sp macro="" textlink="">
          <xdr:nvSpPr>
            <xdr:cNvPr id="15637" name="Drop Down 277" hidden="1">
              <a:extLst>
                <a:ext uri="{63B3BB69-23CF-44E3-9099-C40C66FF867C}">
                  <a14:compatExt spid="_x0000_s15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0</xdr:rowOff>
        </xdr:from>
        <xdr:to>
          <xdr:col>5</xdr:col>
          <xdr:colOff>514350</xdr:colOff>
          <xdr:row>3</xdr:row>
          <xdr:rowOff>200025</xdr:rowOff>
        </xdr:to>
        <xdr:sp macro="" textlink="">
          <xdr:nvSpPr>
            <xdr:cNvPr id="15638" name="Drop Down 278" hidden="1">
              <a:extLst>
                <a:ext uri="{63B3BB69-23CF-44E3-9099-C40C66FF867C}">
                  <a14:compatExt spid="_x0000_s15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5</xdr:col>
          <xdr:colOff>514350</xdr:colOff>
          <xdr:row>5</xdr:row>
          <xdr:rowOff>9525</xdr:rowOff>
        </xdr:to>
        <xdr:sp macro="" textlink="">
          <xdr:nvSpPr>
            <xdr:cNvPr id="15650" name="Drop Down 290" hidden="1">
              <a:extLst>
                <a:ext uri="{63B3BB69-23CF-44E3-9099-C40C66FF867C}">
                  <a14:compatExt spid="_x0000_s15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5</xdr:col>
          <xdr:colOff>514350</xdr:colOff>
          <xdr:row>6</xdr:row>
          <xdr:rowOff>9525</xdr:rowOff>
        </xdr:to>
        <xdr:sp macro="" textlink="">
          <xdr:nvSpPr>
            <xdr:cNvPr id="15651" name="Drop Down 291" hidden="1">
              <a:extLst>
                <a:ext uri="{63B3BB69-23CF-44E3-9099-C40C66FF867C}">
                  <a14:compatExt spid="_x0000_s15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5</xdr:col>
          <xdr:colOff>514350</xdr:colOff>
          <xdr:row>7</xdr:row>
          <xdr:rowOff>9525</xdr:rowOff>
        </xdr:to>
        <xdr:sp macro="" textlink="">
          <xdr:nvSpPr>
            <xdr:cNvPr id="15652" name="Drop Down 292" hidden="1">
              <a:extLst>
                <a:ext uri="{63B3BB69-23CF-44E3-9099-C40C66FF867C}">
                  <a14:compatExt spid="_x0000_s15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5</xdr:col>
          <xdr:colOff>514350</xdr:colOff>
          <xdr:row>8</xdr:row>
          <xdr:rowOff>9525</xdr:rowOff>
        </xdr:to>
        <xdr:sp macro="" textlink="">
          <xdr:nvSpPr>
            <xdr:cNvPr id="15653" name="Drop Down 293" hidden="1">
              <a:extLst>
                <a:ext uri="{63B3BB69-23CF-44E3-9099-C40C66FF867C}">
                  <a14:compatExt spid="_x0000_s15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xdr:row>
          <xdr:rowOff>0</xdr:rowOff>
        </xdr:from>
        <xdr:to>
          <xdr:col>5</xdr:col>
          <xdr:colOff>514350</xdr:colOff>
          <xdr:row>9</xdr:row>
          <xdr:rowOff>9525</xdr:rowOff>
        </xdr:to>
        <xdr:sp macro="" textlink="">
          <xdr:nvSpPr>
            <xdr:cNvPr id="15654" name="Drop Down 294" hidden="1">
              <a:extLst>
                <a:ext uri="{63B3BB69-23CF-44E3-9099-C40C66FF867C}">
                  <a14:compatExt spid="_x0000_s15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5</xdr:col>
          <xdr:colOff>514350</xdr:colOff>
          <xdr:row>10</xdr:row>
          <xdr:rowOff>9525</xdr:rowOff>
        </xdr:to>
        <xdr:sp macro="" textlink="">
          <xdr:nvSpPr>
            <xdr:cNvPr id="15655" name="Drop Down 295" hidden="1">
              <a:extLst>
                <a:ext uri="{63B3BB69-23CF-44E3-9099-C40C66FF867C}">
                  <a14:compatExt spid="_x0000_s15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5</xdr:col>
          <xdr:colOff>514350</xdr:colOff>
          <xdr:row>11</xdr:row>
          <xdr:rowOff>9525</xdr:rowOff>
        </xdr:to>
        <xdr:sp macro="" textlink="">
          <xdr:nvSpPr>
            <xdr:cNvPr id="15656" name="Drop Down 296" hidden="1">
              <a:extLst>
                <a:ext uri="{63B3BB69-23CF-44E3-9099-C40C66FF867C}">
                  <a14:compatExt spid="_x0000_s15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5</xdr:col>
          <xdr:colOff>514350</xdr:colOff>
          <xdr:row>12</xdr:row>
          <xdr:rowOff>9525</xdr:rowOff>
        </xdr:to>
        <xdr:sp macro="" textlink="">
          <xdr:nvSpPr>
            <xdr:cNvPr id="15657" name="Drop Down 297" hidden="1">
              <a:extLst>
                <a:ext uri="{63B3BB69-23CF-44E3-9099-C40C66FF867C}">
                  <a14:compatExt spid="_x0000_s15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5</xdr:col>
          <xdr:colOff>514350</xdr:colOff>
          <xdr:row>13</xdr:row>
          <xdr:rowOff>9525</xdr:rowOff>
        </xdr:to>
        <xdr:sp macro="" textlink="">
          <xdr:nvSpPr>
            <xdr:cNvPr id="15658" name="Drop Down 298" hidden="1">
              <a:extLst>
                <a:ext uri="{63B3BB69-23CF-44E3-9099-C40C66FF867C}">
                  <a14:compatExt spid="_x0000_s15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514350</xdr:colOff>
          <xdr:row>14</xdr:row>
          <xdr:rowOff>9525</xdr:rowOff>
        </xdr:to>
        <xdr:sp macro="" textlink="">
          <xdr:nvSpPr>
            <xdr:cNvPr id="15659" name="Drop Down 299" hidden="1">
              <a:extLst>
                <a:ext uri="{63B3BB69-23CF-44E3-9099-C40C66FF867C}">
                  <a14:compatExt spid="_x0000_s15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5</xdr:col>
          <xdr:colOff>514350</xdr:colOff>
          <xdr:row>15</xdr:row>
          <xdr:rowOff>9525</xdr:rowOff>
        </xdr:to>
        <xdr:sp macro="" textlink="">
          <xdr:nvSpPr>
            <xdr:cNvPr id="15660" name="Drop Down 300" hidden="1">
              <a:extLst>
                <a:ext uri="{63B3BB69-23CF-44E3-9099-C40C66FF867C}">
                  <a14:compatExt spid="_x0000_s15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5</xdr:col>
          <xdr:colOff>514350</xdr:colOff>
          <xdr:row>16</xdr:row>
          <xdr:rowOff>9525</xdr:rowOff>
        </xdr:to>
        <xdr:sp macro="" textlink="">
          <xdr:nvSpPr>
            <xdr:cNvPr id="15661" name="Drop Down 301" hidden="1">
              <a:extLst>
                <a:ext uri="{63B3BB69-23CF-44E3-9099-C40C66FF867C}">
                  <a14:compatExt spid="_x0000_s15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5</xdr:col>
          <xdr:colOff>514350</xdr:colOff>
          <xdr:row>17</xdr:row>
          <xdr:rowOff>9525</xdr:rowOff>
        </xdr:to>
        <xdr:sp macro="" textlink="">
          <xdr:nvSpPr>
            <xdr:cNvPr id="15662" name="Drop Down 302" hidden="1">
              <a:extLst>
                <a:ext uri="{63B3BB69-23CF-44E3-9099-C40C66FF867C}">
                  <a14:compatExt spid="_x0000_s15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5</xdr:col>
          <xdr:colOff>514350</xdr:colOff>
          <xdr:row>18</xdr:row>
          <xdr:rowOff>9525</xdr:rowOff>
        </xdr:to>
        <xdr:sp macro="" textlink="">
          <xdr:nvSpPr>
            <xdr:cNvPr id="15663" name="Drop Down 303" hidden="1">
              <a:extLst>
                <a:ext uri="{63B3BB69-23CF-44E3-9099-C40C66FF867C}">
                  <a14:compatExt spid="_x0000_s15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5</xdr:col>
          <xdr:colOff>514350</xdr:colOff>
          <xdr:row>19</xdr:row>
          <xdr:rowOff>9525</xdr:rowOff>
        </xdr:to>
        <xdr:sp macro="" textlink="">
          <xdr:nvSpPr>
            <xdr:cNvPr id="15664" name="Drop Down 304" hidden="1">
              <a:extLst>
                <a:ext uri="{63B3BB69-23CF-44E3-9099-C40C66FF867C}">
                  <a14:compatExt spid="_x0000_s15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5</xdr:col>
          <xdr:colOff>514350</xdr:colOff>
          <xdr:row>20</xdr:row>
          <xdr:rowOff>9525</xdr:rowOff>
        </xdr:to>
        <xdr:sp macro="" textlink="">
          <xdr:nvSpPr>
            <xdr:cNvPr id="15665" name="Drop Down 305" hidden="1">
              <a:extLst>
                <a:ext uri="{63B3BB69-23CF-44E3-9099-C40C66FF867C}">
                  <a14:compatExt spid="_x0000_s15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5</xdr:col>
          <xdr:colOff>514350</xdr:colOff>
          <xdr:row>21</xdr:row>
          <xdr:rowOff>9525</xdr:rowOff>
        </xdr:to>
        <xdr:sp macro="" textlink="">
          <xdr:nvSpPr>
            <xdr:cNvPr id="15666" name="Drop Down 306" hidden="1">
              <a:extLst>
                <a:ext uri="{63B3BB69-23CF-44E3-9099-C40C66FF867C}">
                  <a14:compatExt spid="_x0000_s15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5</xdr:col>
          <xdr:colOff>514350</xdr:colOff>
          <xdr:row>22</xdr:row>
          <xdr:rowOff>9525</xdr:rowOff>
        </xdr:to>
        <xdr:sp macro="" textlink="">
          <xdr:nvSpPr>
            <xdr:cNvPr id="15667" name="Drop Down 307" hidden="1">
              <a:extLst>
                <a:ext uri="{63B3BB69-23CF-44E3-9099-C40C66FF867C}">
                  <a14:compatExt spid="_x0000_s15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5</xdr:col>
          <xdr:colOff>514350</xdr:colOff>
          <xdr:row>23</xdr:row>
          <xdr:rowOff>9525</xdr:rowOff>
        </xdr:to>
        <xdr:sp macro="" textlink="">
          <xdr:nvSpPr>
            <xdr:cNvPr id="15668" name="Drop Down 308" hidden="1">
              <a:extLst>
                <a:ext uri="{63B3BB69-23CF-44E3-9099-C40C66FF867C}">
                  <a14:compatExt spid="_x0000_s15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5</xdr:col>
          <xdr:colOff>514350</xdr:colOff>
          <xdr:row>24</xdr:row>
          <xdr:rowOff>9525</xdr:rowOff>
        </xdr:to>
        <xdr:sp macro="" textlink="">
          <xdr:nvSpPr>
            <xdr:cNvPr id="15669" name="Drop Down 309" hidden="1">
              <a:extLst>
                <a:ext uri="{63B3BB69-23CF-44E3-9099-C40C66FF867C}">
                  <a14:compatExt spid="_x0000_s1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5</xdr:col>
          <xdr:colOff>514350</xdr:colOff>
          <xdr:row>25</xdr:row>
          <xdr:rowOff>9525</xdr:rowOff>
        </xdr:to>
        <xdr:sp macro="" textlink="">
          <xdr:nvSpPr>
            <xdr:cNvPr id="15670" name="Drop Down 310" hidden="1">
              <a:extLst>
                <a:ext uri="{63B3BB69-23CF-44E3-9099-C40C66FF867C}">
                  <a14:compatExt spid="_x0000_s15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5</xdr:col>
          <xdr:colOff>514350</xdr:colOff>
          <xdr:row>26</xdr:row>
          <xdr:rowOff>9525</xdr:rowOff>
        </xdr:to>
        <xdr:sp macro="" textlink="">
          <xdr:nvSpPr>
            <xdr:cNvPr id="15671" name="Drop Down 311" hidden="1">
              <a:extLst>
                <a:ext uri="{63B3BB69-23CF-44E3-9099-C40C66FF867C}">
                  <a14:compatExt spid="_x0000_s15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5</xdr:col>
          <xdr:colOff>514350</xdr:colOff>
          <xdr:row>27</xdr:row>
          <xdr:rowOff>9525</xdr:rowOff>
        </xdr:to>
        <xdr:sp macro="" textlink="">
          <xdr:nvSpPr>
            <xdr:cNvPr id="15672" name="Drop Down 312" hidden="1">
              <a:extLst>
                <a:ext uri="{63B3BB69-23CF-44E3-9099-C40C66FF867C}">
                  <a14:compatExt spid="_x0000_s15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13</xdr:col>
          <xdr:colOff>9525</xdr:colOff>
          <xdr:row>5</xdr:row>
          <xdr:rowOff>9525</xdr:rowOff>
        </xdr:to>
        <xdr:sp macro="" textlink="">
          <xdr:nvSpPr>
            <xdr:cNvPr id="15673" name="Drop Down 313" hidden="1">
              <a:extLst>
                <a:ext uri="{63B3BB69-23CF-44E3-9099-C40C66FF867C}">
                  <a14:compatExt spid="_x0000_s15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9525</xdr:colOff>
          <xdr:row>6</xdr:row>
          <xdr:rowOff>9525</xdr:rowOff>
        </xdr:to>
        <xdr:sp macro="" textlink="">
          <xdr:nvSpPr>
            <xdr:cNvPr id="15674" name="Drop Down 314" hidden="1">
              <a:extLst>
                <a:ext uri="{63B3BB69-23CF-44E3-9099-C40C66FF867C}">
                  <a14:compatExt spid="_x0000_s15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xdr:row>
          <xdr:rowOff>0</xdr:rowOff>
        </xdr:from>
        <xdr:to>
          <xdr:col>13</xdr:col>
          <xdr:colOff>9525</xdr:colOff>
          <xdr:row>7</xdr:row>
          <xdr:rowOff>9525</xdr:rowOff>
        </xdr:to>
        <xdr:sp macro="" textlink="">
          <xdr:nvSpPr>
            <xdr:cNvPr id="15675" name="Drop Down 315" hidden="1">
              <a:extLst>
                <a:ext uri="{63B3BB69-23CF-44E3-9099-C40C66FF867C}">
                  <a14:compatExt spid="_x0000_s15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13</xdr:col>
          <xdr:colOff>9525</xdr:colOff>
          <xdr:row>8</xdr:row>
          <xdr:rowOff>9525</xdr:rowOff>
        </xdr:to>
        <xdr:sp macro="" textlink="">
          <xdr:nvSpPr>
            <xdr:cNvPr id="15676" name="Drop Down 316" hidden="1">
              <a:extLst>
                <a:ext uri="{63B3BB69-23CF-44E3-9099-C40C66FF867C}">
                  <a14:compatExt spid="_x0000_s15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9525</xdr:colOff>
          <xdr:row>9</xdr:row>
          <xdr:rowOff>9525</xdr:rowOff>
        </xdr:to>
        <xdr:sp macro="" textlink="">
          <xdr:nvSpPr>
            <xdr:cNvPr id="15677" name="Drop Down 317" hidden="1">
              <a:extLst>
                <a:ext uri="{63B3BB69-23CF-44E3-9099-C40C66FF867C}">
                  <a14:compatExt spid="_x0000_s15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9525</xdr:colOff>
          <xdr:row>10</xdr:row>
          <xdr:rowOff>9525</xdr:rowOff>
        </xdr:to>
        <xdr:sp macro="" textlink="">
          <xdr:nvSpPr>
            <xdr:cNvPr id="15678" name="Drop Down 318" hidden="1">
              <a:extLst>
                <a:ext uri="{63B3BB69-23CF-44E3-9099-C40C66FF867C}">
                  <a14:compatExt spid="_x0000_s15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xdr:colOff>
          <xdr:row>11</xdr:row>
          <xdr:rowOff>9525</xdr:rowOff>
        </xdr:to>
        <xdr:sp macro="" textlink="">
          <xdr:nvSpPr>
            <xdr:cNvPr id="15679" name="Drop Down 319" hidden="1">
              <a:extLst>
                <a:ext uri="{63B3BB69-23CF-44E3-9099-C40C66FF867C}">
                  <a14:compatExt spid="_x0000_s15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9525</xdr:colOff>
          <xdr:row>12</xdr:row>
          <xdr:rowOff>9525</xdr:rowOff>
        </xdr:to>
        <xdr:sp macro="" textlink="">
          <xdr:nvSpPr>
            <xdr:cNvPr id="15680" name="Drop Down 320" hidden="1">
              <a:extLst>
                <a:ext uri="{63B3BB69-23CF-44E3-9099-C40C66FF867C}">
                  <a14:compatExt spid="_x0000_s15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9525</xdr:colOff>
          <xdr:row>13</xdr:row>
          <xdr:rowOff>9525</xdr:rowOff>
        </xdr:to>
        <xdr:sp macro="" textlink="">
          <xdr:nvSpPr>
            <xdr:cNvPr id="15681" name="Drop Down 321" hidden="1">
              <a:extLst>
                <a:ext uri="{63B3BB69-23CF-44E3-9099-C40C66FF867C}">
                  <a14:compatExt spid="_x0000_s15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9525</xdr:colOff>
          <xdr:row>14</xdr:row>
          <xdr:rowOff>9525</xdr:rowOff>
        </xdr:to>
        <xdr:sp macro="" textlink="">
          <xdr:nvSpPr>
            <xdr:cNvPr id="15682" name="Drop Down 322" hidden="1">
              <a:extLst>
                <a:ext uri="{63B3BB69-23CF-44E3-9099-C40C66FF867C}">
                  <a14:compatExt spid="_x0000_s15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xdr:colOff>
          <xdr:row>15</xdr:row>
          <xdr:rowOff>9525</xdr:rowOff>
        </xdr:to>
        <xdr:sp macro="" textlink="">
          <xdr:nvSpPr>
            <xdr:cNvPr id="15683" name="Drop Down 323" hidden="1">
              <a:extLst>
                <a:ext uri="{63B3BB69-23CF-44E3-9099-C40C66FF867C}">
                  <a14:compatExt spid="_x0000_s15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9525</xdr:colOff>
          <xdr:row>16</xdr:row>
          <xdr:rowOff>9525</xdr:rowOff>
        </xdr:to>
        <xdr:sp macro="" textlink="">
          <xdr:nvSpPr>
            <xdr:cNvPr id="15684" name="Drop Down 324" hidden="1">
              <a:extLst>
                <a:ext uri="{63B3BB69-23CF-44E3-9099-C40C66FF867C}">
                  <a14:compatExt spid="_x0000_s15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9525</xdr:colOff>
          <xdr:row>17</xdr:row>
          <xdr:rowOff>9525</xdr:rowOff>
        </xdr:to>
        <xdr:sp macro="" textlink="">
          <xdr:nvSpPr>
            <xdr:cNvPr id="15685" name="Drop Down 325" hidden="1">
              <a:extLst>
                <a:ext uri="{63B3BB69-23CF-44E3-9099-C40C66FF867C}">
                  <a14:compatExt spid="_x0000_s15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9525</xdr:colOff>
          <xdr:row>18</xdr:row>
          <xdr:rowOff>9525</xdr:rowOff>
        </xdr:to>
        <xdr:sp macro="" textlink="">
          <xdr:nvSpPr>
            <xdr:cNvPr id="15686" name="Drop Down 326" hidden="1">
              <a:extLst>
                <a:ext uri="{63B3BB69-23CF-44E3-9099-C40C66FF867C}">
                  <a14:compatExt spid="_x0000_s15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0</xdr:rowOff>
        </xdr:from>
        <xdr:to>
          <xdr:col>13</xdr:col>
          <xdr:colOff>9525</xdr:colOff>
          <xdr:row>19</xdr:row>
          <xdr:rowOff>9525</xdr:rowOff>
        </xdr:to>
        <xdr:sp macro="" textlink="">
          <xdr:nvSpPr>
            <xdr:cNvPr id="15687" name="Drop Down 327" hidden="1">
              <a:extLst>
                <a:ext uri="{63B3BB69-23CF-44E3-9099-C40C66FF867C}">
                  <a14:compatExt spid="_x0000_s15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0</xdr:rowOff>
        </xdr:from>
        <xdr:to>
          <xdr:col>13</xdr:col>
          <xdr:colOff>9525</xdr:colOff>
          <xdr:row>20</xdr:row>
          <xdr:rowOff>9525</xdr:rowOff>
        </xdr:to>
        <xdr:sp macro="" textlink="">
          <xdr:nvSpPr>
            <xdr:cNvPr id="15688" name="Drop Down 328" hidden="1">
              <a:extLst>
                <a:ext uri="{63B3BB69-23CF-44E3-9099-C40C66FF867C}">
                  <a14:compatExt spid="_x0000_s15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xdr:row>
          <xdr:rowOff>0</xdr:rowOff>
        </xdr:from>
        <xdr:to>
          <xdr:col>13</xdr:col>
          <xdr:colOff>9525</xdr:colOff>
          <xdr:row>21</xdr:row>
          <xdr:rowOff>9525</xdr:rowOff>
        </xdr:to>
        <xdr:sp macro="" textlink="">
          <xdr:nvSpPr>
            <xdr:cNvPr id="15689" name="Drop Down 329" hidden="1">
              <a:extLst>
                <a:ext uri="{63B3BB69-23CF-44E3-9099-C40C66FF867C}">
                  <a14:compatExt spid="_x0000_s15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0</xdr:rowOff>
        </xdr:from>
        <xdr:to>
          <xdr:col>13</xdr:col>
          <xdr:colOff>9525</xdr:colOff>
          <xdr:row>22</xdr:row>
          <xdr:rowOff>9525</xdr:rowOff>
        </xdr:to>
        <xdr:sp macro="" textlink="">
          <xdr:nvSpPr>
            <xdr:cNvPr id="15690" name="Drop Down 330" hidden="1">
              <a:extLst>
                <a:ext uri="{63B3BB69-23CF-44E3-9099-C40C66FF867C}">
                  <a14:compatExt spid="_x0000_s15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0</xdr:rowOff>
        </xdr:from>
        <xdr:to>
          <xdr:col>13</xdr:col>
          <xdr:colOff>9525</xdr:colOff>
          <xdr:row>23</xdr:row>
          <xdr:rowOff>9525</xdr:rowOff>
        </xdr:to>
        <xdr:sp macro="" textlink="">
          <xdr:nvSpPr>
            <xdr:cNvPr id="15691" name="Drop Down 331" hidden="1">
              <a:extLst>
                <a:ext uri="{63B3BB69-23CF-44E3-9099-C40C66FF867C}">
                  <a14:compatExt spid="_x0000_s15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0</xdr:rowOff>
        </xdr:from>
        <xdr:to>
          <xdr:col>13</xdr:col>
          <xdr:colOff>9525</xdr:colOff>
          <xdr:row>24</xdr:row>
          <xdr:rowOff>9525</xdr:rowOff>
        </xdr:to>
        <xdr:sp macro="" textlink="">
          <xdr:nvSpPr>
            <xdr:cNvPr id="15692" name="Drop Down 332" hidden="1">
              <a:extLst>
                <a:ext uri="{63B3BB69-23CF-44E3-9099-C40C66FF867C}">
                  <a14:compatExt spid="_x0000_s15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13</xdr:col>
          <xdr:colOff>9525</xdr:colOff>
          <xdr:row>25</xdr:row>
          <xdr:rowOff>9525</xdr:rowOff>
        </xdr:to>
        <xdr:sp macro="" textlink="">
          <xdr:nvSpPr>
            <xdr:cNvPr id="15693" name="Drop Down 333" hidden="1">
              <a:extLst>
                <a:ext uri="{63B3BB69-23CF-44E3-9099-C40C66FF867C}">
                  <a14:compatExt spid="_x0000_s15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694" name="Drop Down 334" hidden="1">
              <a:extLst>
                <a:ext uri="{63B3BB69-23CF-44E3-9099-C40C66FF867C}">
                  <a14:compatExt spid="_x0000_s15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13</xdr:col>
          <xdr:colOff>9525</xdr:colOff>
          <xdr:row>27</xdr:row>
          <xdr:rowOff>9525</xdr:rowOff>
        </xdr:to>
        <xdr:sp macro="" textlink="">
          <xdr:nvSpPr>
            <xdr:cNvPr id="15695" name="Drop Down 335" hidden="1">
              <a:extLst>
                <a:ext uri="{63B3BB69-23CF-44E3-9099-C40C66FF867C}">
                  <a14:compatExt spid="_x0000_s15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xdr:row>
          <xdr:rowOff>0</xdr:rowOff>
        </xdr:from>
        <xdr:to>
          <xdr:col>13</xdr:col>
          <xdr:colOff>9525</xdr:colOff>
          <xdr:row>3</xdr:row>
          <xdr:rowOff>200025</xdr:rowOff>
        </xdr:to>
        <xdr:sp macro="" textlink="">
          <xdr:nvSpPr>
            <xdr:cNvPr id="15698" name="Drop Down 338" hidden="1">
              <a:extLst>
                <a:ext uri="{63B3BB69-23CF-44E3-9099-C40C66FF867C}">
                  <a14:compatExt spid="_x0000_s15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xdr:row>
          <xdr:rowOff>0</xdr:rowOff>
        </xdr:from>
        <xdr:to>
          <xdr:col>13</xdr:col>
          <xdr:colOff>9525</xdr:colOff>
          <xdr:row>3</xdr:row>
          <xdr:rowOff>200025</xdr:rowOff>
        </xdr:to>
        <xdr:sp macro="" textlink="">
          <xdr:nvSpPr>
            <xdr:cNvPr id="15699" name="Drop Down 339" hidden="1">
              <a:extLst>
                <a:ext uri="{63B3BB69-23CF-44E3-9099-C40C66FF867C}">
                  <a14:compatExt spid="_x0000_s15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13</xdr:col>
          <xdr:colOff>9525</xdr:colOff>
          <xdr:row>5</xdr:row>
          <xdr:rowOff>9525</xdr:rowOff>
        </xdr:to>
        <xdr:sp macro="" textlink="">
          <xdr:nvSpPr>
            <xdr:cNvPr id="15700" name="Drop Down 340" hidden="1">
              <a:extLst>
                <a:ext uri="{63B3BB69-23CF-44E3-9099-C40C66FF867C}">
                  <a14:compatExt spid="_x0000_s15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13</xdr:col>
          <xdr:colOff>9525</xdr:colOff>
          <xdr:row>5</xdr:row>
          <xdr:rowOff>9525</xdr:rowOff>
        </xdr:to>
        <xdr:sp macro="" textlink="">
          <xdr:nvSpPr>
            <xdr:cNvPr id="15701" name="Drop Down 341" hidden="1">
              <a:extLst>
                <a:ext uri="{63B3BB69-23CF-44E3-9099-C40C66FF867C}">
                  <a14:compatExt spid="_x0000_s15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13</xdr:col>
          <xdr:colOff>9525</xdr:colOff>
          <xdr:row>5</xdr:row>
          <xdr:rowOff>9525</xdr:rowOff>
        </xdr:to>
        <xdr:sp macro="" textlink="">
          <xdr:nvSpPr>
            <xdr:cNvPr id="15702" name="Drop Down 342" hidden="1">
              <a:extLst>
                <a:ext uri="{63B3BB69-23CF-44E3-9099-C40C66FF867C}">
                  <a14:compatExt spid="_x0000_s15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9525</xdr:colOff>
          <xdr:row>6</xdr:row>
          <xdr:rowOff>9525</xdr:rowOff>
        </xdr:to>
        <xdr:sp macro="" textlink="">
          <xdr:nvSpPr>
            <xdr:cNvPr id="15703" name="Drop Down 343" hidden="1">
              <a:extLst>
                <a:ext uri="{63B3BB69-23CF-44E3-9099-C40C66FF867C}">
                  <a14:compatExt spid="_x0000_s15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9525</xdr:colOff>
          <xdr:row>6</xdr:row>
          <xdr:rowOff>9525</xdr:rowOff>
        </xdr:to>
        <xdr:sp macro="" textlink="">
          <xdr:nvSpPr>
            <xdr:cNvPr id="15704" name="Drop Down 344" hidden="1">
              <a:extLst>
                <a:ext uri="{63B3BB69-23CF-44E3-9099-C40C66FF867C}">
                  <a14:compatExt spid="_x0000_s15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9525</xdr:colOff>
          <xdr:row>6</xdr:row>
          <xdr:rowOff>9525</xdr:rowOff>
        </xdr:to>
        <xdr:sp macro="" textlink="">
          <xdr:nvSpPr>
            <xdr:cNvPr id="15705" name="Drop Down 345" hidden="1">
              <a:extLst>
                <a:ext uri="{63B3BB69-23CF-44E3-9099-C40C66FF867C}">
                  <a14:compatExt spid="_x0000_s15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xdr:row>
          <xdr:rowOff>0</xdr:rowOff>
        </xdr:from>
        <xdr:to>
          <xdr:col>13</xdr:col>
          <xdr:colOff>9525</xdr:colOff>
          <xdr:row>7</xdr:row>
          <xdr:rowOff>9525</xdr:rowOff>
        </xdr:to>
        <xdr:sp macro="" textlink="">
          <xdr:nvSpPr>
            <xdr:cNvPr id="15706" name="Drop Down 346" hidden="1">
              <a:extLst>
                <a:ext uri="{63B3BB69-23CF-44E3-9099-C40C66FF867C}">
                  <a14:compatExt spid="_x0000_s15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xdr:row>
          <xdr:rowOff>0</xdr:rowOff>
        </xdr:from>
        <xdr:to>
          <xdr:col>13</xdr:col>
          <xdr:colOff>9525</xdr:colOff>
          <xdr:row>7</xdr:row>
          <xdr:rowOff>9525</xdr:rowOff>
        </xdr:to>
        <xdr:sp macro="" textlink="">
          <xdr:nvSpPr>
            <xdr:cNvPr id="15707" name="Drop Down 347" hidden="1">
              <a:extLst>
                <a:ext uri="{63B3BB69-23CF-44E3-9099-C40C66FF867C}">
                  <a14:compatExt spid="_x0000_s15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xdr:row>
          <xdr:rowOff>0</xdr:rowOff>
        </xdr:from>
        <xdr:to>
          <xdr:col>13</xdr:col>
          <xdr:colOff>9525</xdr:colOff>
          <xdr:row>7</xdr:row>
          <xdr:rowOff>9525</xdr:rowOff>
        </xdr:to>
        <xdr:sp macro="" textlink="">
          <xdr:nvSpPr>
            <xdr:cNvPr id="15708" name="Drop Down 348" hidden="1">
              <a:extLst>
                <a:ext uri="{63B3BB69-23CF-44E3-9099-C40C66FF867C}">
                  <a14:compatExt spid="_x0000_s15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13</xdr:col>
          <xdr:colOff>9525</xdr:colOff>
          <xdr:row>8</xdr:row>
          <xdr:rowOff>9525</xdr:rowOff>
        </xdr:to>
        <xdr:sp macro="" textlink="">
          <xdr:nvSpPr>
            <xdr:cNvPr id="15709" name="Drop Down 349" hidden="1">
              <a:extLst>
                <a:ext uri="{63B3BB69-23CF-44E3-9099-C40C66FF867C}">
                  <a14:compatExt spid="_x0000_s15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13</xdr:col>
          <xdr:colOff>9525</xdr:colOff>
          <xdr:row>8</xdr:row>
          <xdr:rowOff>9525</xdr:rowOff>
        </xdr:to>
        <xdr:sp macro="" textlink="">
          <xdr:nvSpPr>
            <xdr:cNvPr id="15710" name="Drop Down 350" hidden="1">
              <a:extLst>
                <a:ext uri="{63B3BB69-23CF-44E3-9099-C40C66FF867C}">
                  <a14:compatExt spid="_x0000_s15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13</xdr:col>
          <xdr:colOff>9525</xdr:colOff>
          <xdr:row>8</xdr:row>
          <xdr:rowOff>9525</xdr:rowOff>
        </xdr:to>
        <xdr:sp macro="" textlink="">
          <xdr:nvSpPr>
            <xdr:cNvPr id="15711" name="Drop Down 351" hidden="1">
              <a:extLst>
                <a:ext uri="{63B3BB69-23CF-44E3-9099-C40C66FF867C}">
                  <a14:compatExt spid="_x0000_s15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9525</xdr:colOff>
          <xdr:row>9</xdr:row>
          <xdr:rowOff>9525</xdr:rowOff>
        </xdr:to>
        <xdr:sp macro="" textlink="">
          <xdr:nvSpPr>
            <xdr:cNvPr id="15712" name="Drop Down 352" hidden="1">
              <a:extLst>
                <a:ext uri="{63B3BB69-23CF-44E3-9099-C40C66FF867C}">
                  <a14:compatExt spid="_x0000_s15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9525</xdr:colOff>
          <xdr:row>9</xdr:row>
          <xdr:rowOff>9525</xdr:rowOff>
        </xdr:to>
        <xdr:sp macro="" textlink="">
          <xdr:nvSpPr>
            <xdr:cNvPr id="15713" name="Drop Down 353" hidden="1">
              <a:extLst>
                <a:ext uri="{63B3BB69-23CF-44E3-9099-C40C66FF867C}">
                  <a14:compatExt spid="_x0000_s15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9525</xdr:colOff>
          <xdr:row>9</xdr:row>
          <xdr:rowOff>9525</xdr:rowOff>
        </xdr:to>
        <xdr:sp macro="" textlink="">
          <xdr:nvSpPr>
            <xdr:cNvPr id="15714" name="Drop Down 354" hidden="1">
              <a:extLst>
                <a:ext uri="{63B3BB69-23CF-44E3-9099-C40C66FF867C}">
                  <a14:compatExt spid="_x0000_s15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9525</xdr:colOff>
          <xdr:row>10</xdr:row>
          <xdr:rowOff>9525</xdr:rowOff>
        </xdr:to>
        <xdr:sp macro="" textlink="">
          <xdr:nvSpPr>
            <xdr:cNvPr id="15715" name="Drop Down 355" hidden="1">
              <a:extLst>
                <a:ext uri="{63B3BB69-23CF-44E3-9099-C40C66FF867C}">
                  <a14:compatExt spid="_x0000_s15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9525</xdr:colOff>
          <xdr:row>10</xdr:row>
          <xdr:rowOff>9525</xdr:rowOff>
        </xdr:to>
        <xdr:sp macro="" textlink="">
          <xdr:nvSpPr>
            <xdr:cNvPr id="15716" name="Drop Down 356" hidden="1">
              <a:extLst>
                <a:ext uri="{63B3BB69-23CF-44E3-9099-C40C66FF867C}">
                  <a14:compatExt spid="_x0000_s15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9525</xdr:colOff>
          <xdr:row>10</xdr:row>
          <xdr:rowOff>9525</xdr:rowOff>
        </xdr:to>
        <xdr:sp macro="" textlink="">
          <xdr:nvSpPr>
            <xdr:cNvPr id="15717" name="Drop Down 357" hidden="1">
              <a:extLst>
                <a:ext uri="{63B3BB69-23CF-44E3-9099-C40C66FF867C}">
                  <a14:compatExt spid="_x0000_s15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xdr:colOff>
          <xdr:row>11</xdr:row>
          <xdr:rowOff>9525</xdr:rowOff>
        </xdr:to>
        <xdr:sp macro="" textlink="">
          <xdr:nvSpPr>
            <xdr:cNvPr id="15718" name="Drop Down 358" hidden="1">
              <a:extLst>
                <a:ext uri="{63B3BB69-23CF-44E3-9099-C40C66FF867C}">
                  <a14:compatExt spid="_x0000_s15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xdr:colOff>
          <xdr:row>11</xdr:row>
          <xdr:rowOff>9525</xdr:rowOff>
        </xdr:to>
        <xdr:sp macro="" textlink="">
          <xdr:nvSpPr>
            <xdr:cNvPr id="15719" name="Drop Down 359" hidden="1">
              <a:extLst>
                <a:ext uri="{63B3BB69-23CF-44E3-9099-C40C66FF867C}">
                  <a14:compatExt spid="_x0000_s15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xdr:colOff>
          <xdr:row>11</xdr:row>
          <xdr:rowOff>9525</xdr:rowOff>
        </xdr:to>
        <xdr:sp macro="" textlink="">
          <xdr:nvSpPr>
            <xdr:cNvPr id="15720" name="Drop Down 360" hidden="1">
              <a:extLst>
                <a:ext uri="{63B3BB69-23CF-44E3-9099-C40C66FF867C}">
                  <a14:compatExt spid="_x0000_s15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9525</xdr:colOff>
          <xdr:row>12</xdr:row>
          <xdr:rowOff>9525</xdr:rowOff>
        </xdr:to>
        <xdr:sp macro="" textlink="">
          <xdr:nvSpPr>
            <xdr:cNvPr id="15721" name="Drop Down 361" hidden="1">
              <a:extLst>
                <a:ext uri="{63B3BB69-23CF-44E3-9099-C40C66FF867C}">
                  <a14:compatExt spid="_x0000_s15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9525</xdr:colOff>
          <xdr:row>12</xdr:row>
          <xdr:rowOff>9525</xdr:rowOff>
        </xdr:to>
        <xdr:sp macro="" textlink="">
          <xdr:nvSpPr>
            <xdr:cNvPr id="15722" name="Drop Down 362" hidden="1">
              <a:extLst>
                <a:ext uri="{63B3BB69-23CF-44E3-9099-C40C66FF867C}">
                  <a14:compatExt spid="_x0000_s15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9525</xdr:colOff>
          <xdr:row>12</xdr:row>
          <xdr:rowOff>9525</xdr:rowOff>
        </xdr:to>
        <xdr:sp macro="" textlink="">
          <xdr:nvSpPr>
            <xdr:cNvPr id="15723" name="Drop Down 363" hidden="1">
              <a:extLst>
                <a:ext uri="{63B3BB69-23CF-44E3-9099-C40C66FF867C}">
                  <a14:compatExt spid="_x0000_s15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9525</xdr:colOff>
          <xdr:row>13</xdr:row>
          <xdr:rowOff>9525</xdr:rowOff>
        </xdr:to>
        <xdr:sp macro="" textlink="">
          <xdr:nvSpPr>
            <xdr:cNvPr id="15724" name="Drop Down 364" hidden="1">
              <a:extLst>
                <a:ext uri="{63B3BB69-23CF-44E3-9099-C40C66FF867C}">
                  <a14:compatExt spid="_x0000_s15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9525</xdr:colOff>
          <xdr:row>13</xdr:row>
          <xdr:rowOff>9525</xdr:rowOff>
        </xdr:to>
        <xdr:sp macro="" textlink="">
          <xdr:nvSpPr>
            <xdr:cNvPr id="15725" name="Drop Down 365" hidden="1">
              <a:extLst>
                <a:ext uri="{63B3BB69-23CF-44E3-9099-C40C66FF867C}">
                  <a14:compatExt spid="_x0000_s15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9525</xdr:colOff>
          <xdr:row>13</xdr:row>
          <xdr:rowOff>9525</xdr:rowOff>
        </xdr:to>
        <xdr:sp macro="" textlink="">
          <xdr:nvSpPr>
            <xdr:cNvPr id="15726" name="Drop Down 366" hidden="1">
              <a:extLst>
                <a:ext uri="{63B3BB69-23CF-44E3-9099-C40C66FF867C}">
                  <a14:compatExt spid="_x0000_s15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9525</xdr:colOff>
          <xdr:row>14</xdr:row>
          <xdr:rowOff>9525</xdr:rowOff>
        </xdr:to>
        <xdr:sp macro="" textlink="">
          <xdr:nvSpPr>
            <xdr:cNvPr id="15727" name="Drop Down 367" hidden="1">
              <a:extLst>
                <a:ext uri="{63B3BB69-23CF-44E3-9099-C40C66FF867C}">
                  <a14:compatExt spid="_x0000_s15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9525</xdr:colOff>
          <xdr:row>14</xdr:row>
          <xdr:rowOff>9525</xdr:rowOff>
        </xdr:to>
        <xdr:sp macro="" textlink="">
          <xdr:nvSpPr>
            <xdr:cNvPr id="15728" name="Drop Down 368" hidden="1">
              <a:extLst>
                <a:ext uri="{63B3BB69-23CF-44E3-9099-C40C66FF867C}">
                  <a14:compatExt spid="_x0000_s15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9525</xdr:colOff>
          <xdr:row>14</xdr:row>
          <xdr:rowOff>9525</xdr:rowOff>
        </xdr:to>
        <xdr:sp macro="" textlink="">
          <xdr:nvSpPr>
            <xdr:cNvPr id="15729" name="Drop Down 369" hidden="1">
              <a:extLst>
                <a:ext uri="{63B3BB69-23CF-44E3-9099-C40C66FF867C}">
                  <a14:compatExt spid="_x0000_s15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xdr:colOff>
          <xdr:row>15</xdr:row>
          <xdr:rowOff>9525</xdr:rowOff>
        </xdr:to>
        <xdr:sp macro="" textlink="">
          <xdr:nvSpPr>
            <xdr:cNvPr id="15730" name="Drop Down 370" hidden="1">
              <a:extLst>
                <a:ext uri="{63B3BB69-23CF-44E3-9099-C40C66FF867C}">
                  <a14:compatExt spid="_x0000_s15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xdr:colOff>
          <xdr:row>15</xdr:row>
          <xdr:rowOff>9525</xdr:rowOff>
        </xdr:to>
        <xdr:sp macro="" textlink="">
          <xdr:nvSpPr>
            <xdr:cNvPr id="15731" name="Drop Down 371" hidden="1">
              <a:extLst>
                <a:ext uri="{63B3BB69-23CF-44E3-9099-C40C66FF867C}">
                  <a14:compatExt spid="_x0000_s15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xdr:colOff>
          <xdr:row>15</xdr:row>
          <xdr:rowOff>9525</xdr:rowOff>
        </xdr:to>
        <xdr:sp macro="" textlink="">
          <xdr:nvSpPr>
            <xdr:cNvPr id="15732" name="Drop Down 372" hidden="1">
              <a:extLst>
                <a:ext uri="{63B3BB69-23CF-44E3-9099-C40C66FF867C}">
                  <a14:compatExt spid="_x0000_s15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9525</xdr:colOff>
          <xdr:row>16</xdr:row>
          <xdr:rowOff>9525</xdr:rowOff>
        </xdr:to>
        <xdr:sp macro="" textlink="">
          <xdr:nvSpPr>
            <xdr:cNvPr id="15733" name="Drop Down 373" hidden="1">
              <a:extLst>
                <a:ext uri="{63B3BB69-23CF-44E3-9099-C40C66FF867C}">
                  <a14:compatExt spid="_x0000_s15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9525</xdr:colOff>
          <xdr:row>16</xdr:row>
          <xdr:rowOff>9525</xdr:rowOff>
        </xdr:to>
        <xdr:sp macro="" textlink="">
          <xdr:nvSpPr>
            <xdr:cNvPr id="15734" name="Drop Down 374" hidden="1">
              <a:extLst>
                <a:ext uri="{63B3BB69-23CF-44E3-9099-C40C66FF867C}">
                  <a14:compatExt spid="_x0000_s15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9525</xdr:colOff>
          <xdr:row>16</xdr:row>
          <xdr:rowOff>9525</xdr:rowOff>
        </xdr:to>
        <xdr:sp macro="" textlink="">
          <xdr:nvSpPr>
            <xdr:cNvPr id="15735" name="Drop Down 375" hidden="1">
              <a:extLst>
                <a:ext uri="{63B3BB69-23CF-44E3-9099-C40C66FF867C}">
                  <a14:compatExt spid="_x0000_s15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9525</xdr:colOff>
          <xdr:row>17</xdr:row>
          <xdr:rowOff>9525</xdr:rowOff>
        </xdr:to>
        <xdr:sp macro="" textlink="">
          <xdr:nvSpPr>
            <xdr:cNvPr id="15736" name="Drop Down 376" hidden="1">
              <a:extLst>
                <a:ext uri="{63B3BB69-23CF-44E3-9099-C40C66FF867C}">
                  <a14:compatExt spid="_x0000_s15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9525</xdr:colOff>
          <xdr:row>17</xdr:row>
          <xdr:rowOff>9525</xdr:rowOff>
        </xdr:to>
        <xdr:sp macro="" textlink="">
          <xdr:nvSpPr>
            <xdr:cNvPr id="15737" name="Drop Down 377" hidden="1">
              <a:extLst>
                <a:ext uri="{63B3BB69-23CF-44E3-9099-C40C66FF867C}">
                  <a14:compatExt spid="_x0000_s15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9525</xdr:colOff>
          <xdr:row>17</xdr:row>
          <xdr:rowOff>9525</xdr:rowOff>
        </xdr:to>
        <xdr:sp macro="" textlink="">
          <xdr:nvSpPr>
            <xdr:cNvPr id="15738" name="Drop Down 378" hidden="1">
              <a:extLst>
                <a:ext uri="{63B3BB69-23CF-44E3-9099-C40C66FF867C}">
                  <a14:compatExt spid="_x0000_s15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9525</xdr:colOff>
          <xdr:row>18</xdr:row>
          <xdr:rowOff>9525</xdr:rowOff>
        </xdr:to>
        <xdr:sp macro="" textlink="">
          <xdr:nvSpPr>
            <xdr:cNvPr id="15739" name="Drop Down 379" hidden="1">
              <a:extLst>
                <a:ext uri="{63B3BB69-23CF-44E3-9099-C40C66FF867C}">
                  <a14:compatExt spid="_x0000_s15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9525</xdr:colOff>
          <xdr:row>18</xdr:row>
          <xdr:rowOff>9525</xdr:rowOff>
        </xdr:to>
        <xdr:sp macro="" textlink="">
          <xdr:nvSpPr>
            <xdr:cNvPr id="15740" name="Drop Down 380" hidden="1">
              <a:extLst>
                <a:ext uri="{63B3BB69-23CF-44E3-9099-C40C66FF867C}">
                  <a14:compatExt spid="_x0000_s15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9525</xdr:colOff>
          <xdr:row>18</xdr:row>
          <xdr:rowOff>9525</xdr:rowOff>
        </xdr:to>
        <xdr:sp macro="" textlink="">
          <xdr:nvSpPr>
            <xdr:cNvPr id="15741" name="Drop Down 381" hidden="1">
              <a:extLst>
                <a:ext uri="{63B3BB69-23CF-44E3-9099-C40C66FF867C}">
                  <a14:compatExt spid="_x0000_s15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0</xdr:rowOff>
        </xdr:from>
        <xdr:to>
          <xdr:col>13</xdr:col>
          <xdr:colOff>9525</xdr:colOff>
          <xdr:row>19</xdr:row>
          <xdr:rowOff>9525</xdr:rowOff>
        </xdr:to>
        <xdr:sp macro="" textlink="">
          <xdr:nvSpPr>
            <xdr:cNvPr id="15742" name="Drop Down 382" hidden="1">
              <a:extLst>
                <a:ext uri="{63B3BB69-23CF-44E3-9099-C40C66FF867C}">
                  <a14:compatExt spid="_x0000_s15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0</xdr:rowOff>
        </xdr:from>
        <xdr:to>
          <xdr:col>13</xdr:col>
          <xdr:colOff>9525</xdr:colOff>
          <xdr:row>19</xdr:row>
          <xdr:rowOff>9525</xdr:rowOff>
        </xdr:to>
        <xdr:sp macro="" textlink="">
          <xdr:nvSpPr>
            <xdr:cNvPr id="15743" name="Drop Down 383" hidden="1">
              <a:extLst>
                <a:ext uri="{63B3BB69-23CF-44E3-9099-C40C66FF867C}">
                  <a14:compatExt spid="_x0000_s15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0</xdr:rowOff>
        </xdr:from>
        <xdr:to>
          <xdr:col>13</xdr:col>
          <xdr:colOff>9525</xdr:colOff>
          <xdr:row>19</xdr:row>
          <xdr:rowOff>9525</xdr:rowOff>
        </xdr:to>
        <xdr:sp macro="" textlink="">
          <xdr:nvSpPr>
            <xdr:cNvPr id="15744" name="Drop Down 384" hidden="1">
              <a:extLst>
                <a:ext uri="{63B3BB69-23CF-44E3-9099-C40C66FF867C}">
                  <a14:compatExt spid="_x0000_s15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0</xdr:rowOff>
        </xdr:from>
        <xdr:to>
          <xdr:col>13</xdr:col>
          <xdr:colOff>9525</xdr:colOff>
          <xdr:row>20</xdr:row>
          <xdr:rowOff>9525</xdr:rowOff>
        </xdr:to>
        <xdr:sp macro="" textlink="">
          <xdr:nvSpPr>
            <xdr:cNvPr id="15745" name="Drop Down 385" hidden="1">
              <a:extLst>
                <a:ext uri="{63B3BB69-23CF-44E3-9099-C40C66FF867C}">
                  <a14:compatExt spid="_x0000_s15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0</xdr:rowOff>
        </xdr:from>
        <xdr:to>
          <xdr:col>13</xdr:col>
          <xdr:colOff>9525</xdr:colOff>
          <xdr:row>20</xdr:row>
          <xdr:rowOff>9525</xdr:rowOff>
        </xdr:to>
        <xdr:sp macro="" textlink="">
          <xdr:nvSpPr>
            <xdr:cNvPr id="15746" name="Drop Down 386" hidden="1">
              <a:extLst>
                <a:ext uri="{63B3BB69-23CF-44E3-9099-C40C66FF867C}">
                  <a14:compatExt spid="_x0000_s15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0</xdr:rowOff>
        </xdr:from>
        <xdr:to>
          <xdr:col>13</xdr:col>
          <xdr:colOff>9525</xdr:colOff>
          <xdr:row>20</xdr:row>
          <xdr:rowOff>9525</xdr:rowOff>
        </xdr:to>
        <xdr:sp macro="" textlink="">
          <xdr:nvSpPr>
            <xdr:cNvPr id="15747" name="Drop Down 387" hidden="1">
              <a:extLst>
                <a:ext uri="{63B3BB69-23CF-44E3-9099-C40C66FF867C}">
                  <a14:compatExt spid="_x0000_s15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xdr:row>
          <xdr:rowOff>0</xdr:rowOff>
        </xdr:from>
        <xdr:to>
          <xdr:col>13</xdr:col>
          <xdr:colOff>9525</xdr:colOff>
          <xdr:row>21</xdr:row>
          <xdr:rowOff>9525</xdr:rowOff>
        </xdr:to>
        <xdr:sp macro="" textlink="">
          <xdr:nvSpPr>
            <xdr:cNvPr id="15748" name="Drop Down 388" hidden="1">
              <a:extLst>
                <a:ext uri="{63B3BB69-23CF-44E3-9099-C40C66FF867C}">
                  <a14:compatExt spid="_x0000_s15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xdr:row>
          <xdr:rowOff>0</xdr:rowOff>
        </xdr:from>
        <xdr:to>
          <xdr:col>13</xdr:col>
          <xdr:colOff>9525</xdr:colOff>
          <xdr:row>21</xdr:row>
          <xdr:rowOff>9525</xdr:rowOff>
        </xdr:to>
        <xdr:sp macro="" textlink="">
          <xdr:nvSpPr>
            <xdr:cNvPr id="15749" name="Drop Down 389" hidden="1">
              <a:extLst>
                <a:ext uri="{63B3BB69-23CF-44E3-9099-C40C66FF867C}">
                  <a14:compatExt spid="_x0000_s15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xdr:row>
          <xdr:rowOff>0</xdr:rowOff>
        </xdr:from>
        <xdr:to>
          <xdr:col>13</xdr:col>
          <xdr:colOff>9525</xdr:colOff>
          <xdr:row>21</xdr:row>
          <xdr:rowOff>9525</xdr:rowOff>
        </xdr:to>
        <xdr:sp macro="" textlink="">
          <xdr:nvSpPr>
            <xdr:cNvPr id="15750" name="Drop Down 390" hidden="1">
              <a:extLst>
                <a:ext uri="{63B3BB69-23CF-44E3-9099-C40C66FF867C}">
                  <a14:compatExt spid="_x0000_s15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0</xdr:rowOff>
        </xdr:from>
        <xdr:to>
          <xdr:col>13</xdr:col>
          <xdr:colOff>9525</xdr:colOff>
          <xdr:row>22</xdr:row>
          <xdr:rowOff>9525</xdr:rowOff>
        </xdr:to>
        <xdr:sp macro="" textlink="">
          <xdr:nvSpPr>
            <xdr:cNvPr id="15751" name="Drop Down 391" hidden="1">
              <a:extLst>
                <a:ext uri="{63B3BB69-23CF-44E3-9099-C40C66FF867C}">
                  <a14:compatExt spid="_x0000_s15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0</xdr:rowOff>
        </xdr:from>
        <xdr:to>
          <xdr:col>13</xdr:col>
          <xdr:colOff>9525</xdr:colOff>
          <xdr:row>22</xdr:row>
          <xdr:rowOff>9525</xdr:rowOff>
        </xdr:to>
        <xdr:sp macro="" textlink="">
          <xdr:nvSpPr>
            <xdr:cNvPr id="15752" name="Drop Down 392" hidden="1">
              <a:extLst>
                <a:ext uri="{63B3BB69-23CF-44E3-9099-C40C66FF867C}">
                  <a14:compatExt spid="_x0000_s15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0</xdr:rowOff>
        </xdr:from>
        <xdr:to>
          <xdr:col>13</xdr:col>
          <xdr:colOff>9525</xdr:colOff>
          <xdr:row>22</xdr:row>
          <xdr:rowOff>9525</xdr:rowOff>
        </xdr:to>
        <xdr:sp macro="" textlink="">
          <xdr:nvSpPr>
            <xdr:cNvPr id="15753" name="Drop Down 393" hidden="1">
              <a:extLst>
                <a:ext uri="{63B3BB69-23CF-44E3-9099-C40C66FF867C}">
                  <a14:compatExt spid="_x0000_s15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0</xdr:rowOff>
        </xdr:from>
        <xdr:to>
          <xdr:col>13</xdr:col>
          <xdr:colOff>9525</xdr:colOff>
          <xdr:row>23</xdr:row>
          <xdr:rowOff>9525</xdr:rowOff>
        </xdr:to>
        <xdr:sp macro="" textlink="">
          <xdr:nvSpPr>
            <xdr:cNvPr id="15754" name="Drop Down 394" hidden="1">
              <a:extLst>
                <a:ext uri="{63B3BB69-23CF-44E3-9099-C40C66FF867C}">
                  <a14:compatExt spid="_x0000_s15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0</xdr:rowOff>
        </xdr:from>
        <xdr:to>
          <xdr:col>13</xdr:col>
          <xdr:colOff>9525</xdr:colOff>
          <xdr:row>23</xdr:row>
          <xdr:rowOff>9525</xdr:rowOff>
        </xdr:to>
        <xdr:sp macro="" textlink="">
          <xdr:nvSpPr>
            <xdr:cNvPr id="15755" name="Drop Down 395" hidden="1">
              <a:extLst>
                <a:ext uri="{63B3BB69-23CF-44E3-9099-C40C66FF867C}">
                  <a14:compatExt spid="_x0000_s15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0</xdr:rowOff>
        </xdr:from>
        <xdr:to>
          <xdr:col>13</xdr:col>
          <xdr:colOff>9525</xdr:colOff>
          <xdr:row>23</xdr:row>
          <xdr:rowOff>9525</xdr:rowOff>
        </xdr:to>
        <xdr:sp macro="" textlink="">
          <xdr:nvSpPr>
            <xdr:cNvPr id="15756" name="Drop Down 396" hidden="1">
              <a:extLst>
                <a:ext uri="{63B3BB69-23CF-44E3-9099-C40C66FF867C}">
                  <a14:compatExt spid="_x0000_s15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0</xdr:rowOff>
        </xdr:from>
        <xdr:to>
          <xdr:col>13</xdr:col>
          <xdr:colOff>9525</xdr:colOff>
          <xdr:row>24</xdr:row>
          <xdr:rowOff>9525</xdr:rowOff>
        </xdr:to>
        <xdr:sp macro="" textlink="">
          <xdr:nvSpPr>
            <xdr:cNvPr id="15757" name="Drop Down 397" hidden="1">
              <a:extLst>
                <a:ext uri="{63B3BB69-23CF-44E3-9099-C40C66FF867C}">
                  <a14:compatExt spid="_x0000_s15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0</xdr:rowOff>
        </xdr:from>
        <xdr:to>
          <xdr:col>13</xdr:col>
          <xdr:colOff>9525</xdr:colOff>
          <xdr:row>24</xdr:row>
          <xdr:rowOff>9525</xdr:rowOff>
        </xdr:to>
        <xdr:sp macro="" textlink="">
          <xdr:nvSpPr>
            <xdr:cNvPr id="15758" name="Drop Down 398" hidden="1">
              <a:extLst>
                <a:ext uri="{63B3BB69-23CF-44E3-9099-C40C66FF867C}">
                  <a14:compatExt spid="_x0000_s15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0</xdr:rowOff>
        </xdr:from>
        <xdr:to>
          <xdr:col>13</xdr:col>
          <xdr:colOff>9525</xdr:colOff>
          <xdr:row>24</xdr:row>
          <xdr:rowOff>9525</xdr:rowOff>
        </xdr:to>
        <xdr:sp macro="" textlink="">
          <xdr:nvSpPr>
            <xdr:cNvPr id="15759" name="Drop Down 399" hidden="1">
              <a:extLst>
                <a:ext uri="{63B3BB69-23CF-44E3-9099-C40C66FF867C}">
                  <a14:compatExt spid="_x0000_s15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13</xdr:col>
          <xdr:colOff>9525</xdr:colOff>
          <xdr:row>25</xdr:row>
          <xdr:rowOff>9525</xdr:rowOff>
        </xdr:to>
        <xdr:sp macro="" textlink="">
          <xdr:nvSpPr>
            <xdr:cNvPr id="15760" name="Drop Down 400" hidden="1">
              <a:extLst>
                <a:ext uri="{63B3BB69-23CF-44E3-9099-C40C66FF867C}">
                  <a14:compatExt spid="_x0000_s15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13</xdr:col>
          <xdr:colOff>9525</xdr:colOff>
          <xdr:row>25</xdr:row>
          <xdr:rowOff>9525</xdr:rowOff>
        </xdr:to>
        <xdr:sp macro="" textlink="">
          <xdr:nvSpPr>
            <xdr:cNvPr id="15761" name="Drop Down 401" hidden="1">
              <a:extLst>
                <a:ext uri="{63B3BB69-23CF-44E3-9099-C40C66FF867C}">
                  <a14:compatExt spid="_x0000_s15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13</xdr:col>
          <xdr:colOff>9525</xdr:colOff>
          <xdr:row>25</xdr:row>
          <xdr:rowOff>9525</xdr:rowOff>
        </xdr:to>
        <xdr:sp macro="" textlink="">
          <xdr:nvSpPr>
            <xdr:cNvPr id="15762" name="Drop Down 402" hidden="1">
              <a:extLst>
                <a:ext uri="{63B3BB69-23CF-44E3-9099-C40C66FF867C}">
                  <a14:compatExt spid="_x0000_s15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763" name="Drop Down 403" hidden="1">
              <a:extLst>
                <a:ext uri="{63B3BB69-23CF-44E3-9099-C40C66FF867C}">
                  <a14:compatExt spid="_x0000_s15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764" name="Drop Down 404" hidden="1">
              <a:extLst>
                <a:ext uri="{63B3BB69-23CF-44E3-9099-C40C66FF867C}">
                  <a14:compatExt spid="_x0000_s15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765" name="Drop Down 405" hidden="1">
              <a:extLst>
                <a:ext uri="{63B3BB69-23CF-44E3-9099-C40C66FF867C}">
                  <a14:compatExt spid="_x0000_s15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766" name="Drop Down 406" hidden="1">
              <a:extLst>
                <a:ext uri="{63B3BB69-23CF-44E3-9099-C40C66FF867C}">
                  <a14:compatExt spid="_x0000_s15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13</xdr:col>
          <xdr:colOff>9525</xdr:colOff>
          <xdr:row>27</xdr:row>
          <xdr:rowOff>9525</xdr:rowOff>
        </xdr:to>
        <xdr:sp macro="" textlink="">
          <xdr:nvSpPr>
            <xdr:cNvPr id="15767" name="Drop Down 407" hidden="1">
              <a:extLst>
                <a:ext uri="{63B3BB69-23CF-44E3-9099-C40C66FF867C}">
                  <a14:compatExt spid="_x0000_s15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768" name="Drop Down 408" hidden="1">
              <a:extLst>
                <a:ext uri="{63B3BB69-23CF-44E3-9099-C40C66FF867C}">
                  <a14:compatExt spid="_x0000_s15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13</xdr:col>
          <xdr:colOff>9525</xdr:colOff>
          <xdr:row>27</xdr:row>
          <xdr:rowOff>9525</xdr:rowOff>
        </xdr:to>
        <xdr:sp macro="" textlink="">
          <xdr:nvSpPr>
            <xdr:cNvPr id="15769" name="Drop Down 409" hidden="1">
              <a:extLst>
                <a:ext uri="{63B3BB69-23CF-44E3-9099-C40C66FF867C}">
                  <a14:compatExt spid="_x0000_s15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770" name="Drop Down 410" hidden="1">
              <a:extLst>
                <a:ext uri="{63B3BB69-23CF-44E3-9099-C40C66FF867C}">
                  <a14:compatExt spid="_x0000_s15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771" name="Drop Down 411" hidden="1">
              <a:extLst>
                <a:ext uri="{63B3BB69-23CF-44E3-9099-C40C66FF867C}">
                  <a14:compatExt spid="_x0000_s15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13</xdr:col>
          <xdr:colOff>9525</xdr:colOff>
          <xdr:row>26</xdr:row>
          <xdr:rowOff>9525</xdr:rowOff>
        </xdr:to>
        <xdr:sp macro="" textlink="">
          <xdr:nvSpPr>
            <xdr:cNvPr id="15772" name="Drop Down 412" hidden="1">
              <a:extLst>
                <a:ext uri="{63B3BB69-23CF-44E3-9099-C40C66FF867C}">
                  <a14:compatExt spid="_x0000_s15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13</xdr:col>
          <xdr:colOff>9525</xdr:colOff>
          <xdr:row>27</xdr:row>
          <xdr:rowOff>9525</xdr:rowOff>
        </xdr:to>
        <xdr:sp macro="" textlink="">
          <xdr:nvSpPr>
            <xdr:cNvPr id="15773" name="Drop Down 413" hidden="1">
              <a:extLst>
                <a:ext uri="{63B3BB69-23CF-44E3-9099-C40C66FF867C}">
                  <a14:compatExt spid="_x0000_s15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13</xdr:col>
          <xdr:colOff>9525</xdr:colOff>
          <xdr:row>27</xdr:row>
          <xdr:rowOff>9525</xdr:rowOff>
        </xdr:to>
        <xdr:sp macro="" textlink="">
          <xdr:nvSpPr>
            <xdr:cNvPr id="15774" name="Drop Down 414" hidden="1">
              <a:extLst>
                <a:ext uri="{63B3BB69-23CF-44E3-9099-C40C66FF867C}">
                  <a14:compatExt spid="_x0000_s15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13</xdr:col>
          <xdr:colOff>9525</xdr:colOff>
          <xdr:row>27</xdr:row>
          <xdr:rowOff>9525</xdr:rowOff>
        </xdr:to>
        <xdr:sp macro="" textlink="">
          <xdr:nvSpPr>
            <xdr:cNvPr id="15775" name="Drop Down 415" hidden="1">
              <a:extLst>
                <a:ext uri="{63B3BB69-23CF-44E3-9099-C40C66FF867C}">
                  <a14:compatExt spid="_x0000_s1577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2419350</xdr:colOff>
          <xdr:row>3</xdr:row>
          <xdr:rowOff>38100</xdr:rowOff>
        </xdr:to>
        <xdr:sp macro="" textlink="">
          <xdr:nvSpPr>
            <xdr:cNvPr id="11265" name="Drop Down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xdr:row>
          <xdr:rowOff>161925</xdr:rowOff>
        </xdr:from>
        <xdr:to>
          <xdr:col>2</xdr:col>
          <xdr:colOff>0</xdr:colOff>
          <xdr:row>7</xdr:row>
          <xdr:rowOff>9525</xdr:rowOff>
        </xdr:to>
        <xdr:sp macro="" textlink="">
          <xdr:nvSpPr>
            <xdr:cNvPr id="11266" name="Drop Down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xdr:row>
          <xdr:rowOff>0</xdr:rowOff>
        </xdr:from>
        <xdr:to>
          <xdr:col>1</xdr:col>
          <xdr:colOff>2428875</xdr:colOff>
          <xdr:row>8</xdr:row>
          <xdr:rowOff>28575</xdr:rowOff>
        </xdr:to>
        <xdr:sp macro="" textlink="">
          <xdr:nvSpPr>
            <xdr:cNvPr id="11267" name="Drop Down 3" hidden="1">
              <a:extLst>
                <a:ext uri="{63B3BB69-23CF-44E3-9099-C40C66FF867C}">
                  <a14:compatExt spid="_x0000_s1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0</xdr:rowOff>
        </xdr:from>
        <xdr:to>
          <xdr:col>1</xdr:col>
          <xdr:colOff>2428875</xdr:colOff>
          <xdr:row>9</xdr:row>
          <xdr:rowOff>28575</xdr:rowOff>
        </xdr:to>
        <xdr:sp macro="" textlink="">
          <xdr:nvSpPr>
            <xdr:cNvPr id="11268" name="Drop Down 4" hidden="1">
              <a:extLst>
                <a:ext uri="{63B3BB69-23CF-44E3-9099-C40C66FF867C}">
                  <a14:compatExt spid="_x0000_s1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1</xdr:col>
          <xdr:colOff>2419350</xdr:colOff>
          <xdr:row>13</xdr:row>
          <xdr:rowOff>28575</xdr:rowOff>
        </xdr:to>
        <xdr:sp macro="" textlink="">
          <xdr:nvSpPr>
            <xdr:cNvPr id="11269" name="Drop Down 5" hidden="1">
              <a:extLst>
                <a:ext uri="{63B3BB69-23CF-44E3-9099-C40C66FF867C}">
                  <a14:compatExt spid="_x0000_s1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1</xdr:col>
          <xdr:colOff>2428875</xdr:colOff>
          <xdr:row>14</xdr:row>
          <xdr:rowOff>57150</xdr:rowOff>
        </xdr:to>
        <xdr:sp macro="" textlink="">
          <xdr:nvSpPr>
            <xdr:cNvPr id="11270" name="Drop Down 6" hidden="1">
              <a:extLst>
                <a:ext uri="{63B3BB69-23CF-44E3-9099-C40C66FF867C}">
                  <a14:compatExt spid="_x0000_s1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57150</xdr:rowOff>
        </xdr:from>
        <xdr:to>
          <xdr:col>1</xdr:col>
          <xdr:colOff>2428875</xdr:colOff>
          <xdr:row>15</xdr:row>
          <xdr:rowOff>85725</xdr:rowOff>
        </xdr:to>
        <xdr:sp macro="" textlink="">
          <xdr:nvSpPr>
            <xdr:cNvPr id="11271" name="Drop Down 7" hidden="1">
              <a:extLst>
                <a:ext uri="{63B3BB69-23CF-44E3-9099-C40C66FF867C}">
                  <a14:compatExt spid="_x0000_s1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2419350</xdr:colOff>
          <xdr:row>20</xdr:row>
          <xdr:rowOff>38100</xdr:rowOff>
        </xdr:to>
        <xdr:sp macro="" textlink="">
          <xdr:nvSpPr>
            <xdr:cNvPr id="11272" name="Drop Down 8" hidden="1">
              <a:extLst>
                <a:ext uri="{63B3BB69-23CF-44E3-9099-C40C66FF867C}">
                  <a14:compatExt spid="_x0000_s1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2</xdr:col>
          <xdr:colOff>0</xdr:colOff>
          <xdr:row>22</xdr:row>
          <xdr:rowOff>38100</xdr:rowOff>
        </xdr:to>
        <xdr:sp macro="" textlink="">
          <xdr:nvSpPr>
            <xdr:cNvPr id="11273" name="Drop Down 9" hidden="1">
              <a:extLst>
                <a:ext uri="{63B3BB69-23CF-44E3-9099-C40C66FF867C}">
                  <a14:compatExt spid="_x0000_s1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2419350</xdr:colOff>
          <xdr:row>23</xdr:row>
          <xdr:rowOff>38100</xdr:rowOff>
        </xdr:to>
        <xdr:sp macro="" textlink="">
          <xdr:nvSpPr>
            <xdr:cNvPr id="11274" name="Drop Down 10" hidden="1">
              <a:extLst>
                <a:ext uri="{63B3BB69-23CF-44E3-9099-C40C66FF867C}">
                  <a14:compatExt spid="_x0000_s1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0</xdr:rowOff>
        </xdr:from>
        <xdr:to>
          <xdr:col>2</xdr:col>
          <xdr:colOff>0</xdr:colOff>
          <xdr:row>24</xdr:row>
          <xdr:rowOff>38100</xdr:rowOff>
        </xdr:to>
        <xdr:sp macro="" textlink="">
          <xdr:nvSpPr>
            <xdr:cNvPr id="11275" name="Drop Down 11" hidden="1">
              <a:extLst>
                <a:ext uri="{63B3BB69-23CF-44E3-9099-C40C66FF867C}">
                  <a14:compatExt spid="_x0000_s1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0</xdr:colOff>
          <xdr:row>25</xdr:row>
          <xdr:rowOff>38100</xdr:rowOff>
        </xdr:to>
        <xdr:sp macro="" textlink="">
          <xdr:nvSpPr>
            <xdr:cNvPr id="11276" name="Drop Down 12" hidden="1">
              <a:extLst>
                <a:ext uri="{63B3BB69-23CF-44E3-9099-C40C66FF867C}">
                  <a14:compatExt spid="_x0000_s1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2419350</xdr:colOff>
          <xdr:row>17</xdr:row>
          <xdr:rowOff>38100</xdr:rowOff>
        </xdr:to>
        <xdr:sp macro="" textlink="">
          <xdr:nvSpPr>
            <xdr:cNvPr id="11277" name="Drop Down 13" hidden="1">
              <a:extLst>
                <a:ext uri="{63B3BB69-23CF-44E3-9099-C40C66FF867C}">
                  <a14:compatExt spid="_x0000_s1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2</xdr:col>
          <xdr:colOff>0</xdr:colOff>
          <xdr:row>27</xdr:row>
          <xdr:rowOff>38100</xdr:rowOff>
        </xdr:to>
        <xdr:sp macro="" textlink="">
          <xdr:nvSpPr>
            <xdr:cNvPr id="11278" name="Drop Down 14" hidden="1">
              <a:extLst>
                <a:ext uri="{63B3BB69-23CF-44E3-9099-C40C66FF867C}">
                  <a14:compatExt spid="_x0000_s1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xdr:row>
          <xdr:rowOff>0</xdr:rowOff>
        </xdr:from>
        <xdr:to>
          <xdr:col>10</xdr:col>
          <xdr:colOff>2419350</xdr:colOff>
          <xdr:row>3</xdr:row>
          <xdr:rowOff>38100</xdr:rowOff>
        </xdr:to>
        <xdr:sp macro="" textlink="">
          <xdr:nvSpPr>
            <xdr:cNvPr id="11279" name="Drop Down 15" hidden="1">
              <a:extLst>
                <a:ext uri="{63B3BB69-23CF-44E3-9099-C40C66FF867C}">
                  <a14:compatExt spid="_x0000_s1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11</xdr:col>
          <xdr:colOff>0</xdr:colOff>
          <xdr:row>7</xdr:row>
          <xdr:rowOff>28575</xdr:rowOff>
        </xdr:to>
        <xdr:sp macro="" textlink="">
          <xdr:nvSpPr>
            <xdr:cNvPr id="11280" name="Drop Down 16" hidden="1">
              <a:extLst>
                <a:ext uri="{63B3BB69-23CF-44E3-9099-C40C66FF867C}">
                  <a14:compatExt spid="_x0000_s1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10</xdr:col>
          <xdr:colOff>2419350</xdr:colOff>
          <xdr:row>8</xdr:row>
          <xdr:rowOff>28575</xdr:rowOff>
        </xdr:to>
        <xdr:sp macro="" textlink="">
          <xdr:nvSpPr>
            <xdr:cNvPr id="11281" name="Drop Down 17" hidden="1">
              <a:extLst>
                <a:ext uri="{63B3BB69-23CF-44E3-9099-C40C66FF867C}">
                  <a14:compatExt spid="_x0000_s1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10</xdr:col>
          <xdr:colOff>2419350</xdr:colOff>
          <xdr:row>9</xdr:row>
          <xdr:rowOff>28575</xdr:rowOff>
        </xdr:to>
        <xdr:sp macro="" textlink="">
          <xdr:nvSpPr>
            <xdr:cNvPr id="11282" name="Drop Down 18" hidden="1">
              <a:extLst>
                <a:ext uri="{63B3BB69-23CF-44E3-9099-C40C66FF867C}">
                  <a14:compatExt spid="_x0000_s1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10</xdr:col>
          <xdr:colOff>2419350</xdr:colOff>
          <xdr:row>13</xdr:row>
          <xdr:rowOff>28575</xdr:rowOff>
        </xdr:to>
        <xdr:sp macro="" textlink="">
          <xdr:nvSpPr>
            <xdr:cNvPr id="11283" name="Drop Down 19" hidden="1">
              <a:extLst>
                <a:ext uri="{63B3BB69-23CF-44E3-9099-C40C66FF867C}">
                  <a14:compatExt spid="_x0000_s1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10</xdr:col>
          <xdr:colOff>2419350</xdr:colOff>
          <xdr:row>14</xdr:row>
          <xdr:rowOff>28575</xdr:rowOff>
        </xdr:to>
        <xdr:sp macro="" textlink="">
          <xdr:nvSpPr>
            <xdr:cNvPr id="11284" name="Drop Down 20" hidden="1">
              <a:extLst>
                <a:ext uri="{63B3BB69-23CF-44E3-9099-C40C66FF867C}">
                  <a14:compatExt spid="_x0000_s1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10</xdr:col>
          <xdr:colOff>2419350</xdr:colOff>
          <xdr:row>15</xdr:row>
          <xdr:rowOff>28575</xdr:rowOff>
        </xdr:to>
        <xdr:sp macro="" textlink="">
          <xdr:nvSpPr>
            <xdr:cNvPr id="11285" name="Drop Down 21" hidden="1">
              <a:extLst>
                <a:ext uri="{63B3BB69-23CF-44E3-9099-C40C66FF867C}">
                  <a14:compatExt spid="_x0000_s1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10</xdr:col>
          <xdr:colOff>2419350</xdr:colOff>
          <xdr:row>17</xdr:row>
          <xdr:rowOff>38100</xdr:rowOff>
        </xdr:to>
        <xdr:sp macro="" textlink="">
          <xdr:nvSpPr>
            <xdr:cNvPr id="11286" name="Drop Down 22" hidden="1">
              <a:extLst>
                <a:ext uri="{63B3BB69-23CF-44E3-9099-C40C66FF867C}">
                  <a14:compatExt spid="_x0000_s1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10</xdr:col>
          <xdr:colOff>2419350</xdr:colOff>
          <xdr:row>20</xdr:row>
          <xdr:rowOff>38100</xdr:rowOff>
        </xdr:to>
        <xdr:sp macro="" textlink="">
          <xdr:nvSpPr>
            <xdr:cNvPr id="11287" name="Drop Down 23" hidden="1">
              <a:extLst>
                <a:ext uri="{63B3BB69-23CF-44E3-9099-C40C66FF867C}">
                  <a14:compatExt spid="_x0000_s1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21</xdr:row>
          <xdr:rowOff>0</xdr:rowOff>
        </xdr:from>
        <xdr:to>
          <xdr:col>11</xdr:col>
          <xdr:colOff>0</xdr:colOff>
          <xdr:row>22</xdr:row>
          <xdr:rowOff>38100</xdr:rowOff>
        </xdr:to>
        <xdr:sp macro="" textlink="">
          <xdr:nvSpPr>
            <xdr:cNvPr id="11288" name="Drop Down 24" hidden="1">
              <a:extLst>
                <a:ext uri="{63B3BB69-23CF-44E3-9099-C40C66FF867C}">
                  <a14:compatExt spid="_x0000_s1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10</xdr:col>
          <xdr:colOff>2419350</xdr:colOff>
          <xdr:row>23</xdr:row>
          <xdr:rowOff>38100</xdr:rowOff>
        </xdr:to>
        <xdr:sp macro="" textlink="">
          <xdr:nvSpPr>
            <xdr:cNvPr id="11289" name="Drop Down 25" hidden="1">
              <a:extLst>
                <a:ext uri="{63B3BB69-23CF-44E3-9099-C40C66FF867C}">
                  <a14:compatExt spid="_x0000_s1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23</xdr:row>
          <xdr:rowOff>0</xdr:rowOff>
        </xdr:from>
        <xdr:to>
          <xdr:col>11</xdr:col>
          <xdr:colOff>0</xdr:colOff>
          <xdr:row>24</xdr:row>
          <xdr:rowOff>38100</xdr:rowOff>
        </xdr:to>
        <xdr:sp macro="" textlink="">
          <xdr:nvSpPr>
            <xdr:cNvPr id="11290" name="Drop Down 26" hidden="1">
              <a:extLst>
                <a:ext uri="{63B3BB69-23CF-44E3-9099-C40C66FF867C}">
                  <a14:compatExt spid="_x0000_s1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24</xdr:row>
          <xdr:rowOff>0</xdr:rowOff>
        </xdr:from>
        <xdr:to>
          <xdr:col>11</xdr:col>
          <xdr:colOff>0</xdr:colOff>
          <xdr:row>25</xdr:row>
          <xdr:rowOff>38100</xdr:rowOff>
        </xdr:to>
        <xdr:sp macro="" textlink="">
          <xdr:nvSpPr>
            <xdr:cNvPr id="11291" name="Drop Down 27" hidden="1">
              <a:extLst>
                <a:ext uri="{63B3BB69-23CF-44E3-9099-C40C66FF867C}">
                  <a14:compatExt spid="_x0000_s1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26</xdr:row>
          <xdr:rowOff>0</xdr:rowOff>
        </xdr:from>
        <xdr:to>
          <xdr:col>11</xdr:col>
          <xdr:colOff>0</xdr:colOff>
          <xdr:row>27</xdr:row>
          <xdr:rowOff>38100</xdr:rowOff>
        </xdr:to>
        <xdr:sp macro="" textlink="">
          <xdr:nvSpPr>
            <xdr:cNvPr id="11292" name="Drop Down 28" hidden="1">
              <a:extLst>
                <a:ext uri="{63B3BB69-23CF-44E3-9099-C40C66FF867C}">
                  <a14:compatExt spid="_x0000_s1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2419350</xdr:colOff>
          <xdr:row>5</xdr:row>
          <xdr:rowOff>19050</xdr:rowOff>
        </xdr:to>
        <xdr:sp macro="" textlink="">
          <xdr:nvSpPr>
            <xdr:cNvPr id="11293" name="Drop Down 29" hidden="1">
              <a:extLst>
                <a:ext uri="{63B3BB69-23CF-44E3-9099-C40C66FF867C}">
                  <a14:compatExt spid="_x0000_s1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10</xdr:col>
          <xdr:colOff>2419350</xdr:colOff>
          <xdr:row>5</xdr:row>
          <xdr:rowOff>19050</xdr:rowOff>
        </xdr:to>
        <xdr:sp macro="" textlink="">
          <xdr:nvSpPr>
            <xdr:cNvPr id="11294" name="Drop Down 30" hidden="1">
              <a:extLst>
                <a:ext uri="{63B3BB69-23CF-44E3-9099-C40C66FF867C}">
                  <a14:compatExt spid="_x0000_s1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0</xdr:rowOff>
        </xdr:from>
        <xdr:to>
          <xdr:col>8</xdr:col>
          <xdr:colOff>1847850</xdr:colOff>
          <xdr:row>7</xdr:row>
          <xdr:rowOff>28575</xdr:rowOff>
        </xdr:to>
        <xdr:sp macro="" textlink="">
          <xdr:nvSpPr>
            <xdr:cNvPr id="11295" name="Drop Down 31" hidden="1">
              <a:extLst>
                <a:ext uri="{63B3BB69-23CF-44E3-9099-C40C66FF867C}">
                  <a14:compatExt spid="_x0000_s1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9525</xdr:rowOff>
        </xdr:from>
        <xdr:to>
          <xdr:col>8</xdr:col>
          <xdr:colOff>1866900</xdr:colOff>
          <xdr:row>13</xdr:row>
          <xdr:rowOff>57150</xdr:rowOff>
        </xdr:to>
        <xdr:sp macro="" textlink="">
          <xdr:nvSpPr>
            <xdr:cNvPr id="11296" name="Drop Down 32" hidden="1">
              <a:extLst>
                <a:ext uri="{63B3BB69-23CF-44E3-9099-C40C66FF867C}">
                  <a14:compatExt spid="_x0000_s1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0</xdr:rowOff>
        </xdr:from>
        <xdr:to>
          <xdr:col>8</xdr:col>
          <xdr:colOff>1866900</xdr:colOff>
          <xdr:row>27</xdr:row>
          <xdr:rowOff>28575</xdr:rowOff>
        </xdr:to>
        <xdr:sp macro="" textlink="">
          <xdr:nvSpPr>
            <xdr:cNvPr id="11297" name="Drop Down 33" hidden="1">
              <a:extLst>
                <a:ext uri="{63B3BB69-23CF-44E3-9099-C40C66FF867C}">
                  <a14:compatExt spid="_x0000_s1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2419350</xdr:colOff>
          <xdr:row>4</xdr:row>
          <xdr:rowOff>28575</xdr:rowOff>
        </xdr:to>
        <xdr:sp macro="" textlink="">
          <xdr:nvSpPr>
            <xdr:cNvPr id="11298" name="Drop Down 34" hidden="1">
              <a:extLst>
                <a:ext uri="{63B3BB69-23CF-44E3-9099-C40C66FF867C}">
                  <a14:compatExt spid="_x0000_s1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0</xdr:rowOff>
        </xdr:from>
        <xdr:to>
          <xdr:col>10</xdr:col>
          <xdr:colOff>2419350</xdr:colOff>
          <xdr:row>4</xdr:row>
          <xdr:rowOff>28575</xdr:rowOff>
        </xdr:to>
        <xdr:sp macro="" textlink="">
          <xdr:nvSpPr>
            <xdr:cNvPr id="11299" name="Drop Down 35" hidden="1">
              <a:extLst>
                <a:ext uri="{63B3BB69-23CF-44E3-9099-C40C66FF867C}">
                  <a14:compatExt spid="_x0000_s1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0</xdr:rowOff>
        </xdr:from>
        <xdr:to>
          <xdr:col>4</xdr:col>
          <xdr:colOff>609600</xdr:colOff>
          <xdr:row>7</xdr:row>
          <xdr:rowOff>28575</xdr:rowOff>
        </xdr:to>
        <xdr:sp macro="" textlink="">
          <xdr:nvSpPr>
            <xdr:cNvPr id="11300" name="Drop Down 36" hidden="1">
              <a:extLst>
                <a:ext uri="{63B3BB69-23CF-44E3-9099-C40C66FF867C}">
                  <a14:compatExt spid="_x0000_s1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9525</xdr:rowOff>
        </xdr:from>
        <xdr:to>
          <xdr:col>4</xdr:col>
          <xdr:colOff>609600</xdr:colOff>
          <xdr:row>8</xdr:row>
          <xdr:rowOff>38100</xdr:rowOff>
        </xdr:to>
        <xdr:sp macro="" textlink="">
          <xdr:nvSpPr>
            <xdr:cNvPr id="11301" name="Drop Down 37" hidden="1">
              <a:extLst>
                <a:ext uri="{63B3BB69-23CF-44E3-9099-C40C66FF867C}">
                  <a14:compatExt spid="_x0000_s1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4</xdr:col>
          <xdr:colOff>609600</xdr:colOff>
          <xdr:row>9</xdr:row>
          <xdr:rowOff>28575</xdr:rowOff>
        </xdr:to>
        <xdr:sp macro="" textlink="">
          <xdr:nvSpPr>
            <xdr:cNvPr id="11303" name="Drop Down 39" hidden="1">
              <a:extLst>
                <a:ext uri="{63B3BB69-23CF-44E3-9099-C40C66FF867C}">
                  <a14:compatExt spid="_x0000_s1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0</xdr:rowOff>
        </xdr:from>
        <xdr:to>
          <xdr:col>4</xdr:col>
          <xdr:colOff>609600</xdr:colOff>
          <xdr:row>10</xdr:row>
          <xdr:rowOff>28575</xdr:rowOff>
        </xdr:to>
        <xdr:sp macro="" textlink="">
          <xdr:nvSpPr>
            <xdr:cNvPr id="11304" name="Drop Down 40" hidden="1">
              <a:extLst>
                <a:ext uri="{63B3BB69-23CF-44E3-9099-C40C66FF867C}">
                  <a14:compatExt spid="_x0000_s1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9525</xdr:rowOff>
        </xdr:from>
        <xdr:to>
          <xdr:col>4</xdr:col>
          <xdr:colOff>600075</xdr:colOff>
          <xdr:row>11</xdr:row>
          <xdr:rowOff>19050</xdr:rowOff>
        </xdr:to>
        <xdr:sp macro="" textlink="">
          <xdr:nvSpPr>
            <xdr:cNvPr id="11305" name="Drop Down 41" hidden="1">
              <a:extLst>
                <a:ext uri="{63B3BB69-23CF-44E3-9099-C40C66FF867C}">
                  <a14:compatExt spid="_x0000_s1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xdr:row>
          <xdr:rowOff>0</xdr:rowOff>
        </xdr:from>
        <xdr:to>
          <xdr:col>1</xdr:col>
          <xdr:colOff>2428875</xdr:colOff>
          <xdr:row>10</xdr:row>
          <xdr:rowOff>28575</xdr:rowOff>
        </xdr:to>
        <xdr:sp macro="" textlink="">
          <xdr:nvSpPr>
            <xdr:cNvPr id="11307" name="Drop Down 43" hidden="1">
              <a:extLst>
                <a:ext uri="{63B3BB69-23CF-44E3-9099-C40C66FF867C}">
                  <a14:compatExt spid="_x0000_s1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2419350</xdr:colOff>
          <xdr:row>11</xdr:row>
          <xdr:rowOff>9525</xdr:rowOff>
        </xdr:to>
        <xdr:sp macro="" textlink="">
          <xdr:nvSpPr>
            <xdr:cNvPr id="11309" name="Drop Down 45" hidden="1">
              <a:extLst>
                <a:ext uri="{63B3BB69-23CF-44E3-9099-C40C66FF867C}">
                  <a14:compatExt spid="_x0000_s1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10</xdr:col>
          <xdr:colOff>2419350</xdr:colOff>
          <xdr:row>10</xdr:row>
          <xdr:rowOff>28575</xdr:rowOff>
        </xdr:to>
        <xdr:sp macro="" textlink="">
          <xdr:nvSpPr>
            <xdr:cNvPr id="11310" name="Drop Down 46" hidden="1">
              <a:extLst>
                <a:ext uri="{63B3BB69-23CF-44E3-9099-C40C66FF867C}">
                  <a14:compatExt spid="_x0000_s1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10</xdr:col>
          <xdr:colOff>2419350</xdr:colOff>
          <xdr:row>11</xdr:row>
          <xdr:rowOff>9525</xdr:rowOff>
        </xdr:to>
        <xdr:sp macro="" textlink="">
          <xdr:nvSpPr>
            <xdr:cNvPr id="11311" name="Drop Down 47" hidden="1">
              <a:extLst>
                <a:ext uri="{63B3BB69-23CF-44E3-9099-C40C66FF867C}">
                  <a14:compatExt spid="_x0000_s1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xdr:row>
          <xdr:rowOff>0</xdr:rowOff>
        </xdr:from>
        <xdr:to>
          <xdr:col>14</xdr:col>
          <xdr:colOff>9525</xdr:colOff>
          <xdr:row>7</xdr:row>
          <xdr:rowOff>28575</xdr:rowOff>
        </xdr:to>
        <xdr:sp macro="" textlink="">
          <xdr:nvSpPr>
            <xdr:cNvPr id="11312" name="Drop Down 48" hidden="1">
              <a:extLst>
                <a:ext uri="{63B3BB69-23CF-44E3-9099-C40C66FF867C}">
                  <a14:compatExt spid="_x0000_s1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xdr:row>
          <xdr:rowOff>0</xdr:rowOff>
        </xdr:from>
        <xdr:to>
          <xdr:col>14</xdr:col>
          <xdr:colOff>9525</xdr:colOff>
          <xdr:row>8</xdr:row>
          <xdr:rowOff>28575</xdr:rowOff>
        </xdr:to>
        <xdr:sp macro="" textlink="">
          <xdr:nvSpPr>
            <xdr:cNvPr id="11313" name="Drop Down 49" hidden="1">
              <a:extLst>
                <a:ext uri="{63B3BB69-23CF-44E3-9099-C40C66FF867C}">
                  <a14:compatExt spid="_x0000_s1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xdr:row>
          <xdr:rowOff>0</xdr:rowOff>
        </xdr:from>
        <xdr:to>
          <xdr:col>14</xdr:col>
          <xdr:colOff>9525</xdr:colOff>
          <xdr:row>9</xdr:row>
          <xdr:rowOff>28575</xdr:rowOff>
        </xdr:to>
        <xdr:sp macro="" textlink="">
          <xdr:nvSpPr>
            <xdr:cNvPr id="11314" name="Drop Down 50" hidden="1">
              <a:extLst>
                <a:ext uri="{63B3BB69-23CF-44E3-9099-C40C66FF867C}">
                  <a14:compatExt spid="_x0000_s1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0</xdr:rowOff>
        </xdr:from>
        <xdr:to>
          <xdr:col>14</xdr:col>
          <xdr:colOff>9525</xdr:colOff>
          <xdr:row>10</xdr:row>
          <xdr:rowOff>28575</xdr:rowOff>
        </xdr:to>
        <xdr:sp macro="" textlink="">
          <xdr:nvSpPr>
            <xdr:cNvPr id="11315" name="Drop Down 51" hidden="1">
              <a:extLst>
                <a:ext uri="{63B3BB69-23CF-44E3-9099-C40C66FF867C}">
                  <a14:compatExt spid="_x0000_s1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0</xdr:rowOff>
        </xdr:from>
        <xdr:to>
          <xdr:col>14</xdr:col>
          <xdr:colOff>9525</xdr:colOff>
          <xdr:row>11</xdr:row>
          <xdr:rowOff>9525</xdr:rowOff>
        </xdr:to>
        <xdr:sp macro="" textlink="">
          <xdr:nvSpPr>
            <xdr:cNvPr id="11316" name="Drop Down 52" hidden="1">
              <a:extLst>
                <a:ext uri="{63B3BB69-23CF-44E3-9099-C40C66FF867C}">
                  <a14:compatExt spid="_x0000_s1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0</xdr:rowOff>
        </xdr:from>
        <xdr:to>
          <xdr:col>5</xdr:col>
          <xdr:colOff>0</xdr:colOff>
          <xdr:row>13</xdr:row>
          <xdr:rowOff>9525</xdr:rowOff>
        </xdr:to>
        <xdr:sp macro="" textlink="">
          <xdr:nvSpPr>
            <xdr:cNvPr id="11317" name="Drop Down 53" hidden="1">
              <a:extLst>
                <a:ext uri="{63B3BB69-23CF-44E3-9099-C40C66FF867C}">
                  <a14:compatExt spid="_x0000_s1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5</xdr:col>
          <xdr:colOff>0</xdr:colOff>
          <xdr:row>14</xdr:row>
          <xdr:rowOff>9525</xdr:rowOff>
        </xdr:to>
        <xdr:sp macro="" textlink="">
          <xdr:nvSpPr>
            <xdr:cNvPr id="11318" name="Drop Down 54" hidden="1">
              <a:extLst>
                <a:ext uri="{63B3BB69-23CF-44E3-9099-C40C66FF867C}">
                  <a14:compatExt spid="_x0000_s1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5</xdr:col>
          <xdr:colOff>0</xdr:colOff>
          <xdr:row>15</xdr:row>
          <xdr:rowOff>9525</xdr:rowOff>
        </xdr:to>
        <xdr:sp macro="" textlink="">
          <xdr:nvSpPr>
            <xdr:cNvPr id="11319" name="Drop Down 55" hidden="1">
              <a:extLst>
                <a:ext uri="{63B3BB69-23CF-44E3-9099-C40C66FF867C}">
                  <a14:compatExt spid="_x0000_s1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xdr:row>
          <xdr:rowOff>0</xdr:rowOff>
        </xdr:from>
        <xdr:to>
          <xdr:col>14</xdr:col>
          <xdr:colOff>19050</xdr:colOff>
          <xdr:row>13</xdr:row>
          <xdr:rowOff>9525</xdr:rowOff>
        </xdr:to>
        <xdr:sp macro="" textlink="">
          <xdr:nvSpPr>
            <xdr:cNvPr id="11320" name="Drop Down 56" hidden="1">
              <a:extLst>
                <a:ext uri="{63B3BB69-23CF-44E3-9099-C40C66FF867C}">
                  <a14:compatExt spid="_x0000_s1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xdr:row>
          <xdr:rowOff>0</xdr:rowOff>
        </xdr:from>
        <xdr:to>
          <xdr:col>14</xdr:col>
          <xdr:colOff>19050</xdr:colOff>
          <xdr:row>14</xdr:row>
          <xdr:rowOff>9525</xdr:rowOff>
        </xdr:to>
        <xdr:sp macro="" textlink="">
          <xdr:nvSpPr>
            <xdr:cNvPr id="11321" name="Drop Down 57" hidden="1">
              <a:extLst>
                <a:ext uri="{63B3BB69-23CF-44E3-9099-C40C66FF867C}">
                  <a14:compatExt spid="_x0000_s1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14</xdr:row>
          <xdr:rowOff>0</xdr:rowOff>
        </xdr:from>
        <xdr:to>
          <xdr:col>14</xdr:col>
          <xdr:colOff>19050</xdr:colOff>
          <xdr:row>15</xdr:row>
          <xdr:rowOff>9525</xdr:rowOff>
        </xdr:to>
        <xdr:sp macro="" textlink="">
          <xdr:nvSpPr>
            <xdr:cNvPr id="11322" name="Drop Down 58" hidden="1">
              <a:extLst>
                <a:ext uri="{63B3BB69-23CF-44E3-9099-C40C66FF867C}">
                  <a14:compatExt spid="_x0000_s1132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84.xml"/><Relationship Id="rId117" Type="http://schemas.openxmlformats.org/officeDocument/2006/relationships/ctrlProp" Target="../ctrlProps/ctrlProp675.xml"/><Relationship Id="rId21" Type="http://schemas.openxmlformats.org/officeDocument/2006/relationships/ctrlProp" Target="../ctrlProps/ctrlProp579.xml"/><Relationship Id="rId42" Type="http://schemas.openxmlformats.org/officeDocument/2006/relationships/ctrlProp" Target="../ctrlProps/ctrlProp600.xml"/><Relationship Id="rId47" Type="http://schemas.openxmlformats.org/officeDocument/2006/relationships/ctrlProp" Target="../ctrlProps/ctrlProp605.xml"/><Relationship Id="rId63" Type="http://schemas.openxmlformats.org/officeDocument/2006/relationships/ctrlProp" Target="../ctrlProps/ctrlProp621.xml"/><Relationship Id="rId68" Type="http://schemas.openxmlformats.org/officeDocument/2006/relationships/ctrlProp" Target="../ctrlProps/ctrlProp626.xml"/><Relationship Id="rId84" Type="http://schemas.openxmlformats.org/officeDocument/2006/relationships/ctrlProp" Target="../ctrlProps/ctrlProp642.xml"/><Relationship Id="rId89" Type="http://schemas.openxmlformats.org/officeDocument/2006/relationships/ctrlProp" Target="../ctrlProps/ctrlProp647.xml"/><Relationship Id="rId112" Type="http://schemas.openxmlformats.org/officeDocument/2006/relationships/ctrlProp" Target="../ctrlProps/ctrlProp670.xml"/><Relationship Id="rId133" Type="http://schemas.openxmlformats.org/officeDocument/2006/relationships/ctrlProp" Target="../ctrlProps/ctrlProp691.xml"/><Relationship Id="rId16" Type="http://schemas.openxmlformats.org/officeDocument/2006/relationships/ctrlProp" Target="../ctrlProps/ctrlProp574.xml"/><Relationship Id="rId107" Type="http://schemas.openxmlformats.org/officeDocument/2006/relationships/ctrlProp" Target="../ctrlProps/ctrlProp665.xml"/><Relationship Id="rId11" Type="http://schemas.openxmlformats.org/officeDocument/2006/relationships/ctrlProp" Target="../ctrlProps/ctrlProp569.xml"/><Relationship Id="rId32" Type="http://schemas.openxmlformats.org/officeDocument/2006/relationships/ctrlProp" Target="../ctrlProps/ctrlProp590.xml"/><Relationship Id="rId37" Type="http://schemas.openxmlformats.org/officeDocument/2006/relationships/ctrlProp" Target="../ctrlProps/ctrlProp595.xml"/><Relationship Id="rId53" Type="http://schemas.openxmlformats.org/officeDocument/2006/relationships/ctrlProp" Target="../ctrlProps/ctrlProp611.xml"/><Relationship Id="rId58" Type="http://schemas.openxmlformats.org/officeDocument/2006/relationships/ctrlProp" Target="../ctrlProps/ctrlProp616.xml"/><Relationship Id="rId74" Type="http://schemas.openxmlformats.org/officeDocument/2006/relationships/ctrlProp" Target="../ctrlProps/ctrlProp632.xml"/><Relationship Id="rId79" Type="http://schemas.openxmlformats.org/officeDocument/2006/relationships/ctrlProp" Target="../ctrlProps/ctrlProp637.xml"/><Relationship Id="rId102" Type="http://schemas.openxmlformats.org/officeDocument/2006/relationships/ctrlProp" Target="../ctrlProps/ctrlProp660.xml"/><Relationship Id="rId123" Type="http://schemas.openxmlformats.org/officeDocument/2006/relationships/ctrlProp" Target="../ctrlProps/ctrlProp681.xml"/><Relationship Id="rId128" Type="http://schemas.openxmlformats.org/officeDocument/2006/relationships/ctrlProp" Target="../ctrlProps/ctrlProp686.xml"/><Relationship Id="rId5" Type="http://schemas.openxmlformats.org/officeDocument/2006/relationships/ctrlProp" Target="../ctrlProps/ctrlProp563.xml"/><Relationship Id="rId90" Type="http://schemas.openxmlformats.org/officeDocument/2006/relationships/ctrlProp" Target="../ctrlProps/ctrlProp648.xml"/><Relationship Id="rId95" Type="http://schemas.openxmlformats.org/officeDocument/2006/relationships/ctrlProp" Target="../ctrlProps/ctrlProp653.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35" Type="http://schemas.openxmlformats.org/officeDocument/2006/relationships/ctrlProp" Target="../ctrlProps/ctrlProp593.xml"/><Relationship Id="rId43" Type="http://schemas.openxmlformats.org/officeDocument/2006/relationships/ctrlProp" Target="../ctrlProps/ctrlProp601.xml"/><Relationship Id="rId48" Type="http://schemas.openxmlformats.org/officeDocument/2006/relationships/ctrlProp" Target="../ctrlProps/ctrlProp606.xml"/><Relationship Id="rId56" Type="http://schemas.openxmlformats.org/officeDocument/2006/relationships/ctrlProp" Target="../ctrlProps/ctrlProp614.xml"/><Relationship Id="rId64" Type="http://schemas.openxmlformats.org/officeDocument/2006/relationships/ctrlProp" Target="../ctrlProps/ctrlProp622.xml"/><Relationship Id="rId69" Type="http://schemas.openxmlformats.org/officeDocument/2006/relationships/ctrlProp" Target="../ctrlProps/ctrlProp627.xml"/><Relationship Id="rId77" Type="http://schemas.openxmlformats.org/officeDocument/2006/relationships/ctrlProp" Target="../ctrlProps/ctrlProp635.xml"/><Relationship Id="rId100" Type="http://schemas.openxmlformats.org/officeDocument/2006/relationships/ctrlProp" Target="../ctrlProps/ctrlProp658.xml"/><Relationship Id="rId105" Type="http://schemas.openxmlformats.org/officeDocument/2006/relationships/ctrlProp" Target="../ctrlProps/ctrlProp663.xml"/><Relationship Id="rId113" Type="http://schemas.openxmlformats.org/officeDocument/2006/relationships/ctrlProp" Target="../ctrlProps/ctrlProp671.xml"/><Relationship Id="rId118" Type="http://schemas.openxmlformats.org/officeDocument/2006/relationships/ctrlProp" Target="../ctrlProps/ctrlProp676.xml"/><Relationship Id="rId126" Type="http://schemas.openxmlformats.org/officeDocument/2006/relationships/ctrlProp" Target="../ctrlProps/ctrlProp684.xml"/><Relationship Id="rId134" Type="http://schemas.openxmlformats.org/officeDocument/2006/relationships/ctrlProp" Target="../ctrlProps/ctrlProp692.xml"/><Relationship Id="rId8" Type="http://schemas.openxmlformats.org/officeDocument/2006/relationships/ctrlProp" Target="../ctrlProps/ctrlProp566.xml"/><Relationship Id="rId51" Type="http://schemas.openxmlformats.org/officeDocument/2006/relationships/ctrlProp" Target="../ctrlProps/ctrlProp609.xml"/><Relationship Id="rId72" Type="http://schemas.openxmlformats.org/officeDocument/2006/relationships/ctrlProp" Target="../ctrlProps/ctrlProp630.xml"/><Relationship Id="rId80" Type="http://schemas.openxmlformats.org/officeDocument/2006/relationships/ctrlProp" Target="../ctrlProps/ctrlProp638.xml"/><Relationship Id="rId85" Type="http://schemas.openxmlformats.org/officeDocument/2006/relationships/ctrlProp" Target="../ctrlProps/ctrlProp643.xml"/><Relationship Id="rId93" Type="http://schemas.openxmlformats.org/officeDocument/2006/relationships/ctrlProp" Target="../ctrlProps/ctrlProp651.xml"/><Relationship Id="rId98" Type="http://schemas.openxmlformats.org/officeDocument/2006/relationships/ctrlProp" Target="../ctrlProps/ctrlProp656.xml"/><Relationship Id="rId121" Type="http://schemas.openxmlformats.org/officeDocument/2006/relationships/ctrlProp" Target="../ctrlProps/ctrlProp679.xml"/><Relationship Id="rId3" Type="http://schemas.openxmlformats.org/officeDocument/2006/relationships/ctrlProp" Target="../ctrlProps/ctrlProp561.x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38" Type="http://schemas.openxmlformats.org/officeDocument/2006/relationships/ctrlProp" Target="../ctrlProps/ctrlProp596.xml"/><Relationship Id="rId46" Type="http://schemas.openxmlformats.org/officeDocument/2006/relationships/ctrlProp" Target="../ctrlProps/ctrlProp604.xml"/><Relationship Id="rId59" Type="http://schemas.openxmlformats.org/officeDocument/2006/relationships/ctrlProp" Target="../ctrlProps/ctrlProp617.xml"/><Relationship Id="rId67" Type="http://schemas.openxmlformats.org/officeDocument/2006/relationships/ctrlProp" Target="../ctrlProps/ctrlProp625.xml"/><Relationship Id="rId103" Type="http://schemas.openxmlformats.org/officeDocument/2006/relationships/ctrlProp" Target="../ctrlProps/ctrlProp661.xml"/><Relationship Id="rId108" Type="http://schemas.openxmlformats.org/officeDocument/2006/relationships/ctrlProp" Target="../ctrlProps/ctrlProp666.xml"/><Relationship Id="rId116" Type="http://schemas.openxmlformats.org/officeDocument/2006/relationships/ctrlProp" Target="../ctrlProps/ctrlProp674.xml"/><Relationship Id="rId124" Type="http://schemas.openxmlformats.org/officeDocument/2006/relationships/ctrlProp" Target="../ctrlProps/ctrlProp682.xml"/><Relationship Id="rId129" Type="http://schemas.openxmlformats.org/officeDocument/2006/relationships/ctrlProp" Target="../ctrlProps/ctrlProp687.xml"/><Relationship Id="rId20" Type="http://schemas.openxmlformats.org/officeDocument/2006/relationships/ctrlProp" Target="../ctrlProps/ctrlProp578.xml"/><Relationship Id="rId41" Type="http://schemas.openxmlformats.org/officeDocument/2006/relationships/ctrlProp" Target="../ctrlProps/ctrlProp599.xml"/><Relationship Id="rId54" Type="http://schemas.openxmlformats.org/officeDocument/2006/relationships/ctrlProp" Target="../ctrlProps/ctrlProp612.xml"/><Relationship Id="rId62" Type="http://schemas.openxmlformats.org/officeDocument/2006/relationships/ctrlProp" Target="../ctrlProps/ctrlProp620.xml"/><Relationship Id="rId70" Type="http://schemas.openxmlformats.org/officeDocument/2006/relationships/ctrlProp" Target="../ctrlProps/ctrlProp628.xml"/><Relationship Id="rId75" Type="http://schemas.openxmlformats.org/officeDocument/2006/relationships/ctrlProp" Target="../ctrlProps/ctrlProp633.xml"/><Relationship Id="rId83" Type="http://schemas.openxmlformats.org/officeDocument/2006/relationships/ctrlProp" Target="../ctrlProps/ctrlProp641.xml"/><Relationship Id="rId88" Type="http://schemas.openxmlformats.org/officeDocument/2006/relationships/ctrlProp" Target="../ctrlProps/ctrlProp646.xml"/><Relationship Id="rId91" Type="http://schemas.openxmlformats.org/officeDocument/2006/relationships/ctrlProp" Target="../ctrlProps/ctrlProp649.xml"/><Relationship Id="rId96" Type="http://schemas.openxmlformats.org/officeDocument/2006/relationships/ctrlProp" Target="../ctrlProps/ctrlProp654.xml"/><Relationship Id="rId111" Type="http://schemas.openxmlformats.org/officeDocument/2006/relationships/ctrlProp" Target="../ctrlProps/ctrlProp669.xml"/><Relationship Id="rId132" Type="http://schemas.openxmlformats.org/officeDocument/2006/relationships/ctrlProp" Target="../ctrlProps/ctrlProp690.xml"/><Relationship Id="rId1" Type="http://schemas.openxmlformats.org/officeDocument/2006/relationships/drawing" Target="../drawings/drawing7.xml"/><Relationship Id="rId6" Type="http://schemas.openxmlformats.org/officeDocument/2006/relationships/ctrlProp" Target="../ctrlProps/ctrlProp564.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36" Type="http://schemas.openxmlformats.org/officeDocument/2006/relationships/ctrlProp" Target="../ctrlProps/ctrlProp594.xml"/><Relationship Id="rId49" Type="http://schemas.openxmlformats.org/officeDocument/2006/relationships/ctrlProp" Target="../ctrlProps/ctrlProp607.xml"/><Relationship Id="rId57" Type="http://schemas.openxmlformats.org/officeDocument/2006/relationships/ctrlProp" Target="../ctrlProps/ctrlProp615.xml"/><Relationship Id="rId106" Type="http://schemas.openxmlformats.org/officeDocument/2006/relationships/ctrlProp" Target="../ctrlProps/ctrlProp664.xml"/><Relationship Id="rId114" Type="http://schemas.openxmlformats.org/officeDocument/2006/relationships/ctrlProp" Target="../ctrlProps/ctrlProp672.xml"/><Relationship Id="rId119" Type="http://schemas.openxmlformats.org/officeDocument/2006/relationships/ctrlProp" Target="../ctrlProps/ctrlProp677.xml"/><Relationship Id="rId127" Type="http://schemas.openxmlformats.org/officeDocument/2006/relationships/ctrlProp" Target="../ctrlProps/ctrlProp685.xml"/><Relationship Id="rId10" Type="http://schemas.openxmlformats.org/officeDocument/2006/relationships/ctrlProp" Target="../ctrlProps/ctrlProp568.xml"/><Relationship Id="rId31" Type="http://schemas.openxmlformats.org/officeDocument/2006/relationships/ctrlProp" Target="../ctrlProps/ctrlProp589.xml"/><Relationship Id="rId44" Type="http://schemas.openxmlformats.org/officeDocument/2006/relationships/ctrlProp" Target="../ctrlProps/ctrlProp602.xml"/><Relationship Id="rId52" Type="http://schemas.openxmlformats.org/officeDocument/2006/relationships/ctrlProp" Target="../ctrlProps/ctrlProp610.xml"/><Relationship Id="rId60" Type="http://schemas.openxmlformats.org/officeDocument/2006/relationships/ctrlProp" Target="../ctrlProps/ctrlProp618.xml"/><Relationship Id="rId65" Type="http://schemas.openxmlformats.org/officeDocument/2006/relationships/ctrlProp" Target="../ctrlProps/ctrlProp623.xml"/><Relationship Id="rId73" Type="http://schemas.openxmlformats.org/officeDocument/2006/relationships/ctrlProp" Target="../ctrlProps/ctrlProp631.xml"/><Relationship Id="rId78" Type="http://schemas.openxmlformats.org/officeDocument/2006/relationships/ctrlProp" Target="../ctrlProps/ctrlProp636.xml"/><Relationship Id="rId81" Type="http://schemas.openxmlformats.org/officeDocument/2006/relationships/ctrlProp" Target="../ctrlProps/ctrlProp639.xml"/><Relationship Id="rId86" Type="http://schemas.openxmlformats.org/officeDocument/2006/relationships/ctrlProp" Target="../ctrlProps/ctrlProp644.xml"/><Relationship Id="rId94" Type="http://schemas.openxmlformats.org/officeDocument/2006/relationships/ctrlProp" Target="../ctrlProps/ctrlProp652.xml"/><Relationship Id="rId99" Type="http://schemas.openxmlformats.org/officeDocument/2006/relationships/ctrlProp" Target="../ctrlProps/ctrlProp657.xml"/><Relationship Id="rId101" Type="http://schemas.openxmlformats.org/officeDocument/2006/relationships/ctrlProp" Target="../ctrlProps/ctrlProp659.xml"/><Relationship Id="rId122" Type="http://schemas.openxmlformats.org/officeDocument/2006/relationships/ctrlProp" Target="../ctrlProps/ctrlProp680.xml"/><Relationship Id="rId130" Type="http://schemas.openxmlformats.org/officeDocument/2006/relationships/ctrlProp" Target="../ctrlProps/ctrlProp688.xml"/><Relationship Id="rId4" Type="http://schemas.openxmlformats.org/officeDocument/2006/relationships/ctrlProp" Target="../ctrlProps/ctrlProp562.xml"/><Relationship Id="rId9" Type="http://schemas.openxmlformats.org/officeDocument/2006/relationships/ctrlProp" Target="../ctrlProps/ctrlProp567.xml"/><Relationship Id="rId13" Type="http://schemas.openxmlformats.org/officeDocument/2006/relationships/ctrlProp" Target="../ctrlProps/ctrlProp571.xml"/><Relationship Id="rId18" Type="http://schemas.openxmlformats.org/officeDocument/2006/relationships/ctrlProp" Target="../ctrlProps/ctrlProp576.xml"/><Relationship Id="rId39" Type="http://schemas.openxmlformats.org/officeDocument/2006/relationships/ctrlProp" Target="../ctrlProps/ctrlProp597.xml"/><Relationship Id="rId109" Type="http://schemas.openxmlformats.org/officeDocument/2006/relationships/ctrlProp" Target="../ctrlProps/ctrlProp667.xml"/><Relationship Id="rId34" Type="http://schemas.openxmlformats.org/officeDocument/2006/relationships/ctrlProp" Target="../ctrlProps/ctrlProp592.xml"/><Relationship Id="rId50" Type="http://schemas.openxmlformats.org/officeDocument/2006/relationships/ctrlProp" Target="../ctrlProps/ctrlProp608.xml"/><Relationship Id="rId55" Type="http://schemas.openxmlformats.org/officeDocument/2006/relationships/ctrlProp" Target="../ctrlProps/ctrlProp613.xml"/><Relationship Id="rId76" Type="http://schemas.openxmlformats.org/officeDocument/2006/relationships/ctrlProp" Target="../ctrlProps/ctrlProp634.xml"/><Relationship Id="rId97" Type="http://schemas.openxmlformats.org/officeDocument/2006/relationships/ctrlProp" Target="../ctrlProps/ctrlProp655.xml"/><Relationship Id="rId104" Type="http://schemas.openxmlformats.org/officeDocument/2006/relationships/ctrlProp" Target="../ctrlProps/ctrlProp662.xml"/><Relationship Id="rId120" Type="http://schemas.openxmlformats.org/officeDocument/2006/relationships/ctrlProp" Target="../ctrlProps/ctrlProp678.xml"/><Relationship Id="rId125" Type="http://schemas.openxmlformats.org/officeDocument/2006/relationships/ctrlProp" Target="../ctrlProps/ctrlProp683.xml"/><Relationship Id="rId7" Type="http://schemas.openxmlformats.org/officeDocument/2006/relationships/ctrlProp" Target="../ctrlProps/ctrlProp565.xml"/><Relationship Id="rId71" Type="http://schemas.openxmlformats.org/officeDocument/2006/relationships/ctrlProp" Target="../ctrlProps/ctrlProp629.xml"/><Relationship Id="rId92" Type="http://schemas.openxmlformats.org/officeDocument/2006/relationships/ctrlProp" Target="../ctrlProps/ctrlProp650.xml"/><Relationship Id="rId2" Type="http://schemas.openxmlformats.org/officeDocument/2006/relationships/vmlDrawing" Target="../drawings/vmlDrawing6.vml"/><Relationship Id="rId29" Type="http://schemas.openxmlformats.org/officeDocument/2006/relationships/ctrlProp" Target="../ctrlProps/ctrlProp587.xml"/><Relationship Id="rId24" Type="http://schemas.openxmlformats.org/officeDocument/2006/relationships/ctrlProp" Target="../ctrlProps/ctrlProp582.xml"/><Relationship Id="rId40" Type="http://schemas.openxmlformats.org/officeDocument/2006/relationships/ctrlProp" Target="../ctrlProps/ctrlProp598.xml"/><Relationship Id="rId45" Type="http://schemas.openxmlformats.org/officeDocument/2006/relationships/ctrlProp" Target="../ctrlProps/ctrlProp603.xml"/><Relationship Id="rId66" Type="http://schemas.openxmlformats.org/officeDocument/2006/relationships/ctrlProp" Target="../ctrlProps/ctrlProp624.xml"/><Relationship Id="rId87" Type="http://schemas.openxmlformats.org/officeDocument/2006/relationships/ctrlProp" Target="../ctrlProps/ctrlProp645.xml"/><Relationship Id="rId110" Type="http://schemas.openxmlformats.org/officeDocument/2006/relationships/ctrlProp" Target="../ctrlProps/ctrlProp668.xml"/><Relationship Id="rId115" Type="http://schemas.openxmlformats.org/officeDocument/2006/relationships/ctrlProp" Target="../ctrlProps/ctrlProp673.xml"/><Relationship Id="rId131" Type="http://schemas.openxmlformats.org/officeDocument/2006/relationships/ctrlProp" Target="../ctrlProps/ctrlProp689.xml"/><Relationship Id="rId61" Type="http://schemas.openxmlformats.org/officeDocument/2006/relationships/ctrlProp" Target="../ctrlProps/ctrlProp619.xml"/><Relationship Id="rId82" Type="http://schemas.openxmlformats.org/officeDocument/2006/relationships/ctrlProp" Target="../ctrlProps/ctrlProp640.xml"/><Relationship Id="rId19" Type="http://schemas.openxmlformats.org/officeDocument/2006/relationships/ctrlProp" Target="../ctrlProps/ctrlProp577.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807.xml"/><Relationship Id="rId299" Type="http://schemas.openxmlformats.org/officeDocument/2006/relationships/ctrlProp" Target="../ctrlProps/ctrlProp989.xml"/><Relationship Id="rId303" Type="http://schemas.openxmlformats.org/officeDocument/2006/relationships/ctrlProp" Target="../ctrlProps/ctrlProp993.xml"/><Relationship Id="rId21" Type="http://schemas.openxmlformats.org/officeDocument/2006/relationships/ctrlProp" Target="../ctrlProps/ctrlProp711.xml"/><Relationship Id="rId42" Type="http://schemas.openxmlformats.org/officeDocument/2006/relationships/ctrlProp" Target="../ctrlProps/ctrlProp732.xml"/><Relationship Id="rId63" Type="http://schemas.openxmlformats.org/officeDocument/2006/relationships/ctrlProp" Target="../ctrlProps/ctrlProp753.xml"/><Relationship Id="rId84" Type="http://schemas.openxmlformats.org/officeDocument/2006/relationships/ctrlProp" Target="../ctrlProps/ctrlProp774.xml"/><Relationship Id="rId138" Type="http://schemas.openxmlformats.org/officeDocument/2006/relationships/ctrlProp" Target="../ctrlProps/ctrlProp828.xml"/><Relationship Id="rId159" Type="http://schemas.openxmlformats.org/officeDocument/2006/relationships/ctrlProp" Target="../ctrlProps/ctrlProp849.xml"/><Relationship Id="rId170" Type="http://schemas.openxmlformats.org/officeDocument/2006/relationships/ctrlProp" Target="../ctrlProps/ctrlProp860.xml"/><Relationship Id="rId191" Type="http://schemas.openxmlformats.org/officeDocument/2006/relationships/ctrlProp" Target="../ctrlProps/ctrlProp881.xml"/><Relationship Id="rId205" Type="http://schemas.openxmlformats.org/officeDocument/2006/relationships/ctrlProp" Target="../ctrlProps/ctrlProp895.xml"/><Relationship Id="rId226" Type="http://schemas.openxmlformats.org/officeDocument/2006/relationships/ctrlProp" Target="../ctrlProps/ctrlProp916.xml"/><Relationship Id="rId247" Type="http://schemas.openxmlformats.org/officeDocument/2006/relationships/ctrlProp" Target="../ctrlProps/ctrlProp937.xml"/><Relationship Id="rId107" Type="http://schemas.openxmlformats.org/officeDocument/2006/relationships/ctrlProp" Target="../ctrlProps/ctrlProp797.xml"/><Relationship Id="rId268" Type="http://schemas.openxmlformats.org/officeDocument/2006/relationships/ctrlProp" Target="../ctrlProps/ctrlProp958.xml"/><Relationship Id="rId289" Type="http://schemas.openxmlformats.org/officeDocument/2006/relationships/ctrlProp" Target="../ctrlProps/ctrlProp979.xml"/><Relationship Id="rId11" Type="http://schemas.openxmlformats.org/officeDocument/2006/relationships/ctrlProp" Target="../ctrlProps/ctrlProp701.xml"/><Relationship Id="rId32" Type="http://schemas.openxmlformats.org/officeDocument/2006/relationships/ctrlProp" Target="../ctrlProps/ctrlProp722.xml"/><Relationship Id="rId53" Type="http://schemas.openxmlformats.org/officeDocument/2006/relationships/ctrlProp" Target="../ctrlProps/ctrlProp743.xml"/><Relationship Id="rId74" Type="http://schemas.openxmlformats.org/officeDocument/2006/relationships/ctrlProp" Target="../ctrlProps/ctrlProp764.xml"/><Relationship Id="rId128" Type="http://schemas.openxmlformats.org/officeDocument/2006/relationships/ctrlProp" Target="../ctrlProps/ctrlProp818.xml"/><Relationship Id="rId149" Type="http://schemas.openxmlformats.org/officeDocument/2006/relationships/ctrlProp" Target="../ctrlProps/ctrlProp839.xml"/><Relationship Id="rId314" Type="http://schemas.openxmlformats.org/officeDocument/2006/relationships/ctrlProp" Target="../ctrlProps/ctrlProp1004.xml"/><Relationship Id="rId5" Type="http://schemas.openxmlformats.org/officeDocument/2006/relationships/ctrlProp" Target="../ctrlProps/ctrlProp695.xml"/><Relationship Id="rId95" Type="http://schemas.openxmlformats.org/officeDocument/2006/relationships/ctrlProp" Target="../ctrlProps/ctrlProp785.xml"/><Relationship Id="rId160" Type="http://schemas.openxmlformats.org/officeDocument/2006/relationships/ctrlProp" Target="../ctrlProps/ctrlProp850.xml"/><Relationship Id="rId181" Type="http://schemas.openxmlformats.org/officeDocument/2006/relationships/ctrlProp" Target="../ctrlProps/ctrlProp871.xml"/><Relationship Id="rId216" Type="http://schemas.openxmlformats.org/officeDocument/2006/relationships/ctrlProp" Target="../ctrlProps/ctrlProp906.xml"/><Relationship Id="rId237" Type="http://schemas.openxmlformats.org/officeDocument/2006/relationships/ctrlProp" Target="../ctrlProps/ctrlProp927.xml"/><Relationship Id="rId258" Type="http://schemas.openxmlformats.org/officeDocument/2006/relationships/ctrlProp" Target="../ctrlProps/ctrlProp948.xml"/><Relationship Id="rId279" Type="http://schemas.openxmlformats.org/officeDocument/2006/relationships/ctrlProp" Target="../ctrlProps/ctrlProp969.xml"/><Relationship Id="rId22" Type="http://schemas.openxmlformats.org/officeDocument/2006/relationships/ctrlProp" Target="../ctrlProps/ctrlProp712.xml"/><Relationship Id="rId43" Type="http://schemas.openxmlformats.org/officeDocument/2006/relationships/ctrlProp" Target="../ctrlProps/ctrlProp733.xml"/><Relationship Id="rId64" Type="http://schemas.openxmlformats.org/officeDocument/2006/relationships/ctrlProp" Target="../ctrlProps/ctrlProp754.xml"/><Relationship Id="rId118" Type="http://schemas.openxmlformats.org/officeDocument/2006/relationships/ctrlProp" Target="../ctrlProps/ctrlProp808.xml"/><Relationship Id="rId139" Type="http://schemas.openxmlformats.org/officeDocument/2006/relationships/ctrlProp" Target="../ctrlProps/ctrlProp829.xml"/><Relationship Id="rId290" Type="http://schemas.openxmlformats.org/officeDocument/2006/relationships/ctrlProp" Target="../ctrlProps/ctrlProp980.xml"/><Relationship Id="rId304" Type="http://schemas.openxmlformats.org/officeDocument/2006/relationships/ctrlProp" Target="../ctrlProps/ctrlProp994.xml"/><Relationship Id="rId85" Type="http://schemas.openxmlformats.org/officeDocument/2006/relationships/ctrlProp" Target="../ctrlProps/ctrlProp775.xml"/><Relationship Id="rId150" Type="http://schemas.openxmlformats.org/officeDocument/2006/relationships/ctrlProp" Target="../ctrlProps/ctrlProp840.xml"/><Relationship Id="rId171" Type="http://schemas.openxmlformats.org/officeDocument/2006/relationships/ctrlProp" Target="../ctrlProps/ctrlProp861.xml"/><Relationship Id="rId192" Type="http://schemas.openxmlformats.org/officeDocument/2006/relationships/ctrlProp" Target="../ctrlProps/ctrlProp882.xml"/><Relationship Id="rId206" Type="http://schemas.openxmlformats.org/officeDocument/2006/relationships/ctrlProp" Target="../ctrlProps/ctrlProp896.xml"/><Relationship Id="rId227" Type="http://schemas.openxmlformats.org/officeDocument/2006/relationships/ctrlProp" Target="../ctrlProps/ctrlProp917.xml"/><Relationship Id="rId248" Type="http://schemas.openxmlformats.org/officeDocument/2006/relationships/ctrlProp" Target="../ctrlProps/ctrlProp938.xml"/><Relationship Id="rId269" Type="http://schemas.openxmlformats.org/officeDocument/2006/relationships/ctrlProp" Target="../ctrlProps/ctrlProp959.xml"/><Relationship Id="rId12" Type="http://schemas.openxmlformats.org/officeDocument/2006/relationships/ctrlProp" Target="../ctrlProps/ctrlProp702.xml"/><Relationship Id="rId33" Type="http://schemas.openxmlformats.org/officeDocument/2006/relationships/ctrlProp" Target="../ctrlProps/ctrlProp723.xml"/><Relationship Id="rId108" Type="http://schemas.openxmlformats.org/officeDocument/2006/relationships/ctrlProp" Target="../ctrlProps/ctrlProp798.xml"/><Relationship Id="rId129" Type="http://schemas.openxmlformats.org/officeDocument/2006/relationships/ctrlProp" Target="../ctrlProps/ctrlProp819.xml"/><Relationship Id="rId280" Type="http://schemas.openxmlformats.org/officeDocument/2006/relationships/ctrlProp" Target="../ctrlProps/ctrlProp970.xml"/><Relationship Id="rId315" Type="http://schemas.openxmlformats.org/officeDocument/2006/relationships/ctrlProp" Target="../ctrlProps/ctrlProp1005.xml"/><Relationship Id="rId54" Type="http://schemas.openxmlformats.org/officeDocument/2006/relationships/ctrlProp" Target="../ctrlProps/ctrlProp744.xml"/><Relationship Id="rId75" Type="http://schemas.openxmlformats.org/officeDocument/2006/relationships/ctrlProp" Target="../ctrlProps/ctrlProp765.xml"/><Relationship Id="rId96" Type="http://schemas.openxmlformats.org/officeDocument/2006/relationships/ctrlProp" Target="../ctrlProps/ctrlProp786.xml"/><Relationship Id="rId140" Type="http://schemas.openxmlformats.org/officeDocument/2006/relationships/ctrlProp" Target="../ctrlProps/ctrlProp830.xml"/><Relationship Id="rId161" Type="http://schemas.openxmlformats.org/officeDocument/2006/relationships/ctrlProp" Target="../ctrlProps/ctrlProp851.xml"/><Relationship Id="rId182" Type="http://schemas.openxmlformats.org/officeDocument/2006/relationships/ctrlProp" Target="../ctrlProps/ctrlProp872.xml"/><Relationship Id="rId217" Type="http://schemas.openxmlformats.org/officeDocument/2006/relationships/ctrlProp" Target="../ctrlProps/ctrlProp907.xml"/><Relationship Id="rId6" Type="http://schemas.openxmlformats.org/officeDocument/2006/relationships/ctrlProp" Target="../ctrlProps/ctrlProp696.xml"/><Relationship Id="rId238" Type="http://schemas.openxmlformats.org/officeDocument/2006/relationships/ctrlProp" Target="../ctrlProps/ctrlProp928.xml"/><Relationship Id="rId259" Type="http://schemas.openxmlformats.org/officeDocument/2006/relationships/ctrlProp" Target="../ctrlProps/ctrlProp949.xml"/><Relationship Id="rId23" Type="http://schemas.openxmlformats.org/officeDocument/2006/relationships/ctrlProp" Target="../ctrlProps/ctrlProp713.xml"/><Relationship Id="rId119" Type="http://schemas.openxmlformats.org/officeDocument/2006/relationships/ctrlProp" Target="../ctrlProps/ctrlProp809.xml"/><Relationship Id="rId270" Type="http://schemas.openxmlformats.org/officeDocument/2006/relationships/ctrlProp" Target="../ctrlProps/ctrlProp960.xml"/><Relationship Id="rId291" Type="http://schemas.openxmlformats.org/officeDocument/2006/relationships/ctrlProp" Target="../ctrlProps/ctrlProp981.xml"/><Relationship Id="rId305" Type="http://schemas.openxmlformats.org/officeDocument/2006/relationships/ctrlProp" Target="../ctrlProps/ctrlProp995.xml"/><Relationship Id="rId44" Type="http://schemas.openxmlformats.org/officeDocument/2006/relationships/ctrlProp" Target="../ctrlProps/ctrlProp734.xml"/><Relationship Id="rId65" Type="http://schemas.openxmlformats.org/officeDocument/2006/relationships/ctrlProp" Target="../ctrlProps/ctrlProp755.xml"/><Relationship Id="rId86" Type="http://schemas.openxmlformats.org/officeDocument/2006/relationships/ctrlProp" Target="../ctrlProps/ctrlProp776.xml"/><Relationship Id="rId130" Type="http://schemas.openxmlformats.org/officeDocument/2006/relationships/ctrlProp" Target="../ctrlProps/ctrlProp820.xml"/><Relationship Id="rId151" Type="http://schemas.openxmlformats.org/officeDocument/2006/relationships/ctrlProp" Target="../ctrlProps/ctrlProp841.xml"/><Relationship Id="rId172" Type="http://schemas.openxmlformats.org/officeDocument/2006/relationships/ctrlProp" Target="../ctrlProps/ctrlProp862.xml"/><Relationship Id="rId193" Type="http://schemas.openxmlformats.org/officeDocument/2006/relationships/ctrlProp" Target="../ctrlProps/ctrlProp883.xml"/><Relationship Id="rId207" Type="http://schemas.openxmlformats.org/officeDocument/2006/relationships/ctrlProp" Target="../ctrlProps/ctrlProp897.xml"/><Relationship Id="rId228" Type="http://schemas.openxmlformats.org/officeDocument/2006/relationships/ctrlProp" Target="../ctrlProps/ctrlProp918.xml"/><Relationship Id="rId249" Type="http://schemas.openxmlformats.org/officeDocument/2006/relationships/ctrlProp" Target="../ctrlProps/ctrlProp939.xml"/><Relationship Id="rId13" Type="http://schemas.openxmlformats.org/officeDocument/2006/relationships/ctrlProp" Target="../ctrlProps/ctrlProp703.xml"/><Relationship Id="rId109" Type="http://schemas.openxmlformats.org/officeDocument/2006/relationships/ctrlProp" Target="../ctrlProps/ctrlProp799.xml"/><Relationship Id="rId260" Type="http://schemas.openxmlformats.org/officeDocument/2006/relationships/ctrlProp" Target="../ctrlProps/ctrlProp950.xml"/><Relationship Id="rId281" Type="http://schemas.openxmlformats.org/officeDocument/2006/relationships/ctrlProp" Target="../ctrlProps/ctrlProp971.xml"/><Relationship Id="rId316" Type="http://schemas.openxmlformats.org/officeDocument/2006/relationships/ctrlProp" Target="../ctrlProps/ctrlProp1006.xml"/><Relationship Id="rId34" Type="http://schemas.openxmlformats.org/officeDocument/2006/relationships/ctrlProp" Target="../ctrlProps/ctrlProp724.xml"/><Relationship Id="rId55" Type="http://schemas.openxmlformats.org/officeDocument/2006/relationships/ctrlProp" Target="../ctrlProps/ctrlProp745.xml"/><Relationship Id="rId76" Type="http://schemas.openxmlformats.org/officeDocument/2006/relationships/ctrlProp" Target="../ctrlProps/ctrlProp766.xml"/><Relationship Id="rId97" Type="http://schemas.openxmlformats.org/officeDocument/2006/relationships/ctrlProp" Target="../ctrlProps/ctrlProp787.xml"/><Relationship Id="rId120" Type="http://schemas.openxmlformats.org/officeDocument/2006/relationships/ctrlProp" Target="../ctrlProps/ctrlProp810.xml"/><Relationship Id="rId141" Type="http://schemas.openxmlformats.org/officeDocument/2006/relationships/ctrlProp" Target="../ctrlProps/ctrlProp831.xml"/><Relationship Id="rId7" Type="http://schemas.openxmlformats.org/officeDocument/2006/relationships/ctrlProp" Target="../ctrlProps/ctrlProp697.xml"/><Relationship Id="rId162" Type="http://schemas.openxmlformats.org/officeDocument/2006/relationships/ctrlProp" Target="../ctrlProps/ctrlProp852.xml"/><Relationship Id="rId183" Type="http://schemas.openxmlformats.org/officeDocument/2006/relationships/ctrlProp" Target="../ctrlProps/ctrlProp873.xml"/><Relationship Id="rId218" Type="http://schemas.openxmlformats.org/officeDocument/2006/relationships/ctrlProp" Target="../ctrlProps/ctrlProp908.xml"/><Relationship Id="rId239" Type="http://schemas.openxmlformats.org/officeDocument/2006/relationships/ctrlProp" Target="../ctrlProps/ctrlProp929.xml"/><Relationship Id="rId250" Type="http://schemas.openxmlformats.org/officeDocument/2006/relationships/ctrlProp" Target="../ctrlProps/ctrlProp940.xml"/><Relationship Id="rId271" Type="http://schemas.openxmlformats.org/officeDocument/2006/relationships/ctrlProp" Target="../ctrlProps/ctrlProp961.xml"/><Relationship Id="rId292" Type="http://schemas.openxmlformats.org/officeDocument/2006/relationships/ctrlProp" Target="../ctrlProps/ctrlProp982.xml"/><Relationship Id="rId306" Type="http://schemas.openxmlformats.org/officeDocument/2006/relationships/ctrlProp" Target="../ctrlProps/ctrlProp996.xml"/><Relationship Id="rId24" Type="http://schemas.openxmlformats.org/officeDocument/2006/relationships/ctrlProp" Target="../ctrlProps/ctrlProp714.xml"/><Relationship Id="rId45" Type="http://schemas.openxmlformats.org/officeDocument/2006/relationships/ctrlProp" Target="../ctrlProps/ctrlProp735.xml"/><Relationship Id="rId66" Type="http://schemas.openxmlformats.org/officeDocument/2006/relationships/ctrlProp" Target="../ctrlProps/ctrlProp756.xml"/><Relationship Id="rId87" Type="http://schemas.openxmlformats.org/officeDocument/2006/relationships/ctrlProp" Target="../ctrlProps/ctrlProp777.xml"/><Relationship Id="rId110" Type="http://schemas.openxmlformats.org/officeDocument/2006/relationships/ctrlProp" Target="../ctrlProps/ctrlProp800.xml"/><Relationship Id="rId131" Type="http://schemas.openxmlformats.org/officeDocument/2006/relationships/ctrlProp" Target="../ctrlProps/ctrlProp821.xml"/><Relationship Id="rId152" Type="http://schemas.openxmlformats.org/officeDocument/2006/relationships/ctrlProp" Target="../ctrlProps/ctrlProp842.xml"/><Relationship Id="rId173" Type="http://schemas.openxmlformats.org/officeDocument/2006/relationships/ctrlProp" Target="../ctrlProps/ctrlProp863.xml"/><Relationship Id="rId194" Type="http://schemas.openxmlformats.org/officeDocument/2006/relationships/ctrlProp" Target="../ctrlProps/ctrlProp884.xml"/><Relationship Id="rId208" Type="http://schemas.openxmlformats.org/officeDocument/2006/relationships/ctrlProp" Target="../ctrlProps/ctrlProp898.xml"/><Relationship Id="rId229" Type="http://schemas.openxmlformats.org/officeDocument/2006/relationships/ctrlProp" Target="../ctrlProps/ctrlProp919.xml"/><Relationship Id="rId19" Type="http://schemas.openxmlformats.org/officeDocument/2006/relationships/ctrlProp" Target="../ctrlProps/ctrlProp709.xml"/><Relationship Id="rId224" Type="http://schemas.openxmlformats.org/officeDocument/2006/relationships/ctrlProp" Target="../ctrlProps/ctrlProp914.xml"/><Relationship Id="rId240" Type="http://schemas.openxmlformats.org/officeDocument/2006/relationships/ctrlProp" Target="../ctrlProps/ctrlProp930.xml"/><Relationship Id="rId245" Type="http://schemas.openxmlformats.org/officeDocument/2006/relationships/ctrlProp" Target="../ctrlProps/ctrlProp935.xml"/><Relationship Id="rId261" Type="http://schemas.openxmlformats.org/officeDocument/2006/relationships/ctrlProp" Target="../ctrlProps/ctrlProp951.xml"/><Relationship Id="rId266" Type="http://schemas.openxmlformats.org/officeDocument/2006/relationships/ctrlProp" Target="../ctrlProps/ctrlProp956.xml"/><Relationship Id="rId287" Type="http://schemas.openxmlformats.org/officeDocument/2006/relationships/ctrlProp" Target="../ctrlProps/ctrlProp977.xml"/><Relationship Id="rId14" Type="http://schemas.openxmlformats.org/officeDocument/2006/relationships/ctrlProp" Target="../ctrlProps/ctrlProp704.xml"/><Relationship Id="rId30" Type="http://schemas.openxmlformats.org/officeDocument/2006/relationships/ctrlProp" Target="../ctrlProps/ctrlProp720.xml"/><Relationship Id="rId35" Type="http://schemas.openxmlformats.org/officeDocument/2006/relationships/ctrlProp" Target="../ctrlProps/ctrlProp725.xml"/><Relationship Id="rId56" Type="http://schemas.openxmlformats.org/officeDocument/2006/relationships/ctrlProp" Target="../ctrlProps/ctrlProp746.xml"/><Relationship Id="rId77" Type="http://schemas.openxmlformats.org/officeDocument/2006/relationships/ctrlProp" Target="../ctrlProps/ctrlProp767.xml"/><Relationship Id="rId100" Type="http://schemas.openxmlformats.org/officeDocument/2006/relationships/ctrlProp" Target="../ctrlProps/ctrlProp790.xml"/><Relationship Id="rId105" Type="http://schemas.openxmlformats.org/officeDocument/2006/relationships/ctrlProp" Target="../ctrlProps/ctrlProp795.xml"/><Relationship Id="rId126" Type="http://schemas.openxmlformats.org/officeDocument/2006/relationships/ctrlProp" Target="../ctrlProps/ctrlProp816.xml"/><Relationship Id="rId147" Type="http://schemas.openxmlformats.org/officeDocument/2006/relationships/ctrlProp" Target="../ctrlProps/ctrlProp837.xml"/><Relationship Id="rId168" Type="http://schemas.openxmlformats.org/officeDocument/2006/relationships/ctrlProp" Target="../ctrlProps/ctrlProp858.xml"/><Relationship Id="rId282" Type="http://schemas.openxmlformats.org/officeDocument/2006/relationships/ctrlProp" Target="../ctrlProps/ctrlProp972.xml"/><Relationship Id="rId312" Type="http://schemas.openxmlformats.org/officeDocument/2006/relationships/ctrlProp" Target="../ctrlProps/ctrlProp1002.xml"/><Relationship Id="rId317" Type="http://schemas.openxmlformats.org/officeDocument/2006/relationships/ctrlProp" Target="../ctrlProps/ctrlProp1007.xml"/><Relationship Id="rId8" Type="http://schemas.openxmlformats.org/officeDocument/2006/relationships/ctrlProp" Target="../ctrlProps/ctrlProp698.xml"/><Relationship Id="rId51" Type="http://schemas.openxmlformats.org/officeDocument/2006/relationships/ctrlProp" Target="../ctrlProps/ctrlProp741.xml"/><Relationship Id="rId72" Type="http://schemas.openxmlformats.org/officeDocument/2006/relationships/ctrlProp" Target="../ctrlProps/ctrlProp762.xml"/><Relationship Id="rId93" Type="http://schemas.openxmlformats.org/officeDocument/2006/relationships/ctrlProp" Target="../ctrlProps/ctrlProp783.xml"/><Relationship Id="rId98" Type="http://schemas.openxmlformats.org/officeDocument/2006/relationships/ctrlProp" Target="../ctrlProps/ctrlProp788.xml"/><Relationship Id="rId121" Type="http://schemas.openxmlformats.org/officeDocument/2006/relationships/ctrlProp" Target="../ctrlProps/ctrlProp811.xml"/><Relationship Id="rId142" Type="http://schemas.openxmlformats.org/officeDocument/2006/relationships/ctrlProp" Target="../ctrlProps/ctrlProp832.xml"/><Relationship Id="rId163" Type="http://schemas.openxmlformats.org/officeDocument/2006/relationships/ctrlProp" Target="../ctrlProps/ctrlProp853.xml"/><Relationship Id="rId184" Type="http://schemas.openxmlformats.org/officeDocument/2006/relationships/ctrlProp" Target="../ctrlProps/ctrlProp874.xml"/><Relationship Id="rId189" Type="http://schemas.openxmlformats.org/officeDocument/2006/relationships/ctrlProp" Target="../ctrlProps/ctrlProp879.xml"/><Relationship Id="rId219" Type="http://schemas.openxmlformats.org/officeDocument/2006/relationships/ctrlProp" Target="../ctrlProps/ctrlProp909.xml"/><Relationship Id="rId3" Type="http://schemas.openxmlformats.org/officeDocument/2006/relationships/ctrlProp" Target="../ctrlProps/ctrlProp693.xml"/><Relationship Id="rId214" Type="http://schemas.openxmlformats.org/officeDocument/2006/relationships/ctrlProp" Target="../ctrlProps/ctrlProp904.xml"/><Relationship Id="rId230" Type="http://schemas.openxmlformats.org/officeDocument/2006/relationships/ctrlProp" Target="../ctrlProps/ctrlProp920.xml"/><Relationship Id="rId235" Type="http://schemas.openxmlformats.org/officeDocument/2006/relationships/ctrlProp" Target="../ctrlProps/ctrlProp925.xml"/><Relationship Id="rId251" Type="http://schemas.openxmlformats.org/officeDocument/2006/relationships/ctrlProp" Target="../ctrlProps/ctrlProp941.xml"/><Relationship Id="rId256" Type="http://schemas.openxmlformats.org/officeDocument/2006/relationships/ctrlProp" Target="../ctrlProps/ctrlProp946.xml"/><Relationship Id="rId277" Type="http://schemas.openxmlformats.org/officeDocument/2006/relationships/ctrlProp" Target="../ctrlProps/ctrlProp967.xml"/><Relationship Id="rId298" Type="http://schemas.openxmlformats.org/officeDocument/2006/relationships/ctrlProp" Target="../ctrlProps/ctrlProp988.xml"/><Relationship Id="rId25" Type="http://schemas.openxmlformats.org/officeDocument/2006/relationships/ctrlProp" Target="../ctrlProps/ctrlProp715.xml"/><Relationship Id="rId46" Type="http://schemas.openxmlformats.org/officeDocument/2006/relationships/ctrlProp" Target="../ctrlProps/ctrlProp736.xml"/><Relationship Id="rId67" Type="http://schemas.openxmlformats.org/officeDocument/2006/relationships/ctrlProp" Target="../ctrlProps/ctrlProp757.xml"/><Relationship Id="rId116" Type="http://schemas.openxmlformats.org/officeDocument/2006/relationships/ctrlProp" Target="../ctrlProps/ctrlProp806.xml"/><Relationship Id="rId137" Type="http://schemas.openxmlformats.org/officeDocument/2006/relationships/ctrlProp" Target="../ctrlProps/ctrlProp827.xml"/><Relationship Id="rId158" Type="http://schemas.openxmlformats.org/officeDocument/2006/relationships/ctrlProp" Target="../ctrlProps/ctrlProp848.xml"/><Relationship Id="rId272" Type="http://schemas.openxmlformats.org/officeDocument/2006/relationships/ctrlProp" Target="../ctrlProps/ctrlProp962.xml"/><Relationship Id="rId293" Type="http://schemas.openxmlformats.org/officeDocument/2006/relationships/ctrlProp" Target="../ctrlProps/ctrlProp983.xml"/><Relationship Id="rId302" Type="http://schemas.openxmlformats.org/officeDocument/2006/relationships/ctrlProp" Target="../ctrlProps/ctrlProp992.xml"/><Relationship Id="rId307" Type="http://schemas.openxmlformats.org/officeDocument/2006/relationships/ctrlProp" Target="../ctrlProps/ctrlProp997.xml"/><Relationship Id="rId20" Type="http://schemas.openxmlformats.org/officeDocument/2006/relationships/ctrlProp" Target="../ctrlProps/ctrlProp710.xml"/><Relationship Id="rId41" Type="http://schemas.openxmlformats.org/officeDocument/2006/relationships/ctrlProp" Target="../ctrlProps/ctrlProp731.xml"/><Relationship Id="rId62" Type="http://schemas.openxmlformats.org/officeDocument/2006/relationships/ctrlProp" Target="../ctrlProps/ctrlProp752.xml"/><Relationship Id="rId83" Type="http://schemas.openxmlformats.org/officeDocument/2006/relationships/ctrlProp" Target="../ctrlProps/ctrlProp773.xml"/><Relationship Id="rId88" Type="http://schemas.openxmlformats.org/officeDocument/2006/relationships/ctrlProp" Target="../ctrlProps/ctrlProp778.xml"/><Relationship Id="rId111" Type="http://schemas.openxmlformats.org/officeDocument/2006/relationships/ctrlProp" Target="../ctrlProps/ctrlProp801.xml"/><Relationship Id="rId132" Type="http://schemas.openxmlformats.org/officeDocument/2006/relationships/ctrlProp" Target="../ctrlProps/ctrlProp822.xml"/><Relationship Id="rId153" Type="http://schemas.openxmlformats.org/officeDocument/2006/relationships/ctrlProp" Target="../ctrlProps/ctrlProp843.xml"/><Relationship Id="rId174" Type="http://schemas.openxmlformats.org/officeDocument/2006/relationships/ctrlProp" Target="../ctrlProps/ctrlProp864.xml"/><Relationship Id="rId179" Type="http://schemas.openxmlformats.org/officeDocument/2006/relationships/ctrlProp" Target="../ctrlProps/ctrlProp869.xml"/><Relationship Id="rId195" Type="http://schemas.openxmlformats.org/officeDocument/2006/relationships/ctrlProp" Target="../ctrlProps/ctrlProp885.xml"/><Relationship Id="rId209" Type="http://schemas.openxmlformats.org/officeDocument/2006/relationships/ctrlProp" Target="../ctrlProps/ctrlProp899.xml"/><Relationship Id="rId190" Type="http://schemas.openxmlformats.org/officeDocument/2006/relationships/ctrlProp" Target="../ctrlProps/ctrlProp880.xml"/><Relationship Id="rId204" Type="http://schemas.openxmlformats.org/officeDocument/2006/relationships/ctrlProp" Target="../ctrlProps/ctrlProp894.xml"/><Relationship Id="rId220" Type="http://schemas.openxmlformats.org/officeDocument/2006/relationships/ctrlProp" Target="../ctrlProps/ctrlProp910.xml"/><Relationship Id="rId225" Type="http://schemas.openxmlformats.org/officeDocument/2006/relationships/ctrlProp" Target="../ctrlProps/ctrlProp915.xml"/><Relationship Id="rId241" Type="http://schemas.openxmlformats.org/officeDocument/2006/relationships/ctrlProp" Target="../ctrlProps/ctrlProp931.xml"/><Relationship Id="rId246" Type="http://schemas.openxmlformats.org/officeDocument/2006/relationships/ctrlProp" Target="../ctrlProps/ctrlProp936.xml"/><Relationship Id="rId267" Type="http://schemas.openxmlformats.org/officeDocument/2006/relationships/ctrlProp" Target="../ctrlProps/ctrlProp957.xml"/><Relationship Id="rId288" Type="http://schemas.openxmlformats.org/officeDocument/2006/relationships/ctrlProp" Target="../ctrlProps/ctrlProp978.xml"/><Relationship Id="rId15" Type="http://schemas.openxmlformats.org/officeDocument/2006/relationships/ctrlProp" Target="../ctrlProps/ctrlProp705.xml"/><Relationship Id="rId36" Type="http://schemas.openxmlformats.org/officeDocument/2006/relationships/ctrlProp" Target="../ctrlProps/ctrlProp726.xml"/><Relationship Id="rId57" Type="http://schemas.openxmlformats.org/officeDocument/2006/relationships/ctrlProp" Target="../ctrlProps/ctrlProp747.xml"/><Relationship Id="rId106" Type="http://schemas.openxmlformats.org/officeDocument/2006/relationships/ctrlProp" Target="../ctrlProps/ctrlProp796.xml"/><Relationship Id="rId127" Type="http://schemas.openxmlformats.org/officeDocument/2006/relationships/ctrlProp" Target="../ctrlProps/ctrlProp817.xml"/><Relationship Id="rId262" Type="http://schemas.openxmlformats.org/officeDocument/2006/relationships/ctrlProp" Target="../ctrlProps/ctrlProp952.xml"/><Relationship Id="rId283" Type="http://schemas.openxmlformats.org/officeDocument/2006/relationships/ctrlProp" Target="../ctrlProps/ctrlProp973.xml"/><Relationship Id="rId313" Type="http://schemas.openxmlformats.org/officeDocument/2006/relationships/ctrlProp" Target="../ctrlProps/ctrlProp1003.xml"/><Relationship Id="rId318" Type="http://schemas.openxmlformats.org/officeDocument/2006/relationships/ctrlProp" Target="../ctrlProps/ctrlProp1008.xml"/><Relationship Id="rId10" Type="http://schemas.openxmlformats.org/officeDocument/2006/relationships/ctrlProp" Target="../ctrlProps/ctrlProp700.xml"/><Relationship Id="rId31" Type="http://schemas.openxmlformats.org/officeDocument/2006/relationships/ctrlProp" Target="../ctrlProps/ctrlProp721.xml"/><Relationship Id="rId52" Type="http://schemas.openxmlformats.org/officeDocument/2006/relationships/ctrlProp" Target="../ctrlProps/ctrlProp742.xml"/><Relationship Id="rId73" Type="http://schemas.openxmlformats.org/officeDocument/2006/relationships/ctrlProp" Target="../ctrlProps/ctrlProp763.xml"/><Relationship Id="rId78" Type="http://schemas.openxmlformats.org/officeDocument/2006/relationships/ctrlProp" Target="../ctrlProps/ctrlProp768.xml"/><Relationship Id="rId94" Type="http://schemas.openxmlformats.org/officeDocument/2006/relationships/ctrlProp" Target="../ctrlProps/ctrlProp784.xml"/><Relationship Id="rId99" Type="http://schemas.openxmlformats.org/officeDocument/2006/relationships/ctrlProp" Target="../ctrlProps/ctrlProp789.xml"/><Relationship Id="rId101" Type="http://schemas.openxmlformats.org/officeDocument/2006/relationships/ctrlProp" Target="../ctrlProps/ctrlProp791.xml"/><Relationship Id="rId122" Type="http://schemas.openxmlformats.org/officeDocument/2006/relationships/ctrlProp" Target="../ctrlProps/ctrlProp812.xml"/><Relationship Id="rId143" Type="http://schemas.openxmlformats.org/officeDocument/2006/relationships/ctrlProp" Target="../ctrlProps/ctrlProp833.xml"/><Relationship Id="rId148" Type="http://schemas.openxmlformats.org/officeDocument/2006/relationships/ctrlProp" Target="../ctrlProps/ctrlProp838.xml"/><Relationship Id="rId164" Type="http://schemas.openxmlformats.org/officeDocument/2006/relationships/ctrlProp" Target="../ctrlProps/ctrlProp854.xml"/><Relationship Id="rId169" Type="http://schemas.openxmlformats.org/officeDocument/2006/relationships/ctrlProp" Target="../ctrlProps/ctrlProp859.xml"/><Relationship Id="rId185" Type="http://schemas.openxmlformats.org/officeDocument/2006/relationships/ctrlProp" Target="../ctrlProps/ctrlProp875.xml"/><Relationship Id="rId4" Type="http://schemas.openxmlformats.org/officeDocument/2006/relationships/ctrlProp" Target="../ctrlProps/ctrlProp694.xml"/><Relationship Id="rId9" Type="http://schemas.openxmlformats.org/officeDocument/2006/relationships/ctrlProp" Target="../ctrlProps/ctrlProp699.xml"/><Relationship Id="rId180" Type="http://schemas.openxmlformats.org/officeDocument/2006/relationships/ctrlProp" Target="../ctrlProps/ctrlProp870.xml"/><Relationship Id="rId210" Type="http://schemas.openxmlformats.org/officeDocument/2006/relationships/ctrlProp" Target="../ctrlProps/ctrlProp900.xml"/><Relationship Id="rId215" Type="http://schemas.openxmlformats.org/officeDocument/2006/relationships/ctrlProp" Target="../ctrlProps/ctrlProp905.xml"/><Relationship Id="rId236" Type="http://schemas.openxmlformats.org/officeDocument/2006/relationships/ctrlProp" Target="../ctrlProps/ctrlProp926.xml"/><Relationship Id="rId257" Type="http://schemas.openxmlformats.org/officeDocument/2006/relationships/ctrlProp" Target="../ctrlProps/ctrlProp947.xml"/><Relationship Id="rId278" Type="http://schemas.openxmlformats.org/officeDocument/2006/relationships/ctrlProp" Target="../ctrlProps/ctrlProp968.xml"/><Relationship Id="rId26" Type="http://schemas.openxmlformats.org/officeDocument/2006/relationships/ctrlProp" Target="../ctrlProps/ctrlProp716.xml"/><Relationship Id="rId231" Type="http://schemas.openxmlformats.org/officeDocument/2006/relationships/ctrlProp" Target="../ctrlProps/ctrlProp921.xml"/><Relationship Id="rId252" Type="http://schemas.openxmlformats.org/officeDocument/2006/relationships/ctrlProp" Target="../ctrlProps/ctrlProp942.xml"/><Relationship Id="rId273" Type="http://schemas.openxmlformats.org/officeDocument/2006/relationships/ctrlProp" Target="../ctrlProps/ctrlProp963.xml"/><Relationship Id="rId294" Type="http://schemas.openxmlformats.org/officeDocument/2006/relationships/ctrlProp" Target="../ctrlProps/ctrlProp984.xml"/><Relationship Id="rId308" Type="http://schemas.openxmlformats.org/officeDocument/2006/relationships/ctrlProp" Target="../ctrlProps/ctrlProp998.xml"/><Relationship Id="rId47" Type="http://schemas.openxmlformats.org/officeDocument/2006/relationships/ctrlProp" Target="../ctrlProps/ctrlProp737.xml"/><Relationship Id="rId68" Type="http://schemas.openxmlformats.org/officeDocument/2006/relationships/ctrlProp" Target="../ctrlProps/ctrlProp758.xml"/><Relationship Id="rId89" Type="http://schemas.openxmlformats.org/officeDocument/2006/relationships/ctrlProp" Target="../ctrlProps/ctrlProp779.xml"/><Relationship Id="rId112" Type="http://schemas.openxmlformats.org/officeDocument/2006/relationships/ctrlProp" Target="../ctrlProps/ctrlProp802.xml"/><Relationship Id="rId133" Type="http://schemas.openxmlformats.org/officeDocument/2006/relationships/ctrlProp" Target="../ctrlProps/ctrlProp823.xml"/><Relationship Id="rId154" Type="http://schemas.openxmlformats.org/officeDocument/2006/relationships/ctrlProp" Target="../ctrlProps/ctrlProp844.xml"/><Relationship Id="rId175" Type="http://schemas.openxmlformats.org/officeDocument/2006/relationships/ctrlProp" Target="../ctrlProps/ctrlProp865.xml"/><Relationship Id="rId196" Type="http://schemas.openxmlformats.org/officeDocument/2006/relationships/ctrlProp" Target="../ctrlProps/ctrlProp886.xml"/><Relationship Id="rId200" Type="http://schemas.openxmlformats.org/officeDocument/2006/relationships/ctrlProp" Target="../ctrlProps/ctrlProp890.xml"/><Relationship Id="rId16" Type="http://schemas.openxmlformats.org/officeDocument/2006/relationships/ctrlProp" Target="../ctrlProps/ctrlProp706.xml"/><Relationship Id="rId221" Type="http://schemas.openxmlformats.org/officeDocument/2006/relationships/ctrlProp" Target="../ctrlProps/ctrlProp911.xml"/><Relationship Id="rId242" Type="http://schemas.openxmlformats.org/officeDocument/2006/relationships/ctrlProp" Target="../ctrlProps/ctrlProp932.xml"/><Relationship Id="rId263" Type="http://schemas.openxmlformats.org/officeDocument/2006/relationships/ctrlProp" Target="../ctrlProps/ctrlProp953.xml"/><Relationship Id="rId284" Type="http://schemas.openxmlformats.org/officeDocument/2006/relationships/ctrlProp" Target="../ctrlProps/ctrlProp974.xml"/><Relationship Id="rId319" Type="http://schemas.openxmlformats.org/officeDocument/2006/relationships/ctrlProp" Target="../ctrlProps/ctrlProp1009.xml"/><Relationship Id="rId37" Type="http://schemas.openxmlformats.org/officeDocument/2006/relationships/ctrlProp" Target="../ctrlProps/ctrlProp727.xml"/><Relationship Id="rId58" Type="http://schemas.openxmlformats.org/officeDocument/2006/relationships/ctrlProp" Target="../ctrlProps/ctrlProp748.xml"/><Relationship Id="rId79" Type="http://schemas.openxmlformats.org/officeDocument/2006/relationships/ctrlProp" Target="../ctrlProps/ctrlProp769.xml"/><Relationship Id="rId102" Type="http://schemas.openxmlformats.org/officeDocument/2006/relationships/ctrlProp" Target="../ctrlProps/ctrlProp792.xml"/><Relationship Id="rId123" Type="http://schemas.openxmlformats.org/officeDocument/2006/relationships/ctrlProp" Target="../ctrlProps/ctrlProp813.xml"/><Relationship Id="rId144" Type="http://schemas.openxmlformats.org/officeDocument/2006/relationships/ctrlProp" Target="../ctrlProps/ctrlProp834.xml"/><Relationship Id="rId90" Type="http://schemas.openxmlformats.org/officeDocument/2006/relationships/ctrlProp" Target="../ctrlProps/ctrlProp780.xml"/><Relationship Id="rId165" Type="http://schemas.openxmlformats.org/officeDocument/2006/relationships/ctrlProp" Target="../ctrlProps/ctrlProp855.xml"/><Relationship Id="rId186" Type="http://schemas.openxmlformats.org/officeDocument/2006/relationships/ctrlProp" Target="../ctrlProps/ctrlProp876.xml"/><Relationship Id="rId211" Type="http://schemas.openxmlformats.org/officeDocument/2006/relationships/ctrlProp" Target="../ctrlProps/ctrlProp901.xml"/><Relationship Id="rId232" Type="http://schemas.openxmlformats.org/officeDocument/2006/relationships/ctrlProp" Target="../ctrlProps/ctrlProp922.xml"/><Relationship Id="rId253" Type="http://schemas.openxmlformats.org/officeDocument/2006/relationships/ctrlProp" Target="../ctrlProps/ctrlProp943.xml"/><Relationship Id="rId274" Type="http://schemas.openxmlformats.org/officeDocument/2006/relationships/ctrlProp" Target="../ctrlProps/ctrlProp964.xml"/><Relationship Id="rId295" Type="http://schemas.openxmlformats.org/officeDocument/2006/relationships/ctrlProp" Target="../ctrlProps/ctrlProp985.xml"/><Relationship Id="rId309" Type="http://schemas.openxmlformats.org/officeDocument/2006/relationships/ctrlProp" Target="../ctrlProps/ctrlProp999.xml"/><Relationship Id="rId27" Type="http://schemas.openxmlformats.org/officeDocument/2006/relationships/ctrlProp" Target="../ctrlProps/ctrlProp717.xml"/><Relationship Id="rId48" Type="http://schemas.openxmlformats.org/officeDocument/2006/relationships/ctrlProp" Target="../ctrlProps/ctrlProp738.xml"/><Relationship Id="rId69" Type="http://schemas.openxmlformats.org/officeDocument/2006/relationships/ctrlProp" Target="../ctrlProps/ctrlProp759.xml"/><Relationship Id="rId113" Type="http://schemas.openxmlformats.org/officeDocument/2006/relationships/ctrlProp" Target="../ctrlProps/ctrlProp803.xml"/><Relationship Id="rId134" Type="http://schemas.openxmlformats.org/officeDocument/2006/relationships/ctrlProp" Target="../ctrlProps/ctrlProp824.xml"/><Relationship Id="rId80" Type="http://schemas.openxmlformats.org/officeDocument/2006/relationships/ctrlProp" Target="../ctrlProps/ctrlProp770.xml"/><Relationship Id="rId155" Type="http://schemas.openxmlformats.org/officeDocument/2006/relationships/ctrlProp" Target="../ctrlProps/ctrlProp845.xml"/><Relationship Id="rId176" Type="http://schemas.openxmlformats.org/officeDocument/2006/relationships/ctrlProp" Target="../ctrlProps/ctrlProp866.xml"/><Relationship Id="rId197" Type="http://schemas.openxmlformats.org/officeDocument/2006/relationships/ctrlProp" Target="../ctrlProps/ctrlProp887.xml"/><Relationship Id="rId201" Type="http://schemas.openxmlformats.org/officeDocument/2006/relationships/ctrlProp" Target="../ctrlProps/ctrlProp891.xml"/><Relationship Id="rId222" Type="http://schemas.openxmlformats.org/officeDocument/2006/relationships/ctrlProp" Target="../ctrlProps/ctrlProp912.xml"/><Relationship Id="rId243" Type="http://schemas.openxmlformats.org/officeDocument/2006/relationships/ctrlProp" Target="../ctrlProps/ctrlProp933.xml"/><Relationship Id="rId264" Type="http://schemas.openxmlformats.org/officeDocument/2006/relationships/ctrlProp" Target="../ctrlProps/ctrlProp954.xml"/><Relationship Id="rId285" Type="http://schemas.openxmlformats.org/officeDocument/2006/relationships/ctrlProp" Target="../ctrlProps/ctrlProp975.xml"/><Relationship Id="rId17" Type="http://schemas.openxmlformats.org/officeDocument/2006/relationships/ctrlProp" Target="../ctrlProps/ctrlProp707.xml"/><Relationship Id="rId38" Type="http://schemas.openxmlformats.org/officeDocument/2006/relationships/ctrlProp" Target="../ctrlProps/ctrlProp728.xml"/><Relationship Id="rId59" Type="http://schemas.openxmlformats.org/officeDocument/2006/relationships/ctrlProp" Target="../ctrlProps/ctrlProp749.xml"/><Relationship Id="rId103" Type="http://schemas.openxmlformats.org/officeDocument/2006/relationships/ctrlProp" Target="../ctrlProps/ctrlProp793.xml"/><Relationship Id="rId124" Type="http://schemas.openxmlformats.org/officeDocument/2006/relationships/ctrlProp" Target="../ctrlProps/ctrlProp814.xml"/><Relationship Id="rId310" Type="http://schemas.openxmlformats.org/officeDocument/2006/relationships/ctrlProp" Target="../ctrlProps/ctrlProp1000.xml"/><Relationship Id="rId70" Type="http://schemas.openxmlformats.org/officeDocument/2006/relationships/ctrlProp" Target="../ctrlProps/ctrlProp760.xml"/><Relationship Id="rId91" Type="http://schemas.openxmlformats.org/officeDocument/2006/relationships/ctrlProp" Target="../ctrlProps/ctrlProp781.xml"/><Relationship Id="rId145" Type="http://schemas.openxmlformats.org/officeDocument/2006/relationships/ctrlProp" Target="../ctrlProps/ctrlProp835.xml"/><Relationship Id="rId166" Type="http://schemas.openxmlformats.org/officeDocument/2006/relationships/ctrlProp" Target="../ctrlProps/ctrlProp856.xml"/><Relationship Id="rId187" Type="http://schemas.openxmlformats.org/officeDocument/2006/relationships/ctrlProp" Target="../ctrlProps/ctrlProp877.xml"/><Relationship Id="rId1" Type="http://schemas.openxmlformats.org/officeDocument/2006/relationships/drawing" Target="../drawings/drawing8.xml"/><Relationship Id="rId212" Type="http://schemas.openxmlformats.org/officeDocument/2006/relationships/ctrlProp" Target="../ctrlProps/ctrlProp902.xml"/><Relationship Id="rId233" Type="http://schemas.openxmlformats.org/officeDocument/2006/relationships/ctrlProp" Target="../ctrlProps/ctrlProp923.xml"/><Relationship Id="rId254" Type="http://schemas.openxmlformats.org/officeDocument/2006/relationships/ctrlProp" Target="../ctrlProps/ctrlProp944.xml"/><Relationship Id="rId28" Type="http://schemas.openxmlformats.org/officeDocument/2006/relationships/ctrlProp" Target="../ctrlProps/ctrlProp718.xml"/><Relationship Id="rId49" Type="http://schemas.openxmlformats.org/officeDocument/2006/relationships/ctrlProp" Target="../ctrlProps/ctrlProp739.xml"/><Relationship Id="rId114" Type="http://schemas.openxmlformats.org/officeDocument/2006/relationships/ctrlProp" Target="../ctrlProps/ctrlProp804.xml"/><Relationship Id="rId275" Type="http://schemas.openxmlformats.org/officeDocument/2006/relationships/ctrlProp" Target="../ctrlProps/ctrlProp965.xml"/><Relationship Id="rId296" Type="http://schemas.openxmlformats.org/officeDocument/2006/relationships/ctrlProp" Target="../ctrlProps/ctrlProp986.xml"/><Relationship Id="rId300" Type="http://schemas.openxmlformats.org/officeDocument/2006/relationships/ctrlProp" Target="../ctrlProps/ctrlProp990.xml"/><Relationship Id="rId60" Type="http://schemas.openxmlformats.org/officeDocument/2006/relationships/ctrlProp" Target="../ctrlProps/ctrlProp750.xml"/><Relationship Id="rId81" Type="http://schemas.openxmlformats.org/officeDocument/2006/relationships/ctrlProp" Target="../ctrlProps/ctrlProp771.xml"/><Relationship Id="rId135" Type="http://schemas.openxmlformats.org/officeDocument/2006/relationships/ctrlProp" Target="../ctrlProps/ctrlProp825.xml"/><Relationship Id="rId156" Type="http://schemas.openxmlformats.org/officeDocument/2006/relationships/ctrlProp" Target="../ctrlProps/ctrlProp846.xml"/><Relationship Id="rId177" Type="http://schemas.openxmlformats.org/officeDocument/2006/relationships/ctrlProp" Target="../ctrlProps/ctrlProp867.xml"/><Relationship Id="rId198" Type="http://schemas.openxmlformats.org/officeDocument/2006/relationships/ctrlProp" Target="../ctrlProps/ctrlProp888.xml"/><Relationship Id="rId202" Type="http://schemas.openxmlformats.org/officeDocument/2006/relationships/ctrlProp" Target="../ctrlProps/ctrlProp892.xml"/><Relationship Id="rId223" Type="http://schemas.openxmlformats.org/officeDocument/2006/relationships/ctrlProp" Target="../ctrlProps/ctrlProp913.xml"/><Relationship Id="rId244" Type="http://schemas.openxmlformats.org/officeDocument/2006/relationships/ctrlProp" Target="../ctrlProps/ctrlProp934.xml"/><Relationship Id="rId18" Type="http://schemas.openxmlformats.org/officeDocument/2006/relationships/ctrlProp" Target="../ctrlProps/ctrlProp708.xml"/><Relationship Id="rId39" Type="http://schemas.openxmlformats.org/officeDocument/2006/relationships/ctrlProp" Target="../ctrlProps/ctrlProp729.xml"/><Relationship Id="rId265" Type="http://schemas.openxmlformats.org/officeDocument/2006/relationships/ctrlProp" Target="../ctrlProps/ctrlProp955.xml"/><Relationship Id="rId286" Type="http://schemas.openxmlformats.org/officeDocument/2006/relationships/ctrlProp" Target="../ctrlProps/ctrlProp976.xml"/><Relationship Id="rId50" Type="http://schemas.openxmlformats.org/officeDocument/2006/relationships/ctrlProp" Target="../ctrlProps/ctrlProp740.xml"/><Relationship Id="rId104" Type="http://schemas.openxmlformats.org/officeDocument/2006/relationships/ctrlProp" Target="../ctrlProps/ctrlProp794.xml"/><Relationship Id="rId125" Type="http://schemas.openxmlformats.org/officeDocument/2006/relationships/ctrlProp" Target="../ctrlProps/ctrlProp815.xml"/><Relationship Id="rId146" Type="http://schemas.openxmlformats.org/officeDocument/2006/relationships/ctrlProp" Target="../ctrlProps/ctrlProp836.xml"/><Relationship Id="rId167" Type="http://schemas.openxmlformats.org/officeDocument/2006/relationships/ctrlProp" Target="../ctrlProps/ctrlProp857.xml"/><Relationship Id="rId188" Type="http://schemas.openxmlformats.org/officeDocument/2006/relationships/ctrlProp" Target="../ctrlProps/ctrlProp878.xml"/><Relationship Id="rId311" Type="http://schemas.openxmlformats.org/officeDocument/2006/relationships/ctrlProp" Target="../ctrlProps/ctrlProp1001.xml"/><Relationship Id="rId71" Type="http://schemas.openxmlformats.org/officeDocument/2006/relationships/ctrlProp" Target="../ctrlProps/ctrlProp761.xml"/><Relationship Id="rId92" Type="http://schemas.openxmlformats.org/officeDocument/2006/relationships/ctrlProp" Target="../ctrlProps/ctrlProp782.xml"/><Relationship Id="rId213" Type="http://schemas.openxmlformats.org/officeDocument/2006/relationships/ctrlProp" Target="../ctrlProps/ctrlProp903.xml"/><Relationship Id="rId234" Type="http://schemas.openxmlformats.org/officeDocument/2006/relationships/ctrlProp" Target="../ctrlProps/ctrlProp924.xml"/><Relationship Id="rId2" Type="http://schemas.openxmlformats.org/officeDocument/2006/relationships/vmlDrawing" Target="../drawings/vmlDrawing7.vml"/><Relationship Id="rId29" Type="http://schemas.openxmlformats.org/officeDocument/2006/relationships/ctrlProp" Target="../ctrlProps/ctrlProp719.xml"/><Relationship Id="rId255" Type="http://schemas.openxmlformats.org/officeDocument/2006/relationships/ctrlProp" Target="../ctrlProps/ctrlProp945.xml"/><Relationship Id="rId276" Type="http://schemas.openxmlformats.org/officeDocument/2006/relationships/ctrlProp" Target="../ctrlProps/ctrlProp966.xml"/><Relationship Id="rId297" Type="http://schemas.openxmlformats.org/officeDocument/2006/relationships/ctrlProp" Target="../ctrlProps/ctrlProp987.xml"/><Relationship Id="rId40" Type="http://schemas.openxmlformats.org/officeDocument/2006/relationships/ctrlProp" Target="../ctrlProps/ctrlProp730.xml"/><Relationship Id="rId115" Type="http://schemas.openxmlformats.org/officeDocument/2006/relationships/ctrlProp" Target="../ctrlProps/ctrlProp805.xml"/><Relationship Id="rId136" Type="http://schemas.openxmlformats.org/officeDocument/2006/relationships/ctrlProp" Target="../ctrlProps/ctrlProp826.xml"/><Relationship Id="rId157" Type="http://schemas.openxmlformats.org/officeDocument/2006/relationships/ctrlProp" Target="../ctrlProps/ctrlProp847.xml"/><Relationship Id="rId178" Type="http://schemas.openxmlformats.org/officeDocument/2006/relationships/ctrlProp" Target="../ctrlProps/ctrlProp868.xml"/><Relationship Id="rId301" Type="http://schemas.openxmlformats.org/officeDocument/2006/relationships/ctrlProp" Target="../ctrlProps/ctrlProp991.xml"/><Relationship Id="rId61" Type="http://schemas.openxmlformats.org/officeDocument/2006/relationships/ctrlProp" Target="../ctrlProps/ctrlProp751.xml"/><Relationship Id="rId82" Type="http://schemas.openxmlformats.org/officeDocument/2006/relationships/ctrlProp" Target="../ctrlProps/ctrlProp772.xml"/><Relationship Id="rId199" Type="http://schemas.openxmlformats.org/officeDocument/2006/relationships/ctrlProp" Target="../ctrlProps/ctrlProp889.xml"/><Relationship Id="rId203" Type="http://schemas.openxmlformats.org/officeDocument/2006/relationships/ctrlProp" Target="../ctrlProps/ctrlProp893.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020.xml"/><Relationship Id="rId18" Type="http://schemas.openxmlformats.org/officeDocument/2006/relationships/ctrlProp" Target="../ctrlProps/ctrlProp1025.xml"/><Relationship Id="rId26" Type="http://schemas.openxmlformats.org/officeDocument/2006/relationships/ctrlProp" Target="../ctrlProps/ctrlProp1033.xml"/><Relationship Id="rId39" Type="http://schemas.openxmlformats.org/officeDocument/2006/relationships/ctrlProp" Target="../ctrlProps/ctrlProp1046.xml"/><Relationship Id="rId21" Type="http://schemas.openxmlformats.org/officeDocument/2006/relationships/ctrlProp" Target="../ctrlProps/ctrlProp1028.xml"/><Relationship Id="rId34" Type="http://schemas.openxmlformats.org/officeDocument/2006/relationships/ctrlProp" Target="../ctrlProps/ctrlProp1041.xml"/><Relationship Id="rId42" Type="http://schemas.openxmlformats.org/officeDocument/2006/relationships/ctrlProp" Target="../ctrlProps/ctrlProp1049.xml"/><Relationship Id="rId47" Type="http://schemas.openxmlformats.org/officeDocument/2006/relationships/ctrlProp" Target="../ctrlProps/ctrlProp1054.xml"/><Relationship Id="rId50" Type="http://schemas.openxmlformats.org/officeDocument/2006/relationships/ctrlProp" Target="../ctrlProps/ctrlProp1057.xml"/><Relationship Id="rId55" Type="http://schemas.openxmlformats.org/officeDocument/2006/relationships/ctrlProp" Target="../ctrlProps/ctrlProp1062.xml"/><Relationship Id="rId7" Type="http://schemas.openxmlformats.org/officeDocument/2006/relationships/ctrlProp" Target="../ctrlProps/ctrlProp1014.xml"/><Relationship Id="rId12" Type="http://schemas.openxmlformats.org/officeDocument/2006/relationships/ctrlProp" Target="../ctrlProps/ctrlProp1019.xml"/><Relationship Id="rId17" Type="http://schemas.openxmlformats.org/officeDocument/2006/relationships/ctrlProp" Target="../ctrlProps/ctrlProp1024.xml"/><Relationship Id="rId25" Type="http://schemas.openxmlformats.org/officeDocument/2006/relationships/ctrlProp" Target="../ctrlProps/ctrlProp1032.xml"/><Relationship Id="rId33" Type="http://schemas.openxmlformats.org/officeDocument/2006/relationships/ctrlProp" Target="../ctrlProps/ctrlProp1040.xml"/><Relationship Id="rId38" Type="http://schemas.openxmlformats.org/officeDocument/2006/relationships/ctrlProp" Target="../ctrlProps/ctrlProp1045.xml"/><Relationship Id="rId46" Type="http://schemas.openxmlformats.org/officeDocument/2006/relationships/ctrlProp" Target="../ctrlProps/ctrlProp1053.xml"/><Relationship Id="rId2" Type="http://schemas.openxmlformats.org/officeDocument/2006/relationships/vmlDrawing" Target="../drawings/vmlDrawing8.vml"/><Relationship Id="rId16" Type="http://schemas.openxmlformats.org/officeDocument/2006/relationships/ctrlProp" Target="../ctrlProps/ctrlProp1023.xml"/><Relationship Id="rId20" Type="http://schemas.openxmlformats.org/officeDocument/2006/relationships/ctrlProp" Target="../ctrlProps/ctrlProp1027.xml"/><Relationship Id="rId29" Type="http://schemas.openxmlformats.org/officeDocument/2006/relationships/ctrlProp" Target="../ctrlProps/ctrlProp1036.xml"/><Relationship Id="rId41" Type="http://schemas.openxmlformats.org/officeDocument/2006/relationships/ctrlProp" Target="../ctrlProps/ctrlProp1048.xml"/><Relationship Id="rId54" Type="http://schemas.openxmlformats.org/officeDocument/2006/relationships/ctrlProp" Target="../ctrlProps/ctrlProp1061.xml"/><Relationship Id="rId1" Type="http://schemas.openxmlformats.org/officeDocument/2006/relationships/drawing" Target="../drawings/drawing9.xml"/><Relationship Id="rId6" Type="http://schemas.openxmlformats.org/officeDocument/2006/relationships/ctrlProp" Target="../ctrlProps/ctrlProp1013.xml"/><Relationship Id="rId11" Type="http://schemas.openxmlformats.org/officeDocument/2006/relationships/ctrlProp" Target="../ctrlProps/ctrlProp1018.xml"/><Relationship Id="rId24" Type="http://schemas.openxmlformats.org/officeDocument/2006/relationships/ctrlProp" Target="../ctrlProps/ctrlProp1031.xml"/><Relationship Id="rId32" Type="http://schemas.openxmlformats.org/officeDocument/2006/relationships/ctrlProp" Target="../ctrlProps/ctrlProp1039.xml"/><Relationship Id="rId37" Type="http://schemas.openxmlformats.org/officeDocument/2006/relationships/ctrlProp" Target="../ctrlProps/ctrlProp1044.xml"/><Relationship Id="rId40" Type="http://schemas.openxmlformats.org/officeDocument/2006/relationships/ctrlProp" Target="../ctrlProps/ctrlProp1047.xml"/><Relationship Id="rId45" Type="http://schemas.openxmlformats.org/officeDocument/2006/relationships/ctrlProp" Target="../ctrlProps/ctrlProp1052.xml"/><Relationship Id="rId53" Type="http://schemas.openxmlformats.org/officeDocument/2006/relationships/ctrlProp" Target="../ctrlProps/ctrlProp1060.xml"/><Relationship Id="rId5" Type="http://schemas.openxmlformats.org/officeDocument/2006/relationships/ctrlProp" Target="../ctrlProps/ctrlProp1012.xml"/><Relationship Id="rId15" Type="http://schemas.openxmlformats.org/officeDocument/2006/relationships/ctrlProp" Target="../ctrlProps/ctrlProp1022.xml"/><Relationship Id="rId23" Type="http://schemas.openxmlformats.org/officeDocument/2006/relationships/ctrlProp" Target="../ctrlProps/ctrlProp1030.xml"/><Relationship Id="rId28" Type="http://schemas.openxmlformats.org/officeDocument/2006/relationships/ctrlProp" Target="../ctrlProps/ctrlProp1035.xml"/><Relationship Id="rId36" Type="http://schemas.openxmlformats.org/officeDocument/2006/relationships/ctrlProp" Target="../ctrlProps/ctrlProp1043.xml"/><Relationship Id="rId49" Type="http://schemas.openxmlformats.org/officeDocument/2006/relationships/ctrlProp" Target="../ctrlProps/ctrlProp1056.xml"/><Relationship Id="rId57" Type="http://schemas.openxmlformats.org/officeDocument/2006/relationships/ctrlProp" Target="../ctrlProps/ctrlProp1064.xml"/><Relationship Id="rId10" Type="http://schemas.openxmlformats.org/officeDocument/2006/relationships/ctrlProp" Target="../ctrlProps/ctrlProp1017.xml"/><Relationship Id="rId19" Type="http://schemas.openxmlformats.org/officeDocument/2006/relationships/ctrlProp" Target="../ctrlProps/ctrlProp1026.xml"/><Relationship Id="rId31" Type="http://schemas.openxmlformats.org/officeDocument/2006/relationships/ctrlProp" Target="../ctrlProps/ctrlProp1038.xml"/><Relationship Id="rId44" Type="http://schemas.openxmlformats.org/officeDocument/2006/relationships/ctrlProp" Target="../ctrlProps/ctrlProp1051.xml"/><Relationship Id="rId52" Type="http://schemas.openxmlformats.org/officeDocument/2006/relationships/ctrlProp" Target="../ctrlProps/ctrlProp1059.xml"/><Relationship Id="rId4" Type="http://schemas.openxmlformats.org/officeDocument/2006/relationships/ctrlProp" Target="../ctrlProps/ctrlProp1011.xml"/><Relationship Id="rId9" Type="http://schemas.openxmlformats.org/officeDocument/2006/relationships/ctrlProp" Target="../ctrlProps/ctrlProp1016.xml"/><Relationship Id="rId14" Type="http://schemas.openxmlformats.org/officeDocument/2006/relationships/ctrlProp" Target="../ctrlProps/ctrlProp1021.xml"/><Relationship Id="rId22" Type="http://schemas.openxmlformats.org/officeDocument/2006/relationships/ctrlProp" Target="../ctrlProps/ctrlProp1029.xml"/><Relationship Id="rId27" Type="http://schemas.openxmlformats.org/officeDocument/2006/relationships/ctrlProp" Target="../ctrlProps/ctrlProp1034.xml"/><Relationship Id="rId30" Type="http://schemas.openxmlformats.org/officeDocument/2006/relationships/ctrlProp" Target="../ctrlProps/ctrlProp1037.xml"/><Relationship Id="rId35" Type="http://schemas.openxmlformats.org/officeDocument/2006/relationships/ctrlProp" Target="../ctrlProps/ctrlProp1042.xml"/><Relationship Id="rId43" Type="http://schemas.openxmlformats.org/officeDocument/2006/relationships/ctrlProp" Target="../ctrlProps/ctrlProp1050.xml"/><Relationship Id="rId48" Type="http://schemas.openxmlformats.org/officeDocument/2006/relationships/ctrlProp" Target="../ctrlProps/ctrlProp1055.xml"/><Relationship Id="rId56" Type="http://schemas.openxmlformats.org/officeDocument/2006/relationships/ctrlProp" Target="../ctrlProps/ctrlProp1063.xml"/><Relationship Id="rId8" Type="http://schemas.openxmlformats.org/officeDocument/2006/relationships/ctrlProp" Target="../ctrlProps/ctrlProp1015.xml"/><Relationship Id="rId51" Type="http://schemas.openxmlformats.org/officeDocument/2006/relationships/ctrlProp" Target="../ctrlProps/ctrlProp1058.xml"/><Relationship Id="rId3" Type="http://schemas.openxmlformats.org/officeDocument/2006/relationships/ctrlProp" Target="../ctrlProps/ctrlProp1010.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075.xml"/><Relationship Id="rId18" Type="http://schemas.openxmlformats.org/officeDocument/2006/relationships/ctrlProp" Target="../ctrlProps/ctrlProp1080.xml"/><Relationship Id="rId26" Type="http://schemas.openxmlformats.org/officeDocument/2006/relationships/ctrlProp" Target="../ctrlProps/ctrlProp1088.xml"/><Relationship Id="rId39" Type="http://schemas.openxmlformats.org/officeDocument/2006/relationships/ctrlProp" Target="../ctrlProps/ctrlProp1101.xml"/><Relationship Id="rId21" Type="http://schemas.openxmlformats.org/officeDocument/2006/relationships/ctrlProp" Target="../ctrlProps/ctrlProp1083.xml"/><Relationship Id="rId34" Type="http://schemas.openxmlformats.org/officeDocument/2006/relationships/ctrlProp" Target="../ctrlProps/ctrlProp1096.xml"/><Relationship Id="rId42" Type="http://schemas.openxmlformats.org/officeDocument/2006/relationships/ctrlProp" Target="../ctrlProps/ctrlProp1104.xml"/><Relationship Id="rId47" Type="http://schemas.openxmlformats.org/officeDocument/2006/relationships/ctrlProp" Target="../ctrlProps/ctrlProp1109.xml"/><Relationship Id="rId50" Type="http://schemas.openxmlformats.org/officeDocument/2006/relationships/ctrlProp" Target="../ctrlProps/ctrlProp1112.xml"/><Relationship Id="rId55" Type="http://schemas.openxmlformats.org/officeDocument/2006/relationships/ctrlProp" Target="../ctrlProps/ctrlProp1117.xml"/><Relationship Id="rId7" Type="http://schemas.openxmlformats.org/officeDocument/2006/relationships/ctrlProp" Target="../ctrlProps/ctrlProp1069.xml"/><Relationship Id="rId12" Type="http://schemas.openxmlformats.org/officeDocument/2006/relationships/ctrlProp" Target="../ctrlProps/ctrlProp1074.xml"/><Relationship Id="rId17" Type="http://schemas.openxmlformats.org/officeDocument/2006/relationships/ctrlProp" Target="../ctrlProps/ctrlProp1079.xml"/><Relationship Id="rId25" Type="http://schemas.openxmlformats.org/officeDocument/2006/relationships/ctrlProp" Target="../ctrlProps/ctrlProp1087.xml"/><Relationship Id="rId33" Type="http://schemas.openxmlformats.org/officeDocument/2006/relationships/ctrlProp" Target="../ctrlProps/ctrlProp1095.xml"/><Relationship Id="rId38" Type="http://schemas.openxmlformats.org/officeDocument/2006/relationships/ctrlProp" Target="../ctrlProps/ctrlProp1100.xml"/><Relationship Id="rId46" Type="http://schemas.openxmlformats.org/officeDocument/2006/relationships/ctrlProp" Target="../ctrlProps/ctrlProp1108.xml"/><Relationship Id="rId2" Type="http://schemas.openxmlformats.org/officeDocument/2006/relationships/vmlDrawing" Target="../drawings/vmlDrawing9.vml"/><Relationship Id="rId16" Type="http://schemas.openxmlformats.org/officeDocument/2006/relationships/ctrlProp" Target="../ctrlProps/ctrlProp1078.xml"/><Relationship Id="rId20" Type="http://schemas.openxmlformats.org/officeDocument/2006/relationships/ctrlProp" Target="../ctrlProps/ctrlProp1082.xml"/><Relationship Id="rId29" Type="http://schemas.openxmlformats.org/officeDocument/2006/relationships/ctrlProp" Target="../ctrlProps/ctrlProp1091.xml"/><Relationship Id="rId41" Type="http://schemas.openxmlformats.org/officeDocument/2006/relationships/ctrlProp" Target="../ctrlProps/ctrlProp1103.xml"/><Relationship Id="rId54" Type="http://schemas.openxmlformats.org/officeDocument/2006/relationships/ctrlProp" Target="../ctrlProps/ctrlProp1116.xml"/><Relationship Id="rId1" Type="http://schemas.openxmlformats.org/officeDocument/2006/relationships/drawing" Target="../drawings/drawing10.xml"/><Relationship Id="rId6" Type="http://schemas.openxmlformats.org/officeDocument/2006/relationships/ctrlProp" Target="../ctrlProps/ctrlProp1068.xml"/><Relationship Id="rId11" Type="http://schemas.openxmlformats.org/officeDocument/2006/relationships/ctrlProp" Target="../ctrlProps/ctrlProp1073.xml"/><Relationship Id="rId24" Type="http://schemas.openxmlformats.org/officeDocument/2006/relationships/ctrlProp" Target="../ctrlProps/ctrlProp1086.xml"/><Relationship Id="rId32" Type="http://schemas.openxmlformats.org/officeDocument/2006/relationships/ctrlProp" Target="../ctrlProps/ctrlProp1094.xml"/><Relationship Id="rId37" Type="http://schemas.openxmlformats.org/officeDocument/2006/relationships/ctrlProp" Target="../ctrlProps/ctrlProp1099.xml"/><Relationship Id="rId40" Type="http://schemas.openxmlformats.org/officeDocument/2006/relationships/ctrlProp" Target="../ctrlProps/ctrlProp1102.xml"/><Relationship Id="rId45" Type="http://schemas.openxmlformats.org/officeDocument/2006/relationships/ctrlProp" Target="../ctrlProps/ctrlProp1107.xml"/><Relationship Id="rId53" Type="http://schemas.openxmlformats.org/officeDocument/2006/relationships/ctrlProp" Target="../ctrlProps/ctrlProp1115.xml"/><Relationship Id="rId5" Type="http://schemas.openxmlformats.org/officeDocument/2006/relationships/ctrlProp" Target="../ctrlProps/ctrlProp1067.xml"/><Relationship Id="rId15" Type="http://schemas.openxmlformats.org/officeDocument/2006/relationships/ctrlProp" Target="../ctrlProps/ctrlProp1077.xml"/><Relationship Id="rId23" Type="http://schemas.openxmlformats.org/officeDocument/2006/relationships/ctrlProp" Target="../ctrlProps/ctrlProp1085.xml"/><Relationship Id="rId28" Type="http://schemas.openxmlformats.org/officeDocument/2006/relationships/ctrlProp" Target="../ctrlProps/ctrlProp1090.xml"/><Relationship Id="rId36" Type="http://schemas.openxmlformats.org/officeDocument/2006/relationships/ctrlProp" Target="../ctrlProps/ctrlProp1098.xml"/><Relationship Id="rId49" Type="http://schemas.openxmlformats.org/officeDocument/2006/relationships/ctrlProp" Target="../ctrlProps/ctrlProp1111.xml"/><Relationship Id="rId57" Type="http://schemas.openxmlformats.org/officeDocument/2006/relationships/ctrlProp" Target="../ctrlProps/ctrlProp1119.xml"/><Relationship Id="rId10" Type="http://schemas.openxmlformats.org/officeDocument/2006/relationships/ctrlProp" Target="../ctrlProps/ctrlProp1072.xml"/><Relationship Id="rId19" Type="http://schemas.openxmlformats.org/officeDocument/2006/relationships/ctrlProp" Target="../ctrlProps/ctrlProp1081.xml"/><Relationship Id="rId31" Type="http://schemas.openxmlformats.org/officeDocument/2006/relationships/ctrlProp" Target="../ctrlProps/ctrlProp1093.xml"/><Relationship Id="rId44" Type="http://schemas.openxmlformats.org/officeDocument/2006/relationships/ctrlProp" Target="../ctrlProps/ctrlProp1106.xml"/><Relationship Id="rId52" Type="http://schemas.openxmlformats.org/officeDocument/2006/relationships/ctrlProp" Target="../ctrlProps/ctrlProp1114.xml"/><Relationship Id="rId4" Type="http://schemas.openxmlformats.org/officeDocument/2006/relationships/ctrlProp" Target="../ctrlProps/ctrlProp1066.xml"/><Relationship Id="rId9" Type="http://schemas.openxmlformats.org/officeDocument/2006/relationships/ctrlProp" Target="../ctrlProps/ctrlProp1071.xml"/><Relationship Id="rId14" Type="http://schemas.openxmlformats.org/officeDocument/2006/relationships/ctrlProp" Target="../ctrlProps/ctrlProp1076.xml"/><Relationship Id="rId22" Type="http://schemas.openxmlformats.org/officeDocument/2006/relationships/ctrlProp" Target="../ctrlProps/ctrlProp1084.xml"/><Relationship Id="rId27" Type="http://schemas.openxmlformats.org/officeDocument/2006/relationships/ctrlProp" Target="../ctrlProps/ctrlProp1089.xml"/><Relationship Id="rId30" Type="http://schemas.openxmlformats.org/officeDocument/2006/relationships/ctrlProp" Target="../ctrlProps/ctrlProp1092.xml"/><Relationship Id="rId35" Type="http://schemas.openxmlformats.org/officeDocument/2006/relationships/ctrlProp" Target="../ctrlProps/ctrlProp1097.xml"/><Relationship Id="rId43" Type="http://schemas.openxmlformats.org/officeDocument/2006/relationships/ctrlProp" Target="../ctrlProps/ctrlProp1105.xml"/><Relationship Id="rId48" Type="http://schemas.openxmlformats.org/officeDocument/2006/relationships/ctrlProp" Target="../ctrlProps/ctrlProp1110.xml"/><Relationship Id="rId56" Type="http://schemas.openxmlformats.org/officeDocument/2006/relationships/ctrlProp" Target="../ctrlProps/ctrlProp1118.xml"/><Relationship Id="rId8" Type="http://schemas.openxmlformats.org/officeDocument/2006/relationships/ctrlProp" Target="../ctrlProps/ctrlProp1070.xml"/><Relationship Id="rId51" Type="http://schemas.openxmlformats.org/officeDocument/2006/relationships/ctrlProp" Target="../ctrlProps/ctrlProp1113.xml"/><Relationship Id="rId3" Type="http://schemas.openxmlformats.org/officeDocument/2006/relationships/ctrlProp" Target="../ctrlProps/ctrlProp1065.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30.xml"/><Relationship Id="rId18" Type="http://schemas.openxmlformats.org/officeDocument/2006/relationships/ctrlProp" Target="../ctrlProps/ctrlProp1135.xml"/><Relationship Id="rId26" Type="http://schemas.openxmlformats.org/officeDocument/2006/relationships/ctrlProp" Target="../ctrlProps/ctrlProp1143.xml"/><Relationship Id="rId39" Type="http://schemas.openxmlformats.org/officeDocument/2006/relationships/ctrlProp" Target="../ctrlProps/ctrlProp1156.xml"/><Relationship Id="rId21" Type="http://schemas.openxmlformats.org/officeDocument/2006/relationships/ctrlProp" Target="../ctrlProps/ctrlProp1138.xml"/><Relationship Id="rId34" Type="http://schemas.openxmlformats.org/officeDocument/2006/relationships/ctrlProp" Target="../ctrlProps/ctrlProp1151.xml"/><Relationship Id="rId42" Type="http://schemas.openxmlformats.org/officeDocument/2006/relationships/ctrlProp" Target="../ctrlProps/ctrlProp1159.xml"/><Relationship Id="rId47" Type="http://schemas.openxmlformats.org/officeDocument/2006/relationships/ctrlProp" Target="../ctrlProps/ctrlProp1164.xml"/><Relationship Id="rId50" Type="http://schemas.openxmlformats.org/officeDocument/2006/relationships/ctrlProp" Target="../ctrlProps/ctrlProp1167.xml"/><Relationship Id="rId55" Type="http://schemas.openxmlformats.org/officeDocument/2006/relationships/ctrlProp" Target="../ctrlProps/ctrlProp1172.xml"/><Relationship Id="rId7" Type="http://schemas.openxmlformats.org/officeDocument/2006/relationships/ctrlProp" Target="../ctrlProps/ctrlProp1124.xml"/><Relationship Id="rId12" Type="http://schemas.openxmlformats.org/officeDocument/2006/relationships/ctrlProp" Target="../ctrlProps/ctrlProp1129.xml"/><Relationship Id="rId17" Type="http://schemas.openxmlformats.org/officeDocument/2006/relationships/ctrlProp" Target="../ctrlProps/ctrlProp1134.xml"/><Relationship Id="rId25" Type="http://schemas.openxmlformats.org/officeDocument/2006/relationships/ctrlProp" Target="../ctrlProps/ctrlProp1142.xml"/><Relationship Id="rId33" Type="http://schemas.openxmlformats.org/officeDocument/2006/relationships/ctrlProp" Target="../ctrlProps/ctrlProp1150.xml"/><Relationship Id="rId38" Type="http://schemas.openxmlformats.org/officeDocument/2006/relationships/ctrlProp" Target="../ctrlProps/ctrlProp1155.xml"/><Relationship Id="rId46" Type="http://schemas.openxmlformats.org/officeDocument/2006/relationships/ctrlProp" Target="../ctrlProps/ctrlProp1163.xml"/><Relationship Id="rId2" Type="http://schemas.openxmlformats.org/officeDocument/2006/relationships/vmlDrawing" Target="../drawings/vmlDrawing10.vml"/><Relationship Id="rId16" Type="http://schemas.openxmlformats.org/officeDocument/2006/relationships/ctrlProp" Target="../ctrlProps/ctrlProp1133.xml"/><Relationship Id="rId20" Type="http://schemas.openxmlformats.org/officeDocument/2006/relationships/ctrlProp" Target="../ctrlProps/ctrlProp1137.xml"/><Relationship Id="rId29" Type="http://schemas.openxmlformats.org/officeDocument/2006/relationships/ctrlProp" Target="../ctrlProps/ctrlProp1146.xml"/><Relationship Id="rId41" Type="http://schemas.openxmlformats.org/officeDocument/2006/relationships/ctrlProp" Target="../ctrlProps/ctrlProp1158.xml"/><Relationship Id="rId54" Type="http://schemas.openxmlformats.org/officeDocument/2006/relationships/ctrlProp" Target="../ctrlProps/ctrlProp1171.xml"/><Relationship Id="rId1" Type="http://schemas.openxmlformats.org/officeDocument/2006/relationships/drawing" Target="../drawings/drawing11.xml"/><Relationship Id="rId6" Type="http://schemas.openxmlformats.org/officeDocument/2006/relationships/ctrlProp" Target="../ctrlProps/ctrlProp1123.xml"/><Relationship Id="rId11" Type="http://schemas.openxmlformats.org/officeDocument/2006/relationships/ctrlProp" Target="../ctrlProps/ctrlProp1128.xml"/><Relationship Id="rId24" Type="http://schemas.openxmlformats.org/officeDocument/2006/relationships/ctrlProp" Target="../ctrlProps/ctrlProp1141.xml"/><Relationship Id="rId32" Type="http://schemas.openxmlformats.org/officeDocument/2006/relationships/ctrlProp" Target="../ctrlProps/ctrlProp1149.xml"/><Relationship Id="rId37" Type="http://schemas.openxmlformats.org/officeDocument/2006/relationships/ctrlProp" Target="../ctrlProps/ctrlProp1154.xml"/><Relationship Id="rId40" Type="http://schemas.openxmlformats.org/officeDocument/2006/relationships/ctrlProp" Target="../ctrlProps/ctrlProp1157.xml"/><Relationship Id="rId45" Type="http://schemas.openxmlformats.org/officeDocument/2006/relationships/ctrlProp" Target="../ctrlProps/ctrlProp1162.xml"/><Relationship Id="rId53" Type="http://schemas.openxmlformats.org/officeDocument/2006/relationships/ctrlProp" Target="../ctrlProps/ctrlProp1170.xml"/><Relationship Id="rId5" Type="http://schemas.openxmlformats.org/officeDocument/2006/relationships/ctrlProp" Target="../ctrlProps/ctrlProp1122.xml"/><Relationship Id="rId15" Type="http://schemas.openxmlformats.org/officeDocument/2006/relationships/ctrlProp" Target="../ctrlProps/ctrlProp1132.xml"/><Relationship Id="rId23" Type="http://schemas.openxmlformats.org/officeDocument/2006/relationships/ctrlProp" Target="../ctrlProps/ctrlProp1140.xml"/><Relationship Id="rId28" Type="http://schemas.openxmlformats.org/officeDocument/2006/relationships/ctrlProp" Target="../ctrlProps/ctrlProp1145.xml"/><Relationship Id="rId36" Type="http://schemas.openxmlformats.org/officeDocument/2006/relationships/ctrlProp" Target="../ctrlProps/ctrlProp1153.xml"/><Relationship Id="rId49" Type="http://schemas.openxmlformats.org/officeDocument/2006/relationships/ctrlProp" Target="../ctrlProps/ctrlProp1166.xml"/><Relationship Id="rId57" Type="http://schemas.openxmlformats.org/officeDocument/2006/relationships/ctrlProp" Target="../ctrlProps/ctrlProp1174.xml"/><Relationship Id="rId10" Type="http://schemas.openxmlformats.org/officeDocument/2006/relationships/ctrlProp" Target="../ctrlProps/ctrlProp1127.xml"/><Relationship Id="rId19" Type="http://schemas.openxmlformats.org/officeDocument/2006/relationships/ctrlProp" Target="../ctrlProps/ctrlProp1136.xml"/><Relationship Id="rId31" Type="http://schemas.openxmlformats.org/officeDocument/2006/relationships/ctrlProp" Target="../ctrlProps/ctrlProp1148.xml"/><Relationship Id="rId44" Type="http://schemas.openxmlformats.org/officeDocument/2006/relationships/ctrlProp" Target="../ctrlProps/ctrlProp1161.xml"/><Relationship Id="rId52" Type="http://schemas.openxmlformats.org/officeDocument/2006/relationships/ctrlProp" Target="../ctrlProps/ctrlProp1169.xml"/><Relationship Id="rId4" Type="http://schemas.openxmlformats.org/officeDocument/2006/relationships/ctrlProp" Target="../ctrlProps/ctrlProp1121.xml"/><Relationship Id="rId9" Type="http://schemas.openxmlformats.org/officeDocument/2006/relationships/ctrlProp" Target="../ctrlProps/ctrlProp1126.xml"/><Relationship Id="rId14" Type="http://schemas.openxmlformats.org/officeDocument/2006/relationships/ctrlProp" Target="../ctrlProps/ctrlProp1131.xml"/><Relationship Id="rId22" Type="http://schemas.openxmlformats.org/officeDocument/2006/relationships/ctrlProp" Target="../ctrlProps/ctrlProp1139.xml"/><Relationship Id="rId27" Type="http://schemas.openxmlformats.org/officeDocument/2006/relationships/ctrlProp" Target="../ctrlProps/ctrlProp1144.xml"/><Relationship Id="rId30" Type="http://schemas.openxmlformats.org/officeDocument/2006/relationships/ctrlProp" Target="../ctrlProps/ctrlProp1147.xml"/><Relationship Id="rId35" Type="http://schemas.openxmlformats.org/officeDocument/2006/relationships/ctrlProp" Target="../ctrlProps/ctrlProp1152.xml"/><Relationship Id="rId43" Type="http://schemas.openxmlformats.org/officeDocument/2006/relationships/ctrlProp" Target="../ctrlProps/ctrlProp1160.xml"/><Relationship Id="rId48" Type="http://schemas.openxmlformats.org/officeDocument/2006/relationships/ctrlProp" Target="../ctrlProps/ctrlProp1165.xml"/><Relationship Id="rId56" Type="http://schemas.openxmlformats.org/officeDocument/2006/relationships/ctrlProp" Target="../ctrlProps/ctrlProp1173.xml"/><Relationship Id="rId8" Type="http://schemas.openxmlformats.org/officeDocument/2006/relationships/ctrlProp" Target="../ctrlProps/ctrlProp1125.xml"/><Relationship Id="rId51" Type="http://schemas.openxmlformats.org/officeDocument/2006/relationships/ctrlProp" Target="../ctrlProps/ctrlProp1168.xml"/><Relationship Id="rId3" Type="http://schemas.openxmlformats.org/officeDocument/2006/relationships/ctrlProp" Target="../ctrlProps/ctrlProp1120.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1184.xml"/><Relationship Id="rId18" Type="http://schemas.openxmlformats.org/officeDocument/2006/relationships/ctrlProp" Target="../ctrlProps/ctrlProp1189.xml"/><Relationship Id="rId26" Type="http://schemas.openxmlformats.org/officeDocument/2006/relationships/ctrlProp" Target="../ctrlProps/ctrlProp1197.xml"/><Relationship Id="rId39" Type="http://schemas.openxmlformats.org/officeDocument/2006/relationships/ctrlProp" Target="../ctrlProps/ctrlProp1210.xml"/><Relationship Id="rId21" Type="http://schemas.openxmlformats.org/officeDocument/2006/relationships/ctrlProp" Target="../ctrlProps/ctrlProp1192.xml"/><Relationship Id="rId34" Type="http://schemas.openxmlformats.org/officeDocument/2006/relationships/ctrlProp" Target="../ctrlProps/ctrlProp1205.xml"/><Relationship Id="rId42" Type="http://schemas.openxmlformats.org/officeDocument/2006/relationships/ctrlProp" Target="../ctrlProps/ctrlProp1213.xml"/><Relationship Id="rId47" Type="http://schemas.openxmlformats.org/officeDocument/2006/relationships/ctrlProp" Target="../ctrlProps/ctrlProp1218.xml"/><Relationship Id="rId50" Type="http://schemas.openxmlformats.org/officeDocument/2006/relationships/ctrlProp" Target="../ctrlProps/ctrlProp1221.xml"/><Relationship Id="rId55" Type="http://schemas.openxmlformats.org/officeDocument/2006/relationships/ctrlProp" Target="../ctrlProps/ctrlProp1226.xml"/><Relationship Id="rId7" Type="http://schemas.openxmlformats.org/officeDocument/2006/relationships/ctrlProp" Target="../ctrlProps/ctrlProp1178.xml"/><Relationship Id="rId12" Type="http://schemas.openxmlformats.org/officeDocument/2006/relationships/ctrlProp" Target="../ctrlProps/ctrlProp1183.xml"/><Relationship Id="rId17" Type="http://schemas.openxmlformats.org/officeDocument/2006/relationships/ctrlProp" Target="../ctrlProps/ctrlProp1188.xml"/><Relationship Id="rId25" Type="http://schemas.openxmlformats.org/officeDocument/2006/relationships/ctrlProp" Target="../ctrlProps/ctrlProp1196.xml"/><Relationship Id="rId33" Type="http://schemas.openxmlformats.org/officeDocument/2006/relationships/ctrlProp" Target="../ctrlProps/ctrlProp1204.xml"/><Relationship Id="rId38" Type="http://schemas.openxmlformats.org/officeDocument/2006/relationships/ctrlProp" Target="../ctrlProps/ctrlProp1209.xml"/><Relationship Id="rId46" Type="http://schemas.openxmlformats.org/officeDocument/2006/relationships/ctrlProp" Target="../ctrlProps/ctrlProp1217.xml"/><Relationship Id="rId2" Type="http://schemas.openxmlformats.org/officeDocument/2006/relationships/drawing" Target="../drawings/drawing12.xml"/><Relationship Id="rId16" Type="http://schemas.openxmlformats.org/officeDocument/2006/relationships/ctrlProp" Target="../ctrlProps/ctrlProp1187.xml"/><Relationship Id="rId20" Type="http://schemas.openxmlformats.org/officeDocument/2006/relationships/ctrlProp" Target="../ctrlProps/ctrlProp1191.xml"/><Relationship Id="rId29" Type="http://schemas.openxmlformats.org/officeDocument/2006/relationships/ctrlProp" Target="../ctrlProps/ctrlProp1200.xml"/><Relationship Id="rId41" Type="http://schemas.openxmlformats.org/officeDocument/2006/relationships/ctrlProp" Target="../ctrlProps/ctrlProp1212.xml"/><Relationship Id="rId54" Type="http://schemas.openxmlformats.org/officeDocument/2006/relationships/ctrlProp" Target="../ctrlProps/ctrlProp1225.xml"/><Relationship Id="rId1" Type="http://schemas.openxmlformats.org/officeDocument/2006/relationships/printerSettings" Target="../printerSettings/printerSettings5.bin"/><Relationship Id="rId6" Type="http://schemas.openxmlformats.org/officeDocument/2006/relationships/ctrlProp" Target="../ctrlProps/ctrlProp1177.xml"/><Relationship Id="rId11" Type="http://schemas.openxmlformats.org/officeDocument/2006/relationships/ctrlProp" Target="../ctrlProps/ctrlProp1182.xml"/><Relationship Id="rId24" Type="http://schemas.openxmlformats.org/officeDocument/2006/relationships/ctrlProp" Target="../ctrlProps/ctrlProp1195.xml"/><Relationship Id="rId32" Type="http://schemas.openxmlformats.org/officeDocument/2006/relationships/ctrlProp" Target="../ctrlProps/ctrlProp1203.xml"/><Relationship Id="rId37" Type="http://schemas.openxmlformats.org/officeDocument/2006/relationships/ctrlProp" Target="../ctrlProps/ctrlProp1208.xml"/><Relationship Id="rId40" Type="http://schemas.openxmlformats.org/officeDocument/2006/relationships/ctrlProp" Target="../ctrlProps/ctrlProp1211.xml"/><Relationship Id="rId45" Type="http://schemas.openxmlformats.org/officeDocument/2006/relationships/ctrlProp" Target="../ctrlProps/ctrlProp1216.xml"/><Relationship Id="rId53" Type="http://schemas.openxmlformats.org/officeDocument/2006/relationships/ctrlProp" Target="../ctrlProps/ctrlProp1224.xml"/><Relationship Id="rId58" Type="http://schemas.openxmlformats.org/officeDocument/2006/relationships/ctrlProp" Target="../ctrlProps/ctrlProp1229.xml"/><Relationship Id="rId5" Type="http://schemas.openxmlformats.org/officeDocument/2006/relationships/ctrlProp" Target="../ctrlProps/ctrlProp1176.xml"/><Relationship Id="rId15" Type="http://schemas.openxmlformats.org/officeDocument/2006/relationships/ctrlProp" Target="../ctrlProps/ctrlProp1186.xml"/><Relationship Id="rId23" Type="http://schemas.openxmlformats.org/officeDocument/2006/relationships/ctrlProp" Target="../ctrlProps/ctrlProp1194.xml"/><Relationship Id="rId28" Type="http://schemas.openxmlformats.org/officeDocument/2006/relationships/ctrlProp" Target="../ctrlProps/ctrlProp1199.xml"/><Relationship Id="rId36" Type="http://schemas.openxmlformats.org/officeDocument/2006/relationships/ctrlProp" Target="../ctrlProps/ctrlProp1207.xml"/><Relationship Id="rId49" Type="http://schemas.openxmlformats.org/officeDocument/2006/relationships/ctrlProp" Target="../ctrlProps/ctrlProp1220.xml"/><Relationship Id="rId57" Type="http://schemas.openxmlformats.org/officeDocument/2006/relationships/ctrlProp" Target="../ctrlProps/ctrlProp1228.xml"/><Relationship Id="rId10" Type="http://schemas.openxmlformats.org/officeDocument/2006/relationships/ctrlProp" Target="../ctrlProps/ctrlProp1181.xml"/><Relationship Id="rId19" Type="http://schemas.openxmlformats.org/officeDocument/2006/relationships/ctrlProp" Target="../ctrlProps/ctrlProp1190.xml"/><Relationship Id="rId31" Type="http://schemas.openxmlformats.org/officeDocument/2006/relationships/ctrlProp" Target="../ctrlProps/ctrlProp1202.xml"/><Relationship Id="rId44" Type="http://schemas.openxmlformats.org/officeDocument/2006/relationships/ctrlProp" Target="../ctrlProps/ctrlProp1215.xml"/><Relationship Id="rId52" Type="http://schemas.openxmlformats.org/officeDocument/2006/relationships/ctrlProp" Target="../ctrlProps/ctrlProp1223.xml"/><Relationship Id="rId4" Type="http://schemas.openxmlformats.org/officeDocument/2006/relationships/ctrlProp" Target="../ctrlProps/ctrlProp1175.xml"/><Relationship Id="rId9" Type="http://schemas.openxmlformats.org/officeDocument/2006/relationships/ctrlProp" Target="../ctrlProps/ctrlProp1180.xml"/><Relationship Id="rId14" Type="http://schemas.openxmlformats.org/officeDocument/2006/relationships/ctrlProp" Target="../ctrlProps/ctrlProp1185.xml"/><Relationship Id="rId22" Type="http://schemas.openxmlformats.org/officeDocument/2006/relationships/ctrlProp" Target="../ctrlProps/ctrlProp1193.xml"/><Relationship Id="rId27" Type="http://schemas.openxmlformats.org/officeDocument/2006/relationships/ctrlProp" Target="../ctrlProps/ctrlProp1198.xml"/><Relationship Id="rId30" Type="http://schemas.openxmlformats.org/officeDocument/2006/relationships/ctrlProp" Target="../ctrlProps/ctrlProp1201.xml"/><Relationship Id="rId35" Type="http://schemas.openxmlformats.org/officeDocument/2006/relationships/ctrlProp" Target="../ctrlProps/ctrlProp1206.xml"/><Relationship Id="rId43" Type="http://schemas.openxmlformats.org/officeDocument/2006/relationships/ctrlProp" Target="../ctrlProps/ctrlProp1214.xml"/><Relationship Id="rId48" Type="http://schemas.openxmlformats.org/officeDocument/2006/relationships/ctrlProp" Target="../ctrlProps/ctrlProp1219.xml"/><Relationship Id="rId56" Type="http://schemas.openxmlformats.org/officeDocument/2006/relationships/ctrlProp" Target="../ctrlProps/ctrlProp1227.xml"/><Relationship Id="rId8" Type="http://schemas.openxmlformats.org/officeDocument/2006/relationships/ctrlProp" Target="../ctrlProps/ctrlProp1179.xml"/><Relationship Id="rId51" Type="http://schemas.openxmlformats.org/officeDocument/2006/relationships/ctrlProp" Target="../ctrlProps/ctrlProp1222.xml"/><Relationship Id="rId3"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3.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33"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24.xml"/><Relationship Id="rId20" Type="http://schemas.openxmlformats.org/officeDocument/2006/relationships/ctrlProp" Target="../ctrlProps/ctrlProp28.xml"/><Relationship Id="rId29" Type="http://schemas.openxmlformats.org/officeDocument/2006/relationships/ctrlProp" Target="../ctrlProps/ctrlProp37.xml"/><Relationship Id="rId1" Type="http://schemas.openxmlformats.org/officeDocument/2006/relationships/printerSettings" Target="../printerSettings/printerSettings3.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32" Type="http://schemas.openxmlformats.org/officeDocument/2006/relationships/ctrlProp" Target="../ctrlProps/ctrlProp40.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10" Type="http://schemas.openxmlformats.org/officeDocument/2006/relationships/ctrlProp" Target="../ctrlProps/ctrlProp18.xml"/><Relationship Id="rId19" Type="http://schemas.openxmlformats.org/officeDocument/2006/relationships/ctrlProp" Target="../ctrlProps/ctrlProp27.xml"/><Relationship Id="rId31" Type="http://schemas.openxmlformats.org/officeDocument/2006/relationships/ctrlProp" Target="../ctrlProps/ctrlProp39.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 Id="rId30"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56.xml"/><Relationship Id="rId299" Type="http://schemas.openxmlformats.org/officeDocument/2006/relationships/ctrlProp" Target="../ctrlProps/ctrlProp338.xml"/><Relationship Id="rId21" Type="http://schemas.openxmlformats.org/officeDocument/2006/relationships/ctrlProp" Target="../ctrlProps/ctrlProp60.xml"/><Relationship Id="rId63" Type="http://schemas.openxmlformats.org/officeDocument/2006/relationships/ctrlProp" Target="../ctrlProps/ctrlProp102.xml"/><Relationship Id="rId159" Type="http://schemas.openxmlformats.org/officeDocument/2006/relationships/ctrlProp" Target="../ctrlProps/ctrlProp198.xml"/><Relationship Id="rId324" Type="http://schemas.openxmlformats.org/officeDocument/2006/relationships/ctrlProp" Target="../ctrlProps/ctrlProp363.xml"/><Relationship Id="rId366" Type="http://schemas.openxmlformats.org/officeDocument/2006/relationships/ctrlProp" Target="../ctrlProps/ctrlProp405.xml"/><Relationship Id="rId170" Type="http://schemas.openxmlformats.org/officeDocument/2006/relationships/ctrlProp" Target="../ctrlProps/ctrlProp209.xml"/><Relationship Id="rId226" Type="http://schemas.openxmlformats.org/officeDocument/2006/relationships/ctrlProp" Target="../ctrlProps/ctrlProp265.xml"/><Relationship Id="rId433" Type="http://schemas.openxmlformats.org/officeDocument/2006/relationships/ctrlProp" Target="../ctrlProps/ctrlProp472.xml"/><Relationship Id="rId268" Type="http://schemas.openxmlformats.org/officeDocument/2006/relationships/ctrlProp" Target="../ctrlProps/ctrlProp307.xml"/><Relationship Id="rId32" Type="http://schemas.openxmlformats.org/officeDocument/2006/relationships/ctrlProp" Target="../ctrlProps/ctrlProp71.xml"/><Relationship Id="rId74" Type="http://schemas.openxmlformats.org/officeDocument/2006/relationships/ctrlProp" Target="../ctrlProps/ctrlProp113.xml"/><Relationship Id="rId128" Type="http://schemas.openxmlformats.org/officeDocument/2006/relationships/ctrlProp" Target="../ctrlProps/ctrlProp167.xml"/><Relationship Id="rId335" Type="http://schemas.openxmlformats.org/officeDocument/2006/relationships/ctrlProp" Target="../ctrlProps/ctrlProp374.xml"/><Relationship Id="rId377" Type="http://schemas.openxmlformats.org/officeDocument/2006/relationships/ctrlProp" Target="../ctrlProps/ctrlProp416.xml"/><Relationship Id="rId5" Type="http://schemas.openxmlformats.org/officeDocument/2006/relationships/ctrlProp" Target="../ctrlProps/ctrlProp44.xml"/><Relationship Id="rId181" Type="http://schemas.openxmlformats.org/officeDocument/2006/relationships/ctrlProp" Target="../ctrlProps/ctrlProp220.xml"/><Relationship Id="rId237" Type="http://schemas.openxmlformats.org/officeDocument/2006/relationships/ctrlProp" Target="../ctrlProps/ctrlProp276.xml"/><Relationship Id="rId402" Type="http://schemas.openxmlformats.org/officeDocument/2006/relationships/ctrlProp" Target="../ctrlProps/ctrlProp441.xml"/><Relationship Id="rId279" Type="http://schemas.openxmlformats.org/officeDocument/2006/relationships/ctrlProp" Target="../ctrlProps/ctrlProp318.xml"/><Relationship Id="rId43" Type="http://schemas.openxmlformats.org/officeDocument/2006/relationships/ctrlProp" Target="../ctrlProps/ctrlProp82.xml"/><Relationship Id="rId139" Type="http://schemas.openxmlformats.org/officeDocument/2006/relationships/ctrlProp" Target="../ctrlProps/ctrlProp178.xml"/><Relationship Id="rId290" Type="http://schemas.openxmlformats.org/officeDocument/2006/relationships/ctrlProp" Target="../ctrlProps/ctrlProp329.xml"/><Relationship Id="rId304" Type="http://schemas.openxmlformats.org/officeDocument/2006/relationships/ctrlProp" Target="../ctrlProps/ctrlProp343.xml"/><Relationship Id="rId346" Type="http://schemas.openxmlformats.org/officeDocument/2006/relationships/ctrlProp" Target="../ctrlProps/ctrlProp385.xml"/><Relationship Id="rId388" Type="http://schemas.openxmlformats.org/officeDocument/2006/relationships/ctrlProp" Target="../ctrlProps/ctrlProp427.xml"/><Relationship Id="rId85" Type="http://schemas.openxmlformats.org/officeDocument/2006/relationships/ctrlProp" Target="../ctrlProps/ctrlProp124.xml"/><Relationship Id="rId150" Type="http://schemas.openxmlformats.org/officeDocument/2006/relationships/ctrlProp" Target="../ctrlProps/ctrlProp189.xml"/><Relationship Id="rId192" Type="http://schemas.openxmlformats.org/officeDocument/2006/relationships/ctrlProp" Target="../ctrlProps/ctrlProp231.xml"/><Relationship Id="rId206" Type="http://schemas.openxmlformats.org/officeDocument/2006/relationships/ctrlProp" Target="../ctrlProps/ctrlProp245.xml"/><Relationship Id="rId413" Type="http://schemas.openxmlformats.org/officeDocument/2006/relationships/ctrlProp" Target="../ctrlProps/ctrlProp452.xml"/><Relationship Id="rId248" Type="http://schemas.openxmlformats.org/officeDocument/2006/relationships/ctrlProp" Target="../ctrlProps/ctrlProp287.xml"/><Relationship Id="rId12" Type="http://schemas.openxmlformats.org/officeDocument/2006/relationships/ctrlProp" Target="../ctrlProps/ctrlProp51.xml"/><Relationship Id="rId33" Type="http://schemas.openxmlformats.org/officeDocument/2006/relationships/ctrlProp" Target="../ctrlProps/ctrlProp72.xml"/><Relationship Id="rId108" Type="http://schemas.openxmlformats.org/officeDocument/2006/relationships/ctrlProp" Target="../ctrlProps/ctrlProp147.xml"/><Relationship Id="rId129" Type="http://schemas.openxmlformats.org/officeDocument/2006/relationships/ctrlProp" Target="../ctrlProps/ctrlProp168.xml"/><Relationship Id="rId280" Type="http://schemas.openxmlformats.org/officeDocument/2006/relationships/ctrlProp" Target="../ctrlProps/ctrlProp319.xml"/><Relationship Id="rId315" Type="http://schemas.openxmlformats.org/officeDocument/2006/relationships/ctrlProp" Target="../ctrlProps/ctrlProp354.xml"/><Relationship Id="rId336" Type="http://schemas.openxmlformats.org/officeDocument/2006/relationships/ctrlProp" Target="../ctrlProps/ctrlProp375.xml"/><Relationship Id="rId357" Type="http://schemas.openxmlformats.org/officeDocument/2006/relationships/ctrlProp" Target="../ctrlProps/ctrlProp396.xml"/><Relationship Id="rId54" Type="http://schemas.openxmlformats.org/officeDocument/2006/relationships/ctrlProp" Target="../ctrlProps/ctrlProp93.xml"/><Relationship Id="rId75" Type="http://schemas.openxmlformats.org/officeDocument/2006/relationships/ctrlProp" Target="../ctrlProps/ctrlProp114.xml"/><Relationship Id="rId96" Type="http://schemas.openxmlformats.org/officeDocument/2006/relationships/ctrlProp" Target="../ctrlProps/ctrlProp135.xml"/><Relationship Id="rId140" Type="http://schemas.openxmlformats.org/officeDocument/2006/relationships/ctrlProp" Target="../ctrlProps/ctrlProp179.xml"/><Relationship Id="rId161" Type="http://schemas.openxmlformats.org/officeDocument/2006/relationships/ctrlProp" Target="../ctrlProps/ctrlProp200.xml"/><Relationship Id="rId182" Type="http://schemas.openxmlformats.org/officeDocument/2006/relationships/ctrlProp" Target="../ctrlProps/ctrlProp221.xml"/><Relationship Id="rId217" Type="http://schemas.openxmlformats.org/officeDocument/2006/relationships/ctrlProp" Target="../ctrlProps/ctrlProp256.xml"/><Relationship Id="rId378" Type="http://schemas.openxmlformats.org/officeDocument/2006/relationships/ctrlProp" Target="../ctrlProps/ctrlProp417.xml"/><Relationship Id="rId399" Type="http://schemas.openxmlformats.org/officeDocument/2006/relationships/ctrlProp" Target="../ctrlProps/ctrlProp438.xml"/><Relationship Id="rId403" Type="http://schemas.openxmlformats.org/officeDocument/2006/relationships/ctrlProp" Target="../ctrlProps/ctrlProp442.xml"/><Relationship Id="rId6" Type="http://schemas.openxmlformats.org/officeDocument/2006/relationships/ctrlProp" Target="../ctrlProps/ctrlProp45.xml"/><Relationship Id="rId238" Type="http://schemas.openxmlformats.org/officeDocument/2006/relationships/ctrlProp" Target="../ctrlProps/ctrlProp277.xml"/><Relationship Id="rId259" Type="http://schemas.openxmlformats.org/officeDocument/2006/relationships/ctrlProp" Target="../ctrlProps/ctrlProp298.xml"/><Relationship Id="rId424" Type="http://schemas.openxmlformats.org/officeDocument/2006/relationships/ctrlProp" Target="../ctrlProps/ctrlProp463.xml"/><Relationship Id="rId23" Type="http://schemas.openxmlformats.org/officeDocument/2006/relationships/ctrlProp" Target="../ctrlProps/ctrlProp62.xml"/><Relationship Id="rId119" Type="http://schemas.openxmlformats.org/officeDocument/2006/relationships/ctrlProp" Target="../ctrlProps/ctrlProp158.xml"/><Relationship Id="rId270" Type="http://schemas.openxmlformats.org/officeDocument/2006/relationships/ctrlProp" Target="../ctrlProps/ctrlProp309.xml"/><Relationship Id="rId291" Type="http://schemas.openxmlformats.org/officeDocument/2006/relationships/ctrlProp" Target="../ctrlProps/ctrlProp330.xml"/><Relationship Id="rId305" Type="http://schemas.openxmlformats.org/officeDocument/2006/relationships/ctrlProp" Target="../ctrlProps/ctrlProp344.xml"/><Relationship Id="rId326" Type="http://schemas.openxmlformats.org/officeDocument/2006/relationships/ctrlProp" Target="../ctrlProps/ctrlProp365.xml"/><Relationship Id="rId347" Type="http://schemas.openxmlformats.org/officeDocument/2006/relationships/ctrlProp" Target="../ctrlProps/ctrlProp386.xml"/><Relationship Id="rId44" Type="http://schemas.openxmlformats.org/officeDocument/2006/relationships/ctrlProp" Target="../ctrlProps/ctrlProp83.xml"/><Relationship Id="rId65" Type="http://schemas.openxmlformats.org/officeDocument/2006/relationships/ctrlProp" Target="../ctrlProps/ctrlProp104.xml"/><Relationship Id="rId86" Type="http://schemas.openxmlformats.org/officeDocument/2006/relationships/ctrlProp" Target="../ctrlProps/ctrlProp125.xml"/><Relationship Id="rId130" Type="http://schemas.openxmlformats.org/officeDocument/2006/relationships/ctrlProp" Target="../ctrlProps/ctrlProp169.xml"/><Relationship Id="rId151" Type="http://schemas.openxmlformats.org/officeDocument/2006/relationships/ctrlProp" Target="../ctrlProps/ctrlProp190.xml"/><Relationship Id="rId368" Type="http://schemas.openxmlformats.org/officeDocument/2006/relationships/ctrlProp" Target="../ctrlProps/ctrlProp407.xml"/><Relationship Id="rId389" Type="http://schemas.openxmlformats.org/officeDocument/2006/relationships/ctrlProp" Target="../ctrlProps/ctrlProp428.xml"/><Relationship Id="rId172" Type="http://schemas.openxmlformats.org/officeDocument/2006/relationships/ctrlProp" Target="../ctrlProps/ctrlProp211.xml"/><Relationship Id="rId193" Type="http://schemas.openxmlformats.org/officeDocument/2006/relationships/ctrlProp" Target="../ctrlProps/ctrlProp232.xml"/><Relationship Id="rId207" Type="http://schemas.openxmlformats.org/officeDocument/2006/relationships/ctrlProp" Target="../ctrlProps/ctrlProp246.xml"/><Relationship Id="rId228" Type="http://schemas.openxmlformats.org/officeDocument/2006/relationships/ctrlProp" Target="../ctrlProps/ctrlProp267.xml"/><Relationship Id="rId249" Type="http://schemas.openxmlformats.org/officeDocument/2006/relationships/ctrlProp" Target="../ctrlProps/ctrlProp288.xml"/><Relationship Id="rId414" Type="http://schemas.openxmlformats.org/officeDocument/2006/relationships/ctrlProp" Target="../ctrlProps/ctrlProp453.xml"/><Relationship Id="rId435" Type="http://schemas.openxmlformats.org/officeDocument/2006/relationships/ctrlProp" Target="../ctrlProps/ctrlProp474.xml"/><Relationship Id="rId13" Type="http://schemas.openxmlformats.org/officeDocument/2006/relationships/ctrlProp" Target="../ctrlProps/ctrlProp52.xml"/><Relationship Id="rId109" Type="http://schemas.openxmlformats.org/officeDocument/2006/relationships/ctrlProp" Target="../ctrlProps/ctrlProp148.xml"/><Relationship Id="rId260" Type="http://schemas.openxmlformats.org/officeDocument/2006/relationships/ctrlProp" Target="../ctrlProps/ctrlProp299.xml"/><Relationship Id="rId281" Type="http://schemas.openxmlformats.org/officeDocument/2006/relationships/ctrlProp" Target="../ctrlProps/ctrlProp320.xml"/><Relationship Id="rId316" Type="http://schemas.openxmlformats.org/officeDocument/2006/relationships/ctrlProp" Target="../ctrlProps/ctrlProp355.xml"/><Relationship Id="rId337" Type="http://schemas.openxmlformats.org/officeDocument/2006/relationships/ctrlProp" Target="../ctrlProps/ctrlProp376.xml"/><Relationship Id="rId34" Type="http://schemas.openxmlformats.org/officeDocument/2006/relationships/ctrlProp" Target="../ctrlProps/ctrlProp73.xml"/><Relationship Id="rId55" Type="http://schemas.openxmlformats.org/officeDocument/2006/relationships/ctrlProp" Target="../ctrlProps/ctrlProp94.xml"/><Relationship Id="rId76" Type="http://schemas.openxmlformats.org/officeDocument/2006/relationships/ctrlProp" Target="../ctrlProps/ctrlProp115.xml"/><Relationship Id="rId97" Type="http://schemas.openxmlformats.org/officeDocument/2006/relationships/ctrlProp" Target="../ctrlProps/ctrlProp136.xml"/><Relationship Id="rId120" Type="http://schemas.openxmlformats.org/officeDocument/2006/relationships/ctrlProp" Target="../ctrlProps/ctrlProp159.xml"/><Relationship Id="rId141" Type="http://schemas.openxmlformats.org/officeDocument/2006/relationships/ctrlProp" Target="../ctrlProps/ctrlProp180.xml"/><Relationship Id="rId358" Type="http://schemas.openxmlformats.org/officeDocument/2006/relationships/ctrlProp" Target="../ctrlProps/ctrlProp397.xml"/><Relationship Id="rId379" Type="http://schemas.openxmlformats.org/officeDocument/2006/relationships/ctrlProp" Target="../ctrlProps/ctrlProp418.xml"/><Relationship Id="rId7" Type="http://schemas.openxmlformats.org/officeDocument/2006/relationships/ctrlProp" Target="../ctrlProps/ctrlProp46.xml"/><Relationship Id="rId162" Type="http://schemas.openxmlformats.org/officeDocument/2006/relationships/ctrlProp" Target="../ctrlProps/ctrlProp201.xml"/><Relationship Id="rId183" Type="http://schemas.openxmlformats.org/officeDocument/2006/relationships/ctrlProp" Target="../ctrlProps/ctrlProp222.xml"/><Relationship Id="rId218" Type="http://schemas.openxmlformats.org/officeDocument/2006/relationships/ctrlProp" Target="../ctrlProps/ctrlProp257.xml"/><Relationship Id="rId239" Type="http://schemas.openxmlformats.org/officeDocument/2006/relationships/ctrlProp" Target="../ctrlProps/ctrlProp278.xml"/><Relationship Id="rId390" Type="http://schemas.openxmlformats.org/officeDocument/2006/relationships/ctrlProp" Target="../ctrlProps/ctrlProp429.xml"/><Relationship Id="rId404" Type="http://schemas.openxmlformats.org/officeDocument/2006/relationships/ctrlProp" Target="../ctrlProps/ctrlProp443.xml"/><Relationship Id="rId425" Type="http://schemas.openxmlformats.org/officeDocument/2006/relationships/ctrlProp" Target="../ctrlProps/ctrlProp464.xml"/><Relationship Id="rId250" Type="http://schemas.openxmlformats.org/officeDocument/2006/relationships/ctrlProp" Target="../ctrlProps/ctrlProp289.xml"/><Relationship Id="rId271" Type="http://schemas.openxmlformats.org/officeDocument/2006/relationships/ctrlProp" Target="../ctrlProps/ctrlProp310.xml"/><Relationship Id="rId292" Type="http://schemas.openxmlformats.org/officeDocument/2006/relationships/ctrlProp" Target="../ctrlProps/ctrlProp331.xml"/><Relationship Id="rId306" Type="http://schemas.openxmlformats.org/officeDocument/2006/relationships/ctrlProp" Target="../ctrlProps/ctrlProp345.xml"/><Relationship Id="rId24" Type="http://schemas.openxmlformats.org/officeDocument/2006/relationships/ctrlProp" Target="../ctrlProps/ctrlProp63.xml"/><Relationship Id="rId45" Type="http://schemas.openxmlformats.org/officeDocument/2006/relationships/ctrlProp" Target="../ctrlProps/ctrlProp84.xml"/><Relationship Id="rId66" Type="http://schemas.openxmlformats.org/officeDocument/2006/relationships/ctrlProp" Target="../ctrlProps/ctrlProp105.xml"/><Relationship Id="rId87" Type="http://schemas.openxmlformats.org/officeDocument/2006/relationships/ctrlProp" Target="../ctrlProps/ctrlProp126.xml"/><Relationship Id="rId110" Type="http://schemas.openxmlformats.org/officeDocument/2006/relationships/ctrlProp" Target="../ctrlProps/ctrlProp149.xml"/><Relationship Id="rId131" Type="http://schemas.openxmlformats.org/officeDocument/2006/relationships/ctrlProp" Target="../ctrlProps/ctrlProp170.xml"/><Relationship Id="rId327" Type="http://schemas.openxmlformats.org/officeDocument/2006/relationships/ctrlProp" Target="../ctrlProps/ctrlProp366.xml"/><Relationship Id="rId348" Type="http://schemas.openxmlformats.org/officeDocument/2006/relationships/ctrlProp" Target="../ctrlProps/ctrlProp387.xml"/><Relationship Id="rId369" Type="http://schemas.openxmlformats.org/officeDocument/2006/relationships/ctrlProp" Target="../ctrlProps/ctrlProp408.xml"/><Relationship Id="rId152" Type="http://schemas.openxmlformats.org/officeDocument/2006/relationships/ctrlProp" Target="../ctrlProps/ctrlProp191.xml"/><Relationship Id="rId173" Type="http://schemas.openxmlformats.org/officeDocument/2006/relationships/ctrlProp" Target="../ctrlProps/ctrlProp212.xml"/><Relationship Id="rId194" Type="http://schemas.openxmlformats.org/officeDocument/2006/relationships/ctrlProp" Target="../ctrlProps/ctrlProp233.xml"/><Relationship Id="rId208" Type="http://schemas.openxmlformats.org/officeDocument/2006/relationships/ctrlProp" Target="../ctrlProps/ctrlProp247.xml"/><Relationship Id="rId229" Type="http://schemas.openxmlformats.org/officeDocument/2006/relationships/ctrlProp" Target="../ctrlProps/ctrlProp268.xml"/><Relationship Id="rId380" Type="http://schemas.openxmlformats.org/officeDocument/2006/relationships/ctrlProp" Target="../ctrlProps/ctrlProp419.xml"/><Relationship Id="rId415" Type="http://schemas.openxmlformats.org/officeDocument/2006/relationships/ctrlProp" Target="../ctrlProps/ctrlProp454.xml"/><Relationship Id="rId436" Type="http://schemas.openxmlformats.org/officeDocument/2006/relationships/ctrlProp" Target="../ctrlProps/ctrlProp475.xml"/><Relationship Id="rId240" Type="http://schemas.openxmlformats.org/officeDocument/2006/relationships/ctrlProp" Target="../ctrlProps/ctrlProp279.xml"/><Relationship Id="rId261" Type="http://schemas.openxmlformats.org/officeDocument/2006/relationships/ctrlProp" Target="../ctrlProps/ctrlProp300.xml"/><Relationship Id="rId14" Type="http://schemas.openxmlformats.org/officeDocument/2006/relationships/ctrlProp" Target="../ctrlProps/ctrlProp53.xml"/><Relationship Id="rId35" Type="http://schemas.openxmlformats.org/officeDocument/2006/relationships/ctrlProp" Target="../ctrlProps/ctrlProp74.xml"/><Relationship Id="rId56" Type="http://schemas.openxmlformats.org/officeDocument/2006/relationships/ctrlProp" Target="../ctrlProps/ctrlProp95.xml"/><Relationship Id="rId77" Type="http://schemas.openxmlformats.org/officeDocument/2006/relationships/ctrlProp" Target="../ctrlProps/ctrlProp116.xml"/><Relationship Id="rId100" Type="http://schemas.openxmlformats.org/officeDocument/2006/relationships/ctrlProp" Target="../ctrlProps/ctrlProp139.xml"/><Relationship Id="rId282" Type="http://schemas.openxmlformats.org/officeDocument/2006/relationships/ctrlProp" Target="../ctrlProps/ctrlProp321.xml"/><Relationship Id="rId317" Type="http://schemas.openxmlformats.org/officeDocument/2006/relationships/ctrlProp" Target="../ctrlProps/ctrlProp356.xml"/><Relationship Id="rId338" Type="http://schemas.openxmlformats.org/officeDocument/2006/relationships/ctrlProp" Target="../ctrlProps/ctrlProp377.xml"/><Relationship Id="rId359" Type="http://schemas.openxmlformats.org/officeDocument/2006/relationships/ctrlProp" Target="../ctrlProps/ctrlProp398.xml"/><Relationship Id="rId8" Type="http://schemas.openxmlformats.org/officeDocument/2006/relationships/ctrlProp" Target="../ctrlProps/ctrlProp47.xml"/><Relationship Id="rId98" Type="http://schemas.openxmlformats.org/officeDocument/2006/relationships/ctrlProp" Target="../ctrlProps/ctrlProp137.xml"/><Relationship Id="rId121" Type="http://schemas.openxmlformats.org/officeDocument/2006/relationships/ctrlProp" Target="../ctrlProps/ctrlProp160.xml"/><Relationship Id="rId142" Type="http://schemas.openxmlformats.org/officeDocument/2006/relationships/ctrlProp" Target="../ctrlProps/ctrlProp181.xml"/><Relationship Id="rId163" Type="http://schemas.openxmlformats.org/officeDocument/2006/relationships/ctrlProp" Target="../ctrlProps/ctrlProp202.xml"/><Relationship Id="rId184" Type="http://schemas.openxmlformats.org/officeDocument/2006/relationships/ctrlProp" Target="../ctrlProps/ctrlProp223.xml"/><Relationship Id="rId219" Type="http://schemas.openxmlformats.org/officeDocument/2006/relationships/ctrlProp" Target="../ctrlProps/ctrlProp258.xml"/><Relationship Id="rId370" Type="http://schemas.openxmlformats.org/officeDocument/2006/relationships/ctrlProp" Target="../ctrlProps/ctrlProp409.xml"/><Relationship Id="rId391" Type="http://schemas.openxmlformats.org/officeDocument/2006/relationships/ctrlProp" Target="../ctrlProps/ctrlProp430.xml"/><Relationship Id="rId405" Type="http://schemas.openxmlformats.org/officeDocument/2006/relationships/ctrlProp" Target="../ctrlProps/ctrlProp444.xml"/><Relationship Id="rId426" Type="http://schemas.openxmlformats.org/officeDocument/2006/relationships/ctrlProp" Target="../ctrlProps/ctrlProp465.xml"/><Relationship Id="rId230" Type="http://schemas.openxmlformats.org/officeDocument/2006/relationships/ctrlProp" Target="../ctrlProps/ctrlProp269.xml"/><Relationship Id="rId251" Type="http://schemas.openxmlformats.org/officeDocument/2006/relationships/ctrlProp" Target="../ctrlProps/ctrlProp290.xml"/><Relationship Id="rId25" Type="http://schemas.openxmlformats.org/officeDocument/2006/relationships/ctrlProp" Target="../ctrlProps/ctrlProp64.xml"/><Relationship Id="rId46" Type="http://schemas.openxmlformats.org/officeDocument/2006/relationships/ctrlProp" Target="../ctrlProps/ctrlProp85.xml"/><Relationship Id="rId67" Type="http://schemas.openxmlformats.org/officeDocument/2006/relationships/ctrlProp" Target="../ctrlProps/ctrlProp106.xml"/><Relationship Id="rId272" Type="http://schemas.openxmlformats.org/officeDocument/2006/relationships/ctrlProp" Target="../ctrlProps/ctrlProp311.xml"/><Relationship Id="rId293" Type="http://schemas.openxmlformats.org/officeDocument/2006/relationships/ctrlProp" Target="../ctrlProps/ctrlProp332.xml"/><Relationship Id="rId307" Type="http://schemas.openxmlformats.org/officeDocument/2006/relationships/ctrlProp" Target="../ctrlProps/ctrlProp346.xml"/><Relationship Id="rId328" Type="http://schemas.openxmlformats.org/officeDocument/2006/relationships/ctrlProp" Target="../ctrlProps/ctrlProp367.xml"/><Relationship Id="rId349" Type="http://schemas.openxmlformats.org/officeDocument/2006/relationships/ctrlProp" Target="../ctrlProps/ctrlProp388.xml"/><Relationship Id="rId88" Type="http://schemas.openxmlformats.org/officeDocument/2006/relationships/ctrlProp" Target="../ctrlProps/ctrlProp127.xml"/><Relationship Id="rId111" Type="http://schemas.openxmlformats.org/officeDocument/2006/relationships/ctrlProp" Target="../ctrlProps/ctrlProp150.xml"/><Relationship Id="rId132" Type="http://schemas.openxmlformats.org/officeDocument/2006/relationships/ctrlProp" Target="../ctrlProps/ctrlProp171.xml"/><Relationship Id="rId153" Type="http://schemas.openxmlformats.org/officeDocument/2006/relationships/ctrlProp" Target="../ctrlProps/ctrlProp192.xml"/><Relationship Id="rId174" Type="http://schemas.openxmlformats.org/officeDocument/2006/relationships/ctrlProp" Target="../ctrlProps/ctrlProp213.xml"/><Relationship Id="rId195" Type="http://schemas.openxmlformats.org/officeDocument/2006/relationships/ctrlProp" Target="../ctrlProps/ctrlProp234.xml"/><Relationship Id="rId209" Type="http://schemas.openxmlformats.org/officeDocument/2006/relationships/ctrlProp" Target="../ctrlProps/ctrlProp248.xml"/><Relationship Id="rId360" Type="http://schemas.openxmlformats.org/officeDocument/2006/relationships/ctrlProp" Target="../ctrlProps/ctrlProp399.xml"/><Relationship Id="rId381" Type="http://schemas.openxmlformats.org/officeDocument/2006/relationships/ctrlProp" Target="../ctrlProps/ctrlProp420.xml"/><Relationship Id="rId416" Type="http://schemas.openxmlformats.org/officeDocument/2006/relationships/ctrlProp" Target="../ctrlProps/ctrlProp455.xml"/><Relationship Id="rId220" Type="http://schemas.openxmlformats.org/officeDocument/2006/relationships/ctrlProp" Target="../ctrlProps/ctrlProp259.xml"/><Relationship Id="rId241" Type="http://schemas.openxmlformats.org/officeDocument/2006/relationships/ctrlProp" Target="../ctrlProps/ctrlProp280.xml"/><Relationship Id="rId437" Type="http://schemas.openxmlformats.org/officeDocument/2006/relationships/ctrlProp" Target="../ctrlProps/ctrlProp476.xml"/><Relationship Id="rId15" Type="http://schemas.openxmlformats.org/officeDocument/2006/relationships/ctrlProp" Target="../ctrlProps/ctrlProp54.xml"/><Relationship Id="rId36" Type="http://schemas.openxmlformats.org/officeDocument/2006/relationships/ctrlProp" Target="../ctrlProps/ctrlProp75.xml"/><Relationship Id="rId57" Type="http://schemas.openxmlformats.org/officeDocument/2006/relationships/ctrlProp" Target="../ctrlProps/ctrlProp96.xml"/><Relationship Id="rId262" Type="http://schemas.openxmlformats.org/officeDocument/2006/relationships/ctrlProp" Target="../ctrlProps/ctrlProp301.xml"/><Relationship Id="rId283" Type="http://schemas.openxmlformats.org/officeDocument/2006/relationships/ctrlProp" Target="../ctrlProps/ctrlProp322.xml"/><Relationship Id="rId318" Type="http://schemas.openxmlformats.org/officeDocument/2006/relationships/ctrlProp" Target="../ctrlProps/ctrlProp357.xml"/><Relationship Id="rId339" Type="http://schemas.openxmlformats.org/officeDocument/2006/relationships/ctrlProp" Target="../ctrlProps/ctrlProp378.xml"/><Relationship Id="rId78" Type="http://schemas.openxmlformats.org/officeDocument/2006/relationships/ctrlProp" Target="../ctrlProps/ctrlProp117.xml"/><Relationship Id="rId99" Type="http://schemas.openxmlformats.org/officeDocument/2006/relationships/ctrlProp" Target="../ctrlProps/ctrlProp138.xml"/><Relationship Id="rId101" Type="http://schemas.openxmlformats.org/officeDocument/2006/relationships/ctrlProp" Target="../ctrlProps/ctrlProp140.xml"/><Relationship Id="rId122" Type="http://schemas.openxmlformats.org/officeDocument/2006/relationships/ctrlProp" Target="../ctrlProps/ctrlProp161.xml"/><Relationship Id="rId143" Type="http://schemas.openxmlformats.org/officeDocument/2006/relationships/ctrlProp" Target="../ctrlProps/ctrlProp182.xml"/><Relationship Id="rId164" Type="http://schemas.openxmlformats.org/officeDocument/2006/relationships/ctrlProp" Target="../ctrlProps/ctrlProp203.xml"/><Relationship Id="rId185" Type="http://schemas.openxmlformats.org/officeDocument/2006/relationships/ctrlProp" Target="../ctrlProps/ctrlProp224.xml"/><Relationship Id="rId350" Type="http://schemas.openxmlformats.org/officeDocument/2006/relationships/ctrlProp" Target="../ctrlProps/ctrlProp389.xml"/><Relationship Id="rId371" Type="http://schemas.openxmlformats.org/officeDocument/2006/relationships/ctrlProp" Target="../ctrlProps/ctrlProp410.xml"/><Relationship Id="rId406" Type="http://schemas.openxmlformats.org/officeDocument/2006/relationships/ctrlProp" Target="../ctrlProps/ctrlProp445.xml"/><Relationship Id="rId9" Type="http://schemas.openxmlformats.org/officeDocument/2006/relationships/ctrlProp" Target="../ctrlProps/ctrlProp48.xml"/><Relationship Id="rId210" Type="http://schemas.openxmlformats.org/officeDocument/2006/relationships/ctrlProp" Target="../ctrlProps/ctrlProp249.xml"/><Relationship Id="rId392" Type="http://schemas.openxmlformats.org/officeDocument/2006/relationships/ctrlProp" Target="../ctrlProps/ctrlProp431.xml"/><Relationship Id="rId427" Type="http://schemas.openxmlformats.org/officeDocument/2006/relationships/ctrlProp" Target="../ctrlProps/ctrlProp466.xml"/><Relationship Id="rId26" Type="http://schemas.openxmlformats.org/officeDocument/2006/relationships/ctrlProp" Target="../ctrlProps/ctrlProp65.xml"/><Relationship Id="rId231" Type="http://schemas.openxmlformats.org/officeDocument/2006/relationships/ctrlProp" Target="../ctrlProps/ctrlProp270.xml"/><Relationship Id="rId252" Type="http://schemas.openxmlformats.org/officeDocument/2006/relationships/ctrlProp" Target="../ctrlProps/ctrlProp291.xml"/><Relationship Id="rId273" Type="http://schemas.openxmlformats.org/officeDocument/2006/relationships/ctrlProp" Target="../ctrlProps/ctrlProp312.xml"/><Relationship Id="rId294" Type="http://schemas.openxmlformats.org/officeDocument/2006/relationships/ctrlProp" Target="../ctrlProps/ctrlProp333.xml"/><Relationship Id="rId308" Type="http://schemas.openxmlformats.org/officeDocument/2006/relationships/ctrlProp" Target="../ctrlProps/ctrlProp347.xml"/><Relationship Id="rId329" Type="http://schemas.openxmlformats.org/officeDocument/2006/relationships/ctrlProp" Target="../ctrlProps/ctrlProp368.xml"/><Relationship Id="rId47" Type="http://schemas.openxmlformats.org/officeDocument/2006/relationships/ctrlProp" Target="../ctrlProps/ctrlProp86.xml"/><Relationship Id="rId68" Type="http://schemas.openxmlformats.org/officeDocument/2006/relationships/ctrlProp" Target="../ctrlProps/ctrlProp107.xml"/><Relationship Id="rId89" Type="http://schemas.openxmlformats.org/officeDocument/2006/relationships/ctrlProp" Target="../ctrlProps/ctrlProp128.xml"/><Relationship Id="rId112" Type="http://schemas.openxmlformats.org/officeDocument/2006/relationships/ctrlProp" Target="../ctrlProps/ctrlProp151.xml"/><Relationship Id="rId133" Type="http://schemas.openxmlformats.org/officeDocument/2006/relationships/ctrlProp" Target="../ctrlProps/ctrlProp172.xml"/><Relationship Id="rId154" Type="http://schemas.openxmlformats.org/officeDocument/2006/relationships/ctrlProp" Target="../ctrlProps/ctrlProp193.xml"/><Relationship Id="rId175" Type="http://schemas.openxmlformats.org/officeDocument/2006/relationships/ctrlProp" Target="../ctrlProps/ctrlProp214.xml"/><Relationship Id="rId340" Type="http://schemas.openxmlformats.org/officeDocument/2006/relationships/ctrlProp" Target="../ctrlProps/ctrlProp379.xml"/><Relationship Id="rId361" Type="http://schemas.openxmlformats.org/officeDocument/2006/relationships/ctrlProp" Target="../ctrlProps/ctrlProp400.xml"/><Relationship Id="rId196" Type="http://schemas.openxmlformats.org/officeDocument/2006/relationships/ctrlProp" Target="../ctrlProps/ctrlProp235.xml"/><Relationship Id="rId200" Type="http://schemas.openxmlformats.org/officeDocument/2006/relationships/ctrlProp" Target="../ctrlProps/ctrlProp239.xml"/><Relationship Id="rId382" Type="http://schemas.openxmlformats.org/officeDocument/2006/relationships/ctrlProp" Target="../ctrlProps/ctrlProp421.xml"/><Relationship Id="rId417" Type="http://schemas.openxmlformats.org/officeDocument/2006/relationships/ctrlProp" Target="../ctrlProps/ctrlProp456.xml"/><Relationship Id="rId438" Type="http://schemas.openxmlformats.org/officeDocument/2006/relationships/ctrlProp" Target="../ctrlProps/ctrlProp477.xml"/><Relationship Id="rId16" Type="http://schemas.openxmlformats.org/officeDocument/2006/relationships/ctrlProp" Target="../ctrlProps/ctrlProp55.xml"/><Relationship Id="rId221" Type="http://schemas.openxmlformats.org/officeDocument/2006/relationships/ctrlProp" Target="../ctrlProps/ctrlProp260.xml"/><Relationship Id="rId242" Type="http://schemas.openxmlformats.org/officeDocument/2006/relationships/ctrlProp" Target="../ctrlProps/ctrlProp281.xml"/><Relationship Id="rId263" Type="http://schemas.openxmlformats.org/officeDocument/2006/relationships/ctrlProp" Target="../ctrlProps/ctrlProp302.xml"/><Relationship Id="rId284" Type="http://schemas.openxmlformats.org/officeDocument/2006/relationships/ctrlProp" Target="../ctrlProps/ctrlProp323.xml"/><Relationship Id="rId319" Type="http://schemas.openxmlformats.org/officeDocument/2006/relationships/ctrlProp" Target="../ctrlProps/ctrlProp358.xml"/><Relationship Id="rId37" Type="http://schemas.openxmlformats.org/officeDocument/2006/relationships/ctrlProp" Target="../ctrlProps/ctrlProp76.xml"/><Relationship Id="rId58" Type="http://schemas.openxmlformats.org/officeDocument/2006/relationships/ctrlProp" Target="../ctrlProps/ctrlProp97.xml"/><Relationship Id="rId79" Type="http://schemas.openxmlformats.org/officeDocument/2006/relationships/ctrlProp" Target="../ctrlProps/ctrlProp118.xml"/><Relationship Id="rId102" Type="http://schemas.openxmlformats.org/officeDocument/2006/relationships/ctrlProp" Target="../ctrlProps/ctrlProp141.xml"/><Relationship Id="rId123" Type="http://schemas.openxmlformats.org/officeDocument/2006/relationships/ctrlProp" Target="../ctrlProps/ctrlProp162.xml"/><Relationship Id="rId144" Type="http://schemas.openxmlformats.org/officeDocument/2006/relationships/ctrlProp" Target="../ctrlProps/ctrlProp183.xml"/><Relationship Id="rId330" Type="http://schemas.openxmlformats.org/officeDocument/2006/relationships/ctrlProp" Target="../ctrlProps/ctrlProp369.xml"/><Relationship Id="rId90" Type="http://schemas.openxmlformats.org/officeDocument/2006/relationships/ctrlProp" Target="../ctrlProps/ctrlProp129.xml"/><Relationship Id="rId165" Type="http://schemas.openxmlformats.org/officeDocument/2006/relationships/ctrlProp" Target="../ctrlProps/ctrlProp204.xml"/><Relationship Id="rId186" Type="http://schemas.openxmlformats.org/officeDocument/2006/relationships/ctrlProp" Target="../ctrlProps/ctrlProp225.xml"/><Relationship Id="rId351" Type="http://schemas.openxmlformats.org/officeDocument/2006/relationships/ctrlProp" Target="../ctrlProps/ctrlProp390.xml"/><Relationship Id="rId372" Type="http://schemas.openxmlformats.org/officeDocument/2006/relationships/ctrlProp" Target="../ctrlProps/ctrlProp411.xml"/><Relationship Id="rId393" Type="http://schemas.openxmlformats.org/officeDocument/2006/relationships/ctrlProp" Target="../ctrlProps/ctrlProp432.xml"/><Relationship Id="rId407" Type="http://schemas.openxmlformats.org/officeDocument/2006/relationships/ctrlProp" Target="../ctrlProps/ctrlProp446.xml"/><Relationship Id="rId428" Type="http://schemas.openxmlformats.org/officeDocument/2006/relationships/ctrlProp" Target="../ctrlProps/ctrlProp467.xml"/><Relationship Id="rId211" Type="http://schemas.openxmlformats.org/officeDocument/2006/relationships/ctrlProp" Target="../ctrlProps/ctrlProp250.xml"/><Relationship Id="rId232" Type="http://schemas.openxmlformats.org/officeDocument/2006/relationships/ctrlProp" Target="../ctrlProps/ctrlProp271.xml"/><Relationship Id="rId253" Type="http://schemas.openxmlformats.org/officeDocument/2006/relationships/ctrlProp" Target="../ctrlProps/ctrlProp292.xml"/><Relationship Id="rId274" Type="http://schemas.openxmlformats.org/officeDocument/2006/relationships/ctrlProp" Target="../ctrlProps/ctrlProp313.xml"/><Relationship Id="rId295" Type="http://schemas.openxmlformats.org/officeDocument/2006/relationships/ctrlProp" Target="../ctrlProps/ctrlProp334.xml"/><Relationship Id="rId309" Type="http://schemas.openxmlformats.org/officeDocument/2006/relationships/ctrlProp" Target="../ctrlProps/ctrlProp348.xml"/><Relationship Id="rId27" Type="http://schemas.openxmlformats.org/officeDocument/2006/relationships/ctrlProp" Target="../ctrlProps/ctrlProp66.xml"/><Relationship Id="rId48" Type="http://schemas.openxmlformats.org/officeDocument/2006/relationships/ctrlProp" Target="../ctrlProps/ctrlProp87.xml"/><Relationship Id="rId69" Type="http://schemas.openxmlformats.org/officeDocument/2006/relationships/ctrlProp" Target="../ctrlProps/ctrlProp108.xml"/><Relationship Id="rId113" Type="http://schemas.openxmlformats.org/officeDocument/2006/relationships/ctrlProp" Target="../ctrlProps/ctrlProp152.xml"/><Relationship Id="rId134" Type="http://schemas.openxmlformats.org/officeDocument/2006/relationships/ctrlProp" Target="../ctrlProps/ctrlProp173.xml"/><Relationship Id="rId320" Type="http://schemas.openxmlformats.org/officeDocument/2006/relationships/ctrlProp" Target="../ctrlProps/ctrlProp359.xml"/><Relationship Id="rId80" Type="http://schemas.openxmlformats.org/officeDocument/2006/relationships/ctrlProp" Target="../ctrlProps/ctrlProp119.xml"/><Relationship Id="rId155" Type="http://schemas.openxmlformats.org/officeDocument/2006/relationships/ctrlProp" Target="../ctrlProps/ctrlProp194.xml"/><Relationship Id="rId176" Type="http://schemas.openxmlformats.org/officeDocument/2006/relationships/ctrlProp" Target="../ctrlProps/ctrlProp215.xml"/><Relationship Id="rId197" Type="http://schemas.openxmlformats.org/officeDocument/2006/relationships/ctrlProp" Target="../ctrlProps/ctrlProp236.xml"/><Relationship Id="rId341" Type="http://schemas.openxmlformats.org/officeDocument/2006/relationships/ctrlProp" Target="../ctrlProps/ctrlProp380.xml"/><Relationship Id="rId362" Type="http://schemas.openxmlformats.org/officeDocument/2006/relationships/ctrlProp" Target="../ctrlProps/ctrlProp401.xml"/><Relationship Id="rId383" Type="http://schemas.openxmlformats.org/officeDocument/2006/relationships/ctrlProp" Target="../ctrlProps/ctrlProp422.xml"/><Relationship Id="rId418" Type="http://schemas.openxmlformats.org/officeDocument/2006/relationships/ctrlProp" Target="../ctrlProps/ctrlProp457.xml"/><Relationship Id="rId439" Type="http://schemas.openxmlformats.org/officeDocument/2006/relationships/ctrlProp" Target="../ctrlProps/ctrlProp478.xml"/><Relationship Id="rId201" Type="http://schemas.openxmlformats.org/officeDocument/2006/relationships/ctrlProp" Target="../ctrlProps/ctrlProp240.xml"/><Relationship Id="rId222" Type="http://schemas.openxmlformats.org/officeDocument/2006/relationships/ctrlProp" Target="../ctrlProps/ctrlProp261.xml"/><Relationship Id="rId243" Type="http://schemas.openxmlformats.org/officeDocument/2006/relationships/ctrlProp" Target="../ctrlProps/ctrlProp282.xml"/><Relationship Id="rId264" Type="http://schemas.openxmlformats.org/officeDocument/2006/relationships/ctrlProp" Target="../ctrlProps/ctrlProp303.xml"/><Relationship Id="rId285" Type="http://schemas.openxmlformats.org/officeDocument/2006/relationships/ctrlProp" Target="../ctrlProps/ctrlProp324.xml"/><Relationship Id="rId17" Type="http://schemas.openxmlformats.org/officeDocument/2006/relationships/ctrlProp" Target="../ctrlProps/ctrlProp56.xml"/><Relationship Id="rId38" Type="http://schemas.openxmlformats.org/officeDocument/2006/relationships/ctrlProp" Target="../ctrlProps/ctrlProp77.xml"/><Relationship Id="rId59" Type="http://schemas.openxmlformats.org/officeDocument/2006/relationships/ctrlProp" Target="../ctrlProps/ctrlProp98.xml"/><Relationship Id="rId103" Type="http://schemas.openxmlformats.org/officeDocument/2006/relationships/ctrlProp" Target="../ctrlProps/ctrlProp142.xml"/><Relationship Id="rId124" Type="http://schemas.openxmlformats.org/officeDocument/2006/relationships/ctrlProp" Target="../ctrlProps/ctrlProp163.xml"/><Relationship Id="rId310" Type="http://schemas.openxmlformats.org/officeDocument/2006/relationships/ctrlProp" Target="../ctrlProps/ctrlProp349.xml"/><Relationship Id="rId70" Type="http://schemas.openxmlformats.org/officeDocument/2006/relationships/ctrlProp" Target="../ctrlProps/ctrlProp109.xml"/><Relationship Id="rId91" Type="http://schemas.openxmlformats.org/officeDocument/2006/relationships/ctrlProp" Target="../ctrlProps/ctrlProp130.xml"/><Relationship Id="rId145" Type="http://schemas.openxmlformats.org/officeDocument/2006/relationships/ctrlProp" Target="../ctrlProps/ctrlProp184.xml"/><Relationship Id="rId166" Type="http://schemas.openxmlformats.org/officeDocument/2006/relationships/ctrlProp" Target="../ctrlProps/ctrlProp205.xml"/><Relationship Id="rId187" Type="http://schemas.openxmlformats.org/officeDocument/2006/relationships/ctrlProp" Target="../ctrlProps/ctrlProp226.xml"/><Relationship Id="rId331" Type="http://schemas.openxmlformats.org/officeDocument/2006/relationships/ctrlProp" Target="../ctrlProps/ctrlProp370.xml"/><Relationship Id="rId352" Type="http://schemas.openxmlformats.org/officeDocument/2006/relationships/ctrlProp" Target="../ctrlProps/ctrlProp391.xml"/><Relationship Id="rId373" Type="http://schemas.openxmlformats.org/officeDocument/2006/relationships/ctrlProp" Target="../ctrlProps/ctrlProp412.xml"/><Relationship Id="rId394" Type="http://schemas.openxmlformats.org/officeDocument/2006/relationships/ctrlProp" Target="../ctrlProps/ctrlProp433.xml"/><Relationship Id="rId408" Type="http://schemas.openxmlformats.org/officeDocument/2006/relationships/ctrlProp" Target="../ctrlProps/ctrlProp447.xml"/><Relationship Id="rId429" Type="http://schemas.openxmlformats.org/officeDocument/2006/relationships/ctrlProp" Target="../ctrlProps/ctrlProp468.xml"/><Relationship Id="rId1" Type="http://schemas.openxmlformats.org/officeDocument/2006/relationships/drawing" Target="../drawings/drawing5.xml"/><Relationship Id="rId212" Type="http://schemas.openxmlformats.org/officeDocument/2006/relationships/ctrlProp" Target="../ctrlProps/ctrlProp251.xml"/><Relationship Id="rId233" Type="http://schemas.openxmlformats.org/officeDocument/2006/relationships/ctrlProp" Target="../ctrlProps/ctrlProp272.xml"/><Relationship Id="rId254" Type="http://schemas.openxmlformats.org/officeDocument/2006/relationships/ctrlProp" Target="../ctrlProps/ctrlProp293.xml"/><Relationship Id="rId440" Type="http://schemas.openxmlformats.org/officeDocument/2006/relationships/ctrlProp" Target="../ctrlProps/ctrlProp479.xml"/><Relationship Id="rId28" Type="http://schemas.openxmlformats.org/officeDocument/2006/relationships/ctrlProp" Target="../ctrlProps/ctrlProp67.xml"/><Relationship Id="rId49" Type="http://schemas.openxmlformats.org/officeDocument/2006/relationships/ctrlProp" Target="../ctrlProps/ctrlProp88.xml"/><Relationship Id="rId114" Type="http://schemas.openxmlformats.org/officeDocument/2006/relationships/ctrlProp" Target="../ctrlProps/ctrlProp153.xml"/><Relationship Id="rId275" Type="http://schemas.openxmlformats.org/officeDocument/2006/relationships/ctrlProp" Target="../ctrlProps/ctrlProp314.xml"/><Relationship Id="rId296" Type="http://schemas.openxmlformats.org/officeDocument/2006/relationships/ctrlProp" Target="../ctrlProps/ctrlProp335.xml"/><Relationship Id="rId300" Type="http://schemas.openxmlformats.org/officeDocument/2006/relationships/ctrlProp" Target="../ctrlProps/ctrlProp339.xml"/><Relationship Id="rId60" Type="http://schemas.openxmlformats.org/officeDocument/2006/relationships/ctrlProp" Target="../ctrlProps/ctrlProp99.xml"/><Relationship Id="rId81" Type="http://schemas.openxmlformats.org/officeDocument/2006/relationships/ctrlProp" Target="../ctrlProps/ctrlProp120.xml"/><Relationship Id="rId135" Type="http://schemas.openxmlformats.org/officeDocument/2006/relationships/ctrlProp" Target="../ctrlProps/ctrlProp174.xml"/><Relationship Id="rId156" Type="http://schemas.openxmlformats.org/officeDocument/2006/relationships/ctrlProp" Target="../ctrlProps/ctrlProp195.xml"/><Relationship Id="rId177" Type="http://schemas.openxmlformats.org/officeDocument/2006/relationships/ctrlProp" Target="../ctrlProps/ctrlProp216.xml"/><Relationship Id="rId198" Type="http://schemas.openxmlformats.org/officeDocument/2006/relationships/ctrlProp" Target="../ctrlProps/ctrlProp237.xml"/><Relationship Id="rId321" Type="http://schemas.openxmlformats.org/officeDocument/2006/relationships/ctrlProp" Target="../ctrlProps/ctrlProp360.xml"/><Relationship Id="rId342" Type="http://schemas.openxmlformats.org/officeDocument/2006/relationships/ctrlProp" Target="../ctrlProps/ctrlProp381.xml"/><Relationship Id="rId363" Type="http://schemas.openxmlformats.org/officeDocument/2006/relationships/ctrlProp" Target="../ctrlProps/ctrlProp402.xml"/><Relationship Id="rId384" Type="http://schemas.openxmlformats.org/officeDocument/2006/relationships/ctrlProp" Target="../ctrlProps/ctrlProp423.xml"/><Relationship Id="rId419" Type="http://schemas.openxmlformats.org/officeDocument/2006/relationships/ctrlProp" Target="../ctrlProps/ctrlProp458.xml"/><Relationship Id="rId202" Type="http://schemas.openxmlformats.org/officeDocument/2006/relationships/ctrlProp" Target="../ctrlProps/ctrlProp241.xml"/><Relationship Id="rId223" Type="http://schemas.openxmlformats.org/officeDocument/2006/relationships/ctrlProp" Target="../ctrlProps/ctrlProp262.xml"/><Relationship Id="rId244" Type="http://schemas.openxmlformats.org/officeDocument/2006/relationships/ctrlProp" Target="../ctrlProps/ctrlProp283.xml"/><Relationship Id="rId430" Type="http://schemas.openxmlformats.org/officeDocument/2006/relationships/ctrlProp" Target="../ctrlProps/ctrlProp469.xml"/><Relationship Id="rId18" Type="http://schemas.openxmlformats.org/officeDocument/2006/relationships/ctrlProp" Target="../ctrlProps/ctrlProp57.xml"/><Relationship Id="rId39" Type="http://schemas.openxmlformats.org/officeDocument/2006/relationships/ctrlProp" Target="../ctrlProps/ctrlProp78.xml"/><Relationship Id="rId265" Type="http://schemas.openxmlformats.org/officeDocument/2006/relationships/ctrlProp" Target="../ctrlProps/ctrlProp304.xml"/><Relationship Id="rId286" Type="http://schemas.openxmlformats.org/officeDocument/2006/relationships/ctrlProp" Target="../ctrlProps/ctrlProp325.xml"/><Relationship Id="rId50" Type="http://schemas.openxmlformats.org/officeDocument/2006/relationships/ctrlProp" Target="../ctrlProps/ctrlProp89.xml"/><Relationship Id="rId104" Type="http://schemas.openxmlformats.org/officeDocument/2006/relationships/ctrlProp" Target="../ctrlProps/ctrlProp143.xml"/><Relationship Id="rId125" Type="http://schemas.openxmlformats.org/officeDocument/2006/relationships/ctrlProp" Target="../ctrlProps/ctrlProp164.xml"/><Relationship Id="rId146" Type="http://schemas.openxmlformats.org/officeDocument/2006/relationships/ctrlProp" Target="../ctrlProps/ctrlProp185.xml"/><Relationship Id="rId167" Type="http://schemas.openxmlformats.org/officeDocument/2006/relationships/ctrlProp" Target="../ctrlProps/ctrlProp206.xml"/><Relationship Id="rId188" Type="http://schemas.openxmlformats.org/officeDocument/2006/relationships/ctrlProp" Target="../ctrlProps/ctrlProp227.xml"/><Relationship Id="rId311" Type="http://schemas.openxmlformats.org/officeDocument/2006/relationships/ctrlProp" Target="../ctrlProps/ctrlProp350.xml"/><Relationship Id="rId332" Type="http://schemas.openxmlformats.org/officeDocument/2006/relationships/ctrlProp" Target="../ctrlProps/ctrlProp371.xml"/><Relationship Id="rId353" Type="http://schemas.openxmlformats.org/officeDocument/2006/relationships/ctrlProp" Target="../ctrlProps/ctrlProp392.xml"/><Relationship Id="rId374" Type="http://schemas.openxmlformats.org/officeDocument/2006/relationships/ctrlProp" Target="../ctrlProps/ctrlProp413.xml"/><Relationship Id="rId395" Type="http://schemas.openxmlformats.org/officeDocument/2006/relationships/ctrlProp" Target="../ctrlProps/ctrlProp434.xml"/><Relationship Id="rId409" Type="http://schemas.openxmlformats.org/officeDocument/2006/relationships/ctrlProp" Target="../ctrlProps/ctrlProp448.xml"/><Relationship Id="rId71" Type="http://schemas.openxmlformats.org/officeDocument/2006/relationships/ctrlProp" Target="../ctrlProps/ctrlProp110.xml"/><Relationship Id="rId92" Type="http://schemas.openxmlformats.org/officeDocument/2006/relationships/ctrlProp" Target="../ctrlProps/ctrlProp131.xml"/><Relationship Id="rId213" Type="http://schemas.openxmlformats.org/officeDocument/2006/relationships/ctrlProp" Target="../ctrlProps/ctrlProp252.xml"/><Relationship Id="rId234" Type="http://schemas.openxmlformats.org/officeDocument/2006/relationships/ctrlProp" Target="../ctrlProps/ctrlProp273.xml"/><Relationship Id="rId420" Type="http://schemas.openxmlformats.org/officeDocument/2006/relationships/ctrlProp" Target="../ctrlProps/ctrlProp459.xml"/><Relationship Id="rId2" Type="http://schemas.openxmlformats.org/officeDocument/2006/relationships/vmlDrawing" Target="../drawings/vmlDrawing4.vml"/><Relationship Id="rId29" Type="http://schemas.openxmlformats.org/officeDocument/2006/relationships/ctrlProp" Target="../ctrlProps/ctrlProp68.xml"/><Relationship Id="rId255" Type="http://schemas.openxmlformats.org/officeDocument/2006/relationships/ctrlProp" Target="../ctrlProps/ctrlProp294.xml"/><Relationship Id="rId276" Type="http://schemas.openxmlformats.org/officeDocument/2006/relationships/ctrlProp" Target="../ctrlProps/ctrlProp315.xml"/><Relationship Id="rId297" Type="http://schemas.openxmlformats.org/officeDocument/2006/relationships/ctrlProp" Target="../ctrlProps/ctrlProp336.xml"/><Relationship Id="rId441" Type="http://schemas.openxmlformats.org/officeDocument/2006/relationships/ctrlProp" Target="../ctrlProps/ctrlProp480.xml"/><Relationship Id="rId40" Type="http://schemas.openxmlformats.org/officeDocument/2006/relationships/ctrlProp" Target="../ctrlProps/ctrlProp79.xml"/><Relationship Id="rId115" Type="http://schemas.openxmlformats.org/officeDocument/2006/relationships/ctrlProp" Target="../ctrlProps/ctrlProp154.xml"/><Relationship Id="rId136" Type="http://schemas.openxmlformats.org/officeDocument/2006/relationships/ctrlProp" Target="../ctrlProps/ctrlProp175.xml"/><Relationship Id="rId157" Type="http://schemas.openxmlformats.org/officeDocument/2006/relationships/ctrlProp" Target="../ctrlProps/ctrlProp196.xml"/><Relationship Id="rId178" Type="http://schemas.openxmlformats.org/officeDocument/2006/relationships/ctrlProp" Target="../ctrlProps/ctrlProp217.xml"/><Relationship Id="rId301" Type="http://schemas.openxmlformats.org/officeDocument/2006/relationships/ctrlProp" Target="../ctrlProps/ctrlProp340.xml"/><Relationship Id="rId322" Type="http://schemas.openxmlformats.org/officeDocument/2006/relationships/ctrlProp" Target="../ctrlProps/ctrlProp361.xml"/><Relationship Id="rId343" Type="http://schemas.openxmlformats.org/officeDocument/2006/relationships/ctrlProp" Target="../ctrlProps/ctrlProp382.xml"/><Relationship Id="rId364" Type="http://schemas.openxmlformats.org/officeDocument/2006/relationships/ctrlProp" Target="../ctrlProps/ctrlProp403.xml"/><Relationship Id="rId61" Type="http://schemas.openxmlformats.org/officeDocument/2006/relationships/ctrlProp" Target="../ctrlProps/ctrlProp100.xml"/><Relationship Id="rId82" Type="http://schemas.openxmlformats.org/officeDocument/2006/relationships/ctrlProp" Target="../ctrlProps/ctrlProp121.xml"/><Relationship Id="rId199" Type="http://schemas.openxmlformats.org/officeDocument/2006/relationships/ctrlProp" Target="../ctrlProps/ctrlProp238.xml"/><Relationship Id="rId203" Type="http://schemas.openxmlformats.org/officeDocument/2006/relationships/ctrlProp" Target="../ctrlProps/ctrlProp242.xml"/><Relationship Id="rId385" Type="http://schemas.openxmlformats.org/officeDocument/2006/relationships/ctrlProp" Target="../ctrlProps/ctrlProp424.xml"/><Relationship Id="rId19" Type="http://schemas.openxmlformats.org/officeDocument/2006/relationships/ctrlProp" Target="../ctrlProps/ctrlProp58.xml"/><Relationship Id="rId224" Type="http://schemas.openxmlformats.org/officeDocument/2006/relationships/ctrlProp" Target="../ctrlProps/ctrlProp263.xml"/><Relationship Id="rId245" Type="http://schemas.openxmlformats.org/officeDocument/2006/relationships/ctrlProp" Target="../ctrlProps/ctrlProp284.xml"/><Relationship Id="rId266" Type="http://schemas.openxmlformats.org/officeDocument/2006/relationships/ctrlProp" Target="../ctrlProps/ctrlProp305.xml"/><Relationship Id="rId287" Type="http://schemas.openxmlformats.org/officeDocument/2006/relationships/ctrlProp" Target="../ctrlProps/ctrlProp326.xml"/><Relationship Id="rId410" Type="http://schemas.openxmlformats.org/officeDocument/2006/relationships/ctrlProp" Target="../ctrlProps/ctrlProp449.xml"/><Relationship Id="rId431" Type="http://schemas.openxmlformats.org/officeDocument/2006/relationships/ctrlProp" Target="../ctrlProps/ctrlProp470.xml"/><Relationship Id="rId30" Type="http://schemas.openxmlformats.org/officeDocument/2006/relationships/ctrlProp" Target="../ctrlProps/ctrlProp69.xml"/><Relationship Id="rId105" Type="http://schemas.openxmlformats.org/officeDocument/2006/relationships/ctrlProp" Target="../ctrlProps/ctrlProp144.xml"/><Relationship Id="rId126" Type="http://schemas.openxmlformats.org/officeDocument/2006/relationships/ctrlProp" Target="../ctrlProps/ctrlProp165.xml"/><Relationship Id="rId147" Type="http://schemas.openxmlformats.org/officeDocument/2006/relationships/ctrlProp" Target="../ctrlProps/ctrlProp186.xml"/><Relationship Id="rId168" Type="http://schemas.openxmlformats.org/officeDocument/2006/relationships/ctrlProp" Target="../ctrlProps/ctrlProp207.xml"/><Relationship Id="rId312" Type="http://schemas.openxmlformats.org/officeDocument/2006/relationships/ctrlProp" Target="../ctrlProps/ctrlProp351.xml"/><Relationship Id="rId333" Type="http://schemas.openxmlformats.org/officeDocument/2006/relationships/ctrlProp" Target="../ctrlProps/ctrlProp372.xml"/><Relationship Id="rId354" Type="http://schemas.openxmlformats.org/officeDocument/2006/relationships/ctrlProp" Target="../ctrlProps/ctrlProp393.xml"/><Relationship Id="rId51" Type="http://schemas.openxmlformats.org/officeDocument/2006/relationships/ctrlProp" Target="../ctrlProps/ctrlProp90.xml"/><Relationship Id="rId72" Type="http://schemas.openxmlformats.org/officeDocument/2006/relationships/ctrlProp" Target="../ctrlProps/ctrlProp111.xml"/><Relationship Id="rId93" Type="http://schemas.openxmlformats.org/officeDocument/2006/relationships/ctrlProp" Target="../ctrlProps/ctrlProp132.xml"/><Relationship Id="rId189" Type="http://schemas.openxmlformats.org/officeDocument/2006/relationships/ctrlProp" Target="../ctrlProps/ctrlProp228.xml"/><Relationship Id="rId375" Type="http://schemas.openxmlformats.org/officeDocument/2006/relationships/ctrlProp" Target="../ctrlProps/ctrlProp414.xml"/><Relationship Id="rId396" Type="http://schemas.openxmlformats.org/officeDocument/2006/relationships/ctrlProp" Target="../ctrlProps/ctrlProp435.xml"/><Relationship Id="rId3" Type="http://schemas.openxmlformats.org/officeDocument/2006/relationships/ctrlProp" Target="../ctrlProps/ctrlProp42.xml"/><Relationship Id="rId214" Type="http://schemas.openxmlformats.org/officeDocument/2006/relationships/ctrlProp" Target="../ctrlProps/ctrlProp253.xml"/><Relationship Id="rId235" Type="http://schemas.openxmlformats.org/officeDocument/2006/relationships/ctrlProp" Target="../ctrlProps/ctrlProp274.xml"/><Relationship Id="rId256" Type="http://schemas.openxmlformats.org/officeDocument/2006/relationships/ctrlProp" Target="../ctrlProps/ctrlProp295.xml"/><Relationship Id="rId277" Type="http://schemas.openxmlformats.org/officeDocument/2006/relationships/ctrlProp" Target="../ctrlProps/ctrlProp316.xml"/><Relationship Id="rId298" Type="http://schemas.openxmlformats.org/officeDocument/2006/relationships/ctrlProp" Target="../ctrlProps/ctrlProp337.xml"/><Relationship Id="rId400" Type="http://schemas.openxmlformats.org/officeDocument/2006/relationships/ctrlProp" Target="../ctrlProps/ctrlProp439.xml"/><Relationship Id="rId421" Type="http://schemas.openxmlformats.org/officeDocument/2006/relationships/ctrlProp" Target="../ctrlProps/ctrlProp460.xml"/><Relationship Id="rId442" Type="http://schemas.openxmlformats.org/officeDocument/2006/relationships/ctrlProp" Target="../ctrlProps/ctrlProp481.xml"/><Relationship Id="rId116" Type="http://schemas.openxmlformats.org/officeDocument/2006/relationships/ctrlProp" Target="../ctrlProps/ctrlProp155.xml"/><Relationship Id="rId137" Type="http://schemas.openxmlformats.org/officeDocument/2006/relationships/ctrlProp" Target="../ctrlProps/ctrlProp176.xml"/><Relationship Id="rId158" Type="http://schemas.openxmlformats.org/officeDocument/2006/relationships/ctrlProp" Target="../ctrlProps/ctrlProp197.xml"/><Relationship Id="rId302" Type="http://schemas.openxmlformats.org/officeDocument/2006/relationships/ctrlProp" Target="../ctrlProps/ctrlProp341.xml"/><Relationship Id="rId323" Type="http://schemas.openxmlformats.org/officeDocument/2006/relationships/ctrlProp" Target="../ctrlProps/ctrlProp362.xml"/><Relationship Id="rId344" Type="http://schemas.openxmlformats.org/officeDocument/2006/relationships/ctrlProp" Target="../ctrlProps/ctrlProp383.xml"/><Relationship Id="rId20" Type="http://schemas.openxmlformats.org/officeDocument/2006/relationships/ctrlProp" Target="../ctrlProps/ctrlProp59.xml"/><Relationship Id="rId41" Type="http://schemas.openxmlformats.org/officeDocument/2006/relationships/ctrlProp" Target="../ctrlProps/ctrlProp80.xml"/><Relationship Id="rId62" Type="http://schemas.openxmlformats.org/officeDocument/2006/relationships/ctrlProp" Target="../ctrlProps/ctrlProp101.xml"/><Relationship Id="rId83" Type="http://schemas.openxmlformats.org/officeDocument/2006/relationships/ctrlProp" Target="../ctrlProps/ctrlProp122.xml"/><Relationship Id="rId179" Type="http://schemas.openxmlformats.org/officeDocument/2006/relationships/ctrlProp" Target="../ctrlProps/ctrlProp218.xml"/><Relationship Id="rId365" Type="http://schemas.openxmlformats.org/officeDocument/2006/relationships/ctrlProp" Target="../ctrlProps/ctrlProp404.xml"/><Relationship Id="rId386" Type="http://schemas.openxmlformats.org/officeDocument/2006/relationships/ctrlProp" Target="../ctrlProps/ctrlProp425.xml"/><Relationship Id="rId190" Type="http://schemas.openxmlformats.org/officeDocument/2006/relationships/ctrlProp" Target="../ctrlProps/ctrlProp229.xml"/><Relationship Id="rId204" Type="http://schemas.openxmlformats.org/officeDocument/2006/relationships/ctrlProp" Target="../ctrlProps/ctrlProp243.xml"/><Relationship Id="rId225" Type="http://schemas.openxmlformats.org/officeDocument/2006/relationships/ctrlProp" Target="../ctrlProps/ctrlProp264.xml"/><Relationship Id="rId246" Type="http://schemas.openxmlformats.org/officeDocument/2006/relationships/ctrlProp" Target="../ctrlProps/ctrlProp285.xml"/><Relationship Id="rId267" Type="http://schemas.openxmlformats.org/officeDocument/2006/relationships/ctrlProp" Target="../ctrlProps/ctrlProp306.xml"/><Relationship Id="rId288" Type="http://schemas.openxmlformats.org/officeDocument/2006/relationships/ctrlProp" Target="../ctrlProps/ctrlProp327.xml"/><Relationship Id="rId411" Type="http://schemas.openxmlformats.org/officeDocument/2006/relationships/ctrlProp" Target="../ctrlProps/ctrlProp450.xml"/><Relationship Id="rId432" Type="http://schemas.openxmlformats.org/officeDocument/2006/relationships/ctrlProp" Target="../ctrlProps/ctrlProp471.xml"/><Relationship Id="rId106" Type="http://schemas.openxmlformats.org/officeDocument/2006/relationships/ctrlProp" Target="../ctrlProps/ctrlProp145.xml"/><Relationship Id="rId127" Type="http://schemas.openxmlformats.org/officeDocument/2006/relationships/ctrlProp" Target="../ctrlProps/ctrlProp166.xml"/><Relationship Id="rId313" Type="http://schemas.openxmlformats.org/officeDocument/2006/relationships/ctrlProp" Target="../ctrlProps/ctrlProp352.xml"/><Relationship Id="rId10" Type="http://schemas.openxmlformats.org/officeDocument/2006/relationships/ctrlProp" Target="../ctrlProps/ctrlProp49.xml"/><Relationship Id="rId31" Type="http://schemas.openxmlformats.org/officeDocument/2006/relationships/ctrlProp" Target="../ctrlProps/ctrlProp70.xml"/><Relationship Id="rId52" Type="http://schemas.openxmlformats.org/officeDocument/2006/relationships/ctrlProp" Target="../ctrlProps/ctrlProp91.xml"/><Relationship Id="rId73" Type="http://schemas.openxmlformats.org/officeDocument/2006/relationships/ctrlProp" Target="../ctrlProps/ctrlProp112.xml"/><Relationship Id="rId94" Type="http://schemas.openxmlformats.org/officeDocument/2006/relationships/ctrlProp" Target="../ctrlProps/ctrlProp133.xml"/><Relationship Id="rId148" Type="http://schemas.openxmlformats.org/officeDocument/2006/relationships/ctrlProp" Target="../ctrlProps/ctrlProp187.xml"/><Relationship Id="rId169" Type="http://schemas.openxmlformats.org/officeDocument/2006/relationships/ctrlProp" Target="../ctrlProps/ctrlProp208.xml"/><Relationship Id="rId334" Type="http://schemas.openxmlformats.org/officeDocument/2006/relationships/ctrlProp" Target="../ctrlProps/ctrlProp373.xml"/><Relationship Id="rId355" Type="http://schemas.openxmlformats.org/officeDocument/2006/relationships/ctrlProp" Target="../ctrlProps/ctrlProp394.xml"/><Relationship Id="rId376" Type="http://schemas.openxmlformats.org/officeDocument/2006/relationships/ctrlProp" Target="../ctrlProps/ctrlProp415.xml"/><Relationship Id="rId397" Type="http://schemas.openxmlformats.org/officeDocument/2006/relationships/ctrlProp" Target="../ctrlProps/ctrlProp436.xml"/><Relationship Id="rId4" Type="http://schemas.openxmlformats.org/officeDocument/2006/relationships/ctrlProp" Target="../ctrlProps/ctrlProp43.xml"/><Relationship Id="rId180" Type="http://schemas.openxmlformats.org/officeDocument/2006/relationships/ctrlProp" Target="../ctrlProps/ctrlProp219.xml"/><Relationship Id="rId215" Type="http://schemas.openxmlformats.org/officeDocument/2006/relationships/ctrlProp" Target="../ctrlProps/ctrlProp254.xml"/><Relationship Id="rId236" Type="http://schemas.openxmlformats.org/officeDocument/2006/relationships/ctrlProp" Target="../ctrlProps/ctrlProp275.xml"/><Relationship Id="rId257" Type="http://schemas.openxmlformats.org/officeDocument/2006/relationships/ctrlProp" Target="../ctrlProps/ctrlProp296.xml"/><Relationship Id="rId278" Type="http://schemas.openxmlformats.org/officeDocument/2006/relationships/ctrlProp" Target="../ctrlProps/ctrlProp317.xml"/><Relationship Id="rId401" Type="http://schemas.openxmlformats.org/officeDocument/2006/relationships/ctrlProp" Target="../ctrlProps/ctrlProp440.xml"/><Relationship Id="rId422" Type="http://schemas.openxmlformats.org/officeDocument/2006/relationships/ctrlProp" Target="../ctrlProps/ctrlProp461.xml"/><Relationship Id="rId443" Type="http://schemas.openxmlformats.org/officeDocument/2006/relationships/ctrlProp" Target="../ctrlProps/ctrlProp482.xml"/><Relationship Id="rId303" Type="http://schemas.openxmlformats.org/officeDocument/2006/relationships/ctrlProp" Target="../ctrlProps/ctrlProp342.xml"/><Relationship Id="rId42" Type="http://schemas.openxmlformats.org/officeDocument/2006/relationships/ctrlProp" Target="../ctrlProps/ctrlProp81.xml"/><Relationship Id="rId84" Type="http://schemas.openxmlformats.org/officeDocument/2006/relationships/ctrlProp" Target="../ctrlProps/ctrlProp123.xml"/><Relationship Id="rId138" Type="http://schemas.openxmlformats.org/officeDocument/2006/relationships/ctrlProp" Target="../ctrlProps/ctrlProp177.xml"/><Relationship Id="rId345" Type="http://schemas.openxmlformats.org/officeDocument/2006/relationships/ctrlProp" Target="../ctrlProps/ctrlProp384.xml"/><Relationship Id="rId387" Type="http://schemas.openxmlformats.org/officeDocument/2006/relationships/ctrlProp" Target="../ctrlProps/ctrlProp426.xml"/><Relationship Id="rId191" Type="http://schemas.openxmlformats.org/officeDocument/2006/relationships/ctrlProp" Target="../ctrlProps/ctrlProp230.xml"/><Relationship Id="rId205" Type="http://schemas.openxmlformats.org/officeDocument/2006/relationships/ctrlProp" Target="../ctrlProps/ctrlProp244.xml"/><Relationship Id="rId247" Type="http://schemas.openxmlformats.org/officeDocument/2006/relationships/ctrlProp" Target="../ctrlProps/ctrlProp286.xml"/><Relationship Id="rId412" Type="http://schemas.openxmlformats.org/officeDocument/2006/relationships/ctrlProp" Target="../ctrlProps/ctrlProp451.xml"/><Relationship Id="rId107" Type="http://schemas.openxmlformats.org/officeDocument/2006/relationships/ctrlProp" Target="../ctrlProps/ctrlProp146.xml"/><Relationship Id="rId289" Type="http://schemas.openxmlformats.org/officeDocument/2006/relationships/ctrlProp" Target="../ctrlProps/ctrlProp328.xml"/><Relationship Id="rId11" Type="http://schemas.openxmlformats.org/officeDocument/2006/relationships/ctrlProp" Target="../ctrlProps/ctrlProp50.xml"/><Relationship Id="rId53" Type="http://schemas.openxmlformats.org/officeDocument/2006/relationships/ctrlProp" Target="../ctrlProps/ctrlProp92.xml"/><Relationship Id="rId149" Type="http://schemas.openxmlformats.org/officeDocument/2006/relationships/ctrlProp" Target="../ctrlProps/ctrlProp188.xml"/><Relationship Id="rId314" Type="http://schemas.openxmlformats.org/officeDocument/2006/relationships/ctrlProp" Target="../ctrlProps/ctrlProp353.xml"/><Relationship Id="rId356" Type="http://schemas.openxmlformats.org/officeDocument/2006/relationships/ctrlProp" Target="../ctrlProps/ctrlProp395.xml"/><Relationship Id="rId398" Type="http://schemas.openxmlformats.org/officeDocument/2006/relationships/ctrlProp" Target="../ctrlProps/ctrlProp437.xml"/><Relationship Id="rId95" Type="http://schemas.openxmlformats.org/officeDocument/2006/relationships/ctrlProp" Target="../ctrlProps/ctrlProp134.xml"/><Relationship Id="rId160" Type="http://schemas.openxmlformats.org/officeDocument/2006/relationships/ctrlProp" Target="../ctrlProps/ctrlProp199.xml"/><Relationship Id="rId216" Type="http://schemas.openxmlformats.org/officeDocument/2006/relationships/ctrlProp" Target="../ctrlProps/ctrlProp255.xml"/><Relationship Id="rId423" Type="http://schemas.openxmlformats.org/officeDocument/2006/relationships/ctrlProp" Target="../ctrlProps/ctrlProp462.xml"/><Relationship Id="rId258" Type="http://schemas.openxmlformats.org/officeDocument/2006/relationships/ctrlProp" Target="../ctrlProps/ctrlProp297.xml"/><Relationship Id="rId22" Type="http://schemas.openxmlformats.org/officeDocument/2006/relationships/ctrlProp" Target="../ctrlProps/ctrlProp61.xml"/><Relationship Id="rId64" Type="http://schemas.openxmlformats.org/officeDocument/2006/relationships/ctrlProp" Target="../ctrlProps/ctrlProp103.xml"/><Relationship Id="rId118" Type="http://schemas.openxmlformats.org/officeDocument/2006/relationships/ctrlProp" Target="../ctrlProps/ctrlProp157.xml"/><Relationship Id="rId325" Type="http://schemas.openxmlformats.org/officeDocument/2006/relationships/ctrlProp" Target="../ctrlProps/ctrlProp364.xml"/><Relationship Id="rId367" Type="http://schemas.openxmlformats.org/officeDocument/2006/relationships/ctrlProp" Target="../ctrlProps/ctrlProp406.xml"/><Relationship Id="rId171" Type="http://schemas.openxmlformats.org/officeDocument/2006/relationships/ctrlProp" Target="../ctrlProps/ctrlProp210.xml"/><Relationship Id="rId227" Type="http://schemas.openxmlformats.org/officeDocument/2006/relationships/ctrlProp" Target="../ctrlProps/ctrlProp266.xml"/><Relationship Id="rId269" Type="http://schemas.openxmlformats.org/officeDocument/2006/relationships/ctrlProp" Target="../ctrlProps/ctrlProp308.xml"/><Relationship Id="rId434" Type="http://schemas.openxmlformats.org/officeDocument/2006/relationships/ctrlProp" Target="../ctrlProps/ctrlProp473.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492.xml"/><Relationship Id="rId18" Type="http://schemas.openxmlformats.org/officeDocument/2006/relationships/ctrlProp" Target="../ctrlProps/ctrlProp497.xml"/><Relationship Id="rId26" Type="http://schemas.openxmlformats.org/officeDocument/2006/relationships/ctrlProp" Target="../ctrlProps/ctrlProp505.xml"/><Relationship Id="rId39" Type="http://schemas.openxmlformats.org/officeDocument/2006/relationships/ctrlProp" Target="../ctrlProps/ctrlProp518.xml"/><Relationship Id="rId21" Type="http://schemas.openxmlformats.org/officeDocument/2006/relationships/ctrlProp" Target="../ctrlProps/ctrlProp500.xml"/><Relationship Id="rId34" Type="http://schemas.openxmlformats.org/officeDocument/2006/relationships/ctrlProp" Target="../ctrlProps/ctrlProp513.xml"/><Relationship Id="rId42" Type="http://schemas.openxmlformats.org/officeDocument/2006/relationships/ctrlProp" Target="../ctrlProps/ctrlProp521.xml"/><Relationship Id="rId47" Type="http://schemas.openxmlformats.org/officeDocument/2006/relationships/ctrlProp" Target="../ctrlProps/ctrlProp526.xml"/><Relationship Id="rId50" Type="http://schemas.openxmlformats.org/officeDocument/2006/relationships/ctrlProp" Target="../ctrlProps/ctrlProp529.xml"/><Relationship Id="rId55" Type="http://schemas.openxmlformats.org/officeDocument/2006/relationships/ctrlProp" Target="../ctrlProps/ctrlProp534.xml"/><Relationship Id="rId63" Type="http://schemas.openxmlformats.org/officeDocument/2006/relationships/ctrlProp" Target="../ctrlProps/ctrlProp542.xml"/><Relationship Id="rId68" Type="http://schemas.openxmlformats.org/officeDocument/2006/relationships/ctrlProp" Target="../ctrlProps/ctrlProp547.xml"/><Relationship Id="rId76" Type="http://schemas.openxmlformats.org/officeDocument/2006/relationships/ctrlProp" Target="../ctrlProps/ctrlProp555.xml"/><Relationship Id="rId7" Type="http://schemas.openxmlformats.org/officeDocument/2006/relationships/ctrlProp" Target="../ctrlProps/ctrlProp486.xml"/><Relationship Id="rId71" Type="http://schemas.openxmlformats.org/officeDocument/2006/relationships/ctrlProp" Target="../ctrlProps/ctrlProp550.xml"/><Relationship Id="rId2" Type="http://schemas.openxmlformats.org/officeDocument/2006/relationships/drawing" Target="../drawings/drawing6.xml"/><Relationship Id="rId16" Type="http://schemas.openxmlformats.org/officeDocument/2006/relationships/ctrlProp" Target="../ctrlProps/ctrlProp495.xml"/><Relationship Id="rId29" Type="http://schemas.openxmlformats.org/officeDocument/2006/relationships/ctrlProp" Target="../ctrlProps/ctrlProp508.xml"/><Relationship Id="rId11" Type="http://schemas.openxmlformats.org/officeDocument/2006/relationships/ctrlProp" Target="../ctrlProps/ctrlProp490.xml"/><Relationship Id="rId24" Type="http://schemas.openxmlformats.org/officeDocument/2006/relationships/ctrlProp" Target="../ctrlProps/ctrlProp503.xml"/><Relationship Id="rId32" Type="http://schemas.openxmlformats.org/officeDocument/2006/relationships/ctrlProp" Target="../ctrlProps/ctrlProp511.xml"/><Relationship Id="rId37" Type="http://schemas.openxmlformats.org/officeDocument/2006/relationships/ctrlProp" Target="../ctrlProps/ctrlProp516.xml"/><Relationship Id="rId40" Type="http://schemas.openxmlformats.org/officeDocument/2006/relationships/ctrlProp" Target="../ctrlProps/ctrlProp519.xml"/><Relationship Id="rId45" Type="http://schemas.openxmlformats.org/officeDocument/2006/relationships/ctrlProp" Target="../ctrlProps/ctrlProp524.xml"/><Relationship Id="rId53" Type="http://schemas.openxmlformats.org/officeDocument/2006/relationships/ctrlProp" Target="../ctrlProps/ctrlProp532.xml"/><Relationship Id="rId58" Type="http://schemas.openxmlformats.org/officeDocument/2006/relationships/ctrlProp" Target="../ctrlProps/ctrlProp537.xml"/><Relationship Id="rId66" Type="http://schemas.openxmlformats.org/officeDocument/2006/relationships/ctrlProp" Target="../ctrlProps/ctrlProp545.xml"/><Relationship Id="rId74" Type="http://schemas.openxmlformats.org/officeDocument/2006/relationships/ctrlProp" Target="../ctrlProps/ctrlProp553.xml"/><Relationship Id="rId79" Type="http://schemas.openxmlformats.org/officeDocument/2006/relationships/ctrlProp" Target="../ctrlProps/ctrlProp558.xml"/><Relationship Id="rId5" Type="http://schemas.openxmlformats.org/officeDocument/2006/relationships/ctrlProp" Target="../ctrlProps/ctrlProp484.xml"/><Relationship Id="rId61" Type="http://schemas.openxmlformats.org/officeDocument/2006/relationships/ctrlProp" Target="../ctrlProps/ctrlProp540.xml"/><Relationship Id="rId10" Type="http://schemas.openxmlformats.org/officeDocument/2006/relationships/ctrlProp" Target="../ctrlProps/ctrlProp489.xml"/><Relationship Id="rId19" Type="http://schemas.openxmlformats.org/officeDocument/2006/relationships/ctrlProp" Target="../ctrlProps/ctrlProp498.xml"/><Relationship Id="rId31" Type="http://schemas.openxmlformats.org/officeDocument/2006/relationships/ctrlProp" Target="../ctrlProps/ctrlProp510.xml"/><Relationship Id="rId44" Type="http://schemas.openxmlformats.org/officeDocument/2006/relationships/ctrlProp" Target="../ctrlProps/ctrlProp523.xml"/><Relationship Id="rId52" Type="http://schemas.openxmlformats.org/officeDocument/2006/relationships/ctrlProp" Target="../ctrlProps/ctrlProp531.xml"/><Relationship Id="rId60" Type="http://schemas.openxmlformats.org/officeDocument/2006/relationships/ctrlProp" Target="../ctrlProps/ctrlProp539.xml"/><Relationship Id="rId65" Type="http://schemas.openxmlformats.org/officeDocument/2006/relationships/ctrlProp" Target="../ctrlProps/ctrlProp544.xml"/><Relationship Id="rId73" Type="http://schemas.openxmlformats.org/officeDocument/2006/relationships/ctrlProp" Target="../ctrlProps/ctrlProp552.xml"/><Relationship Id="rId78" Type="http://schemas.openxmlformats.org/officeDocument/2006/relationships/ctrlProp" Target="../ctrlProps/ctrlProp557.xml"/><Relationship Id="rId81" Type="http://schemas.openxmlformats.org/officeDocument/2006/relationships/ctrlProp" Target="../ctrlProps/ctrlProp560.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 Id="rId22" Type="http://schemas.openxmlformats.org/officeDocument/2006/relationships/ctrlProp" Target="../ctrlProps/ctrlProp501.xml"/><Relationship Id="rId27" Type="http://schemas.openxmlformats.org/officeDocument/2006/relationships/ctrlProp" Target="../ctrlProps/ctrlProp506.xml"/><Relationship Id="rId30" Type="http://schemas.openxmlformats.org/officeDocument/2006/relationships/ctrlProp" Target="../ctrlProps/ctrlProp509.xml"/><Relationship Id="rId35" Type="http://schemas.openxmlformats.org/officeDocument/2006/relationships/ctrlProp" Target="../ctrlProps/ctrlProp514.xml"/><Relationship Id="rId43" Type="http://schemas.openxmlformats.org/officeDocument/2006/relationships/ctrlProp" Target="../ctrlProps/ctrlProp522.xml"/><Relationship Id="rId48" Type="http://schemas.openxmlformats.org/officeDocument/2006/relationships/ctrlProp" Target="../ctrlProps/ctrlProp527.xml"/><Relationship Id="rId56" Type="http://schemas.openxmlformats.org/officeDocument/2006/relationships/ctrlProp" Target="../ctrlProps/ctrlProp535.xml"/><Relationship Id="rId64" Type="http://schemas.openxmlformats.org/officeDocument/2006/relationships/ctrlProp" Target="../ctrlProps/ctrlProp543.xml"/><Relationship Id="rId69" Type="http://schemas.openxmlformats.org/officeDocument/2006/relationships/ctrlProp" Target="../ctrlProps/ctrlProp548.xml"/><Relationship Id="rId77" Type="http://schemas.openxmlformats.org/officeDocument/2006/relationships/ctrlProp" Target="../ctrlProps/ctrlProp556.xml"/><Relationship Id="rId8" Type="http://schemas.openxmlformats.org/officeDocument/2006/relationships/ctrlProp" Target="../ctrlProps/ctrlProp487.xml"/><Relationship Id="rId51" Type="http://schemas.openxmlformats.org/officeDocument/2006/relationships/ctrlProp" Target="../ctrlProps/ctrlProp530.xml"/><Relationship Id="rId72" Type="http://schemas.openxmlformats.org/officeDocument/2006/relationships/ctrlProp" Target="../ctrlProps/ctrlProp551.xml"/><Relationship Id="rId80" Type="http://schemas.openxmlformats.org/officeDocument/2006/relationships/ctrlProp" Target="../ctrlProps/ctrlProp559.xml"/><Relationship Id="rId3" Type="http://schemas.openxmlformats.org/officeDocument/2006/relationships/vmlDrawing" Target="../drawings/vmlDrawing5.vml"/><Relationship Id="rId12" Type="http://schemas.openxmlformats.org/officeDocument/2006/relationships/ctrlProp" Target="../ctrlProps/ctrlProp491.xml"/><Relationship Id="rId17" Type="http://schemas.openxmlformats.org/officeDocument/2006/relationships/ctrlProp" Target="../ctrlProps/ctrlProp496.xml"/><Relationship Id="rId25" Type="http://schemas.openxmlformats.org/officeDocument/2006/relationships/ctrlProp" Target="../ctrlProps/ctrlProp504.xml"/><Relationship Id="rId33" Type="http://schemas.openxmlformats.org/officeDocument/2006/relationships/ctrlProp" Target="../ctrlProps/ctrlProp512.xml"/><Relationship Id="rId38" Type="http://schemas.openxmlformats.org/officeDocument/2006/relationships/ctrlProp" Target="../ctrlProps/ctrlProp517.xml"/><Relationship Id="rId46" Type="http://schemas.openxmlformats.org/officeDocument/2006/relationships/ctrlProp" Target="../ctrlProps/ctrlProp525.xml"/><Relationship Id="rId59" Type="http://schemas.openxmlformats.org/officeDocument/2006/relationships/ctrlProp" Target="../ctrlProps/ctrlProp538.xml"/><Relationship Id="rId67" Type="http://schemas.openxmlformats.org/officeDocument/2006/relationships/ctrlProp" Target="../ctrlProps/ctrlProp546.xml"/><Relationship Id="rId20" Type="http://schemas.openxmlformats.org/officeDocument/2006/relationships/ctrlProp" Target="../ctrlProps/ctrlProp499.xml"/><Relationship Id="rId41" Type="http://schemas.openxmlformats.org/officeDocument/2006/relationships/ctrlProp" Target="../ctrlProps/ctrlProp520.xml"/><Relationship Id="rId54" Type="http://schemas.openxmlformats.org/officeDocument/2006/relationships/ctrlProp" Target="../ctrlProps/ctrlProp533.xml"/><Relationship Id="rId62" Type="http://schemas.openxmlformats.org/officeDocument/2006/relationships/ctrlProp" Target="../ctrlProps/ctrlProp541.xml"/><Relationship Id="rId70" Type="http://schemas.openxmlformats.org/officeDocument/2006/relationships/ctrlProp" Target="../ctrlProps/ctrlProp549.xml"/><Relationship Id="rId75" Type="http://schemas.openxmlformats.org/officeDocument/2006/relationships/ctrlProp" Target="../ctrlProps/ctrlProp554.xml"/><Relationship Id="rId1" Type="http://schemas.openxmlformats.org/officeDocument/2006/relationships/printerSettings" Target="../printerSettings/printerSettings4.bin"/><Relationship Id="rId6" Type="http://schemas.openxmlformats.org/officeDocument/2006/relationships/ctrlProp" Target="../ctrlProps/ctrlProp485.xml"/><Relationship Id="rId15" Type="http://schemas.openxmlformats.org/officeDocument/2006/relationships/ctrlProp" Target="../ctrlProps/ctrlProp494.xml"/><Relationship Id="rId23" Type="http://schemas.openxmlformats.org/officeDocument/2006/relationships/ctrlProp" Target="../ctrlProps/ctrlProp502.xml"/><Relationship Id="rId28" Type="http://schemas.openxmlformats.org/officeDocument/2006/relationships/ctrlProp" Target="../ctrlProps/ctrlProp507.xml"/><Relationship Id="rId36" Type="http://schemas.openxmlformats.org/officeDocument/2006/relationships/ctrlProp" Target="../ctrlProps/ctrlProp515.xml"/><Relationship Id="rId49" Type="http://schemas.openxmlformats.org/officeDocument/2006/relationships/ctrlProp" Target="../ctrlProps/ctrlProp528.xml"/><Relationship Id="rId57" Type="http://schemas.openxmlformats.org/officeDocument/2006/relationships/ctrlProp" Target="../ctrlProps/ctrlProp5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tabSelected="1" topLeftCell="A7" workbookViewId="0">
      <selection activeCell="A14" sqref="A14"/>
    </sheetView>
  </sheetViews>
  <sheetFormatPr defaultRowHeight="12.75" x14ac:dyDescent="0.2"/>
  <cols>
    <col min="1" max="1" width="75.28515625" customWidth="1"/>
    <col min="3" max="3" width="77.85546875" customWidth="1"/>
  </cols>
  <sheetData>
    <row r="1" spans="1:1" x14ac:dyDescent="0.2">
      <c r="A1" s="538" t="s">
        <v>1294</v>
      </c>
    </row>
    <row r="2" spans="1:1" ht="65.25" customHeight="1" x14ac:dyDescent="0.2">
      <c r="A2" s="537" t="s">
        <v>1295</v>
      </c>
    </row>
    <row r="3" spans="1:1" ht="63.75" customHeight="1" x14ac:dyDescent="0.2">
      <c r="A3" s="537" t="s">
        <v>1291</v>
      </c>
    </row>
    <row r="4" spans="1:1" ht="59.25" customHeight="1" x14ac:dyDescent="0.2">
      <c r="A4" s="537" t="s">
        <v>1290</v>
      </c>
    </row>
    <row r="5" spans="1:1" ht="42.75" customHeight="1" x14ac:dyDescent="0.2">
      <c r="A5" s="539" t="s">
        <v>1296</v>
      </c>
    </row>
    <row r="6" spans="1:1" ht="35.25" customHeight="1" x14ac:dyDescent="0.2">
      <c r="A6" s="539" t="s">
        <v>1050</v>
      </c>
    </row>
    <row r="7" spans="1:1" ht="31.5" customHeight="1" x14ac:dyDescent="0.2">
      <c r="A7" s="539" t="s">
        <v>1051</v>
      </c>
    </row>
    <row r="8" spans="1:1" ht="31.5" customHeight="1" x14ac:dyDescent="0.2">
      <c r="A8" s="539" t="s">
        <v>1297</v>
      </c>
    </row>
    <row r="9" spans="1:1" ht="33" customHeight="1" x14ac:dyDescent="0.2">
      <c r="A9" s="539" t="s">
        <v>1049</v>
      </c>
    </row>
    <row r="10" spans="1:1" ht="30.75" customHeight="1" x14ac:dyDescent="0.2">
      <c r="A10" s="539" t="s">
        <v>1292</v>
      </c>
    </row>
    <row r="11" spans="1:1" ht="60" customHeight="1" x14ac:dyDescent="0.2">
      <c r="A11" s="539" t="s">
        <v>1293</v>
      </c>
    </row>
    <row r="12" spans="1:1" s="681" customFormat="1" ht="30" customHeight="1" x14ac:dyDescent="0.2">
      <c r="A12" s="537" t="s">
        <v>1298</v>
      </c>
    </row>
    <row r="13" spans="1:1" x14ac:dyDescent="0.2">
      <c r="A13" s="539" t="s">
        <v>1285</v>
      </c>
    </row>
    <row r="14" spans="1:1" x14ac:dyDescent="0.2">
      <c r="A14" s="536" t="s">
        <v>1299</v>
      </c>
    </row>
  </sheetData>
  <phoneticPr fontId="53" type="noConversion"/>
  <pageMargins left="0.7" right="0.7" top="0.75" bottom="0.75" header="0.3" footer="0.3"/>
  <pageSetup paperSize="9" orientation="portrait" horizontalDpi="4294967293" verticalDpi="4294967293"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4"/>
  <sheetViews>
    <sheetView workbookViewId="0"/>
  </sheetViews>
  <sheetFormatPr defaultRowHeight="12.75" x14ac:dyDescent="0.2"/>
  <cols>
    <col min="1" max="1" width="18" style="374" customWidth="1"/>
    <col min="2" max="2" width="12.5703125" style="374" customWidth="1"/>
    <col min="3" max="3" width="25.140625" style="374" customWidth="1"/>
    <col min="4" max="4" width="16.42578125" style="374" customWidth="1"/>
    <col min="5" max="5" width="9.42578125" style="374" customWidth="1"/>
    <col min="6" max="6" width="10.28515625" style="374" customWidth="1"/>
    <col min="7" max="7" width="12.7109375" style="374" customWidth="1"/>
    <col min="8" max="8" width="14.42578125" style="374" customWidth="1"/>
    <col min="9" max="9" width="14.28515625" style="374" customWidth="1"/>
    <col min="10" max="11" width="9.140625" style="374"/>
    <col min="12" max="12" width="10.42578125" style="374" customWidth="1"/>
    <col min="13" max="13" width="10.85546875" style="374" customWidth="1"/>
    <col min="14" max="16384" width="9.140625" style="374"/>
  </cols>
  <sheetData>
    <row r="1" spans="1:14" ht="18" x14ac:dyDescent="0.25">
      <c r="A1" s="486" t="s">
        <v>459</v>
      </c>
      <c r="B1" s="372"/>
      <c r="C1" s="372"/>
      <c r="D1" s="410" t="s">
        <v>1032</v>
      </c>
      <c r="E1" s="372"/>
      <c r="F1" s="373"/>
      <c r="G1" s="373"/>
      <c r="H1" s="373"/>
      <c r="I1" s="373"/>
      <c r="J1" s="373"/>
      <c r="K1" s="373"/>
      <c r="L1" s="373"/>
      <c r="M1" s="373"/>
      <c r="N1" s="373"/>
    </row>
    <row r="2" spans="1:14" ht="32.25" customHeight="1" x14ac:dyDescent="0.2">
      <c r="A2" s="371" t="s">
        <v>34</v>
      </c>
      <c r="B2" s="371" t="s">
        <v>218</v>
      </c>
      <c r="C2" s="371" t="s">
        <v>1031</v>
      </c>
      <c r="D2" s="371" t="s">
        <v>113</v>
      </c>
      <c r="E2" s="375" t="s">
        <v>473</v>
      </c>
      <c r="F2" s="375" t="s">
        <v>1033</v>
      </c>
      <c r="G2" s="375" t="s">
        <v>662</v>
      </c>
      <c r="H2" s="375" t="s">
        <v>664</v>
      </c>
      <c r="I2" s="371" t="s">
        <v>464</v>
      </c>
      <c r="J2" s="375"/>
      <c r="K2" s="373"/>
      <c r="L2" s="373"/>
      <c r="M2" s="373"/>
      <c r="N2" s="373"/>
    </row>
    <row r="3" spans="1:14" ht="15" customHeight="1" x14ac:dyDescent="0.2">
      <c r="A3" s="376"/>
      <c r="B3" s="372"/>
      <c r="C3" s="372"/>
      <c r="D3" s="373"/>
      <c r="E3" s="434">
        <f>IF('Verwerken ventilatie'!B8=3,20*G3,IF('Verwerken ventilatie'!B8=4,15*G3,IF('Verwerken ventilatie'!B8=5,10*G3,0)))</f>
        <v>0</v>
      </c>
      <c r="F3" s="377">
        <f>IF('Verwerken ventilatie'!B8=1,0,IF('Verwerken ventilatie'!B8=6,0.8*1.5*3.5*G3*3.6,IF(AND('Verwerken ventilatie'!B8&gt;1,'Verwerken ventilatie'!B8&lt;6,0.8*3.5*3.6&lt;'Verwerken ventilatie'!H8*'Invoer Ventilatie'!E3/'Invoer Ventilatie'!G3),'Invoer Ventilatie'!E3*'Verwerken ventilatie'!H8,3.5*'Invoer Ventilatie'!G3*3.6)))</f>
        <v>0</v>
      </c>
      <c r="G3" s="392"/>
      <c r="H3" s="373"/>
      <c r="I3" s="373"/>
      <c r="J3" s="370"/>
      <c r="K3" s="373"/>
      <c r="L3" s="376"/>
      <c r="M3" s="371" t="s">
        <v>675</v>
      </c>
      <c r="N3" s="373"/>
    </row>
    <row r="4" spans="1:14" ht="15" customHeight="1" x14ac:dyDescent="0.2">
      <c r="A4" s="376"/>
      <c r="B4" s="372"/>
      <c r="C4" s="372"/>
      <c r="D4" s="373"/>
      <c r="E4" s="434">
        <f>IF('Verwerken ventilatie'!B9=3,20*G4,IF('Verwerken ventilatie'!B9=4,15*G4,IF('Verwerken ventilatie'!B9=5,10*G4,0)))</f>
        <v>0</v>
      </c>
      <c r="F4" s="377">
        <f>IF('Verwerken ventilatie'!B9=1,0,IF('Verwerken ventilatie'!B9=6,0.8*1.5*3.5*G4*3.6,IF(AND('Verwerken ventilatie'!B9&gt;1,'Verwerken ventilatie'!B9&lt;6,0.8*3.5*3.6&lt;'Verwerken ventilatie'!H9*'Invoer Ventilatie'!E4/'Invoer Ventilatie'!G4),'Invoer Ventilatie'!E4*'Verwerken ventilatie'!H9,3.5*'Invoer Ventilatie'!G4*3.6)))</f>
        <v>0</v>
      </c>
      <c r="G4" s="392"/>
      <c r="H4" s="373"/>
      <c r="I4" s="373"/>
      <c r="J4" s="370"/>
      <c r="K4" s="373"/>
      <c r="L4" s="378"/>
      <c r="M4" s="371" t="s">
        <v>676</v>
      </c>
      <c r="N4" s="373"/>
    </row>
    <row r="5" spans="1:14" ht="15" customHeight="1" x14ac:dyDescent="0.2">
      <c r="A5" s="376"/>
      <c r="B5" s="372"/>
      <c r="C5" s="372"/>
      <c r="D5" s="373"/>
      <c r="E5" s="434">
        <f>IF('Verwerken ventilatie'!B10=3,20*G5,IF('Verwerken ventilatie'!B10=4,15*G5,IF('Verwerken ventilatie'!B10=5,10*G5,0)))</f>
        <v>0</v>
      </c>
      <c r="F5" s="377">
        <f>IF('Verwerken ventilatie'!B10=1,0,IF('Verwerken ventilatie'!B10=6,0.8*1.5*3.5*G5*3.6,IF(AND('Verwerken ventilatie'!B10&gt;1,'Verwerken ventilatie'!B10&lt;6,0.8*3.5*3.6&lt;'Verwerken ventilatie'!H10*'Invoer Ventilatie'!E5/'Invoer Ventilatie'!G5),'Invoer Ventilatie'!E5*'Verwerken ventilatie'!H10,3.5*'Invoer Ventilatie'!G5*3.6)))</f>
        <v>0</v>
      </c>
      <c r="G5" s="392"/>
      <c r="H5" s="373"/>
      <c r="I5" s="373"/>
      <c r="J5" s="370"/>
      <c r="K5" s="373"/>
      <c r="L5" s="379"/>
      <c r="M5" s="371" t="s">
        <v>677</v>
      </c>
      <c r="N5" s="373"/>
    </row>
    <row r="6" spans="1:14" ht="15" customHeight="1" x14ac:dyDescent="0.2">
      <c r="A6" s="376"/>
      <c r="B6" s="372"/>
      <c r="C6" s="372"/>
      <c r="D6" s="373"/>
      <c r="E6" s="434">
        <f>IF('Verwerken ventilatie'!B11=3,20*G6,IF('Verwerken ventilatie'!B11=4,15*G6,IF('Verwerken ventilatie'!B11=5,10*G6,0)))</f>
        <v>0</v>
      </c>
      <c r="F6" s="377">
        <f>IF('Verwerken ventilatie'!B11=1,0,IF('Verwerken ventilatie'!B11=6,0.8*1.5*3.5*G6*3.6,IF(AND('Verwerken ventilatie'!B11&gt;1,'Verwerken ventilatie'!B11&lt;6,0.8*3.5*3.6&lt;'Verwerken ventilatie'!H11*'Invoer Ventilatie'!E6/'Invoer Ventilatie'!G6),'Invoer Ventilatie'!E6*'Verwerken ventilatie'!H11,3.5*'Invoer Ventilatie'!G6*3.6)))</f>
        <v>0</v>
      </c>
      <c r="G6" s="392"/>
      <c r="H6" s="373"/>
      <c r="I6" s="373"/>
      <c r="J6" s="370"/>
      <c r="K6" s="373"/>
      <c r="L6" s="373"/>
      <c r="M6" s="373"/>
      <c r="N6" s="373"/>
    </row>
    <row r="7" spans="1:14" ht="15" customHeight="1" x14ac:dyDescent="0.2">
      <c r="A7" s="376"/>
      <c r="B7" s="373"/>
      <c r="C7" s="373"/>
      <c r="D7" s="373"/>
      <c r="E7" s="434">
        <f>IF('Verwerken ventilatie'!B12=3,20*G7,IF('Verwerken ventilatie'!B12=4,15*G7,IF('Verwerken ventilatie'!B12=5,10*G7,0)))</f>
        <v>0</v>
      </c>
      <c r="F7" s="377">
        <f>IF('Verwerken ventilatie'!B12=1,0,IF('Verwerken ventilatie'!B12=6,0.8*1.5*3.5*G7*3.6,IF(AND('Verwerken ventilatie'!B12&gt;1,'Verwerken ventilatie'!B12&lt;6,0.8*3.5*3.6&lt;'Verwerken ventilatie'!H12*'Invoer Ventilatie'!E7/'Invoer Ventilatie'!G7),'Invoer Ventilatie'!E7*'Verwerken ventilatie'!H12,3.5*'Invoer Ventilatie'!G7*3.6)))</f>
        <v>0</v>
      </c>
      <c r="G7" s="392"/>
      <c r="H7" s="373"/>
      <c r="I7" s="373"/>
      <c r="J7" s="370"/>
      <c r="K7" s="373"/>
      <c r="L7" s="373"/>
      <c r="M7" s="373"/>
      <c r="N7" s="373"/>
    </row>
    <row r="8" spans="1:14" ht="15" customHeight="1" x14ac:dyDescent="0.2">
      <c r="A8" s="376"/>
      <c r="B8" s="373"/>
      <c r="C8" s="373"/>
      <c r="D8" s="373"/>
      <c r="E8" s="434">
        <f>IF('Verwerken ventilatie'!B13=3,20*G8,IF('Verwerken ventilatie'!B13=4,15*G8,IF('Verwerken ventilatie'!B13=5,10*G8,0)))</f>
        <v>0</v>
      </c>
      <c r="F8" s="377">
        <f>IF('Verwerken ventilatie'!B13=1,0,IF('Verwerken ventilatie'!B13=6,0.8*1.5*3.5*G8*3.6,IF(AND('Verwerken ventilatie'!B13&gt;1,'Verwerken ventilatie'!B13&lt;6,0.8*3.5*3.6&lt;'Verwerken ventilatie'!H13*'Invoer Ventilatie'!E8/'Invoer Ventilatie'!G8),'Invoer Ventilatie'!E8*'Verwerken ventilatie'!H13,3.5*'Invoer Ventilatie'!G8*3.6)))</f>
        <v>0</v>
      </c>
      <c r="G8" s="392"/>
      <c r="H8" s="373"/>
      <c r="I8" s="373"/>
      <c r="J8" s="370"/>
      <c r="K8" s="373"/>
      <c r="L8" s="373"/>
      <c r="M8" s="373"/>
      <c r="N8" s="373"/>
    </row>
    <row r="9" spans="1:14" ht="15" customHeight="1" x14ac:dyDescent="0.2">
      <c r="A9" s="376"/>
      <c r="B9" s="373"/>
      <c r="C9" s="373"/>
      <c r="D9" s="373"/>
      <c r="E9" s="434">
        <f>IF('Verwerken ventilatie'!B14=3,20*G9,IF('Verwerken ventilatie'!B14=4,15*G9,IF('Verwerken ventilatie'!B14=5,10*G9,0)))</f>
        <v>0</v>
      </c>
      <c r="F9" s="377">
        <f>IF('Verwerken ventilatie'!B14=1,0,IF('Verwerken ventilatie'!B14=6,0.8*1.5*3.5*G9*3.6,IF(AND('Verwerken ventilatie'!B14&gt;1,'Verwerken ventilatie'!B14&lt;6,0.8*3.5*3.6&lt;'Verwerken ventilatie'!H14*'Invoer Ventilatie'!E9/'Invoer Ventilatie'!G9),'Invoer Ventilatie'!E9*'Verwerken ventilatie'!H14,3.5*'Invoer Ventilatie'!G9*3.6)))</f>
        <v>0</v>
      </c>
      <c r="G9" s="392"/>
      <c r="H9" s="373"/>
      <c r="I9" s="373"/>
      <c r="J9" s="370"/>
      <c r="K9" s="373"/>
      <c r="L9" s="373"/>
      <c r="M9" s="373"/>
      <c r="N9" s="373"/>
    </row>
    <row r="10" spans="1:14" ht="15" customHeight="1" x14ac:dyDescent="0.2">
      <c r="A10" s="380" t="s">
        <v>645</v>
      </c>
      <c r="B10" s="373"/>
      <c r="C10" s="373"/>
      <c r="D10" s="373"/>
      <c r="E10" s="434">
        <f>IF('Verwerken ventilatie'!B15=3,20*G10,IF('Verwerken ventilatie'!B15=4,15*G10,IF('Verwerken ventilatie'!B15=5,10*G10,0)))</f>
        <v>0</v>
      </c>
      <c r="F10" s="377">
        <f>IF('Verwerken ventilatie'!B15=1,0,IF('Verwerken ventilatie'!B15=6,0.8*1.5*3.5*G10*3.6,IF(AND('Verwerken ventilatie'!B15&gt;1,'Verwerken ventilatie'!B15&lt;6,0.8*3.5*3.6&lt;'Verwerken ventilatie'!H15*'Invoer Ventilatie'!E10/'Invoer Ventilatie'!G10),'Invoer Ventilatie'!E10*'Verwerken ventilatie'!H15,3.5*'Invoer Ventilatie'!G10*3.6)))</f>
        <v>0</v>
      </c>
      <c r="G10" s="392"/>
      <c r="H10" s="373"/>
      <c r="I10" s="373"/>
      <c r="J10" s="370"/>
      <c r="K10" s="373"/>
      <c r="L10" s="373"/>
      <c r="M10" s="373"/>
      <c r="N10" s="373"/>
    </row>
    <row r="11" spans="1:14" ht="15" customHeight="1" x14ac:dyDescent="0.2">
      <c r="A11" s="380" t="s">
        <v>94</v>
      </c>
      <c r="B11" s="373"/>
      <c r="C11" s="373"/>
      <c r="D11" s="373"/>
      <c r="E11" s="434">
        <f>IF('Verwerken ventilatie'!B16=3,20*G11,IF('Verwerken ventilatie'!B16=4,15*G11,IF('Verwerken ventilatie'!B16=5,10*G11,0)))</f>
        <v>0</v>
      </c>
      <c r="F11" s="377">
        <f>IF('Verwerken ventilatie'!B16=1,0,IF('Verwerken ventilatie'!B16=6,0.8*1.5*3.5*G11*3.6,IF(AND('Verwerken ventilatie'!B16&gt;1,'Verwerken ventilatie'!B16&lt;6,0.8*3.5*3.6&lt;'Verwerken ventilatie'!H16*'Invoer Ventilatie'!E11/'Invoer Ventilatie'!G11),'Invoer Ventilatie'!E11*'Verwerken ventilatie'!H16,3.5*'Invoer Ventilatie'!G11*3.6)))</f>
        <v>0</v>
      </c>
      <c r="G11" s="392"/>
      <c r="H11" s="373"/>
      <c r="I11" s="373"/>
      <c r="J11" s="370"/>
      <c r="K11" s="373"/>
      <c r="L11" s="373"/>
      <c r="M11" s="373"/>
      <c r="N11" s="373"/>
    </row>
    <row r="12" spans="1:14" ht="15" customHeight="1" x14ac:dyDescent="0.2">
      <c r="A12" s="380" t="s">
        <v>323</v>
      </c>
      <c r="B12" s="373"/>
      <c r="C12" s="373"/>
      <c r="D12" s="373"/>
      <c r="E12" s="434">
        <f>IF('Verwerken ventilatie'!B17=3,20*G12,IF('Verwerken ventilatie'!B17=4,15*G12,IF('Verwerken ventilatie'!B17=5,10*G12,0)))</f>
        <v>0</v>
      </c>
      <c r="F12" s="377">
        <f>IF('Verwerken ventilatie'!B17=1,0,IF('Verwerken ventilatie'!B17=6,0.8*1.5*3.5*G12*3.6,IF(AND('Verwerken ventilatie'!B17&gt;1,'Verwerken ventilatie'!B17&lt;6,0.8*3.5*3.6&lt;'Verwerken ventilatie'!H17*'Invoer Ventilatie'!E12/'Invoer Ventilatie'!G12),'Invoer Ventilatie'!E12*'Verwerken ventilatie'!H17,3.5*'Invoer Ventilatie'!G12*3.6)))</f>
        <v>0</v>
      </c>
      <c r="G12" s="392"/>
      <c r="H12" s="373"/>
      <c r="I12" s="373"/>
      <c r="J12" s="370"/>
      <c r="K12" s="373"/>
      <c r="L12" s="373"/>
      <c r="M12" s="373"/>
      <c r="N12" s="373"/>
    </row>
    <row r="13" spans="1:14" ht="15" customHeight="1" x14ac:dyDescent="0.2">
      <c r="A13" s="380" t="s">
        <v>328</v>
      </c>
      <c r="B13" s="373"/>
      <c r="C13" s="373"/>
      <c r="D13" s="373"/>
      <c r="E13" s="434">
        <f>IF('Verwerken ventilatie'!B18=3,20*G13,IF('Verwerken ventilatie'!B18=4,15*G13,IF('Verwerken ventilatie'!B18=5,10*G13,0)))</f>
        <v>0</v>
      </c>
      <c r="F13" s="377">
        <f>IF('Verwerken ventilatie'!B18=1,0,IF('Verwerken ventilatie'!B18=6,0.8*1.5*3.5*G13*3.6,IF(AND('Verwerken ventilatie'!B18&gt;1,'Verwerken ventilatie'!B18&lt;6,0.8*3.5*3.6&lt;'Verwerken ventilatie'!H18*'Invoer Ventilatie'!E13/'Invoer Ventilatie'!G13),'Invoer Ventilatie'!E13*'Verwerken ventilatie'!H18,3.5*'Invoer Ventilatie'!G13*3.6)))</f>
        <v>0</v>
      </c>
      <c r="G13" s="392"/>
      <c r="H13" s="373"/>
      <c r="I13" s="373"/>
      <c r="J13" s="370"/>
      <c r="K13" s="373"/>
      <c r="L13" s="373"/>
      <c r="M13" s="373"/>
      <c r="N13" s="373"/>
    </row>
    <row r="14" spans="1:14" ht="15" customHeight="1" x14ac:dyDescent="0.2">
      <c r="A14" s="380" t="s">
        <v>327</v>
      </c>
      <c r="B14" s="373"/>
      <c r="C14" s="373"/>
      <c r="D14" s="373"/>
      <c r="E14" s="434">
        <f>IF('Verwerken ventilatie'!B19=3,20*G14,IF('Verwerken ventilatie'!B19=4,15*G14,IF('Verwerken ventilatie'!B19=5,10*G14,0)))</f>
        <v>0</v>
      </c>
      <c r="F14" s="377">
        <f>IF('Verwerken ventilatie'!B19=1,0,IF('Verwerken ventilatie'!B19=6,0.8*1.5*3.5*G14*3.6,IF(AND('Verwerken ventilatie'!B19&gt;1,'Verwerken ventilatie'!B19&lt;6,0.8*3.5*3.6&lt;'Verwerken ventilatie'!H19*'Invoer Ventilatie'!E14/'Invoer Ventilatie'!G14),'Invoer Ventilatie'!E14*'Verwerken ventilatie'!H19,3.5*'Invoer Ventilatie'!G14*3.6)))</f>
        <v>0</v>
      </c>
      <c r="G14" s="392"/>
      <c r="H14" s="372"/>
      <c r="I14" s="373"/>
      <c r="J14" s="370"/>
      <c r="K14" s="373"/>
      <c r="L14" s="373"/>
      <c r="M14" s="373"/>
      <c r="N14" s="373"/>
    </row>
    <row r="15" spans="1:14" ht="11.25" customHeight="1" x14ac:dyDescent="0.2">
      <c r="A15" s="373"/>
      <c r="B15" s="373"/>
      <c r="C15" s="373"/>
      <c r="D15" s="373"/>
      <c r="E15" s="373"/>
      <c r="F15" s="373"/>
      <c r="G15" s="372"/>
      <c r="H15" s="372"/>
      <c r="I15" s="373"/>
      <c r="J15" s="373"/>
      <c r="K15" s="383" t="s">
        <v>984</v>
      </c>
      <c r="L15" s="373"/>
      <c r="M15" s="373"/>
      <c r="N15" s="373"/>
    </row>
    <row r="16" spans="1:14" ht="15" customHeight="1" x14ac:dyDescent="0.2">
      <c r="A16" s="381" t="s">
        <v>742</v>
      </c>
      <c r="B16" s="373"/>
      <c r="C16" s="373"/>
      <c r="D16" s="373"/>
      <c r="E16" s="373"/>
      <c r="F16" s="608" t="s">
        <v>1033</v>
      </c>
      <c r="G16" s="606" t="s">
        <v>985</v>
      </c>
      <c r="H16" s="373"/>
      <c r="I16" s="373"/>
      <c r="J16" s="373"/>
      <c r="K16" s="383"/>
      <c r="L16" s="373"/>
      <c r="M16" s="373"/>
      <c r="N16" s="373"/>
    </row>
    <row r="17" spans="1:15" ht="23.25" customHeight="1" x14ac:dyDescent="0.2">
      <c r="A17" s="371" t="s">
        <v>34</v>
      </c>
      <c r="B17" s="371" t="s">
        <v>218</v>
      </c>
      <c r="C17" s="371" t="s">
        <v>663</v>
      </c>
      <c r="D17" s="371" t="s">
        <v>113</v>
      </c>
      <c r="E17" s="375" t="s">
        <v>473</v>
      </c>
      <c r="F17" s="609"/>
      <c r="G17" s="607"/>
      <c r="H17" s="375" t="s">
        <v>470</v>
      </c>
      <c r="I17" s="371" t="s">
        <v>464</v>
      </c>
      <c r="J17" s="384" t="s">
        <v>982</v>
      </c>
      <c r="K17" s="384" t="s">
        <v>983</v>
      </c>
      <c r="L17" s="382" t="s">
        <v>646</v>
      </c>
      <c r="M17" s="382" t="s">
        <v>647</v>
      </c>
      <c r="N17" s="382"/>
      <c r="O17" s="397"/>
    </row>
    <row r="18" spans="1:15" ht="15" customHeight="1" x14ac:dyDescent="0.2">
      <c r="A18" s="385">
        <f>A3</f>
        <v>0</v>
      </c>
      <c r="B18" s="372"/>
      <c r="C18" s="372"/>
      <c r="D18" s="373"/>
      <c r="E18" s="434">
        <f>IF('Verwerken ventilatie'!AK8=3,20*G18,IF('Verwerken ventilatie'!AK8=4,15*G18,IF('Verwerken ventilatie'!AK8=5,10*G18,0)))</f>
        <v>0</v>
      </c>
      <c r="F18" s="377">
        <f>IF('Verwerken ventilatie'!AK8=1,0,IF('Verwerken ventilatie'!AK8=6,0.8*1.5*3.5*G18*3.6,IF(AND('Verwerken ventilatie'!AK8&gt;1,'Verwerken ventilatie'!AK8&lt;6,0.8*3.5*3.6&lt;'Verwerken ventilatie'!AQ8*'Invoer Ventilatie'!E18/'Invoer Ventilatie'!G18),'Invoer Ventilatie'!E18*'Verwerken ventilatie'!AQ8,3.5*'Invoer Ventilatie'!G18*3.6)))</f>
        <v>0</v>
      </c>
      <c r="G18" s="399">
        <f t="shared" ref="G18:G29" si="0">G3</f>
        <v>0</v>
      </c>
      <c r="H18" s="373"/>
      <c r="I18" s="373"/>
      <c r="J18" s="373"/>
      <c r="K18" s="398">
        <v>0</v>
      </c>
      <c r="L18" s="393">
        <f>K18*IF('Verwerken ventilatie'!AL8=5,'Kosten kengetallen'!$B$54,IF('Verwerken ventilatie'!AK8=2,'Invoer Ventilatie'!E18*12,IF('Verwerken ventilatie'!AK8=3,'Kosten kengetallen'!$B$55,IF('Verwerken ventilatie'!AK8=4,'Kosten kengetallen'!$B$54,IF('Verwerken ventilatie'!AK8=5,'Kosten kengetallen'!$B$53,IF('Verwerken ventilatie'!AK8=6,'Kosten kengetallen'!$B$54))))))</f>
        <v>0</v>
      </c>
      <c r="M18" s="434">
        <f>L18</f>
        <v>0</v>
      </c>
      <c r="N18" s="373"/>
    </row>
    <row r="19" spans="1:15" ht="15" customHeight="1" x14ac:dyDescent="0.2">
      <c r="A19" s="385">
        <f t="shared" ref="A19:A24" si="1">A4</f>
        <v>0</v>
      </c>
      <c r="B19" s="372"/>
      <c r="C19" s="372"/>
      <c r="D19" s="373"/>
      <c r="E19" s="434">
        <f>IF('Verwerken ventilatie'!AK9=3,20*G19,IF('Verwerken ventilatie'!AK9=4,15*G19,IF('Verwerken ventilatie'!AK9=5,10*G19,0)))</f>
        <v>0</v>
      </c>
      <c r="F19" s="377">
        <f>IF('Verwerken ventilatie'!AK9=1,0,IF('Verwerken ventilatie'!AK9=6,0.8*1.5*3.5*G19*3.6,IF(AND('Verwerken ventilatie'!AK9&gt;1,'Verwerken ventilatie'!AK9&lt;6,0.8*3.5*3.6&lt;'Verwerken ventilatie'!AQ9*'Invoer Ventilatie'!E19/'Invoer Ventilatie'!G19),'Invoer Ventilatie'!E19*'Verwerken ventilatie'!AQ9,3.5*'Invoer Ventilatie'!G19*3.6)))</f>
        <v>0</v>
      </c>
      <c r="G19" s="399">
        <f t="shared" si="0"/>
        <v>0</v>
      </c>
      <c r="H19" s="373"/>
      <c r="I19" s="373"/>
      <c r="J19" s="373"/>
      <c r="K19" s="398">
        <v>0</v>
      </c>
      <c r="L19" s="393">
        <f>K19*IF('Verwerken ventilatie'!AL9=5,'Kosten kengetallen'!$B$54,IF('Verwerken ventilatie'!AK9=2,'Invoer Ventilatie'!E19*12,IF('Verwerken ventilatie'!AK9=3,'Kosten kengetallen'!$B$55,IF('Verwerken ventilatie'!AK9=4,'Kosten kengetallen'!$B$54,IF('Verwerken ventilatie'!AK9=5,'Kosten kengetallen'!$B$53,IF('Verwerken ventilatie'!AK9=6,'Kosten kengetallen'!$B$54))))))</f>
        <v>0</v>
      </c>
      <c r="M19" s="434">
        <f t="shared" ref="M19:M29" si="2">L19</f>
        <v>0</v>
      </c>
      <c r="N19" s="373"/>
    </row>
    <row r="20" spans="1:15" ht="15" customHeight="1" x14ac:dyDescent="0.2">
      <c r="A20" s="385">
        <f t="shared" si="1"/>
        <v>0</v>
      </c>
      <c r="B20" s="372"/>
      <c r="C20" s="372"/>
      <c r="D20" s="373"/>
      <c r="E20" s="434">
        <f>IF('Verwerken ventilatie'!AK10=3,20*G20,IF('Verwerken ventilatie'!AK10=4,15*G20,IF('Verwerken ventilatie'!AK10=5,10*G20,0)))</f>
        <v>0</v>
      </c>
      <c r="F20" s="377">
        <f>IF('Verwerken ventilatie'!AK10=1,0,IF('Verwerken ventilatie'!AK10=6,0.8*1.5*3.5*G20*3.6,IF(AND('Verwerken ventilatie'!AK10&gt;1,'Verwerken ventilatie'!AK10&lt;6,0.8*3.5*3.6&lt;'Verwerken ventilatie'!AQ10*'Invoer Ventilatie'!E20/'Invoer Ventilatie'!G20),'Invoer Ventilatie'!E20*'Verwerken ventilatie'!AQ10,3.5*'Invoer Ventilatie'!G20*3.6)))</f>
        <v>0</v>
      </c>
      <c r="G20" s="399">
        <f t="shared" si="0"/>
        <v>0</v>
      </c>
      <c r="H20" s="373"/>
      <c r="I20" s="373"/>
      <c r="J20" s="373"/>
      <c r="K20" s="398">
        <v>0</v>
      </c>
      <c r="L20" s="393">
        <f>K20*IF('Verwerken ventilatie'!AL10=5,'Kosten kengetallen'!$B$54,IF('Verwerken ventilatie'!AK10=2,'Invoer Ventilatie'!E20*12,IF('Verwerken ventilatie'!AK10=3,'Kosten kengetallen'!$B$55,IF('Verwerken ventilatie'!AK10=4,'Kosten kengetallen'!$B$54,IF('Verwerken ventilatie'!AK10=5,'Kosten kengetallen'!$B$53,IF('Verwerken ventilatie'!AK10=6,'Kosten kengetallen'!$B$54))))))</f>
        <v>0</v>
      </c>
      <c r="M20" s="434">
        <f t="shared" si="2"/>
        <v>0</v>
      </c>
      <c r="N20" s="373"/>
    </row>
    <row r="21" spans="1:15" ht="15" customHeight="1" x14ac:dyDescent="0.2">
      <c r="A21" s="385">
        <f t="shared" si="1"/>
        <v>0</v>
      </c>
      <c r="B21" s="372"/>
      <c r="C21" s="372"/>
      <c r="D21" s="373"/>
      <c r="E21" s="434">
        <f>IF('Verwerken ventilatie'!AK11=3,20*G21,IF('Verwerken ventilatie'!AK11=4,15*G21,IF('Verwerken ventilatie'!AK11=5,10*G21,0)))</f>
        <v>0</v>
      </c>
      <c r="F21" s="377">
        <f>IF('Verwerken ventilatie'!AK11=1,0,IF('Verwerken ventilatie'!AK11=6,0.8*1.5*3.5*G21*3.6,IF(AND('Verwerken ventilatie'!AK11&gt;1,'Verwerken ventilatie'!AK11&lt;6,0.8*3.5*3.6&lt;'Verwerken ventilatie'!AQ11*'Invoer Ventilatie'!E21/'Invoer Ventilatie'!G21),'Invoer Ventilatie'!E21*'Verwerken ventilatie'!AQ11,3.5*'Invoer Ventilatie'!G21*3.6)))</f>
        <v>0</v>
      </c>
      <c r="G21" s="399">
        <f t="shared" si="0"/>
        <v>0</v>
      </c>
      <c r="H21" s="373"/>
      <c r="I21" s="373"/>
      <c r="J21" s="373"/>
      <c r="K21" s="398">
        <v>0</v>
      </c>
      <c r="L21" s="393">
        <f>K21*IF('Verwerken ventilatie'!AL11=5,'Kosten kengetallen'!$B$54,IF('Verwerken ventilatie'!AK11=2,'Invoer Ventilatie'!E21*12,IF('Verwerken ventilatie'!AK11=3,'Kosten kengetallen'!$B$55,IF('Verwerken ventilatie'!AK11=4,'Kosten kengetallen'!$B$54,IF('Verwerken ventilatie'!AK11=5,'Kosten kengetallen'!$B$53,IF('Verwerken ventilatie'!AK11=6,'Kosten kengetallen'!$B$54))))))</f>
        <v>0</v>
      </c>
      <c r="M21" s="434">
        <f t="shared" si="2"/>
        <v>0</v>
      </c>
      <c r="N21" s="373"/>
    </row>
    <row r="22" spans="1:15" ht="15" customHeight="1" x14ac:dyDescent="0.2">
      <c r="A22" s="385">
        <f t="shared" si="1"/>
        <v>0</v>
      </c>
      <c r="B22" s="373"/>
      <c r="C22" s="373"/>
      <c r="D22" s="373"/>
      <c r="E22" s="434">
        <f>IF('Verwerken ventilatie'!AK12=3,20*G22,IF('Verwerken ventilatie'!AK12=4,15*G22,IF('Verwerken ventilatie'!AK12=5,10*G22,0)))</f>
        <v>0</v>
      </c>
      <c r="F22" s="377">
        <f>IF('Verwerken ventilatie'!AK12=1,0,IF('Verwerken ventilatie'!AK12=6,0.8*1.5*3.5*G22*3.6,IF(AND('Verwerken ventilatie'!AK12&gt;1,'Verwerken ventilatie'!AK12&lt;6,0.8*3.5*3.6&lt;'Verwerken ventilatie'!AQ12*'Invoer Ventilatie'!E22/'Invoer Ventilatie'!G22),'Invoer Ventilatie'!E22*'Verwerken ventilatie'!AQ12,3.5*'Invoer Ventilatie'!G22*3.6)))</f>
        <v>0</v>
      </c>
      <c r="G22" s="399">
        <f t="shared" si="0"/>
        <v>0</v>
      </c>
      <c r="H22" s="373"/>
      <c r="I22" s="373"/>
      <c r="J22" s="373"/>
      <c r="K22" s="398">
        <v>0</v>
      </c>
      <c r="L22" s="393">
        <f>K22*IF('Verwerken ventilatie'!AL12=5,'Kosten kengetallen'!$B$54,IF('Verwerken ventilatie'!AK12=2,'Invoer Ventilatie'!E22*12,IF('Verwerken ventilatie'!AK12=3,'Kosten kengetallen'!$B$55,IF('Verwerken ventilatie'!AK12=4,'Kosten kengetallen'!$B$54,IF('Verwerken ventilatie'!AK12=5,'Kosten kengetallen'!$B$53,IF('Verwerken ventilatie'!AK12=6,'Kosten kengetallen'!$B$54))))))</f>
        <v>0</v>
      </c>
      <c r="M22" s="434">
        <f t="shared" si="2"/>
        <v>0</v>
      </c>
      <c r="N22" s="373"/>
    </row>
    <row r="23" spans="1:15" ht="15" customHeight="1" x14ac:dyDescent="0.2">
      <c r="A23" s="385">
        <f t="shared" si="1"/>
        <v>0</v>
      </c>
      <c r="B23" s="373"/>
      <c r="C23" s="373"/>
      <c r="D23" s="373"/>
      <c r="E23" s="434">
        <f>IF('Verwerken ventilatie'!AK13=3,20*G23,IF('Verwerken ventilatie'!AK13=4,15*G23,IF('Verwerken ventilatie'!AK13=5,10*G23,0)))</f>
        <v>0</v>
      </c>
      <c r="F23" s="377">
        <f>IF('Verwerken ventilatie'!AK13=1,0,IF('Verwerken ventilatie'!AK13=6,0.8*1.5*3.5*G23*3.6,IF(AND('Verwerken ventilatie'!AK13&gt;1,'Verwerken ventilatie'!AK13&lt;6,0.8*3.5*3.6&lt;'Verwerken ventilatie'!AQ13*'Invoer Ventilatie'!E23/'Invoer Ventilatie'!G23),'Invoer Ventilatie'!E23*'Verwerken ventilatie'!AQ13,3.5*'Invoer Ventilatie'!G23*3.6)))</f>
        <v>0</v>
      </c>
      <c r="G23" s="399">
        <f t="shared" si="0"/>
        <v>0</v>
      </c>
      <c r="H23" s="373"/>
      <c r="I23" s="373"/>
      <c r="J23" s="373"/>
      <c r="K23" s="398">
        <v>0</v>
      </c>
      <c r="L23" s="393">
        <f>K23*IF('Verwerken ventilatie'!AL13=5,'Kosten kengetallen'!$B$54,IF('Verwerken ventilatie'!AK13=2,'Invoer Ventilatie'!E23*12,IF('Verwerken ventilatie'!AK13=3,'Kosten kengetallen'!$B$55,IF('Verwerken ventilatie'!AK13=4,'Kosten kengetallen'!$B$54,IF('Verwerken ventilatie'!AK13=5,'Kosten kengetallen'!$B$53,IF('Verwerken ventilatie'!AK13=6,'Kosten kengetallen'!$B$54))))))</f>
        <v>0</v>
      </c>
      <c r="M23" s="434">
        <f t="shared" si="2"/>
        <v>0</v>
      </c>
      <c r="N23" s="373"/>
    </row>
    <row r="24" spans="1:15" ht="15" customHeight="1" x14ac:dyDescent="0.2">
      <c r="A24" s="385">
        <f t="shared" si="1"/>
        <v>0</v>
      </c>
      <c r="B24" s="373"/>
      <c r="C24" s="373"/>
      <c r="D24" s="373"/>
      <c r="E24" s="434">
        <f>IF('Verwerken ventilatie'!AK14=3,20*G24,IF('Verwerken ventilatie'!AK14=4,15*G24,IF('Verwerken ventilatie'!AK14=5,10*G24,0)))</f>
        <v>0</v>
      </c>
      <c r="F24" s="377">
        <f>IF('Verwerken ventilatie'!AK14=1,0,IF('Verwerken ventilatie'!AK14=6,0.8*1.5*3.5*G24*3.6,IF(AND('Verwerken ventilatie'!AK14&gt;1,'Verwerken ventilatie'!AK14&lt;6,0.8*3.5*3.6&lt;'Verwerken ventilatie'!AQ14*'Invoer Ventilatie'!E24/'Invoer Ventilatie'!G24),'Invoer Ventilatie'!E24*'Verwerken ventilatie'!AQ14,3.5*'Invoer Ventilatie'!G24*3.6)))</f>
        <v>0</v>
      </c>
      <c r="G24" s="399">
        <f t="shared" si="0"/>
        <v>0</v>
      </c>
      <c r="H24" s="373"/>
      <c r="I24" s="373"/>
      <c r="J24" s="373"/>
      <c r="K24" s="398">
        <v>0</v>
      </c>
      <c r="L24" s="393">
        <f>K24*IF('Verwerken ventilatie'!AL14=5,'Kosten kengetallen'!$B$54,IF('Verwerken ventilatie'!AK14=2,'Invoer Ventilatie'!E24*12,IF('Verwerken ventilatie'!AK14=3,'Kosten kengetallen'!$B$55,IF('Verwerken ventilatie'!AK14=4,'Kosten kengetallen'!$B$54,IF('Verwerken ventilatie'!AK14=5,'Kosten kengetallen'!$B$53,IF('Verwerken ventilatie'!AK14=6,'Kosten kengetallen'!$B$54))))))</f>
        <v>0</v>
      </c>
      <c r="M24" s="434">
        <f t="shared" si="2"/>
        <v>0</v>
      </c>
      <c r="N24" s="373"/>
    </row>
    <row r="25" spans="1:15" ht="15" customHeight="1" x14ac:dyDescent="0.2">
      <c r="A25" s="380" t="s">
        <v>645</v>
      </c>
      <c r="B25" s="373"/>
      <c r="C25" s="373"/>
      <c r="D25" s="373"/>
      <c r="E25" s="434">
        <f>IF('Verwerken ventilatie'!AK15=3,20*G25,IF('Verwerken ventilatie'!AK15=4,15*G25,IF('Verwerken ventilatie'!AK15=5,10*G25,0)))</f>
        <v>0</v>
      </c>
      <c r="F25" s="377">
        <f>IF('Verwerken ventilatie'!AK15=1,0,IF('Verwerken ventilatie'!AK15=6,0.8*1.5*3.5*G25*3.6,IF(AND('Verwerken ventilatie'!AK15&gt;1,'Verwerken ventilatie'!AK15&lt;6,0.8*3.5*3.6&lt;'Verwerken ventilatie'!AQ15*'Invoer Ventilatie'!E25/'Invoer Ventilatie'!G25),'Invoer Ventilatie'!E25*'Verwerken ventilatie'!AQ15,3.5*'Invoer Ventilatie'!G25*3.6)))</f>
        <v>0</v>
      </c>
      <c r="G25" s="399">
        <f t="shared" si="0"/>
        <v>0</v>
      </c>
      <c r="H25" s="373"/>
      <c r="I25" s="373"/>
      <c r="J25" s="373"/>
      <c r="K25" s="398">
        <v>0</v>
      </c>
      <c r="L25" s="393">
        <f>K25*IF('Verwerken ventilatie'!AL15=5,'Kosten kengetallen'!$B$54,IF('Verwerken ventilatie'!AK15=2,'Invoer Ventilatie'!E25*12,IF('Verwerken ventilatie'!AK15=3,'Kosten kengetallen'!$B$55,IF('Verwerken ventilatie'!AK15=4,'Kosten kengetallen'!$B$54,IF('Verwerken ventilatie'!AK15=5,'Kosten kengetallen'!$B$53,IF('Verwerken ventilatie'!AK15=6,'Kosten kengetallen'!$B$54))))))</f>
        <v>0</v>
      </c>
      <c r="M25" s="434">
        <f t="shared" si="2"/>
        <v>0</v>
      </c>
      <c r="N25" s="373"/>
    </row>
    <row r="26" spans="1:15" ht="15" customHeight="1" x14ac:dyDescent="0.2">
      <c r="A26" s="380" t="s">
        <v>94</v>
      </c>
      <c r="B26" s="373"/>
      <c r="C26" s="373"/>
      <c r="D26" s="373"/>
      <c r="E26" s="434">
        <f>IF('Verwerken ventilatie'!AK16=3,20*G26,IF('Verwerken ventilatie'!AK16=4,15*G26,IF('Verwerken ventilatie'!AK16=5,10*G26,0)))</f>
        <v>0</v>
      </c>
      <c r="F26" s="377">
        <f>IF('Verwerken ventilatie'!AK16=1,0,IF('Verwerken ventilatie'!AK16=6,0.8*1.5*3.5*G26*3.6,IF(AND('Verwerken ventilatie'!AK16&gt;1,'Verwerken ventilatie'!AK16&lt;6,0.8*3.5*3.6&lt;'Verwerken ventilatie'!AQ16*'Invoer Ventilatie'!E26/'Invoer Ventilatie'!G26),'Invoer Ventilatie'!E26*'Verwerken ventilatie'!AQ16,3.5*'Invoer Ventilatie'!G26*3.6)))</f>
        <v>0</v>
      </c>
      <c r="G26" s="399">
        <f t="shared" si="0"/>
        <v>0</v>
      </c>
      <c r="H26" s="373"/>
      <c r="I26" s="373"/>
      <c r="J26" s="373"/>
      <c r="K26" s="398">
        <v>0</v>
      </c>
      <c r="L26" s="393">
        <f>K26*IF('Verwerken ventilatie'!AL16=5,'Kosten kengetallen'!$B$54,IF('Verwerken ventilatie'!AK16=2,'Invoer Ventilatie'!E26*12,IF('Verwerken ventilatie'!AK16=3,'Kosten kengetallen'!$B$55,IF('Verwerken ventilatie'!AK16=4,'Kosten kengetallen'!$B$54,IF('Verwerken ventilatie'!AK16=5,'Kosten kengetallen'!$B$53,IF('Verwerken ventilatie'!AK16=6,'Kosten kengetallen'!$B$54))))))</f>
        <v>0</v>
      </c>
      <c r="M26" s="434">
        <f t="shared" si="2"/>
        <v>0</v>
      </c>
      <c r="N26" s="373"/>
    </row>
    <row r="27" spans="1:15" ht="15" customHeight="1" x14ac:dyDescent="0.2">
      <c r="A27" s="380" t="s">
        <v>323</v>
      </c>
      <c r="B27" s="373"/>
      <c r="C27" s="373"/>
      <c r="D27" s="373"/>
      <c r="E27" s="434">
        <f>IF('Verwerken ventilatie'!AK17=3,20*G27,IF('Verwerken ventilatie'!AK17=4,15*G27,IF('Verwerken ventilatie'!AK17=5,10*G27,0)))</f>
        <v>0</v>
      </c>
      <c r="F27" s="377">
        <f>IF('Verwerken ventilatie'!AK17=1,0,IF('Verwerken ventilatie'!AK17=6,0.8*1.5*3.5*G27*3.6,IF(AND('Verwerken ventilatie'!AK17&gt;1,'Verwerken ventilatie'!AK17&lt;6,0.8*3.5*3.6&lt;'Verwerken ventilatie'!AQ17*'Invoer Ventilatie'!E27/'Invoer Ventilatie'!G27),'Invoer Ventilatie'!E27*'Verwerken ventilatie'!AQ17,3.5*'Invoer Ventilatie'!G27*3.6)))</f>
        <v>0</v>
      </c>
      <c r="G27" s="399">
        <f t="shared" si="0"/>
        <v>0</v>
      </c>
      <c r="H27" s="373"/>
      <c r="I27" s="373"/>
      <c r="J27" s="373"/>
      <c r="K27" s="398">
        <v>0</v>
      </c>
      <c r="L27" s="393">
        <f>K27*IF('Verwerken ventilatie'!AL17=5,'Kosten kengetallen'!$B$54,IF('Verwerken ventilatie'!AK17=2,'Invoer Ventilatie'!E27*12,IF('Verwerken ventilatie'!AK17=3,'Kosten kengetallen'!$B$55,IF('Verwerken ventilatie'!AK17=4,'Kosten kengetallen'!$B$54,IF('Verwerken ventilatie'!AK17=5,'Kosten kengetallen'!$B$53,IF('Verwerken ventilatie'!AK17=6,'Kosten kengetallen'!$B$54))))))</f>
        <v>0</v>
      </c>
      <c r="M27" s="434">
        <f t="shared" si="2"/>
        <v>0</v>
      </c>
      <c r="N27" s="373"/>
    </row>
    <row r="28" spans="1:15" ht="15" customHeight="1" x14ac:dyDescent="0.2">
      <c r="A28" s="380" t="s">
        <v>328</v>
      </c>
      <c r="B28" s="373"/>
      <c r="C28" s="373"/>
      <c r="D28" s="373"/>
      <c r="E28" s="434">
        <f>IF('Verwerken ventilatie'!AK18=3,20*G28,IF('Verwerken ventilatie'!AK18=4,15*G28,IF('Verwerken ventilatie'!AK18=5,10*G28,0)))</f>
        <v>0</v>
      </c>
      <c r="F28" s="377">
        <f>IF('Verwerken ventilatie'!AK18=1,0,IF('Verwerken ventilatie'!AK18=6,0.8*1.5*3.5*G28*3.6,IF(AND('Verwerken ventilatie'!AK18&gt;1,'Verwerken ventilatie'!AK18&lt;6,0.8*3.5*3.6&lt;'Verwerken ventilatie'!AQ18*'Invoer Ventilatie'!E28/'Invoer Ventilatie'!G28),'Invoer Ventilatie'!E28*'Verwerken ventilatie'!AQ18,3.5*'Invoer Ventilatie'!G28*3.6)))</f>
        <v>0</v>
      </c>
      <c r="G28" s="399">
        <f t="shared" si="0"/>
        <v>0</v>
      </c>
      <c r="H28" s="373"/>
      <c r="I28" s="373"/>
      <c r="J28" s="373"/>
      <c r="K28" s="398">
        <v>0</v>
      </c>
      <c r="L28" s="393">
        <f>K28*IF('Verwerken ventilatie'!AL18=5,'Kosten kengetallen'!$B$54,IF('Verwerken ventilatie'!AK18=2,'Invoer Ventilatie'!E28*12,IF('Verwerken ventilatie'!AK18=3,'Kosten kengetallen'!$B$55,IF('Verwerken ventilatie'!AK18=4,'Kosten kengetallen'!$B$54,IF('Verwerken ventilatie'!AK18=5,'Kosten kengetallen'!$B$53,IF('Verwerken ventilatie'!AK18=6,'Kosten kengetallen'!$B$54))))))</f>
        <v>0</v>
      </c>
      <c r="M28" s="434">
        <f t="shared" si="2"/>
        <v>0</v>
      </c>
      <c r="N28" s="373"/>
    </row>
    <row r="29" spans="1:15" ht="15" customHeight="1" x14ac:dyDescent="0.2">
      <c r="A29" s="380" t="s">
        <v>327</v>
      </c>
      <c r="B29" s="373"/>
      <c r="C29" s="373"/>
      <c r="D29" s="373"/>
      <c r="E29" s="434">
        <f>IF('Verwerken ventilatie'!AK19=3,20*G29,IF('Verwerken ventilatie'!AK19=4,15*G29,IF('Verwerken ventilatie'!AK19=5,10*G29,0)))</f>
        <v>0</v>
      </c>
      <c r="F29" s="377">
        <f>IF('Verwerken ventilatie'!AK19=1,0,IF('Verwerken ventilatie'!AK19=6,0.8*1.5*3.5*G29*3.6,IF(AND('Verwerken ventilatie'!AK19&gt;1,'Verwerken ventilatie'!AK19&lt;6,0.8*3.5*3.6&lt;'Verwerken ventilatie'!AQ19*'Invoer Ventilatie'!E29/'Invoer Ventilatie'!G29),'Invoer Ventilatie'!E29*'Verwerken ventilatie'!AQ19,3.5*'Invoer Ventilatie'!G29*3.6)))</f>
        <v>0</v>
      </c>
      <c r="G29" s="399">
        <f t="shared" si="0"/>
        <v>0</v>
      </c>
      <c r="H29" s="372"/>
      <c r="I29" s="373"/>
      <c r="J29" s="373"/>
      <c r="K29" s="398">
        <v>0</v>
      </c>
      <c r="L29" s="393">
        <f>K29*IF('Verwerken ventilatie'!AL19=5,'Kosten kengetallen'!$B$54,IF('Verwerken ventilatie'!AK19=2,'Invoer Ventilatie'!E29*12,IF('Verwerken ventilatie'!AK19=3,'Kosten kengetallen'!$B$55,IF('Verwerken ventilatie'!AK19=4,'Kosten kengetallen'!$B$54,IF('Verwerken ventilatie'!AK19=5,'Kosten kengetallen'!$B$53,IF('Verwerken ventilatie'!AK19=6,'Kosten kengetallen'!$B$54))))))</f>
        <v>0</v>
      </c>
      <c r="M29" s="434">
        <f t="shared" si="2"/>
        <v>0</v>
      </c>
      <c r="N29" s="373"/>
    </row>
    <row r="30" spans="1:15" ht="12.75" customHeight="1" x14ac:dyDescent="0.2">
      <c r="A30" s="372"/>
      <c r="B30" s="372"/>
      <c r="C30" s="372"/>
      <c r="D30" s="372"/>
      <c r="E30" s="372"/>
      <c r="F30" s="372"/>
      <c r="G30" s="372"/>
      <c r="H30" s="372"/>
      <c r="I30" s="610" t="s">
        <v>684</v>
      </c>
      <c r="J30" s="610"/>
      <c r="K30" s="610"/>
      <c r="L30" s="372"/>
      <c r="M30" s="372"/>
      <c r="N30" s="372"/>
    </row>
    <row r="31" spans="1:15" x14ac:dyDescent="0.2">
      <c r="A31" s="372"/>
      <c r="B31" s="372"/>
      <c r="C31" s="372"/>
      <c r="D31" s="372"/>
      <c r="E31" s="372"/>
      <c r="F31" s="372"/>
      <c r="G31" s="372"/>
      <c r="H31" s="372"/>
      <c r="I31" s="610"/>
      <c r="J31" s="610"/>
      <c r="K31" s="610"/>
      <c r="L31" s="372"/>
      <c r="M31" s="372"/>
      <c r="N31" s="372"/>
    </row>
    <row r="32" spans="1:15" x14ac:dyDescent="0.2">
      <c r="A32" s="372"/>
      <c r="B32" s="372"/>
      <c r="C32" s="372"/>
      <c r="D32" s="372"/>
      <c r="E32" s="372"/>
      <c r="F32" s="372"/>
      <c r="G32" s="372"/>
      <c r="H32" s="372"/>
      <c r="I32" s="610"/>
      <c r="J32" s="610"/>
      <c r="K32" s="610"/>
      <c r="L32" s="372"/>
      <c r="M32" s="372"/>
      <c r="N32" s="372"/>
    </row>
    <row r="33" spans="1:14" x14ac:dyDescent="0.2">
      <c r="A33" s="372"/>
      <c r="B33" s="372"/>
      <c r="C33" s="372"/>
      <c r="D33" s="372"/>
      <c r="E33" s="372"/>
      <c r="F33" s="372"/>
      <c r="G33" s="372"/>
      <c r="H33" s="372"/>
      <c r="I33" s="610"/>
      <c r="J33" s="610"/>
      <c r="K33" s="610"/>
      <c r="L33" s="372"/>
      <c r="M33" s="372"/>
      <c r="N33" s="372"/>
    </row>
    <row r="34" spans="1:14" x14ac:dyDescent="0.2">
      <c r="A34" s="373"/>
      <c r="B34" s="373"/>
      <c r="C34" s="373"/>
      <c r="D34" s="373"/>
      <c r="E34" s="373"/>
      <c r="F34" s="373"/>
      <c r="G34" s="373"/>
      <c r="H34" s="373"/>
      <c r="I34" s="610"/>
      <c r="J34" s="610"/>
      <c r="K34" s="610"/>
      <c r="L34" s="373"/>
      <c r="M34" s="373"/>
      <c r="N34" s="373"/>
    </row>
  </sheetData>
  <sheetProtection selectLockedCells="1"/>
  <mergeCells count="3">
    <mergeCell ref="G16:G17"/>
    <mergeCell ref="F16:F17"/>
    <mergeCell ref="I30:K34"/>
  </mergeCells>
  <phoneticPr fontId="0" type="noConversion"/>
  <pageMargins left="0.7" right="0.7" top="0.75" bottom="0.75" header="0.3" footer="0.3"/>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28673" r:id="rId3" name="Drop Down 1">
              <controlPr defaultSize="0" autoLine="0" autoPict="0">
                <anchor moveWithCells="1">
                  <from>
                    <xdr:col>3</xdr:col>
                    <xdr:colOff>0</xdr:colOff>
                    <xdr:row>2</xdr:row>
                    <xdr:rowOff>0</xdr:rowOff>
                  </from>
                  <to>
                    <xdr:col>3</xdr:col>
                    <xdr:colOff>1076325</xdr:colOff>
                    <xdr:row>3</xdr:row>
                    <xdr:rowOff>9525</xdr:rowOff>
                  </to>
                </anchor>
              </controlPr>
            </control>
          </mc:Choice>
        </mc:AlternateContent>
        <mc:AlternateContent xmlns:mc="http://schemas.openxmlformats.org/markup-compatibility/2006">
          <mc:Choice Requires="x14">
            <control shapeId="28713" r:id="rId4" name="Drop Down 41">
              <controlPr defaultSize="0" autoLine="0" autoPict="0">
                <anchor moveWithCells="1">
                  <from>
                    <xdr:col>3</xdr:col>
                    <xdr:colOff>0</xdr:colOff>
                    <xdr:row>3</xdr:row>
                    <xdr:rowOff>19050</xdr:rowOff>
                  </from>
                  <to>
                    <xdr:col>3</xdr:col>
                    <xdr:colOff>1076325</xdr:colOff>
                    <xdr:row>4</xdr:row>
                    <xdr:rowOff>28575</xdr:rowOff>
                  </to>
                </anchor>
              </controlPr>
            </control>
          </mc:Choice>
        </mc:AlternateContent>
        <mc:AlternateContent xmlns:mc="http://schemas.openxmlformats.org/markup-compatibility/2006">
          <mc:Choice Requires="x14">
            <control shapeId="28714" r:id="rId5" name="Drop Down 42">
              <controlPr defaultSize="0" autoLine="0" autoPict="0">
                <anchor moveWithCells="1">
                  <from>
                    <xdr:col>3</xdr:col>
                    <xdr:colOff>0</xdr:colOff>
                    <xdr:row>4</xdr:row>
                    <xdr:rowOff>19050</xdr:rowOff>
                  </from>
                  <to>
                    <xdr:col>3</xdr:col>
                    <xdr:colOff>1076325</xdr:colOff>
                    <xdr:row>5</xdr:row>
                    <xdr:rowOff>28575</xdr:rowOff>
                  </to>
                </anchor>
              </controlPr>
            </control>
          </mc:Choice>
        </mc:AlternateContent>
        <mc:AlternateContent xmlns:mc="http://schemas.openxmlformats.org/markup-compatibility/2006">
          <mc:Choice Requires="x14">
            <control shapeId="28715" r:id="rId6" name="Drop Down 43">
              <controlPr defaultSize="0" autoLine="0" autoPict="0">
                <anchor moveWithCells="1">
                  <from>
                    <xdr:col>2</xdr:col>
                    <xdr:colOff>1666875</xdr:colOff>
                    <xdr:row>5</xdr:row>
                    <xdr:rowOff>9525</xdr:rowOff>
                  </from>
                  <to>
                    <xdr:col>3</xdr:col>
                    <xdr:colOff>1066800</xdr:colOff>
                    <xdr:row>6</xdr:row>
                    <xdr:rowOff>19050</xdr:rowOff>
                  </to>
                </anchor>
              </controlPr>
            </control>
          </mc:Choice>
        </mc:AlternateContent>
        <mc:AlternateContent xmlns:mc="http://schemas.openxmlformats.org/markup-compatibility/2006">
          <mc:Choice Requires="x14">
            <control shapeId="28727" r:id="rId7" name="Drop Down 55">
              <controlPr defaultSize="0" autoLine="0" autoPict="0">
                <anchor moveWithCells="1">
                  <from>
                    <xdr:col>8</xdr:col>
                    <xdr:colOff>0</xdr:colOff>
                    <xdr:row>2</xdr:row>
                    <xdr:rowOff>9525</xdr:rowOff>
                  </from>
                  <to>
                    <xdr:col>9</xdr:col>
                    <xdr:colOff>0</xdr:colOff>
                    <xdr:row>3</xdr:row>
                    <xdr:rowOff>19050</xdr:rowOff>
                  </to>
                </anchor>
              </controlPr>
            </control>
          </mc:Choice>
        </mc:AlternateContent>
        <mc:AlternateContent xmlns:mc="http://schemas.openxmlformats.org/markup-compatibility/2006">
          <mc:Choice Requires="x14">
            <control shapeId="28728" r:id="rId8" name="Drop Down 56">
              <controlPr defaultSize="0" autoLine="0" autoPict="0">
                <anchor moveWithCells="1">
                  <from>
                    <xdr:col>7</xdr:col>
                    <xdr:colOff>0</xdr:colOff>
                    <xdr:row>2</xdr:row>
                    <xdr:rowOff>9525</xdr:rowOff>
                  </from>
                  <to>
                    <xdr:col>7</xdr:col>
                    <xdr:colOff>952500</xdr:colOff>
                    <xdr:row>3</xdr:row>
                    <xdr:rowOff>19050</xdr:rowOff>
                  </to>
                </anchor>
              </controlPr>
            </control>
          </mc:Choice>
        </mc:AlternateContent>
        <mc:AlternateContent xmlns:mc="http://schemas.openxmlformats.org/markup-compatibility/2006">
          <mc:Choice Requires="x14">
            <control shapeId="28733" r:id="rId9" name="Drop Down 61">
              <controlPr defaultSize="0" autoLine="0" autoPict="0">
                <anchor moveWithCells="1">
                  <from>
                    <xdr:col>1</xdr:col>
                    <xdr:colOff>0</xdr:colOff>
                    <xdr:row>2</xdr:row>
                    <xdr:rowOff>9525</xdr:rowOff>
                  </from>
                  <to>
                    <xdr:col>2</xdr:col>
                    <xdr:colOff>9525</xdr:colOff>
                    <xdr:row>3</xdr:row>
                    <xdr:rowOff>19050</xdr:rowOff>
                  </to>
                </anchor>
              </controlPr>
            </control>
          </mc:Choice>
        </mc:AlternateContent>
        <mc:AlternateContent xmlns:mc="http://schemas.openxmlformats.org/markup-compatibility/2006">
          <mc:Choice Requires="x14">
            <control shapeId="28734" r:id="rId10" name="Drop Down 62">
              <controlPr defaultSize="0" autoLine="0" autoPict="0">
                <anchor moveWithCells="1">
                  <from>
                    <xdr:col>1</xdr:col>
                    <xdr:colOff>0</xdr:colOff>
                    <xdr:row>3</xdr:row>
                    <xdr:rowOff>9525</xdr:rowOff>
                  </from>
                  <to>
                    <xdr:col>2</xdr:col>
                    <xdr:colOff>9525</xdr:colOff>
                    <xdr:row>4</xdr:row>
                    <xdr:rowOff>19050</xdr:rowOff>
                  </to>
                </anchor>
              </controlPr>
            </control>
          </mc:Choice>
        </mc:AlternateContent>
        <mc:AlternateContent xmlns:mc="http://schemas.openxmlformats.org/markup-compatibility/2006">
          <mc:Choice Requires="x14">
            <control shapeId="28735" r:id="rId11" name="Drop Down 63">
              <controlPr defaultSize="0" autoLine="0" autoPict="0">
                <anchor moveWithCells="1">
                  <from>
                    <xdr:col>1</xdr:col>
                    <xdr:colOff>0</xdr:colOff>
                    <xdr:row>4</xdr:row>
                    <xdr:rowOff>9525</xdr:rowOff>
                  </from>
                  <to>
                    <xdr:col>2</xdr:col>
                    <xdr:colOff>9525</xdr:colOff>
                    <xdr:row>5</xdr:row>
                    <xdr:rowOff>19050</xdr:rowOff>
                  </to>
                </anchor>
              </controlPr>
            </control>
          </mc:Choice>
        </mc:AlternateContent>
        <mc:AlternateContent xmlns:mc="http://schemas.openxmlformats.org/markup-compatibility/2006">
          <mc:Choice Requires="x14">
            <control shapeId="28736" r:id="rId12" name="Drop Down 64">
              <controlPr defaultSize="0" autoLine="0" autoPict="0">
                <anchor moveWithCells="1">
                  <from>
                    <xdr:col>1</xdr:col>
                    <xdr:colOff>0</xdr:colOff>
                    <xdr:row>5</xdr:row>
                    <xdr:rowOff>9525</xdr:rowOff>
                  </from>
                  <to>
                    <xdr:col>2</xdr:col>
                    <xdr:colOff>9525</xdr:colOff>
                    <xdr:row>6</xdr:row>
                    <xdr:rowOff>19050</xdr:rowOff>
                  </to>
                </anchor>
              </controlPr>
            </control>
          </mc:Choice>
        </mc:AlternateContent>
        <mc:AlternateContent xmlns:mc="http://schemas.openxmlformats.org/markup-compatibility/2006">
          <mc:Choice Requires="x14">
            <control shapeId="28737" r:id="rId13" name="Drop Down 65">
              <controlPr defaultSize="0" autoLine="0" autoPict="0">
                <anchor moveWithCells="1">
                  <from>
                    <xdr:col>1</xdr:col>
                    <xdr:colOff>0</xdr:colOff>
                    <xdr:row>6</xdr:row>
                    <xdr:rowOff>9525</xdr:rowOff>
                  </from>
                  <to>
                    <xdr:col>2</xdr:col>
                    <xdr:colOff>9525</xdr:colOff>
                    <xdr:row>7</xdr:row>
                    <xdr:rowOff>19050</xdr:rowOff>
                  </to>
                </anchor>
              </controlPr>
            </control>
          </mc:Choice>
        </mc:AlternateContent>
        <mc:AlternateContent xmlns:mc="http://schemas.openxmlformats.org/markup-compatibility/2006">
          <mc:Choice Requires="x14">
            <control shapeId="28738" r:id="rId14" name="Drop Down 66">
              <controlPr defaultSize="0" autoLine="0" autoPict="0">
                <anchor moveWithCells="1">
                  <from>
                    <xdr:col>1</xdr:col>
                    <xdr:colOff>0</xdr:colOff>
                    <xdr:row>7</xdr:row>
                    <xdr:rowOff>9525</xdr:rowOff>
                  </from>
                  <to>
                    <xdr:col>2</xdr:col>
                    <xdr:colOff>9525</xdr:colOff>
                    <xdr:row>8</xdr:row>
                    <xdr:rowOff>19050</xdr:rowOff>
                  </to>
                </anchor>
              </controlPr>
            </control>
          </mc:Choice>
        </mc:AlternateContent>
        <mc:AlternateContent xmlns:mc="http://schemas.openxmlformats.org/markup-compatibility/2006">
          <mc:Choice Requires="x14">
            <control shapeId="28739" r:id="rId15" name="Drop Down 67">
              <controlPr defaultSize="0" autoLine="0" autoPict="0">
                <anchor moveWithCells="1">
                  <from>
                    <xdr:col>1</xdr:col>
                    <xdr:colOff>0</xdr:colOff>
                    <xdr:row>8</xdr:row>
                    <xdr:rowOff>9525</xdr:rowOff>
                  </from>
                  <to>
                    <xdr:col>2</xdr:col>
                    <xdr:colOff>9525</xdr:colOff>
                    <xdr:row>9</xdr:row>
                    <xdr:rowOff>19050</xdr:rowOff>
                  </to>
                </anchor>
              </controlPr>
            </control>
          </mc:Choice>
        </mc:AlternateContent>
        <mc:AlternateContent xmlns:mc="http://schemas.openxmlformats.org/markup-compatibility/2006">
          <mc:Choice Requires="x14">
            <control shapeId="28740" r:id="rId16" name="Drop Down 68">
              <controlPr defaultSize="0" autoLine="0" autoPict="0">
                <anchor moveWithCells="1">
                  <from>
                    <xdr:col>1</xdr:col>
                    <xdr:colOff>0</xdr:colOff>
                    <xdr:row>9</xdr:row>
                    <xdr:rowOff>9525</xdr:rowOff>
                  </from>
                  <to>
                    <xdr:col>2</xdr:col>
                    <xdr:colOff>9525</xdr:colOff>
                    <xdr:row>10</xdr:row>
                    <xdr:rowOff>19050</xdr:rowOff>
                  </to>
                </anchor>
              </controlPr>
            </control>
          </mc:Choice>
        </mc:AlternateContent>
        <mc:AlternateContent xmlns:mc="http://schemas.openxmlformats.org/markup-compatibility/2006">
          <mc:Choice Requires="x14">
            <control shapeId="28741" r:id="rId17" name="Drop Down 69">
              <controlPr defaultSize="0" autoLine="0" autoPict="0">
                <anchor moveWithCells="1">
                  <from>
                    <xdr:col>1</xdr:col>
                    <xdr:colOff>0</xdr:colOff>
                    <xdr:row>10</xdr:row>
                    <xdr:rowOff>9525</xdr:rowOff>
                  </from>
                  <to>
                    <xdr:col>2</xdr:col>
                    <xdr:colOff>9525</xdr:colOff>
                    <xdr:row>11</xdr:row>
                    <xdr:rowOff>19050</xdr:rowOff>
                  </to>
                </anchor>
              </controlPr>
            </control>
          </mc:Choice>
        </mc:AlternateContent>
        <mc:AlternateContent xmlns:mc="http://schemas.openxmlformats.org/markup-compatibility/2006">
          <mc:Choice Requires="x14">
            <control shapeId="28742" r:id="rId18" name="Drop Down 70">
              <controlPr defaultSize="0" autoLine="0" autoPict="0">
                <anchor moveWithCells="1">
                  <from>
                    <xdr:col>1</xdr:col>
                    <xdr:colOff>0</xdr:colOff>
                    <xdr:row>11</xdr:row>
                    <xdr:rowOff>9525</xdr:rowOff>
                  </from>
                  <to>
                    <xdr:col>2</xdr:col>
                    <xdr:colOff>9525</xdr:colOff>
                    <xdr:row>12</xdr:row>
                    <xdr:rowOff>19050</xdr:rowOff>
                  </to>
                </anchor>
              </controlPr>
            </control>
          </mc:Choice>
        </mc:AlternateContent>
        <mc:AlternateContent xmlns:mc="http://schemas.openxmlformats.org/markup-compatibility/2006">
          <mc:Choice Requires="x14">
            <control shapeId="28743" r:id="rId19" name="Drop Down 71">
              <controlPr defaultSize="0" autoLine="0" autoPict="0">
                <anchor moveWithCells="1">
                  <from>
                    <xdr:col>1</xdr:col>
                    <xdr:colOff>0</xdr:colOff>
                    <xdr:row>12</xdr:row>
                    <xdr:rowOff>9525</xdr:rowOff>
                  </from>
                  <to>
                    <xdr:col>2</xdr:col>
                    <xdr:colOff>9525</xdr:colOff>
                    <xdr:row>13</xdr:row>
                    <xdr:rowOff>19050</xdr:rowOff>
                  </to>
                </anchor>
              </controlPr>
            </control>
          </mc:Choice>
        </mc:AlternateContent>
        <mc:AlternateContent xmlns:mc="http://schemas.openxmlformats.org/markup-compatibility/2006">
          <mc:Choice Requires="x14">
            <control shapeId="28744" r:id="rId20" name="Drop Down 72">
              <controlPr defaultSize="0" autoLine="0" autoPict="0">
                <anchor moveWithCells="1">
                  <from>
                    <xdr:col>1</xdr:col>
                    <xdr:colOff>0</xdr:colOff>
                    <xdr:row>13</xdr:row>
                    <xdr:rowOff>9525</xdr:rowOff>
                  </from>
                  <to>
                    <xdr:col>2</xdr:col>
                    <xdr:colOff>9525</xdr:colOff>
                    <xdr:row>14</xdr:row>
                    <xdr:rowOff>19050</xdr:rowOff>
                  </to>
                </anchor>
              </controlPr>
            </control>
          </mc:Choice>
        </mc:AlternateContent>
        <mc:AlternateContent xmlns:mc="http://schemas.openxmlformats.org/markup-compatibility/2006">
          <mc:Choice Requires="x14">
            <control shapeId="28745" r:id="rId21" name="Drop Down 73">
              <controlPr defaultSize="0" autoLine="0" autoPict="0">
                <anchor moveWithCells="1">
                  <from>
                    <xdr:col>3</xdr:col>
                    <xdr:colOff>0</xdr:colOff>
                    <xdr:row>6</xdr:row>
                    <xdr:rowOff>9525</xdr:rowOff>
                  </from>
                  <to>
                    <xdr:col>3</xdr:col>
                    <xdr:colOff>1076325</xdr:colOff>
                    <xdr:row>7</xdr:row>
                    <xdr:rowOff>19050</xdr:rowOff>
                  </to>
                </anchor>
              </controlPr>
            </control>
          </mc:Choice>
        </mc:AlternateContent>
        <mc:AlternateContent xmlns:mc="http://schemas.openxmlformats.org/markup-compatibility/2006">
          <mc:Choice Requires="x14">
            <control shapeId="28746" r:id="rId22" name="Drop Down 74">
              <controlPr defaultSize="0" autoLine="0" autoPict="0">
                <anchor moveWithCells="1">
                  <from>
                    <xdr:col>3</xdr:col>
                    <xdr:colOff>0</xdr:colOff>
                    <xdr:row>7</xdr:row>
                    <xdr:rowOff>9525</xdr:rowOff>
                  </from>
                  <to>
                    <xdr:col>3</xdr:col>
                    <xdr:colOff>1076325</xdr:colOff>
                    <xdr:row>8</xdr:row>
                    <xdr:rowOff>19050</xdr:rowOff>
                  </to>
                </anchor>
              </controlPr>
            </control>
          </mc:Choice>
        </mc:AlternateContent>
        <mc:AlternateContent xmlns:mc="http://schemas.openxmlformats.org/markup-compatibility/2006">
          <mc:Choice Requires="x14">
            <control shapeId="28747" r:id="rId23" name="Drop Down 75">
              <controlPr defaultSize="0" autoLine="0" autoPict="0">
                <anchor moveWithCells="1">
                  <from>
                    <xdr:col>3</xdr:col>
                    <xdr:colOff>0</xdr:colOff>
                    <xdr:row>8</xdr:row>
                    <xdr:rowOff>9525</xdr:rowOff>
                  </from>
                  <to>
                    <xdr:col>3</xdr:col>
                    <xdr:colOff>1076325</xdr:colOff>
                    <xdr:row>9</xdr:row>
                    <xdr:rowOff>19050</xdr:rowOff>
                  </to>
                </anchor>
              </controlPr>
            </control>
          </mc:Choice>
        </mc:AlternateContent>
        <mc:AlternateContent xmlns:mc="http://schemas.openxmlformats.org/markup-compatibility/2006">
          <mc:Choice Requires="x14">
            <control shapeId="28748" r:id="rId24" name="Drop Down 76">
              <controlPr defaultSize="0" autoLine="0" autoPict="0">
                <anchor moveWithCells="1">
                  <from>
                    <xdr:col>3</xdr:col>
                    <xdr:colOff>0</xdr:colOff>
                    <xdr:row>9</xdr:row>
                    <xdr:rowOff>9525</xdr:rowOff>
                  </from>
                  <to>
                    <xdr:col>3</xdr:col>
                    <xdr:colOff>1076325</xdr:colOff>
                    <xdr:row>10</xdr:row>
                    <xdr:rowOff>19050</xdr:rowOff>
                  </to>
                </anchor>
              </controlPr>
            </control>
          </mc:Choice>
        </mc:AlternateContent>
        <mc:AlternateContent xmlns:mc="http://schemas.openxmlformats.org/markup-compatibility/2006">
          <mc:Choice Requires="x14">
            <control shapeId="28749" r:id="rId25" name="Drop Down 77">
              <controlPr defaultSize="0" autoLine="0" autoPict="0">
                <anchor moveWithCells="1">
                  <from>
                    <xdr:col>3</xdr:col>
                    <xdr:colOff>0</xdr:colOff>
                    <xdr:row>10</xdr:row>
                    <xdr:rowOff>9525</xdr:rowOff>
                  </from>
                  <to>
                    <xdr:col>3</xdr:col>
                    <xdr:colOff>1076325</xdr:colOff>
                    <xdr:row>11</xdr:row>
                    <xdr:rowOff>19050</xdr:rowOff>
                  </to>
                </anchor>
              </controlPr>
            </control>
          </mc:Choice>
        </mc:AlternateContent>
        <mc:AlternateContent xmlns:mc="http://schemas.openxmlformats.org/markup-compatibility/2006">
          <mc:Choice Requires="x14">
            <control shapeId="28750" r:id="rId26" name="Drop Down 78">
              <controlPr defaultSize="0" autoLine="0" autoPict="0">
                <anchor moveWithCells="1">
                  <from>
                    <xdr:col>3</xdr:col>
                    <xdr:colOff>0</xdr:colOff>
                    <xdr:row>11</xdr:row>
                    <xdr:rowOff>9525</xdr:rowOff>
                  </from>
                  <to>
                    <xdr:col>3</xdr:col>
                    <xdr:colOff>1076325</xdr:colOff>
                    <xdr:row>12</xdr:row>
                    <xdr:rowOff>19050</xdr:rowOff>
                  </to>
                </anchor>
              </controlPr>
            </control>
          </mc:Choice>
        </mc:AlternateContent>
        <mc:AlternateContent xmlns:mc="http://schemas.openxmlformats.org/markup-compatibility/2006">
          <mc:Choice Requires="x14">
            <control shapeId="28751" r:id="rId27" name="Drop Down 79">
              <controlPr defaultSize="0" autoLine="0" autoPict="0">
                <anchor moveWithCells="1">
                  <from>
                    <xdr:col>3</xdr:col>
                    <xdr:colOff>0</xdr:colOff>
                    <xdr:row>12</xdr:row>
                    <xdr:rowOff>9525</xdr:rowOff>
                  </from>
                  <to>
                    <xdr:col>3</xdr:col>
                    <xdr:colOff>1076325</xdr:colOff>
                    <xdr:row>13</xdr:row>
                    <xdr:rowOff>19050</xdr:rowOff>
                  </to>
                </anchor>
              </controlPr>
            </control>
          </mc:Choice>
        </mc:AlternateContent>
        <mc:AlternateContent xmlns:mc="http://schemas.openxmlformats.org/markup-compatibility/2006">
          <mc:Choice Requires="x14">
            <control shapeId="28752" r:id="rId28" name="Drop Down 80">
              <controlPr defaultSize="0" autoLine="0" autoPict="0">
                <anchor moveWithCells="1">
                  <from>
                    <xdr:col>3</xdr:col>
                    <xdr:colOff>0</xdr:colOff>
                    <xdr:row>13</xdr:row>
                    <xdr:rowOff>9525</xdr:rowOff>
                  </from>
                  <to>
                    <xdr:col>3</xdr:col>
                    <xdr:colOff>1076325</xdr:colOff>
                    <xdr:row>14</xdr:row>
                    <xdr:rowOff>19050</xdr:rowOff>
                  </to>
                </anchor>
              </controlPr>
            </control>
          </mc:Choice>
        </mc:AlternateContent>
        <mc:AlternateContent xmlns:mc="http://schemas.openxmlformats.org/markup-compatibility/2006">
          <mc:Choice Requires="x14">
            <control shapeId="28753" r:id="rId29" name="Drop Down 81">
              <controlPr defaultSize="0" autoLine="0" autoPict="0">
                <anchor moveWithCells="1">
                  <from>
                    <xdr:col>7</xdr:col>
                    <xdr:colOff>0</xdr:colOff>
                    <xdr:row>3</xdr:row>
                    <xdr:rowOff>9525</xdr:rowOff>
                  </from>
                  <to>
                    <xdr:col>7</xdr:col>
                    <xdr:colOff>952500</xdr:colOff>
                    <xdr:row>4</xdr:row>
                    <xdr:rowOff>19050</xdr:rowOff>
                  </to>
                </anchor>
              </controlPr>
            </control>
          </mc:Choice>
        </mc:AlternateContent>
        <mc:AlternateContent xmlns:mc="http://schemas.openxmlformats.org/markup-compatibility/2006">
          <mc:Choice Requires="x14">
            <control shapeId="28754" r:id="rId30" name="Drop Down 82">
              <controlPr defaultSize="0" autoLine="0" autoPict="0">
                <anchor moveWithCells="1">
                  <from>
                    <xdr:col>7</xdr:col>
                    <xdr:colOff>0</xdr:colOff>
                    <xdr:row>4</xdr:row>
                    <xdr:rowOff>9525</xdr:rowOff>
                  </from>
                  <to>
                    <xdr:col>7</xdr:col>
                    <xdr:colOff>952500</xdr:colOff>
                    <xdr:row>5</xdr:row>
                    <xdr:rowOff>19050</xdr:rowOff>
                  </to>
                </anchor>
              </controlPr>
            </control>
          </mc:Choice>
        </mc:AlternateContent>
        <mc:AlternateContent xmlns:mc="http://schemas.openxmlformats.org/markup-compatibility/2006">
          <mc:Choice Requires="x14">
            <control shapeId="28755" r:id="rId31" name="Drop Down 83">
              <controlPr defaultSize="0" autoLine="0" autoPict="0">
                <anchor moveWithCells="1">
                  <from>
                    <xdr:col>7</xdr:col>
                    <xdr:colOff>0</xdr:colOff>
                    <xdr:row>5</xdr:row>
                    <xdr:rowOff>9525</xdr:rowOff>
                  </from>
                  <to>
                    <xdr:col>7</xdr:col>
                    <xdr:colOff>952500</xdr:colOff>
                    <xdr:row>6</xdr:row>
                    <xdr:rowOff>19050</xdr:rowOff>
                  </to>
                </anchor>
              </controlPr>
            </control>
          </mc:Choice>
        </mc:AlternateContent>
        <mc:AlternateContent xmlns:mc="http://schemas.openxmlformats.org/markup-compatibility/2006">
          <mc:Choice Requires="x14">
            <control shapeId="28756" r:id="rId32" name="Drop Down 84">
              <controlPr defaultSize="0" autoLine="0" autoPict="0">
                <anchor moveWithCells="1">
                  <from>
                    <xdr:col>7</xdr:col>
                    <xdr:colOff>0</xdr:colOff>
                    <xdr:row>6</xdr:row>
                    <xdr:rowOff>9525</xdr:rowOff>
                  </from>
                  <to>
                    <xdr:col>7</xdr:col>
                    <xdr:colOff>952500</xdr:colOff>
                    <xdr:row>7</xdr:row>
                    <xdr:rowOff>19050</xdr:rowOff>
                  </to>
                </anchor>
              </controlPr>
            </control>
          </mc:Choice>
        </mc:AlternateContent>
        <mc:AlternateContent xmlns:mc="http://schemas.openxmlformats.org/markup-compatibility/2006">
          <mc:Choice Requires="x14">
            <control shapeId="28757" r:id="rId33" name="Drop Down 85">
              <controlPr defaultSize="0" autoLine="0" autoPict="0">
                <anchor moveWithCells="1">
                  <from>
                    <xdr:col>7</xdr:col>
                    <xdr:colOff>0</xdr:colOff>
                    <xdr:row>7</xdr:row>
                    <xdr:rowOff>9525</xdr:rowOff>
                  </from>
                  <to>
                    <xdr:col>7</xdr:col>
                    <xdr:colOff>952500</xdr:colOff>
                    <xdr:row>8</xdr:row>
                    <xdr:rowOff>19050</xdr:rowOff>
                  </to>
                </anchor>
              </controlPr>
            </control>
          </mc:Choice>
        </mc:AlternateContent>
        <mc:AlternateContent xmlns:mc="http://schemas.openxmlformats.org/markup-compatibility/2006">
          <mc:Choice Requires="x14">
            <control shapeId="28758" r:id="rId34" name="Drop Down 86">
              <controlPr defaultSize="0" autoLine="0" autoPict="0">
                <anchor moveWithCells="1">
                  <from>
                    <xdr:col>7</xdr:col>
                    <xdr:colOff>0</xdr:colOff>
                    <xdr:row>8</xdr:row>
                    <xdr:rowOff>9525</xdr:rowOff>
                  </from>
                  <to>
                    <xdr:col>7</xdr:col>
                    <xdr:colOff>952500</xdr:colOff>
                    <xdr:row>9</xdr:row>
                    <xdr:rowOff>19050</xdr:rowOff>
                  </to>
                </anchor>
              </controlPr>
            </control>
          </mc:Choice>
        </mc:AlternateContent>
        <mc:AlternateContent xmlns:mc="http://schemas.openxmlformats.org/markup-compatibility/2006">
          <mc:Choice Requires="x14">
            <control shapeId="28759" r:id="rId35" name="Drop Down 87">
              <controlPr defaultSize="0" autoLine="0" autoPict="0">
                <anchor moveWithCells="1">
                  <from>
                    <xdr:col>7</xdr:col>
                    <xdr:colOff>0</xdr:colOff>
                    <xdr:row>9</xdr:row>
                    <xdr:rowOff>9525</xdr:rowOff>
                  </from>
                  <to>
                    <xdr:col>7</xdr:col>
                    <xdr:colOff>952500</xdr:colOff>
                    <xdr:row>10</xdr:row>
                    <xdr:rowOff>19050</xdr:rowOff>
                  </to>
                </anchor>
              </controlPr>
            </control>
          </mc:Choice>
        </mc:AlternateContent>
        <mc:AlternateContent xmlns:mc="http://schemas.openxmlformats.org/markup-compatibility/2006">
          <mc:Choice Requires="x14">
            <control shapeId="28760" r:id="rId36" name="Drop Down 88">
              <controlPr defaultSize="0" autoLine="0" autoPict="0">
                <anchor moveWithCells="1">
                  <from>
                    <xdr:col>7</xdr:col>
                    <xdr:colOff>0</xdr:colOff>
                    <xdr:row>10</xdr:row>
                    <xdr:rowOff>9525</xdr:rowOff>
                  </from>
                  <to>
                    <xdr:col>7</xdr:col>
                    <xdr:colOff>952500</xdr:colOff>
                    <xdr:row>11</xdr:row>
                    <xdr:rowOff>19050</xdr:rowOff>
                  </to>
                </anchor>
              </controlPr>
            </control>
          </mc:Choice>
        </mc:AlternateContent>
        <mc:AlternateContent xmlns:mc="http://schemas.openxmlformats.org/markup-compatibility/2006">
          <mc:Choice Requires="x14">
            <control shapeId="28761" r:id="rId37" name="Drop Down 89">
              <controlPr defaultSize="0" autoLine="0" autoPict="0">
                <anchor moveWithCells="1">
                  <from>
                    <xdr:col>7</xdr:col>
                    <xdr:colOff>0</xdr:colOff>
                    <xdr:row>11</xdr:row>
                    <xdr:rowOff>9525</xdr:rowOff>
                  </from>
                  <to>
                    <xdr:col>7</xdr:col>
                    <xdr:colOff>952500</xdr:colOff>
                    <xdr:row>12</xdr:row>
                    <xdr:rowOff>19050</xdr:rowOff>
                  </to>
                </anchor>
              </controlPr>
            </control>
          </mc:Choice>
        </mc:AlternateContent>
        <mc:AlternateContent xmlns:mc="http://schemas.openxmlformats.org/markup-compatibility/2006">
          <mc:Choice Requires="x14">
            <control shapeId="28762" r:id="rId38" name="Drop Down 90">
              <controlPr defaultSize="0" autoLine="0" autoPict="0">
                <anchor moveWithCells="1">
                  <from>
                    <xdr:col>7</xdr:col>
                    <xdr:colOff>0</xdr:colOff>
                    <xdr:row>12</xdr:row>
                    <xdr:rowOff>9525</xdr:rowOff>
                  </from>
                  <to>
                    <xdr:col>7</xdr:col>
                    <xdr:colOff>952500</xdr:colOff>
                    <xdr:row>13</xdr:row>
                    <xdr:rowOff>19050</xdr:rowOff>
                  </to>
                </anchor>
              </controlPr>
            </control>
          </mc:Choice>
        </mc:AlternateContent>
        <mc:AlternateContent xmlns:mc="http://schemas.openxmlformats.org/markup-compatibility/2006">
          <mc:Choice Requires="x14">
            <control shapeId="28763" r:id="rId39" name="Drop Down 91">
              <controlPr defaultSize="0" autoLine="0" autoPict="0">
                <anchor moveWithCells="1">
                  <from>
                    <xdr:col>7</xdr:col>
                    <xdr:colOff>0</xdr:colOff>
                    <xdr:row>13</xdr:row>
                    <xdr:rowOff>9525</xdr:rowOff>
                  </from>
                  <to>
                    <xdr:col>7</xdr:col>
                    <xdr:colOff>952500</xdr:colOff>
                    <xdr:row>14</xdr:row>
                    <xdr:rowOff>19050</xdr:rowOff>
                  </to>
                </anchor>
              </controlPr>
            </control>
          </mc:Choice>
        </mc:AlternateContent>
        <mc:AlternateContent xmlns:mc="http://schemas.openxmlformats.org/markup-compatibility/2006">
          <mc:Choice Requires="x14">
            <control shapeId="28764" r:id="rId40" name="Drop Down 92">
              <controlPr defaultSize="0" autoLine="0" autoPict="0">
                <anchor moveWithCells="1">
                  <from>
                    <xdr:col>8</xdr:col>
                    <xdr:colOff>0</xdr:colOff>
                    <xdr:row>3</xdr:row>
                    <xdr:rowOff>9525</xdr:rowOff>
                  </from>
                  <to>
                    <xdr:col>9</xdr:col>
                    <xdr:colOff>0</xdr:colOff>
                    <xdr:row>4</xdr:row>
                    <xdr:rowOff>19050</xdr:rowOff>
                  </to>
                </anchor>
              </controlPr>
            </control>
          </mc:Choice>
        </mc:AlternateContent>
        <mc:AlternateContent xmlns:mc="http://schemas.openxmlformats.org/markup-compatibility/2006">
          <mc:Choice Requires="x14">
            <control shapeId="28765" r:id="rId41" name="Drop Down 93">
              <controlPr defaultSize="0" autoLine="0" autoPict="0">
                <anchor moveWithCells="1">
                  <from>
                    <xdr:col>8</xdr:col>
                    <xdr:colOff>0</xdr:colOff>
                    <xdr:row>4</xdr:row>
                    <xdr:rowOff>9525</xdr:rowOff>
                  </from>
                  <to>
                    <xdr:col>9</xdr:col>
                    <xdr:colOff>0</xdr:colOff>
                    <xdr:row>5</xdr:row>
                    <xdr:rowOff>19050</xdr:rowOff>
                  </to>
                </anchor>
              </controlPr>
            </control>
          </mc:Choice>
        </mc:AlternateContent>
        <mc:AlternateContent xmlns:mc="http://schemas.openxmlformats.org/markup-compatibility/2006">
          <mc:Choice Requires="x14">
            <control shapeId="28766" r:id="rId42" name="Drop Down 94">
              <controlPr defaultSize="0" autoLine="0" autoPict="0">
                <anchor moveWithCells="1">
                  <from>
                    <xdr:col>8</xdr:col>
                    <xdr:colOff>0</xdr:colOff>
                    <xdr:row>5</xdr:row>
                    <xdr:rowOff>9525</xdr:rowOff>
                  </from>
                  <to>
                    <xdr:col>9</xdr:col>
                    <xdr:colOff>0</xdr:colOff>
                    <xdr:row>6</xdr:row>
                    <xdr:rowOff>19050</xdr:rowOff>
                  </to>
                </anchor>
              </controlPr>
            </control>
          </mc:Choice>
        </mc:AlternateContent>
        <mc:AlternateContent xmlns:mc="http://schemas.openxmlformats.org/markup-compatibility/2006">
          <mc:Choice Requires="x14">
            <control shapeId="28767" r:id="rId43" name="Drop Down 95">
              <controlPr defaultSize="0" autoLine="0" autoPict="0">
                <anchor moveWithCells="1">
                  <from>
                    <xdr:col>8</xdr:col>
                    <xdr:colOff>0</xdr:colOff>
                    <xdr:row>6</xdr:row>
                    <xdr:rowOff>9525</xdr:rowOff>
                  </from>
                  <to>
                    <xdr:col>9</xdr:col>
                    <xdr:colOff>0</xdr:colOff>
                    <xdr:row>7</xdr:row>
                    <xdr:rowOff>19050</xdr:rowOff>
                  </to>
                </anchor>
              </controlPr>
            </control>
          </mc:Choice>
        </mc:AlternateContent>
        <mc:AlternateContent xmlns:mc="http://schemas.openxmlformats.org/markup-compatibility/2006">
          <mc:Choice Requires="x14">
            <control shapeId="28768" r:id="rId44" name="Drop Down 96">
              <controlPr defaultSize="0" autoLine="0" autoPict="0">
                <anchor moveWithCells="1">
                  <from>
                    <xdr:col>8</xdr:col>
                    <xdr:colOff>0</xdr:colOff>
                    <xdr:row>7</xdr:row>
                    <xdr:rowOff>9525</xdr:rowOff>
                  </from>
                  <to>
                    <xdr:col>9</xdr:col>
                    <xdr:colOff>0</xdr:colOff>
                    <xdr:row>8</xdr:row>
                    <xdr:rowOff>19050</xdr:rowOff>
                  </to>
                </anchor>
              </controlPr>
            </control>
          </mc:Choice>
        </mc:AlternateContent>
        <mc:AlternateContent xmlns:mc="http://schemas.openxmlformats.org/markup-compatibility/2006">
          <mc:Choice Requires="x14">
            <control shapeId="28769" r:id="rId45" name="Drop Down 97">
              <controlPr defaultSize="0" autoLine="0" autoPict="0">
                <anchor moveWithCells="1">
                  <from>
                    <xdr:col>8</xdr:col>
                    <xdr:colOff>0</xdr:colOff>
                    <xdr:row>8</xdr:row>
                    <xdr:rowOff>9525</xdr:rowOff>
                  </from>
                  <to>
                    <xdr:col>9</xdr:col>
                    <xdr:colOff>0</xdr:colOff>
                    <xdr:row>9</xdr:row>
                    <xdr:rowOff>19050</xdr:rowOff>
                  </to>
                </anchor>
              </controlPr>
            </control>
          </mc:Choice>
        </mc:AlternateContent>
        <mc:AlternateContent xmlns:mc="http://schemas.openxmlformats.org/markup-compatibility/2006">
          <mc:Choice Requires="x14">
            <control shapeId="28770" r:id="rId46" name="Drop Down 98">
              <controlPr defaultSize="0" autoLine="0" autoPict="0">
                <anchor moveWithCells="1">
                  <from>
                    <xdr:col>8</xdr:col>
                    <xdr:colOff>0</xdr:colOff>
                    <xdr:row>9</xdr:row>
                    <xdr:rowOff>9525</xdr:rowOff>
                  </from>
                  <to>
                    <xdr:col>9</xdr:col>
                    <xdr:colOff>0</xdr:colOff>
                    <xdr:row>10</xdr:row>
                    <xdr:rowOff>19050</xdr:rowOff>
                  </to>
                </anchor>
              </controlPr>
            </control>
          </mc:Choice>
        </mc:AlternateContent>
        <mc:AlternateContent xmlns:mc="http://schemas.openxmlformats.org/markup-compatibility/2006">
          <mc:Choice Requires="x14">
            <control shapeId="28771" r:id="rId47" name="Drop Down 99">
              <controlPr defaultSize="0" autoLine="0" autoPict="0">
                <anchor moveWithCells="1">
                  <from>
                    <xdr:col>8</xdr:col>
                    <xdr:colOff>0</xdr:colOff>
                    <xdr:row>10</xdr:row>
                    <xdr:rowOff>9525</xdr:rowOff>
                  </from>
                  <to>
                    <xdr:col>9</xdr:col>
                    <xdr:colOff>0</xdr:colOff>
                    <xdr:row>11</xdr:row>
                    <xdr:rowOff>19050</xdr:rowOff>
                  </to>
                </anchor>
              </controlPr>
            </control>
          </mc:Choice>
        </mc:AlternateContent>
        <mc:AlternateContent xmlns:mc="http://schemas.openxmlformats.org/markup-compatibility/2006">
          <mc:Choice Requires="x14">
            <control shapeId="28772" r:id="rId48" name="Drop Down 100">
              <controlPr defaultSize="0" autoLine="0" autoPict="0">
                <anchor moveWithCells="1">
                  <from>
                    <xdr:col>8</xdr:col>
                    <xdr:colOff>0</xdr:colOff>
                    <xdr:row>11</xdr:row>
                    <xdr:rowOff>9525</xdr:rowOff>
                  </from>
                  <to>
                    <xdr:col>9</xdr:col>
                    <xdr:colOff>0</xdr:colOff>
                    <xdr:row>12</xdr:row>
                    <xdr:rowOff>19050</xdr:rowOff>
                  </to>
                </anchor>
              </controlPr>
            </control>
          </mc:Choice>
        </mc:AlternateContent>
        <mc:AlternateContent xmlns:mc="http://schemas.openxmlformats.org/markup-compatibility/2006">
          <mc:Choice Requires="x14">
            <control shapeId="28773" r:id="rId49" name="Drop Down 101">
              <controlPr defaultSize="0" autoLine="0" autoPict="0">
                <anchor moveWithCells="1">
                  <from>
                    <xdr:col>8</xdr:col>
                    <xdr:colOff>0</xdr:colOff>
                    <xdr:row>12</xdr:row>
                    <xdr:rowOff>9525</xdr:rowOff>
                  </from>
                  <to>
                    <xdr:col>9</xdr:col>
                    <xdr:colOff>0</xdr:colOff>
                    <xdr:row>13</xdr:row>
                    <xdr:rowOff>19050</xdr:rowOff>
                  </to>
                </anchor>
              </controlPr>
            </control>
          </mc:Choice>
        </mc:AlternateContent>
        <mc:AlternateContent xmlns:mc="http://schemas.openxmlformats.org/markup-compatibility/2006">
          <mc:Choice Requires="x14">
            <control shapeId="28774" r:id="rId50" name="Drop Down 102">
              <controlPr defaultSize="0" autoLine="0" autoPict="0">
                <anchor moveWithCells="1">
                  <from>
                    <xdr:col>8</xdr:col>
                    <xdr:colOff>0</xdr:colOff>
                    <xdr:row>13</xdr:row>
                    <xdr:rowOff>9525</xdr:rowOff>
                  </from>
                  <to>
                    <xdr:col>9</xdr:col>
                    <xdr:colOff>0</xdr:colOff>
                    <xdr:row>14</xdr:row>
                    <xdr:rowOff>19050</xdr:rowOff>
                  </to>
                </anchor>
              </controlPr>
            </control>
          </mc:Choice>
        </mc:AlternateContent>
        <mc:AlternateContent xmlns:mc="http://schemas.openxmlformats.org/markup-compatibility/2006">
          <mc:Choice Requires="x14">
            <control shapeId="28777" r:id="rId51" name="Drop Down 105">
              <controlPr defaultSize="0" autoLine="0" autoPict="0">
                <anchor moveWithCells="1">
                  <from>
                    <xdr:col>2</xdr:col>
                    <xdr:colOff>0</xdr:colOff>
                    <xdr:row>2</xdr:row>
                    <xdr:rowOff>9525</xdr:rowOff>
                  </from>
                  <to>
                    <xdr:col>3</xdr:col>
                    <xdr:colOff>9525</xdr:colOff>
                    <xdr:row>3</xdr:row>
                    <xdr:rowOff>19050</xdr:rowOff>
                  </to>
                </anchor>
              </controlPr>
            </control>
          </mc:Choice>
        </mc:AlternateContent>
        <mc:AlternateContent xmlns:mc="http://schemas.openxmlformats.org/markup-compatibility/2006">
          <mc:Choice Requires="x14">
            <control shapeId="28778" r:id="rId52" name="Drop Down 106">
              <controlPr defaultSize="0" autoLine="0" autoPict="0">
                <anchor moveWithCells="1">
                  <from>
                    <xdr:col>2</xdr:col>
                    <xdr:colOff>0</xdr:colOff>
                    <xdr:row>3</xdr:row>
                    <xdr:rowOff>9525</xdr:rowOff>
                  </from>
                  <to>
                    <xdr:col>3</xdr:col>
                    <xdr:colOff>9525</xdr:colOff>
                    <xdr:row>4</xdr:row>
                    <xdr:rowOff>19050</xdr:rowOff>
                  </to>
                </anchor>
              </controlPr>
            </control>
          </mc:Choice>
        </mc:AlternateContent>
        <mc:AlternateContent xmlns:mc="http://schemas.openxmlformats.org/markup-compatibility/2006">
          <mc:Choice Requires="x14">
            <control shapeId="28779" r:id="rId53" name="Drop Down 107">
              <controlPr defaultSize="0" autoLine="0" autoPict="0">
                <anchor moveWithCells="1">
                  <from>
                    <xdr:col>2</xdr:col>
                    <xdr:colOff>0</xdr:colOff>
                    <xdr:row>4</xdr:row>
                    <xdr:rowOff>9525</xdr:rowOff>
                  </from>
                  <to>
                    <xdr:col>3</xdr:col>
                    <xdr:colOff>9525</xdr:colOff>
                    <xdr:row>5</xdr:row>
                    <xdr:rowOff>19050</xdr:rowOff>
                  </to>
                </anchor>
              </controlPr>
            </control>
          </mc:Choice>
        </mc:AlternateContent>
        <mc:AlternateContent xmlns:mc="http://schemas.openxmlformats.org/markup-compatibility/2006">
          <mc:Choice Requires="x14">
            <control shapeId="28780" r:id="rId54" name="Drop Down 108">
              <controlPr defaultSize="0" autoLine="0" autoPict="0">
                <anchor moveWithCells="1">
                  <from>
                    <xdr:col>2</xdr:col>
                    <xdr:colOff>0</xdr:colOff>
                    <xdr:row>5</xdr:row>
                    <xdr:rowOff>9525</xdr:rowOff>
                  </from>
                  <to>
                    <xdr:col>3</xdr:col>
                    <xdr:colOff>9525</xdr:colOff>
                    <xdr:row>6</xdr:row>
                    <xdr:rowOff>19050</xdr:rowOff>
                  </to>
                </anchor>
              </controlPr>
            </control>
          </mc:Choice>
        </mc:AlternateContent>
        <mc:AlternateContent xmlns:mc="http://schemas.openxmlformats.org/markup-compatibility/2006">
          <mc:Choice Requires="x14">
            <control shapeId="28781" r:id="rId55" name="Drop Down 109">
              <controlPr defaultSize="0" autoLine="0" autoPict="0">
                <anchor moveWithCells="1">
                  <from>
                    <xdr:col>2</xdr:col>
                    <xdr:colOff>0</xdr:colOff>
                    <xdr:row>6</xdr:row>
                    <xdr:rowOff>9525</xdr:rowOff>
                  </from>
                  <to>
                    <xdr:col>3</xdr:col>
                    <xdr:colOff>9525</xdr:colOff>
                    <xdr:row>7</xdr:row>
                    <xdr:rowOff>19050</xdr:rowOff>
                  </to>
                </anchor>
              </controlPr>
            </control>
          </mc:Choice>
        </mc:AlternateContent>
        <mc:AlternateContent xmlns:mc="http://schemas.openxmlformats.org/markup-compatibility/2006">
          <mc:Choice Requires="x14">
            <control shapeId="28782" r:id="rId56" name="Drop Down 110">
              <controlPr defaultSize="0" autoLine="0" autoPict="0">
                <anchor moveWithCells="1">
                  <from>
                    <xdr:col>2</xdr:col>
                    <xdr:colOff>0</xdr:colOff>
                    <xdr:row>7</xdr:row>
                    <xdr:rowOff>9525</xdr:rowOff>
                  </from>
                  <to>
                    <xdr:col>3</xdr:col>
                    <xdr:colOff>9525</xdr:colOff>
                    <xdr:row>8</xdr:row>
                    <xdr:rowOff>19050</xdr:rowOff>
                  </to>
                </anchor>
              </controlPr>
            </control>
          </mc:Choice>
        </mc:AlternateContent>
        <mc:AlternateContent xmlns:mc="http://schemas.openxmlformats.org/markup-compatibility/2006">
          <mc:Choice Requires="x14">
            <control shapeId="28783" r:id="rId57" name="Drop Down 111">
              <controlPr defaultSize="0" autoLine="0" autoPict="0">
                <anchor moveWithCells="1">
                  <from>
                    <xdr:col>2</xdr:col>
                    <xdr:colOff>0</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28784" r:id="rId58" name="Drop Down 112">
              <controlPr defaultSize="0" autoLine="0" autoPict="0">
                <anchor moveWithCells="1">
                  <from>
                    <xdr:col>2</xdr:col>
                    <xdr:colOff>0</xdr:colOff>
                    <xdr:row>9</xdr:row>
                    <xdr:rowOff>9525</xdr:rowOff>
                  </from>
                  <to>
                    <xdr:col>3</xdr:col>
                    <xdr:colOff>9525</xdr:colOff>
                    <xdr:row>10</xdr:row>
                    <xdr:rowOff>19050</xdr:rowOff>
                  </to>
                </anchor>
              </controlPr>
            </control>
          </mc:Choice>
        </mc:AlternateContent>
        <mc:AlternateContent xmlns:mc="http://schemas.openxmlformats.org/markup-compatibility/2006">
          <mc:Choice Requires="x14">
            <control shapeId="28785" r:id="rId59" name="Drop Down 113">
              <controlPr defaultSize="0" autoLine="0" autoPict="0">
                <anchor moveWithCells="1">
                  <from>
                    <xdr:col>2</xdr:col>
                    <xdr:colOff>0</xdr:colOff>
                    <xdr:row>10</xdr:row>
                    <xdr:rowOff>9525</xdr:rowOff>
                  </from>
                  <to>
                    <xdr:col>3</xdr:col>
                    <xdr:colOff>9525</xdr:colOff>
                    <xdr:row>11</xdr:row>
                    <xdr:rowOff>19050</xdr:rowOff>
                  </to>
                </anchor>
              </controlPr>
            </control>
          </mc:Choice>
        </mc:AlternateContent>
        <mc:AlternateContent xmlns:mc="http://schemas.openxmlformats.org/markup-compatibility/2006">
          <mc:Choice Requires="x14">
            <control shapeId="28786" r:id="rId60" name="Drop Down 114">
              <controlPr defaultSize="0" autoLine="0" autoPict="0">
                <anchor moveWithCells="1">
                  <from>
                    <xdr:col>2</xdr:col>
                    <xdr:colOff>0</xdr:colOff>
                    <xdr:row>11</xdr:row>
                    <xdr:rowOff>9525</xdr:rowOff>
                  </from>
                  <to>
                    <xdr:col>3</xdr:col>
                    <xdr:colOff>9525</xdr:colOff>
                    <xdr:row>12</xdr:row>
                    <xdr:rowOff>19050</xdr:rowOff>
                  </to>
                </anchor>
              </controlPr>
            </control>
          </mc:Choice>
        </mc:AlternateContent>
        <mc:AlternateContent xmlns:mc="http://schemas.openxmlformats.org/markup-compatibility/2006">
          <mc:Choice Requires="x14">
            <control shapeId="28787" r:id="rId61" name="Drop Down 115">
              <controlPr defaultSize="0" autoLine="0" autoPict="0">
                <anchor moveWithCells="1">
                  <from>
                    <xdr:col>2</xdr:col>
                    <xdr:colOff>0</xdr:colOff>
                    <xdr:row>12</xdr:row>
                    <xdr:rowOff>9525</xdr:rowOff>
                  </from>
                  <to>
                    <xdr:col>3</xdr:col>
                    <xdr:colOff>9525</xdr:colOff>
                    <xdr:row>13</xdr:row>
                    <xdr:rowOff>19050</xdr:rowOff>
                  </to>
                </anchor>
              </controlPr>
            </control>
          </mc:Choice>
        </mc:AlternateContent>
        <mc:AlternateContent xmlns:mc="http://schemas.openxmlformats.org/markup-compatibility/2006">
          <mc:Choice Requires="x14">
            <control shapeId="28788" r:id="rId62" name="Drop Down 116">
              <controlPr defaultSize="0" autoLine="0" autoPict="0">
                <anchor moveWithCells="1">
                  <from>
                    <xdr:col>2</xdr:col>
                    <xdr:colOff>0</xdr:colOff>
                    <xdr:row>13</xdr:row>
                    <xdr:rowOff>9525</xdr:rowOff>
                  </from>
                  <to>
                    <xdr:col>3</xdr:col>
                    <xdr:colOff>9525</xdr:colOff>
                    <xdr:row>14</xdr:row>
                    <xdr:rowOff>19050</xdr:rowOff>
                  </to>
                </anchor>
              </controlPr>
            </control>
          </mc:Choice>
        </mc:AlternateContent>
        <mc:AlternateContent xmlns:mc="http://schemas.openxmlformats.org/markup-compatibility/2006">
          <mc:Choice Requires="x14">
            <control shapeId="28789" r:id="rId63" name="Drop Down 117">
              <controlPr defaultSize="0" autoLine="0" autoPict="0">
                <anchor moveWithCells="1">
                  <from>
                    <xdr:col>3</xdr:col>
                    <xdr:colOff>0</xdr:colOff>
                    <xdr:row>17</xdr:row>
                    <xdr:rowOff>0</xdr:rowOff>
                  </from>
                  <to>
                    <xdr:col>3</xdr:col>
                    <xdr:colOff>1076325</xdr:colOff>
                    <xdr:row>18</xdr:row>
                    <xdr:rowOff>9525</xdr:rowOff>
                  </to>
                </anchor>
              </controlPr>
            </control>
          </mc:Choice>
        </mc:AlternateContent>
        <mc:AlternateContent xmlns:mc="http://schemas.openxmlformats.org/markup-compatibility/2006">
          <mc:Choice Requires="x14">
            <control shapeId="28790" r:id="rId64" name="Drop Down 118">
              <controlPr defaultSize="0" autoLine="0" autoPict="0">
                <anchor moveWithCells="1">
                  <from>
                    <xdr:col>3</xdr:col>
                    <xdr:colOff>0</xdr:colOff>
                    <xdr:row>18</xdr:row>
                    <xdr:rowOff>19050</xdr:rowOff>
                  </from>
                  <to>
                    <xdr:col>3</xdr:col>
                    <xdr:colOff>1076325</xdr:colOff>
                    <xdr:row>19</xdr:row>
                    <xdr:rowOff>28575</xdr:rowOff>
                  </to>
                </anchor>
              </controlPr>
            </control>
          </mc:Choice>
        </mc:AlternateContent>
        <mc:AlternateContent xmlns:mc="http://schemas.openxmlformats.org/markup-compatibility/2006">
          <mc:Choice Requires="x14">
            <control shapeId="28791" r:id="rId65" name="Drop Down 119">
              <controlPr defaultSize="0" autoLine="0" autoPict="0">
                <anchor moveWithCells="1">
                  <from>
                    <xdr:col>3</xdr:col>
                    <xdr:colOff>0</xdr:colOff>
                    <xdr:row>19</xdr:row>
                    <xdr:rowOff>19050</xdr:rowOff>
                  </from>
                  <to>
                    <xdr:col>3</xdr:col>
                    <xdr:colOff>1076325</xdr:colOff>
                    <xdr:row>20</xdr:row>
                    <xdr:rowOff>28575</xdr:rowOff>
                  </to>
                </anchor>
              </controlPr>
            </control>
          </mc:Choice>
        </mc:AlternateContent>
        <mc:AlternateContent xmlns:mc="http://schemas.openxmlformats.org/markup-compatibility/2006">
          <mc:Choice Requires="x14">
            <control shapeId="28792" r:id="rId66" name="Drop Down 120">
              <controlPr defaultSize="0" autoLine="0" autoPict="0">
                <anchor moveWithCells="1">
                  <from>
                    <xdr:col>2</xdr:col>
                    <xdr:colOff>1666875</xdr:colOff>
                    <xdr:row>20</xdr:row>
                    <xdr:rowOff>9525</xdr:rowOff>
                  </from>
                  <to>
                    <xdr:col>3</xdr:col>
                    <xdr:colOff>1066800</xdr:colOff>
                    <xdr:row>21</xdr:row>
                    <xdr:rowOff>19050</xdr:rowOff>
                  </to>
                </anchor>
              </controlPr>
            </control>
          </mc:Choice>
        </mc:AlternateContent>
        <mc:AlternateContent xmlns:mc="http://schemas.openxmlformats.org/markup-compatibility/2006">
          <mc:Choice Requires="x14">
            <control shapeId="28793" r:id="rId67" name="Drop Down 121">
              <controlPr defaultSize="0" autoLine="0" autoPict="0">
                <anchor moveWithCells="1">
                  <from>
                    <xdr:col>8</xdr:col>
                    <xdr:colOff>0</xdr:colOff>
                    <xdr:row>17</xdr:row>
                    <xdr:rowOff>9525</xdr:rowOff>
                  </from>
                  <to>
                    <xdr:col>9</xdr:col>
                    <xdr:colOff>0</xdr:colOff>
                    <xdr:row>18</xdr:row>
                    <xdr:rowOff>19050</xdr:rowOff>
                  </to>
                </anchor>
              </controlPr>
            </control>
          </mc:Choice>
        </mc:AlternateContent>
        <mc:AlternateContent xmlns:mc="http://schemas.openxmlformats.org/markup-compatibility/2006">
          <mc:Choice Requires="x14">
            <control shapeId="28794" r:id="rId68" name="Drop Down 122">
              <controlPr defaultSize="0" autoLine="0" autoPict="0">
                <anchor moveWithCells="1">
                  <from>
                    <xdr:col>7</xdr:col>
                    <xdr:colOff>0</xdr:colOff>
                    <xdr:row>17</xdr:row>
                    <xdr:rowOff>9525</xdr:rowOff>
                  </from>
                  <to>
                    <xdr:col>7</xdr:col>
                    <xdr:colOff>952500</xdr:colOff>
                    <xdr:row>18</xdr:row>
                    <xdr:rowOff>19050</xdr:rowOff>
                  </to>
                </anchor>
              </controlPr>
            </control>
          </mc:Choice>
        </mc:AlternateContent>
        <mc:AlternateContent xmlns:mc="http://schemas.openxmlformats.org/markup-compatibility/2006">
          <mc:Choice Requires="x14">
            <control shapeId="28795" r:id="rId69" name="Drop Down 123">
              <controlPr defaultSize="0" autoLine="0" autoPict="0">
                <anchor moveWithCells="1">
                  <from>
                    <xdr:col>1</xdr:col>
                    <xdr:colOff>0</xdr:colOff>
                    <xdr:row>17</xdr:row>
                    <xdr:rowOff>9525</xdr:rowOff>
                  </from>
                  <to>
                    <xdr:col>2</xdr:col>
                    <xdr:colOff>9525</xdr:colOff>
                    <xdr:row>18</xdr:row>
                    <xdr:rowOff>19050</xdr:rowOff>
                  </to>
                </anchor>
              </controlPr>
            </control>
          </mc:Choice>
        </mc:AlternateContent>
        <mc:AlternateContent xmlns:mc="http://schemas.openxmlformats.org/markup-compatibility/2006">
          <mc:Choice Requires="x14">
            <control shapeId="28796" r:id="rId70" name="Drop Down 124">
              <controlPr defaultSize="0" autoLine="0" autoPict="0">
                <anchor moveWithCells="1">
                  <from>
                    <xdr:col>1</xdr:col>
                    <xdr:colOff>0</xdr:colOff>
                    <xdr:row>18</xdr:row>
                    <xdr:rowOff>9525</xdr:rowOff>
                  </from>
                  <to>
                    <xdr:col>2</xdr:col>
                    <xdr:colOff>9525</xdr:colOff>
                    <xdr:row>19</xdr:row>
                    <xdr:rowOff>19050</xdr:rowOff>
                  </to>
                </anchor>
              </controlPr>
            </control>
          </mc:Choice>
        </mc:AlternateContent>
        <mc:AlternateContent xmlns:mc="http://schemas.openxmlformats.org/markup-compatibility/2006">
          <mc:Choice Requires="x14">
            <control shapeId="28797" r:id="rId71" name="Drop Down 125">
              <controlPr defaultSize="0" autoLine="0" autoPict="0">
                <anchor moveWithCells="1">
                  <from>
                    <xdr:col>1</xdr:col>
                    <xdr:colOff>0</xdr:colOff>
                    <xdr:row>19</xdr:row>
                    <xdr:rowOff>9525</xdr:rowOff>
                  </from>
                  <to>
                    <xdr:col>2</xdr:col>
                    <xdr:colOff>9525</xdr:colOff>
                    <xdr:row>20</xdr:row>
                    <xdr:rowOff>19050</xdr:rowOff>
                  </to>
                </anchor>
              </controlPr>
            </control>
          </mc:Choice>
        </mc:AlternateContent>
        <mc:AlternateContent xmlns:mc="http://schemas.openxmlformats.org/markup-compatibility/2006">
          <mc:Choice Requires="x14">
            <control shapeId="28798" r:id="rId72" name="Drop Down 126">
              <controlPr defaultSize="0" autoLine="0" autoPict="0">
                <anchor moveWithCells="1">
                  <from>
                    <xdr:col>1</xdr:col>
                    <xdr:colOff>0</xdr:colOff>
                    <xdr:row>20</xdr:row>
                    <xdr:rowOff>9525</xdr:rowOff>
                  </from>
                  <to>
                    <xdr:col>2</xdr:col>
                    <xdr:colOff>9525</xdr:colOff>
                    <xdr:row>21</xdr:row>
                    <xdr:rowOff>19050</xdr:rowOff>
                  </to>
                </anchor>
              </controlPr>
            </control>
          </mc:Choice>
        </mc:AlternateContent>
        <mc:AlternateContent xmlns:mc="http://schemas.openxmlformats.org/markup-compatibility/2006">
          <mc:Choice Requires="x14">
            <control shapeId="28799" r:id="rId73" name="Drop Down 127">
              <controlPr defaultSize="0" autoLine="0" autoPict="0">
                <anchor moveWithCells="1">
                  <from>
                    <xdr:col>1</xdr:col>
                    <xdr:colOff>0</xdr:colOff>
                    <xdr:row>21</xdr:row>
                    <xdr:rowOff>9525</xdr:rowOff>
                  </from>
                  <to>
                    <xdr:col>2</xdr:col>
                    <xdr:colOff>9525</xdr:colOff>
                    <xdr:row>22</xdr:row>
                    <xdr:rowOff>19050</xdr:rowOff>
                  </to>
                </anchor>
              </controlPr>
            </control>
          </mc:Choice>
        </mc:AlternateContent>
        <mc:AlternateContent xmlns:mc="http://schemas.openxmlformats.org/markup-compatibility/2006">
          <mc:Choice Requires="x14">
            <control shapeId="28800" r:id="rId74" name="Drop Down 128">
              <controlPr defaultSize="0" autoLine="0" autoPict="0">
                <anchor moveWithCells="1">
                  <from>
                    <xdr:col>1</xdr:col>
                    <xdr:colOff>0</xdr:colOff>
                    <xdr:row>22</xdr:row>
                    <xdr:rowOff>9525</xdr:rowOff>
                  </from>
                  <to>
                    <xdr:col>2</xdr:col>
                    <xdr:colOff>9525</xdr:colOff>
                    <xdr:row>23</xdr:row>
                    <xdr:rowOff>19050</xdr:rowOff>
                  </to>
                </anchor>
              </controlPr>
            </control>
          </mc:Choice>
        </mc:AlternateContent>
        <mc:AlternateContent xmlns:mc="http://schemas.openxmlformats.org/markup-compatibility/2006">
          <mc:Choice Requires="x14">
            <control shapeId="28801" r:id="rId75" name="Drop Down 129">
              <controlPr defaultSize="0" autoLine="0" autoPict="0">
                <anchor moveWithCells="1">
                  <from>
                    <xdr:col>1</xdr:col>
                    <xdr:colOff>0</xdr:colOff>
                    <xdr:row>23</xdr:row>
                    <xdr:rowOff>9525</xdr:rowOff>
                  </from>
                  <to>
                    <xdr:col>2</xdr:col>
                    <xdr:colOff>9525</xdr:colOff>
                    <xdr:row>24</xdr:row>
                    <xdr:rowOff>19050</xdr:rowOff>
                  </to>
                </anchor>
              </controlPr>
            </control>
          </mc:Choice>
        </mc:AlternateContent>
        <mc:AlternateContent xmlns:mc="http://schemas.openxmlformats.org/markup-compatibility/2006">
          <mc:Choice Requires="x14">
            <control shapeId="28802" r:id="rId76" name="Drop Down 130">
              <controlPr defaultSize="0" autoLine="0" autoPict="0">
                <anchor moveWithCells="1">
                  <from>
                    <xdr:col>1</xdr:col>
                    <xdr:colOff>0</xdr:colOff>
                    <xdr:row>24</xdr:row>
                    <xdr:rowOff>9525</xdr:rowOff>
                  </from>
                  <to>
                    <xdr:col>2</xdr:col>
                    <xdr:colOff>9525</xdr:colOff>
                    <xdr:row>25</xdr:row>
                    <xdr:rowOff>19050</xdr:rowOff>
                  </to>
                </anchor>
              </controlPr>
            </control>
          </mc:Choice>
        </mc:AlternateContent>
        <mc:AlternateContent xmlns:mc="http://schemas.openxmlformats.org/markup-compatibility/2006">
          <mc:Choice Requires="x14">
            <control shapeId="28803" r:id="rId77" name="Drop Down 131">
              <controlPr defaultSize="0" autoLine="0" autoPict="0">
                <anchor moveWithCells="1">
                  <from>
                    <xdr:col>1</xdr:col>
                    <xdr:colOff>0</xdr:colOff>
                    <xdr:row>25</xdr:row>
                    <xdr:rowOff>9525</xdr:rowOff>
                  </from>
                  <to>
                    <xdr:col>2</xdr:col>
                    <xdr:colOff>9525</xdr:colOff>
                    <xdr:row>26</xdr:row>
                    <xdr:rowOff>19050</xdr:rowOff>
                  </to>
                </anchor>
              </controlPr>
            </control>
          </mc:Choice>
        </mc:AlternateContent>
        <mc:AlternateContent xmlns:mc="http://schemas.openxmlformats.org/markup-compatibility/2006">
          <mc:Choice Requires="x14">
            <control shapeId="28804" r:id="rId78" name="Drop Down 132">
              <controlPr defaultSize="0" autoLine="0" autoPict="0">
                <anchor moveWithCells="1">
                  <from>
                    <xdr:col>1</xdr:col>
                    <xdr:colOff>0</xdr:colOff>
                    <xdr:row>26</xdr:row>
                    <xdr:rowOff>9525</xdr:rowOff>
                  </from>
                  <to>
                    <xdr:col>2</xdr:col>
                    <xdr:colOff>9525</xdr:colOff>
                    <xdr:row>27</xdr:row>
                    <xdr:rowOff>19050</xdr:rowOff>
                  </to>
                </anchor>
              </controlPr>
            </control>
          </mc:Choice>
        </mc:AlternateContent>
        <mc:AlternateContent xmlns:mc="http://schemas.openxmlformats.org/markup-compatibility/2006">
          <mc:Choice Requires="x14">
            <control shapeId="28805" r:id="rId79" name="Drop Down 133">
              <controlPr defaultSize="0" autoLine="0" autoPict="0">
                <anchor moveWithCells="1">
                  <from>
                    <xdr:col>1</xdr:col>
                    <xdr:colOff>0</xdr:colOff>
                    <xdr:row>27</xdr:row>
                    <xdr:rowOff>9525</xdr:rowOff>
                  </from>
                  <to>
                    <xdr:col>2</xdr:col>
                    <xdr:colOff>9525</xdr:colOff>
                    <xdr:row>28</xdr:row>
                    <xdr:rowOff>19050</xdr:rowOff>
                  </to>
                </anchor>
              </controlPr>
            </control>
          </mc:Choice>
        </mc:AlternateContent>
        <mc:AlternateContent xmlns:mc="http://schemas.openxmlformats.org/markup-compatibility/2006">
          <mc:Choice Requires="x14">
            <control shapeId="28806" r:id="rId80" name="Drop Down 134">
              <controlPr defaultSize="0" autoLine="0" autoPict="0">
                <anchor moveWithCells="1">
                  <from>
                    <xdr:col>1</xdr:col>
                    <xdr:colOff>0</xdr:colOff>
                    <xdr:row>28</xdr:row>
                    <xdr:rowOff>9525</xdr:rowOff>
                  </from>
                  <to>
                    <xdr:col>2</xdr:col>
                    <xdr:colOff>9525</xdr:colOff>
                    <xdr:row>29</xdr:row>
                    <xdr:rowOff>19050</xdr:rowOff>
                  </to>
                </anchor>
              </controlPr>
            </control>
          </mc:Choice>
        </mc:AlternateContent>
        <mc:AlternateContent xmlns:mc="http://schemas.openxmlformats.org/markup-compatibility/2006">
          <mc:Choice Requires="x14">
            <control shapeId="28807" r:id="rId81" name="Drop Down 135">
              <controlPr defaultSize="0" autoLine="0" autoPict="0">
                <anchor moveWithCells="1">
                  <from>
                    <xdr:col>3</xdr:col>
                    <xdr:colOff>0</xdr:colOff>
                    <xdr:row>21</xdr:row>
                    <xdr:rowOff>9525</xdr:rowOff>
                  </from>
                  <to>
                    <xdr:col>3</xdr:col>
                    <xdr:colOff>1076325</xdr:colOff>
                    <xdr:row>22</xdr:row>
                    <xdr:rowOff>19050</xdr:rowOff>
                  </to>
                </anchor>
              </controlPr>
            </control>
          </mc:Choice>
        </mc:AlternateContent>
        <mc:AlternateContent xmlns:mc="http://schemas.openxmlformats.org/markup-compatibility/2006">
          <mc:Choice Requires="x14">
            <control shapeId="28808" r:id="rId82" name="Drop Down 136">
              <controlPr defaultSize="0" autoLine="0" autoPict="0">
                <anchor moveWithCells="1">
                  <from>
                    <xdr:col>3</xdr:col>
                    <xdr:colOff>0</xdr:colOff>
                    <xdr:row>22</xdr:row>
                    <xdr:rowOff>9525</xdr:rowOff>
                  </from>
                  <to>
                    <xdr:col>3</xdr:col>
                    <xdr:colOff>1076325</xdr:colOff>
                    <xdr:row>23</xdr:row>
                    <xdr:rowOff>19050</xdr:rowOff>
                  </to>
                </anchor>
              </controlPr>
            </control>
          </mc:Choice>
        </mc:AlternateContent>
        <mc:AlternateContent xmlns:mc="http://schemas.openxmlformats.org/markup-compatibility/2006">
          <mc:Choice Requires="x14">
            <control shapeId="28809" r:id="rId83" name="Drop Down 137">
              <controlPr defaultSize="0" autoLine="0" autoPict="0">
                <anchor moveWithCells="1">
                  <from>
                    <xdr:col>3</xdr:col>
                    <xdr:colOff>0</xdr:colOff>
                    <xdr:row>23</xdr:row>
                    <xdr:rowOff>9525</xdr:rowOff>
                  </from>
                  <to>
                    <xdr:col>3</xdr:col>
                    <xdr:colOff>1076325</xdr:colOff>
                    <xdr:row>24</xdr:row>
                    <xdr:rowOff>19050</xdr:rowOff>
                  </to>
                </anchor>
              </controlPr>
            </control>
          </mc:Choice>
        </mc:AlternateContent>
        <mc:AlternateContent xmlns:mc="http://schemas.openxmlformats.org/markup-compatibility/2006">
          <mc:Choice Requires="x14">
            <control shapeId="28810" r:id="rId84" name="Drop Down 138">
              <controlPr defaultSize="0" autoLine="0" autoPict="0">
                <anchor moveWithCells="1">
                  <from>
                    <xdr:col>3</xdr:col>
                    <xdr:colOff>0</xdr:colOff>
                    <xdr:row>24</xdr:row>
                    <xdr:rowOff>9525</xdr:rowOff>
                  </from>
                  <to>
                    <xdr:col>3</xdr:col>
                    <xdr:colOff>1076325</xdr:colOff>
                    <xdr:row>25</xdr:row>
                    <xdr:rowOff>19050</xdr:rowOff>
                  </to>
                </anchor>
              </controlPr>
            </control>
          </mc:Choice>
        </mc:AlternateContent>
        <mc:AlternateContent xmlns:mc="http://schemas.openxmlformats.org/markup-compatibility/2006">
          <mc:Choice Requires="x14">
            <control shapeId="28811" r:id="rId85" name="Drop Down 139">
              <controlPr defaultSize="0" autoLine="0" autoPict="0">
                <anchor moveWithCells="1">
                  <from>
                    <xdr:col>3</xdr:col>
                    <xdr:colOff>0</xdr:colOff>
                    <xdr:row>25</xdr:row>
                    <xdr:rowOff>9525</xdr:rowOff>
                  </from>
                  <to>
                    <xdr:col>3</xdr:col>
                    <xdr:colOff>1076325</xdr:colOff>
                    <xdr:row>26</xdr:row>
                    <xdr:rowOff>19050</xdr:rowOff>
                  </to>
                </anchor>
              </controlPr>
            </control>
          </mc:Choice>
        </mc:AlternateContent>
        <mc:AlternateContent xmlns:mc="http://schemas.openxmlformats.org/markup-compatibility/2006">
          <mc:Choice Requires="x14">
            <control shapeId="28812" r:id="rId86" name="Drop Down 140">
              <controlPr defaultSize="0" autoLine="0" autoPict="0">
                <anchor moveWithCells="1">
                  <from>
                    <xdr:col>3</xdr:col>
                    <xdr:colOff>0</xdr:colOff>
                    <xdr:row>26</xdr:row>
                    <xdr:rowOff>9525</xdr:rowOff>
                  </from>
                  <to>
                    <xdr:col>3</xdr:col>
                    <xdr:colOff>1076325</xdr:colOff>
                    <xdr:row>27</xdr:row>
                    <xdr:rowOff>19050</xdr:rowOff>
                  </to>
                </anchor>
              </controlPr>
            </control>
          </mc:Choice>
        </mc:AlternateContent>
        <mc:AlternateContent xmlns:mc="http://schemas.openxmlformats.org/markup-compatibility/2006">
          <mc:Choice Requires="x14">
            <control shapeId="28813" r:id="rId87" name="Drop Down 141">
              <controlPr defaultSize="0" autoLine="0" autoPict="0">
                <anchor moveWithCells="1">
                  <from>
                    <xdr:col>3</xdr:col>
                    <xdr:colOff>0</xdr:colOff>
                    <xdr:row>27</xdr:row>
                    <xdr:rowOff>9525</xdr:rowOff>
                  </from>
                  <to>
                    <xdr:col>3</xdr:col>
                    <xdr:colOff>1076325</xdr:colOff>
                    <xdr:row>28</xdr:row>
                    <xdr:rowOff>19050</xdr:rowOff>
                  </to>
                </anchor>
              </controlPr>
            </control>
          </mc:Choice>
        </mc:AlternateContent>
        <mc:AlternateContent xmlns:mc="http://schemas.openxmlformats.org/markup-compatibility/2006">
          <mc:Choice Requires="x14">
            <control shapeId="28814" r:id="rId88" name="Drop Down 142">
              <controlPr defaultSize="0" autoLine="0" autoPict="0">
                <anchor moveWithCells="1">
                  <from>
                    <xdr:col>3</xdr:col>
                    <xdr:colOff>0</xdr:colOff>
                    <xdr:row>28</xdr:row>
                    <xdr:rowOff>9525</xdr:rowOff>
                  </from>
                  <to>
                    <xdr:col>3</xdr:col>
                    <xdr:colOff>1076325</xdr:colOff>
                    <xdr:row>29</xdr:row>
                    <xdr:rowOff>19050</xdr:rowOff>
                  </to>
                </anchor>
              </controlPr>
            </control>
          </mc:Choice>
        </mc:AlternateContent>
        <mc:AlternateContent xmlns:mc="http://schemas.openxmlformats.org/markup-compatibility/2006">
          <mc:Choice Requires="x14">
            <control shapeId="28815" r:id="rId89" name="Drop Down 143">
              <controlPr defaultSize="0" autoLine="0" autoPict="0">
                <anchor moveWithCells="1">
                  <from>
                    <xdr:col>7</xdr:col>
                    <xdr:colOff>0</xdr:colOff>
                    <xdr:row>18</xdr:row>
                    <xdr:rowOff>9525</xdr:rowOff>
                  </from>
                  <to>
                    <xdr:col>7</xdr:col>
                    <xdr:colOff>952500</xdr:colOff>
                    <xdr:row>19</xdr:row>
                    <xdr:rowOff>19050</xdr:rowOff>
                  </to>
                </anchor>
              </controlPr>
            </control>
          </mc:Choice>
        </mc:AlternateContent>
        <mc:AlternateContent xmlns:mc="http://schemas.openxmlformats.org/markup-compatibility/2006">
          <mc:Choice Requires="x14">
            <control shapeId="28816" r:id="rId90" name="Drop Down 144">
              <controlPr defaultSize="0" autoLine="0" autoPict="0">
                <anchor moveWithCells="1">
                  <from>
                    <xdr:col>7</xdr:col>
                    <xdr:colOff>0</xdr:colOff>
                    <xdr:row>19</xdr:row>
                    <xdr:rowOff>9525</xdr:rowOff>
                  </from>
                  <to>
                    <xdr:col>7</xdr:col>
                    <xdr:colOff>952500</xdr:colOff>
                    <xdr:row>20</xdr:row>
                    <xdr:rowOff>19050</xdr:rowOff>
                  </to>
                </anchor>
              </controlPr>
            </control>
          </mc:Choice>
        </mc:AlternateContent>
        <mc:AlternateContent xmlns:mc="http://schemas.openxmlformats.org/markup-compatibility/2006">
          <mc:Choice Requires="x14">
            <control shapeId="28817" r:id="rId91" name="Drop Down 145">
              <controlPr defaultSize="0" autoLine="0" autoPict="0">
                <anchor moveWithCells="1">
                  <from>
                    <xdr:col>7</xdr:col>
                    <xdr:colOff>0</xdr:colOff>
                    <xdr:row>20</xdr:row>
                    <xdr:rowOff>9525</xdr:rowOff>
                  </from>
                  <to>
                    <xdr:col>7</xdr:col>
                    <xdr:colOff>952500</xdr:colOff>
                    <xdr:row>21</xdr:row>
                    <xdr:rowOff>19050</xdr:rowOff>
                  </to>
                </anchor>
              </controlPr>
            </control>
          </mc:Choice>
        </mc:AlternateContent>
        <mc:AlternateContent xmlns:mc="http://schemas.openxmlformats.org/markup-compatibility/2006">
          <mc:Choice Requires="x14">
            <control shapeId="28818" r:id="rId92" name="Drop Down 146">
              <controlPr defaultSize="0" autoLine="0" autoPict="0">
                <anchor moveWithCells="1">
                  <from>
                    <xdr:col>7</xdr:col>
                    <xdr:colOff>0</xdr:colOff>
                    <xdr:row>21</xdr:row>
                    <xdr:rowOff>9525</xdr:rowOff>
                  </from>
                  <to>
                    <xdr:col>7</xdr:col>
                    <xdr:colOff>952500</xdr:colOff>
                    <xdr:row>22</xdr:row>
                    <xdr:rowOff>19050</xdr:rowOff>
                  </to>
                </anchor>
              </controlPr>
            </control>
          </mc:Choice>
        </mc:AlternateContent>
        <mc:AlternateContent xmlns:mc="http://schemas.openxmlformats.org/markup-compatibility/2006">
          <mc:Choice Requires="x14">
            <control shapeId="28819" r:id="rId93" name="Drop Down 147">
              <controlPr defaultSize="0" autoLine="0" autoPict="0">
                <anchor moveWithCells="1">
                  <from>
                    <xdr:col>7</xdr:col>
                    <xdr:colOff>0</xdr:colOff>
                    <xdr:row>22</xdr:row>
                    <xdr:rowOff>9525</xdr:rowOff>
                  </from>
                  <to>
                    <xdr:col>7</xdr:col>
                    <xdr:colOff>952500</xdr:colOff>
                    <xdr:row>23</xdr:row>
                    <xdr:rowOff>19050</xdr:rowOff>
                  </to>
                </anchor>
              </controlPr>
            </control>
          </mc:Choice>
        </mc:AlternateContent>
        <mc:AlternateContent xmlns:mc="http://schemas.openxmlformats.org/markup-compatibility/2006">
          <mc:Choice Requires="x14">
            <control shapeId="28820" r:id="rId94" name="Drop Down 148">
              <controlPr defaultSize="0" autoLine="0" autoPict="0">
                <anchor moveWithCells="1">
                  <from>
                    <xdr:col>7</xdr:col>
                    <xdr:colOff>0</xdr:colOff>
                    <xdr:row>23</xdr:row>
                    <xdr:rowOff>9525</xdr:rowOff>
                  </from>
                  <to>
                    <xdr:col>7</xdr:col>
                    <xdr:colOff>952500</xdr:colOff>
                    <xdr:row>24</xdr:row>
                    <xdr:rowOff>19050</xdr:rowOff>
                  </to>
                </anchor>
              </controlPr>
            </control>
          </mc:Choice>
        </mc:AlternateContent>
        <mc:AlternateContent xmlns:mc="http://schemas.openxmlformats.org/markup-compatibility/2006">
          <mc:Choice Requires="x14">
            <control shapeId="28821" r:id="rId95" name="Drop Down 149">
              <controlPr defaultSize="0" autoLine="0" autoPict="0">
                <anchor moveWithCells="1">
                  <from>
                    <xdr:col>7</xdr:col>
                    <xdr:colOff>0</xdr:colOff>
                    <xdr:row>24</xdr:row>
                    <xdr:rowOff>9525</xdr:rowOff>
                  </from>
                  <to>
                    <xdr:col>7</xdr:col>
                    <xdr:colOff>952500</xdr:colOff>
                    <xdr:row>25</xdr:row>
                    <xdr:rowOff>19050</xdr:rowOff>
                  </to>
                </anchor>
              </controlPr>
            </control>
          </mc:Choice>
        </mc:AlternateContent>
        <mc:AlternateContent xmlns:mc="http://schemas.openxmlformats.org/markup-compatibility/2006">
          <mc:Choice Requires="x14">
            <control shapeId="28822" r:id="rId96" name="Drop Down 150">
              <controlPr defaultSize="0" autoLine="0" autoPict="0">
                <anchor moveWithCells="1">
                  <from>
                    <xdr:col>7</xdr:col>
                    <xdr:colOff>0</xdr:colOff>
                    <xdr:row>25</xdr:row>
                    <xdr:rowOff>9525</xdr:rowOff>
                  </from>
                  <to>
                    <xdr:col>7</xdr:col>
                    <xdr:colOff>952500</xdr:colOff>
                    <xdr:row>26</xdr:row>
                    <xdr:rowOff>19050</xdr:rowOff>
                  </to>
                </anchor>
              </controlPr>
            </control>
          </mc:Choice>
        </mc:AlternateContent>
        <mc:AlternateContent xmlns:mc="http://schemas.openxmlformats.org/markup-compatibility/2006">
          <mc:Choice Requires="x14">
            <control shapeId="28823" r:id="rId97" name="Drop Down 151">
              <controlPr defaultSize="0" autoLine="0" autoPict="0">
                <anchor moveWithCells="1">
                  <from>
                    <xdr:col>7</xdr:col>
                    <xdr:colOff>0</xdr:colOff>
                    <xdr:row>26</xdr:row>
                    <xdr:rowOff>9525</xdr:rowOff>
                  </from>
                  <to>
                    <xdr:col>7</xdr:col>
                    <xdr:colOff>952500</xdr:colOff>
                    <xdr:row>27</xdr:row>
                    <xdr:rowOff>19050</xdr:rowOff>
                  </to>
                </anchor>
              </controlPr>
            </control>
          </mc:Choice>
        </mc:AlternateContent>
        <mc:AlternateContent xmlns:mc="http://schemas.openxmlformats.org/markup-compatibility/2006">
          <mc:Choice Requires="x14">
            <control shapeId="28824" r:id="rId98" name="Drop Down 152">
              <controlPr defaultSize="0" autoLine="0" autoPict="0">
                <anchor moveWithCells="1">
                  <from>
                    <xdr:col>7</xdr:col>
                    <xdr:colOff>0</xdr:colOff>
                    <xdr:row>27</xdr:row>
                    <xdr:rowOff>9525</xdr:rowOff>
                  </from>
                  <to>
                    <xdr:col>7</xdr:col>
                    <xdr:colOff>952500</xdr:colOff>
                    <xdr:row>28</xdr:row>
                    <xdr:rowOff>19050</xdr:rowOff>
                  </to>
                </anchor>
              </controlPr>
            </control>
          </mc:Choice>
        </mc:AlternateContent>
        <mc:AlternateContent xmlns:mc="http://schemas.openxmlformats.org/markup-compatibility/2006">
          <mc:Choice Requires="x14">
            <control shapeId="28825" r:id="rId99" name="Drop Down 153">
              <controlPr defaultSize="0" autoLine="0" autoPict="0">
                <anchor moveWithCells="1">
                  <from>
                    <xdr:col>7</xdr:col>
                    <xdr:colOff>0</xdr:colOff>
                    <xdr:row>28</xdr:row>
                    <xdr:rowOff>9525</xdr:rowOff>
                  </from>
                  <to>
                    <xdr:col>7</xdr:col>
                    <xdr:colOff>952500</xdr:colOff>
                    <xdr:row>29</xdr:row>
                    <xdr:rowOff>19050</xdr:rowOff>
                  </to>
                </anchor>
              </controlPr>
            </control>
          </mc:Choice>
        </mc:AlternateContent>
        <mc:AlternateContent xmlns:mc="http://schemas.openxmlformats.org/markup-compatibility/2006">
          <mc:Choice Requires="x14">
            <control shapeId="28826" r:id="rId100" name="Drop Down 154">
              <controlPr defaultSize="0" autoLine="0" autoPict="0">
                <anchor moveWithCells="1">
                  <from>
                    <xdr:col>8</xdr:col>
                    <xdr:colOff>0</xdr:colOff>
                    <xdr:row>18</xdr:row>
                    <xdr:rowOff>9525</xdr:rowOff>
                  </from>
                  <to>
                    <xdr:col>9</xdr:col>
                    <xdr:colOff>0</xdr:colOff>
                    <xdr:row>19</xdr:row>
                    <xdr:rowOff>19050</xdr:rowOff>
                  </to>
                </anchor>
              </controlPr>
            </control>
          </mc:Choice>
        </mc:AlternateContent>
        <mc:AlternateContent xmlns:mc="http://schemas.openxmlformats.org/markup-compatibility/2006">
          <mc:Choice Requires="x14">
            <control shapeId="28827" r:id="rId101" name="Drop Down 155">
              <controlPr defaultSize="0" autoLine="0" autoPict="0">
                <anchor moveWithCells="1">
                  <from>
                    <xdr:col>8</xdr:col>
                    <xdr:colOff>0</xdr:colOff>
                    <xdr:row>19</xdr:row>
                    <xdr:rowOff>9525</xdr:rowOff>
                  </from>
                  <to>
                    <xdr:col>9</xdr:col>
                    <xdr:colOff>0</xdr:colOff>
                    <xdr:row>20</xdr:row>
                    <xdr:rowOff>19050</xdr:rowOff>
                  </to>
                </anchor>
              </controlPr>
            </control>
          </mc:Choice>
        </mc:AlternateContent>
        <mc:AlternateContent xmlns:mc="http://schemas.openxmlformats.org/markup-compatibility/2006">
          <mc:Choice Requires="x14">
            <control shapeId="28828" r:id="rId102" name="Drop Down 156">
              <controlPr defaultSize="0" autoLine="0" autoPict="0">
                <anchor moveWithCells="1">
                  <from>
                    <xdr:col>8</xdr:col>
                    <xdr:colOff>0</xdr:colOff>
                    <xdr:row>20</xdr:row>
                    <xdr:rowOff>9525</xdr:rowOff>
                  </from>
                  <to>
                    <xdr:col>9</xdr:col>
                    <xdr:colOff>0</xdr:colOff>
                    <xdr:row>21</xdr:row>
                    <xdr:rowOff>19050</xdr:rowOff>
                  </to>
                </anchor>
              </controlPr>
            </control>
          </mc:Choice>
        </mc:AlternateContent>
        <mc:AlternateContent xmlns:mc="http://schemas.openxmlformats.org/markup-compatibility/2006">
          <mc:Choice Requires="x14">
            <control shapeId="28829" r:id="rId103" name="Drop Down 157">
              <controlPr defaultSize="0" autoLine="0" autoPict="0">
                <anchor moveWithCells="1">
                  <from>
                    <xdr:col>8</xdr:col>
                    <xdr:colOff>0</xdr:colOff>
                    <xdr:row>21</xdr:row>
                    <xdr:rowOff>9525</xdr:rowOff>
                  </from>
                  <to>
                    <xdr:col>9</xdr:col>
                    <xdr:colOff>0</xdr:colOff>
                    <xdr:row>22</xdr:row>
                    <xdr:rowOff>19050</xdr:rowOff>
                  </to>
                </anchor>
              </controlPr>
            </control>
          </mc:Choice>
        </mc:AlternateContent>
        <mc:AlternateContent xmlns:mc="http://schemas.openxmlformats.org/markup-compatibility/2006">
          <mc:Choice Requires="x14">
            <control shapeId="28830" r:id="rId104" name="Drop Down 158">
              <controlPr defaultSize="0" autoLine="0" autoPict="0">
                <anchor moveWithCells="1">
                  <from>
                    <xdr:col>8</xdr:col>
                    <xdr:colOff>0</xdr:colOff>
                    <xdr:row>22</xdr:row>
                    <xdr:rowOff>9525</xdr:rowOff>
                  </from>
                  <to>
                    <xdr:col>9</xdr:col>
                    <xdr:colOff>0</xdr:colOff>
                    <xdr:row>23</xdr:row>
                    <xdr:rowOff>19050</xdr:rowOff>
                  </to>
                </anchor>
              </controlPr>
            </control>
          </mc:Choice>
        </mc:AlternateContent>
        <mc:AlternateContent xmlns:mc="http://schemas.openxmlformats.org/markup-compatibility/2006">
          <mc:Choice Requires="x14">
            <control shapeId="28831" r:id="rId105" name="Drop Down 159">
              <controlPr defaultSize="0" autoLine="0" autoPict="0">
                <anchor moveWithCells="1">
                  <from>
                    <xdr:col>8</xdr:col>
                    <xdr:colOff>0</xdr:colOff>
                    <xdr:row>23</xdr:row>
                    <xdr:rowOff>9525</xdr:rowOff>
                  </from>
                  <to>
                    <xdr:col>9</xdr:col>
                    <xdr:colOff>0</xdr:colOff>
                    <xdr:row>24</xdr:row>
                    <xdr:rowOff>19050</xdr:rowOff>
                  </to>
                </anchor>
              </controlPr>
            </control>
          </mc:Choice>
        </mc:AlternateContent>
        <mc:AlternateContent xmlns:mc="http://schemas.openxmlformats.org/markup-compatibility/2006">
          <mc:Choice Requires="x14">
            <control shapeId="28832" r:id="rId106" name="Drop Down 160">
              <controlPr defaultSize="0" autoLine="0" autoPict="0">
                <anchor moveWithCells="1">
                  <from>
                    <xdr:col>8</xdr:col>
                    <xdr:colOff>0</xdr:colOff>
                    <xdr:row>24</xdr:row>
                    <xdr:rowOff>9525</xdr:rowOff>
                  </from>
                  <to>
                    <xdr:col>9</xdr:col>
                    <xdr:colOff>0</xdr:colOff>
                    <xdr:row>25</xdr:row>
                    <xdr:rowOff>19050</xdr:rowOff>
                  </to>
                </anchor>
              </controlPr>
            </control>
          </mc:Choice>
        </mc:AlternateContent>
        <mc:AlternateContent xmlns:mc="http://schemas.openxmlformats.org/markup-compatibility/2006">
          <mc:Choice Requires="x14">
            <control shapeId="28833" r:id="rId107" name="Drop Down 161">
              <controlPr defaultSize="0" autoLine="0" autoPict="0">
                <anchor moveWithCells="1">
                  <from>
                    <xdr:col>8</xdr:col>
                    <xdr:colOff>0</xdr:colOff>
                    <xdr:row>25</xdr:row>
                    <xdr:rowOff>9525</xdr:rowOff>
                  </from>
                  <to>
                    <xdr:col>9</xdr:col>
                    <xdr:colOff>0</xdr:colOff>
                    <xdr:row>26</xdr:row>
                    <xdr:rowOff>19050</xdr:rowOff>
                  </to>
                </anchor>
              </controlPr>
            </control>
          </mc:Choice>
        </mc:AlternateContent>
        <mc:AlternateContent xmlns:mc="http://schemas.openxmlformats.org/markup-compatibility/2006">
          <mc:Choice Requires="x14">
            <control shapeId="28834" r:id="rId108" name="Drop Down 162">
              <controlPr defaultSize="0" autoLine="0" autoPict="0">
                <anchor moveWithCells="1">
                  <from>
                    <xdr:col>8</xdr:col>
                    <xdr:colOff>0</xdr:colOff>
                    <xdr:row>26</xdr:row>
                    <xdr:rowOff>9525</xdr:rowOff>
                  </from>
                  <to>
                    <xdr:col>9</xdr:col>
                    <xdr:colOff>0</xdr:colOff>
                    <xdr:row>27</xdr:row>
                    <xdr:rowOff>19050</xdr:rowOff>
                  </to>
                </anchor>
              </controlPr>
            </control>
          </mc:Choice>
        </mc:AlternateContent>
        <mc:AlternateContent xmlns:mc="http://schemas.openxmlformats.org/markup-compatibility/2006">
          <mc:Choice Requires="x14">
            <control shapeId="28835" r:id="rId109" name="Drop Down 163">
              <controlPr defaultSize="0" autoLine="0" autoPict="0">
                <anchor moveWithCells="1">
                  <from>
                    <xdr:col>8</xdr:col>
                    <xdr:colOff>0</xdr:colOff>
                    <xdr:row>27</xdr:row>
                    <xdr:rowOff>9525</xdr:rowOff>
                  </from>
                  <to>
                    <xdr:col>9</xdr:col>
                    <xdr:colOff>0</xdr:colOff>
                    <xdr:row>28</xdr:row>
                    <xdr:rowOff>19050</xdr:rowOff>
                  </to>
                </anchor>
              </controlPr>
            </control>
          </mc:Choice>
        </mc:AlternateContent>
        <mc:AlternateContent xmlns:mc="http://schemas.openxmlformats.org/markup-compatibility/2006">
          <mc:Choice Requires="x14">
            <control shapeId="28836" r:id="rId110" name="Drop Down 164">
              <controlPr defaultSize="0" autoLine="0" autoPict="0">
                <anchor moveWithCells="1">
                  <from>
                    <xdr:col>8</xdr:col>
                    <xdr:colOff>0</xdr:colOff>
                    <xdr:row>28</xdr:row>
                    <xdr:rowOff>9525</xdr:rowOff>
                  </from>
                  <to>
                    <xdr:col>9</xdr:col>
                    <xdr:colOff>0</xdr:colOff>
                    <xdr:row>29</xdr:row>
                    <xdr:rowOff>19050</xdr:rowOff>
                  </to>
                </anchor>
              </controlPr>
            </control>
          </mc:Choice>
        </mc:AlternateContent>
        <mc:AlternateContent xmlns:mc="http://schemas.openxmlformats.org/markup-compatibility/2006">
          <mc:Choice Requires="x14">
            <control shapeId="28837" r:id="rId111" name="Drop Down 165">
              <controlPr defaultSize="0" autoLine="0" autoPict="0">
                <anchor moveWithCells="1">
                  <from>
                    <xdr:col>2</xdr:col>
                    <xdr:colOff>0</xdr:colOff>
                    <xdr:row>17</xdr:row>
                    <xdr:rowOff>9525</xdr:rowOff>
                  </from>
                  <to>
                    <xdr:col>3</xdr:col>
                    <xdr:colOff>9525</xdr:colOff>
                    <xdr:row>18</xdr:row>
                    <xdr:rowOff>19050</xdr:rowOff>
                  </to>
                </anchor>
              </controlPr>
            </control>
          </mc:Choice>
        </mc:AlternateContent>
        <mc:AlternateContent xmlns:mc="http://schemas.openxmlformats.org/markup-compatibility/2006">
          <mc:Choice Requires="x14">
            <control shapeId="28838" r:id="rId112" name="Drop Down 166">
              <controlPr defaultSize="0" autoLine="0" autoPict="0">
                <anchor moveWithCells="1">
                  <from>
                    <xdr:col>2</xdr:col>
                    <xdr:colOff>0</xdr:colOff>
                    <xdr:row>18</xdr:row>
                    <xdr:rowOff>9525</xdr:rowOff>
                  </from>
                  <to>
                    <xdr:col>3</xdr:col>
                    <xdr:colOff>9525</xdr:colOff>
                    <xdr:row>19</xdr:row>
                    <xdr:rowOff>19050</xdr:rowOff>
                  </to>
                </anchor>
              </controlPr>
            </control>
          </mc:Choice>
        </mc:AlternateContent>
        <mc:AlternateContent xmlns:mc="http://schemas.openxmlformats.org/markup-compatibility/2006">
          <mc:Choice Requires="x14">
            <control shapeId="28839" r:id="rId113" name="Drop Down 167">
              <controlPr defaultSize="0" autoLine="0" autoPict="0">
                <anchor moveWithCells="1">
                  <from>
                    <xdr:col>2</xdr:col>
                    <xdr:colOff>0</xdr:colOff>
                    <xdr:row>19</xdr:row>
                    <xdr:rowOff>9525</xdr:rowOff>
                  </from>
                  <to>
                    <xdr:col>3</xdr:col>
                    <xdr:colOff>9525</xdr:colOff>
                    <xdr:row>20</xdr:row>
                    <xdr:rowOff>19050</xdr:rowOff>
                  </to>
                </anchor>
              </controlPr>
            </control>
          </mc:Choice>
        </mc:AlternateContent>
        <mc:AlternateContent xmlns:mc="http://schemas.openxmlformats.org/markup-compatibility/2006">
          <mc:Choice Requires="x14">
            <control shapeId="28840" r:id="rId114" name="Drop Down 168">
              <controlPr defaultSize="0" autoLine="0" autoPict="0">
                <anchor moveWithCells="1">
                  <from>
                    <xdr:col>2</xdr:col>
                    <xdr:colOff>0</xdr:colOff>
                    <xdr:row>20</xdr:row>
                    <xdr:rowOff>9525</xdr:rowOff>
                  </from>
                  <to>
                    <xdr:col>3</xdr:col>
                    <xdr:colOff>9525</xdr:colOff>
                    <xdr:row>21</xdr:row>
                    <xdr:rowOff>19050</xdr:rowOff>
                  </to>
                </anchor>
              </controlPr>
            </control>
          </mc:Choice>
        </mc:AlternateContent>
        <mc:AlternateContent xmlns:mc="http://schemas.openxmlformats.org/markup-compatibility/2006">
          <mc:Choice Requires="x14">
            <control shapeId="28841" r:id="rId115" name="Drop Down 169">
              <controlPr defaultSize="0" autoLine="0" autoPict="0">
                <anchor moveWithCells="1">
                  <from>
                    <xdr:col>2</xdr:col>
                    <xdr:colOff>0</xdr:colOff>
                    <xdr:row>21</xdr:row>
                    <xdr:rowOff>9525</xdr:rowOff>
                  </from>
                  <to>
                    <xdr:col>3</xdr:col>
                    <xdr:colOff>9525</xdr:colOff>
                    <xdr:row>22</xdr:row>
                    <xdr:rowOff>19050</xdr:rowOff>
                  </to>
                </anchor>
              </controlPr>
            </control>
          </mc:Choice>
        </mc:AlternateContent>
        <mc:AlternateContent xmlns:mc="http://schemas.openxmlformats.org/markup-compatibility/2006">
          <mc:Choice Requires="x14">
            <control shapeId="28842" r:id="rId116" name="Drop Down 170">
              <controlPr defaultSize="0" autoLine="0" autoPict="0">
                <anchor moveWithCells="1">
                  <from>
                    <xdr:col>2</xdr:col>
                    <xdr:colOff>0</xdr:colOff>
                    <xdr:row>22</xdr:row>
                    <xdr:rowOff>9525</xdr:rowOff>
                  </from>
                  <to>
                    <xdr:col>3</xdr:col>
                    <xdr:colOff>9525</xdr:colOff>
                    <xdr:row>23</xdr:row>
                    <xdr:rowOff>19050</xdr:rowOff>
                  </to>
                </anchor>
              </controlPr>
            </control>
          </mc:Choice>
        </mc:AlternateContent>
        <mc:AlternateContent xmlns:mc="http://schemas.openxmlformats.org/markup-compatibility/2006">
          <mc:Choice Requires="x14">
            <control shapeId="28843" r:id="rId117" name="Drop Down 171">
              <controlPr defaultSize="0" autoLine="0" autoPict="0">
                <anchor moveWithCells="1">
                  <from>
                    <xdr:col>2</xdr:col>
                    <xdr:colOff>0</xdr:colOff>
                    <xdr:row>23</xdr:row>
                    <xdr:rowOff>9525</xdr:rowOff>
                  </from>
                  <to>
                    <xdr:col>3</xdr:col>
                    <xdr:colOff>9525</xdr:colOff>
                    <xdr:row>24</xdr:row>
                    <xdr:rowOff>19050</xdr:rowOff>
                  </to>
                </anchor>
              </controlPr>
            </control>
          </mc:Choice>
        </mc:AlternateContent>
        <mc:AlternateContent xmlns:mc="http://schemas.openxmlformats.org/markup-compatibility/2006">
          <mc:Choice Requires="x14">
            <control shapeId="28844" r:id="rId118" name="Drop Down 172">
              <controlPr defaultSize="0" autoLine="0" autoPict="0">
                <anchor moveWithCells="1">
                  <from>
                    <xdr:col>2</xdr:col>
                    <xdr:colOff>0</xdr:colOff>
                    <xdr:row>24</xdr:row>
                    <xdr:rowOff>9525</xdr:rowOff>
                  </from>
                  <to>
                    <xdr:col>3</xdr:col>
                    <xdr:colOff>9525</xdr:colOff>
                    <xdr:row>25</xdr:row>
                    <xdr:rowOff>19050</xdr:rowOff>
                  </to>
                </anchor>
              </controlPr>
            </control>
          </mc:Choice>
        </mc:AlternateContent>
        <mc:AlternateContent xmlns:mc="http://schemas.openxmlformats.org/markup-compatibility/2006">
          <mc:Choice Requires="x14">
            <control shapeId="28845" r:id="rId119" name="Drop Down 173">
              <controlPr defaultSize="0" autoLine="0" autoPict="0">
                <anchor moveWithCells="1">
                  <from>
                    <xdr:col>2</xdr:col>
                    <xdr:colOff>0</xdr:colOff>
                    <xdr:row>25</xdr:row>
                    <xdr:rowOff>9525</xdr:rowOff>
                  </from>
                  <to>
                    <xdr:col>3</xdr:col>
                    <xdr:colOff>9525</xdr:colOff>
                    <xdr:row>26</xdr:row>
                    <xdr:rowOff>19050</xdr:rowOff>
                  </to>
                </anchor>
              </controlPr>
            </control>
          </mc:Choice>
        </mc:AlternateContent>
        <mc:AlternateContent xmlns:mc="http://schemas.openxmlformats.org/markup-compatibility/2006">
          <mc:Choice Requires="x14">
            <control shapeId="28846" r:id="rId120" name="Drop Down 174">
              <controlPr defaultSize="0" autoLine="0" autoPict="0">
                <anchor moveWithCells="1">
                  <from>
                    <xdr:col>2</xdr:col>
                    <xdr:colOff>0</xdr:colOff>
                    <xdr:row>26</xdr:row>
                    <xdr:rowOff>9525</xdr:rowOff>
                  </from>
                  <to>
                    <xdr:col>3</xdr:col>
                    <xdr:colOff>9525</xdr:colOff>
                    <xdr:row>27</xdr:row>
                    <xdr:rowOff>19050</xdr:rowOff>
                  </to>
                </anchor>
              </controlPr>
            </control>
          </mc:Choice>
        </mc:AlternateContent>
        <mc:AlternateContent xmlns:mc="http://schemas.openxmlformats.org/markup-compatibility/2006">
          <mc:Choice Requires="x14">
            <control shapeId="28847" r:id="rId121" name="Drop Down 175">
              <controlPr defaultSize="0" autoLine="0" autoPict="0">
                <anchor moveWithCells="1">
                  <from>
                    <xdr:col>2</xdr:col>
                    <xdr:colOff>0</xdr:colOff>
                    <xdr:row>27</xdr:row>
                    <xdr:rowOff>9525</xdr:rowOff>
                  </from>
                  <to>
                    <xdr:col>3</xdr:col>
                    <xdr:colOff>9525</xdr:colOff>
                    <xdr:row>28</xdr:row>
                    <xdr:rowOff>19050</xdr:rowOff>
                  </to>
                </anchor>
              </controlPr>
            </control>
          </mc:Choice>
        </mc:AlternateContent>
        <mc:AlternateContent xmlns:mc="http://schemas.openxmlformats.org/markup-compatibility/2006">
          <mc:Choice Requires="x14">
            <control shapeId="28848" r:id="rId122" name="Drop Down 176">
              <controlPr defaultSize="0" autoLine="0" autoPict="0">
                <anchor moveWithCells="1">
                  <from>
                    <xdr:col>2</xdr:col>
                    <xdr:colOff>0</xdr:colOff>
                    <xdr:row>28</xdr:row>
                    <xdr:rowOff>9525</xdr:rowOff>
                  </from>
                  <to>
                    <xdr:col>3</xdr:col>
                    <xdr:colOff>9525</xdr:colOff>
                    <xdr:row>29</xdr:row>
                    <xdr:rowOff>19050</xdr:rowOff>
                  </to>
                </anchor>
              </controlPr>
            </control>
          </mc:Choice>
        </mc:AlternateContent>
        <mc:AlternateContent xmlns:mc="http://schemas.openxmlformats.org/markup-compatibility/2006">
          <mc:Choice Requires="x14">
            <control shapeId="28860" r:id="rId123" name="Drop Down 188">
              <controlPr defaultSize="0" autoLine="0" autoPict="0">
                <anchor moveWithCells="1">
                  <from>
                    <xdr:col>9</xdr:col>
                    <xdr:colOff>0</xdr:colOff>
                    <xdr:row>17</xdr:row>
                    <xdr:rowOff>9525</xdr:rowOff>
                  </from>
                  <to>
                    <xdr:col>10</xdr:col>
                    <xdr:colOff>0</xdr:colOff>
                    <xdr:row>18</xdr:row>
                    <xdr:rowOff>19050</xdr:rowOff>
                  </to>
                </anchor>
              </controlPr>
            </control>
          </mc:Choice>
        </mc:AlternateContent>
        <mc:AlternateContent xmlns:mc="http://schemas.openxmlformats.org/markup-compatibility/2006">
          <mc:Choice Requires="x14">
            <control shapeId="28861" r:id="rId124" name="Drop Down 189">
              <controlPr defaultSize="0" autoLine="0" autoPict="0">
                <anchor moveWithCells="1">
                  <from>
                    <xdr:col>9</xdr:col>
                    <xdr:colOff>0</xdr:colOff>
                    <xdr:row>18</xdr:row>
                    <xdr:rowOff>9525</xdr:rowOff>
                  </from>
                  <to>
                    <xdr:col>10</xdr:col>
                    <xdr:colOff>0</xdr:colOff>
                    <xdr:row>19</xdr:row>
                    <xdr:rowOff>19050</xdr:rowOff>
                  </to>
                </anchor>
              </controlPr>
            </control>
          </mc:Choice>
        </mc:AlternateContent>
        <mc:AlternateContent xmlns:mc="http://schemas.openxmlformats.org/markup-compatibility/2006">
          <mc:Choice Requires="x14">
            <control shapeId="28862" r:id="rId125" name="Drop Down 190">
              <controlPr defaultSize="0" autoLine="0" autoPict="0">
                <anchor moveWithCells="1">
                  <from>
                    <xdr:col>9</xdr:col>
                    <xdr:colOff>0</xdr:colOff>
                    <xdr:row>19</xdr:row>
                    <xdr:rowOff>9525</xdr:rowOff>
                  </from>
                  <to>
                    <xdr:col>10</xdr:col>
                    <xdr:colOff>0</xdr:colOff>
                    <xdr:row>20</xdr:row>
                    <xdr:rowOff>19050</xdr:rowOff>
                  </to>
                </anchor>
              </controlPr>
            </control>
          </mc:Choice>
        </mc:AlternateContent>
        <mc:AlternateContent xmlns:mc="http://schemas.openxmlformats.org/markup-compatibility/2006">
          <mc:Choice Requires="x14">
            <control shapeId="28863" r:id="rId126" name="Drop Down 191">
              <controlPr defaultSize="0" autoLine="0" autoPict="0">
                <anchor moveWithCells="1">
                  <from>
                    <xdr:col>9</xdr:col>
                    <xdr:colOff>0</xdr:colOff>
                    <xdr:row>20</xdr:row>
                    <xdr:rowOff>9525</xdr:rowOff>
                  </from>
                  <to>
                    <xdr:col>10</xdr:col>
                    <xdr:colOff>0</xdr:colOff>
                    <xdr:row>21</xdr:row>
                    <xdr:rowOff>19050</xdr:rowOff>
                  </to>
                </anchor>
              </controlPr>
            </control>
          </mc:Choice>
        </mc:AlternateContent>
        <mc:AlternateContent xmlns:mc="http://schemas.openxmlformats.org/markup-compatibility/2006">
          <mc:Choice Requires="x14">
            <control shapeId="28864" r:id="rId127" name="Drop Down 192">
              <controlPr defaultSize="0" autoLine="0" autoPict="0">
                <anchor moveWithCells="1">
                  <from>
                    <xdr:col>9</xdr:col>
                    <xdr:colOff>0</xdr:colOff>
                    <xdr:row>21</xdr:row>
                    <xdr:rowOff>9525</xdr:rowOff>
                  </from>
                  <to>
                    <xdr:col>10</xdr:col>
                    <xdr:colOff>0</xdr:colOff>
                    <xdr:row>22</xdr:row>
                    <xdr:rowOff>19050</xdr:rowOff>
                  </to>
                </anchor>
              </controlPr>
            </control>
          </mc:Choice>
        </mc:AlternateContent>
        <mc:AlternateContent xmlns:mc="http://schemas.openxmlformats.org/markup-compatibility/2006">
          <mc:Choice Requires="x14">
            <control shapeId="28865" r:id="rId128" name="Drop Down 193">
              <controlPr defaultSize="0" autoLine="0" autoPict="0">
                <anchor moveWithCells="1">
                  <from>
                    <xdr:col>9</xdr:col>
                    <xdr:colOff>0</xdr:colOff>
                    <xdr:row>22</xdr:row>
                    <xdr:rowOff>9525</xdr:rowOff>
                  </from>
                  <to>
                    <xdr:col>10</xdr:col>
                    <xdr:colOff>0</xdr:colOff>
                    <xdr:row>23</xdr:row>
                    <xdr:rowOff>19050</xdr:rowOff>
                  </to>
                </anchor>
              </controlPr>
            </control>
          </mc:Choice>
        </mc:AlternateContent>
        <mc:AlternateContent xmlns:mc="http://schemas.openxmlformats.org/markup-compatibility/2006">
          <mc:Choice Requires="x14">
            <control shapeId="28866" r:id="rId129" name="Drop Down 194">
              <controlPr defaultSize="0" autoLine="0" autoPict="0">
                <anchor moveWithCells="1">
                  <from>
                    <xdr:col>9</xdr:col>
                    <xdr:colOff>0</xdr:colOff>
                    <xdr:row>23</xdr:row>
                    <xdr:rowOff>9525</xdr:rowOff>
                  </from>
                  <to>
                    <xdr:col>10</xdr:col>
                    <xdr:colOff>0</xdr:colOff>
                    <xdr:row>24</xdr:row>
                    <xdr:rowOff>19050</xdr:rowOff>
                  </to>
                </anchor>
              </controlPr>
            </control>
          </mc:Choice>
        </mc:AlternateContent>
        <mc:AlternateContent xmlns:mc="http://schemas.openxmlformats.org/markup-compatibility/2006">
          <mc:Choice Requires="x14">
            <control shapeId="28867" r:id="rId130" name="Drop Down 195">
              <controlPr defaultSize="0" autoLine="0" autoPict="0">
                <anchor moveWithCells="1">
                  <from>
                    <xdr:col>9</xdr:col>
                    <xdr:colOff>0</xdr:colOff>
                    <xdr:row>24</xdr:row>
                    <xdr:rowOff>9525</xdr:rowOff>
                  </from>
                  <to>
                    <xdr:col>10</xdr:col>
                    <xdr:colOff>0</xdr:colOff>
                    <xdr:row>25</xdr:row>
                    <xdr:rowOff>19050</xdr:rowOff>
                  </to>
                </anchor>
              </controlPr>
            </control>
          </mc:Choice>
        </mc:AlternateContent>
        <mc:AlternateContent xmlns:mc="http://schemas.openxmlformats.org/markup-compatibility/2006">
          <mc:Choice Requires="x14">
            <control shapeId="28868" r:id="rId131" name="Drop Down 196">
              <controlPr defaultSize="0" autoLine="0" autoPict="0">
                <anchor moveWithCells="1">
                  <from>
                    <xdr:col>9</xdr:col>
                    <xdr:colOff>0</xdr:colOff>
                    <xdr:row>25</xdr:row>
                    <xdr:rowOff>9525</xdr:rowOff>
                  </from>
                  <to>
                    <xdr:col>10</xdr:col>
                    <xdr:colOff>0</xdr:colOff>
                    <xdr:row>26</xdr:row>
                    <xdr:rowOff>19050</xdr:rowOff>
                  </to>
                </anchor>
              </controlPr>
            </control>
          </mc:Choice>
        </mc:AlternateContent>
        <mc:AlternateContent xmlns:mc="http://schemas.openxmlformats.org/markup-compatibility/2006">
          <mc:Choice Requires="x14">
            <control shapeId="28869" r:id="rId132" name="Drop Down 197">
              <controlPr defaultSize="0" autoLine="0" autoPict="0">
                <anchor moveWithCells="1">
                  <from>
                    <xdr:col>9</xdr:col>
                    <xdr:colOff>0</xdr:colOff>
                    <xdr:row>26</xdr:row>
                    <xdr:rowOff>9525</xdr:rowOff>
                  </from>
                  <to>
                    <xdr:col>10</xdr:col>
                    <xdr:colOff>0</xdr:colOff>
                    <xdr:row>27</xdr:row>
                    <xdr:rowOff>19050</xdr:rowOff>
                  </to>
                </anchor>
              </controlPr>
            </control>
          </mc:Choice>
        </mc:AlternateContent>
        <mc:AlternateContent xmlns:mc="http://schemas.openxmlformats.org/markup-compatibility/2006">
          <mc:Choice Requires="x14">
            <control shapeId="28870" r:id="rId133" name="Drop Down 198">
              <controlPr defaultSize="0" autoLine="0" autoPict="0">
                <anchor moveWithCells="1">
                  <from>
                    <xdr:col>9</xdr:col>
                    <xdr:colOff>0</xdr:colOff>
                    <xdr:row>27</xdr:row>
                    <xdr:rowOff>9525</xdr:rowOff>
                  </from>
                  <to>
                    <xdr:col>10</xdr:col>
                    <xdr:colOff>0</xdr:colOff>
                    <xdr:row>28</xdr:row>
                    <xdr:rowOff>19050</xdr:rowOff>
                  </to>
                </anchor>
              </controlPr>
            </control>
          </mc:Choice>
        </mc:AlternateContent>
        <mc:AlternateContent xmlns:mc="http://schemas.openxmlformats.org/markup-compatibility/2006">
          <mc:Choice Requires="x14">
            <control shapeId="28871" r:id="rId134" name="Drop Down 199">
              <controlPr defaultSize="0" autoLine="0" autoPict="0">
                <anchor moveWithCells="1">
                  <from>
                    <xdr:col>9</xdr:col>
                    <xdr:colOff>0</xdr:colOff>
                    <xdr:row>28</xdr:row>
                    <xdr:rowOff>9525</xdr:rowOff>
                  </from>
                  <to>
                    <xdr:col>10</xdr:col>
                    <xdr:colOff>0</xdr:colOff>
                    <xdr:row>29</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7"/>
  <sheetViews>
    <sheetView workbookViewId="0"/>
  </sheetViews>
  <sheetFormatPr defaultRowHeight="12.75" x14ac:dyDescent="0.2"/>
  <cols>
    <col min="1" max="1" width="15.140625" customWidth="1"/>
    <col min="2" max="2" width="14" customWidth="1"/>
    <col min="3" max="3" width="13.28515625" customWidth="1"/>
    <col min="4" max="4" width="17.85546875" customWidth="1"/>
    <col min="5" max="5" width="12.42578125" customWidth="1"/>
    <col min="6" max="6" width="7.85546875" customWidth="1"/>
    <col min="7" max="7" width="7.5703125" customWidth="1"/>
    <col min="8" max="8" width="12.7109375" customWidth="1"/>
    <col min="9" max="9" width="12.42578125" customWidth="1"/>
    <col min="10" max="10" width="4" customWidth="1"/>
    <col min="11" max="11" width="18" customWidth="1"/>
    <col min="12" max="12" width="11.5703125" customWidth="1"/>
    <col min="13" max="14" width="8.140625" customWidth="1"/>
    <col min="15" max="15" width="10.140625" customWidth="1"/>
    <col min="16" max="16" width="8.7109375" customWidth="1"/>
    <col min="17" max="17" width="10.7109375" customWidth="1"/>
  </cols>
  <sheetData>
    <row r="1" spans="1:17" s="50" customFormat="1" ht="18" x14ac:dyDescent="0.25">
      <c r="A1" s="429" t="s">
        <v>308</v>
      </c>
      <c r="K1" s="616" t="s">
        <v>758</v>
      </c>
      <c r="L1" s="617"/>
      <c r="M1" s="618"/>
      <c r="Q1" s="577" t="s">
        <v>652</v>
      </c>
    </row>
    <row r="2" spans="1:17" s="50" customFormat="1" ht="12.75" customHeight="1" x14ac:dyDescent="0.2">
      <c r="A2" s="611" t="s">
        <v>129</v>
      </c>
      <c r="B2" s="611"/>
      <c r="C2" s="611"/>
      <c r="D2" s="611"/>
      <c r="E2" s="611"/>
      <c r="F2" s="611"/>
      <c r="G2" s="611"/>
      <c r="H2" s="612"/>
      <c r="I2" s="612"/>
      <c r="J2" s="342"/>
      <c r="K2" s="611"/>
      <c r="L2" s="611"/>
      <c r="M2" s="611"/>
      <c r="N2" s="570" t="s">
        <v>650</v>
      </c>
      <c r="O2" s="570" t="s">
        <v>388</v>
      </c>
      <c r="P2" s="613" t="s">
        <v>387</v>
      </c>
      <c r="Q2" s="577"/>
    </row>
    <row r="3" spans="1:17" s="50" customFormat="1" ht="22.5" customHeight="1" x14ac:dyDescent="0.2">
      <c r="A3" s="59" t="s">
        <v>306</v>
      </c>
      <c r="B3" s="59" t="s">
        <v>218</v>
      </c>
      <c r="C3" s="122" t="s">
        <v>389</v>
      </c>
      <c r="D3" s="59" t="s">
        <v>307</v>
      </c>
      <c r="E3" s="122" t="s">
        <v>386</v>
      </c>
      <c r="F3" s="122" t="s">
        <v>521</v>
      </c>
      <c r="G3" s="287" t="s">
        <v>650</v>
      </c>
      <c r="H3" s="120" t="s">
        <v>376</v>
      </c>
      <c r="I3" s="93" t="s">
        <v>309</v>
      </c>
      <c r="J3" s="93"/>
      <c r="K3" s="59" t="s">
        <v>307</v>
      </c>
      <c r="L3" s="122" t="s">
        <v>386</v>
      </c>
      <c r="M3" s="59" t="s">
        <v>310</v>
      </c>
      <c r="N3" s="615"/>
      <c r="O3" s="615"/>
      <c r="P3" s="614"/>
      <c r="Q3" s="577"/>
    </row>
    <row r="4" spans="1:17" s="50" customFormat="1" ht="17.25" customHeight="1" x14ac:dyDescent="0.2">
      <c r="A4" s="91"/>
      <c r="B4" s="90"/>
      <c r="C4" s="60"/>
      <c r="D4" s="60"/>
      <c r="E4" s="60"/>
      <c r="F4" s="60"/>
      <c r="G4" s="267"/>
      <c r="H4" s="442">
        <f>G4*'Verwerken verlichting'!H5</f>
        <v>0</v>
      </c>
      <c r="I4" s="60"/>
      <c r="J4" s="60"/>
      <c r="K4" s="86"/>
      <c r="L4" s="85"/>
      <c r="M4" s="85"/>
      <c r="N4" s="431">
        <f>IF('Verwerken verlichting'!Z5=1,0,G4)</f>
        <v>0</v>
      </c>
      <c r="O4" s="442">
        <f>N4*'Verwerken verlichting'!AD5</f>
        <v>0</v>
      </c>
      <c r="P4" s="92"/>
      <c r="Q4" s="66"/>
    </row>
    <row r="5" spans="1:17" s="50" customFormat="1" ht="15" customHeight="1" x14ac:dyDescent="0.2">
      <c r="A5" s="66"/>
      <c r="G5" s="270"/>
      <c r="H5" s="442">
        <f>G5*'Verwerken verlichting'!H6</f>
        <v>0</v>
      </c>
      <c r="K5" s="86"/>
      <c r="L5" s="85"/>
      <c r="M5" s="85"/>
      <c r="N5" s="431">
        <f>IF('Verwerken verlichting'!Z6=1,0,G5)</f>
        <v>0</v>
      </c>
      <c r="O5" s="442">
        <f>N5*'Verwerken verlichting'!AD6</f>
        <v>0</v>
      </c>
      <c r="P5" s="66"/>
      <c r="Q5" s="66"/>
    </row>
    <row r="6" spans="1:17" s="50" customFormat="1" ht="15" customHeight="1" x14ac:dyDescent="0.2">
      <c r="A6" s="66"/>
      <c r="G6" s="270"/>
      <c r="H6" s="442">
        <f>G6*'Verwerken verlichting'!H7</f>
        <v>0</v>
      </c>
      <c r="K6" s="86"/>
      <c r="L6" s="85"/>
      <c r="M6" s="85"/>
      <c r="N6" s="431">
        <f>IF('Verwerken verlichting'!Z7=1,0,G6)</f>
        <v>0</v>
      </c>
      <c r="O6" s="442">
        <f>N6*'Verwerken verlichting'!AD7</f>
        <v>0</v>
      </c>
      <c r="P6" s="66"/>
      <c r="Q6" s="66"/>
    </row>
    <row r="7" spans="1:17" s="50" customFormat="1" ht="15" customHeight="1" x14ac:dyDescent="0.2">
      <c r="A7" s="66"/>
      <c r="G7" s="270"/>
      <c r="H7" s="442">
        <f>G7*'Verwerken verlichting'!H8</f>
        <v>0</v>
      </c>
      <c r="K7" s="86"/>
      <c r="L7" s="85"/>
      <c r="M7" s="85"/>
      <c r="N7" s="431">
        <f>IF('Verwerken verlichting'!Z8=1,0,G7)</f>
        <v>0</v>
      </c>
      <c r="O7" s="442">
        <f>N7*'Verwerken verlichting'!AD8</f>
        <v>0</v>
      </c>
      <c r="P7" s="66"/>
      <c r="Q7" s="66"/>
    </row>
    <row r="8" spans="1:17" s="50" customFormat="1" ht="15" customHeight="1" x14ac:dyDescent="0.2">
      <c r="A8" s="66"/>
      <c r="G8" s="270"/>
      <c r="H8" s="442">
        <f>G8*'Verwerken verlichting'!H9</f>
        <v>0</v>
      </c>
      <c r="K8" s="86"/>
      <c r="L8" s="85"/>
      <c r="M8" s="85"/>
      <c r="N8" s="431">
        <f>IF('Verwerken verlichting'!Z9=1,0,G8)</f>
        <v>0</v>
      </c>
      <c r="O8" s="442">
        <f>N8*'Verwerken verlichting'!AD9</f>
        <v>0</v>
      </c>
      <c r="P8" s="66"/>
      <c r="Q8" s="66"/>
    </row>
    <row r="9" spans="1:17" s="50" customFormat="1" ht="15" customHeight="1" x14ac:dyDescent="0.2">
      <c r="A9" s="66"/>
      <c r="G9" s="270"/>
      <c r="H9" s="442">
        <f>G9*'Verwerken verlichting'!H10</f>
        <v>0</v>
      </c>
      <c r="K9" s="86"/>
      <c r="L9" s="85"/>
      <c r="M9" s="85"/>
      <c r="N9" s="431">
        <f>IF('Verwerken verlichting'!Z10=1,0,G9)</f>
        <v>0</v>
      </c>
      <c r="O9" s="442">
        <f>N9*'Verwerken verlichting'!AD10</f>
        <v>0</v>
      </c>
      <c r="P9" s="66"/>
      <c r="Q9" s="66"/>
    </row>
    <row r="10" spans="1:17" s="50" customFormat="1" ht="15" customHeight="1" x14ac:dyDescent="0.2">
      <c r="A10" s="66"/>
      <c r="G10" s="270"/>
      <c r="H10" s="442">
        <f>G10*'Verwerken verlichting'!H11</f>
        <v>0</v>
      </c>
      <c r="K10" s="86"/>
      <c r="L10" s="85"/>
      <c r="M10" s="85"/>
      <c r="N10" s="431">
        <f>IF('Verwerken verlichting'!Z11=1,0,G10)</f>
        <v>0</v>
      </c>
      <c r="O10" s="442">
        <f>N10*'Verwerken verlichting'!AD11</f>
        <v>0</v>
      </c>
      <c r="P10" s="66"/>
      <c r="Q10" s="66"/>
    </row>
    <row r="11" spans="1:17" s="50" customFormat="1" ht="15" customHeight="1" x14ac:dyDescent="0.2">
      <c r="A11" s="66"/>
      <c r="G11" s="270"/>
      <c r="H11" s="442">
        <f>G11*'Verwerken verlichting'!H12</f>
        <v>0</v>
      </c>
      <c r="K11" s="86"/>
      <c r="L11" s="85"/>
      <c r="M11" s="85"/>
      <c r="N11" s="431">
        <f>IF('Verwerken verlichting'!Z12=1,0,G11)</f>
        <v>0</v>
      </c>
      <c r="O11" s="442">
        <f>N11*'Verwerken verlichting'!AD12</f>
        <v>0</v>
      </c>
      <c r="P11" s="66"/>
      <c r="Q11" s="66"/>
    </row>
    <row r="12" spans="1:17" s="50" customFormat="1" ht="15" customHeight="1" x14ac:dyDescent="0.2">
      <c r="A12" s="66"/>
      <c r="G12" s="270"/>
      <c r="H12" s="442">
        <f>G12*'Verwerken verlichting'!H13</f>
        <v>0</v>
      </c>
      <c r="K12" s="86"/>
      <c r="L12" s="85"/>
      <c r="M12" s="85"/>
      <c r="N12" s="431">
        <f>IF('Verwerken verlichting'!Z13=1,0,G12)</f>
        <v>0</v>
      </c>
      <c r="O12" s="442">
        <f>N12*'Verwerken verlichting'!AD13</f>
        <v>0</v>
      </c>
      <c r="P12" s="66"/>
      <c r="Q12" s="66"/>
    </row>
    <row r="13" spans="1:17" s="50" customFormat="1" ht="15" customHeight="1" x14ac:dyDescent="0.2">
      <c r="A13" s="66"/>
      <c r="G13" s="270"/>
      <c r="H13" s="442">
        <f>G13*'Verwerken verlichting'!H14</f>
        <v>0</v>
      </c>
      <c r="K13" s="86"/>
      <c r="L13" s="85"/>
      <c r="M13" s="85"/>
      <c r="N13" s="431">
        <f>IF('Verwerken verlichting'!Z14=1,0,G13)</f>
        <v>0</v>
      </c>
      <c r="O13" s="442">
        <f>N13*'Verwerken verlichting'!AD14</f>
        <v>0</v>
      </c>
      <c r="P13" s="66"/>
      <c r="Q13" s="66"/>
    </row>
    <row r="14" spans="1:17" s="50" customFormat="1" ht="15" customHeight="1" x14ac:dyDescent="0.2">
      <c r="A14" s="66"/>
      <c r="G14" s="270"/>
      <c r="H14" s="442">
        <f>G14*'Verwerken verlichting'!H15</f>
        <v>0</v>
      </c>
      <c r="K14" s="86"/>
      <c r="L14" s="85"/>
      <c r="M14" s="85"/>
      <c r="N14" s="431">
        <f>IF('Verwerken verlichting'!Z15=1,0,G14)</f>
        <v>0</v>
      </c>
      <c r="O14" s="442">
        <f>N14*'Verwerken verlichting'!AD15</f>
        <v>0</v>
      </c>
      <c r="P14" s="66"/>
      <c r="Q14" s="66"/>
    </row>
    <row r="15" spans="1:17" s="50" customFormat="1" ht="15" customHeight="1" x14ac:dyDescent="0.2">
      <c r="A15" s="66"/>
      <c r="G15" s="270"/>
      <c r="H15" s="442">
        <f>G15*'Verwerken verlichting'!H16</f>
        <v>0</v>
      </c>
      <c r="K15" s="86"/>
      <c r="L15" s="85"/>
      <c r="M15" s="85"/>
      <c r="N15" s="431">
        <f>IF('Verwerken verlichting'!Z16=1,0,G15)</f>
        <v>0</v>
      </c>
      <c r="O15" s="442">
        <f>N15*'Verwerken verlichting'!AD16</f>
        <v>0</v>
      </c>
      <c r="P15" s="66"/>
      <c r="Q15" s="66"/>
    </row>
    <row r="16" spans="1:17" s="50" customFormat="1" ht="15" customHeight="1" x14ac:dyDescent="0.2">
      <c r="A16" s="66"/>
      <c r="G16" s="270"/>
      <c r="H16" s="442">
        <f>G16*'Verwerken verlichting'!H17</f>
        <v>0</v>
      </c>
      <c r="K16" s="86"/>
      <c r="L16" s="85"/>
      <c r="M16" s="85"/>
      <c r="N16" s="431">
        <f>IF('Verwerken verlichting'!Z17=1,0,G16)</f>
        <v>0</v>
      </c>
      <c r="O16" s="442">
        <f>N16*'Verwerken verlichting'!AD17</f>
        <v>0</v>
      </c>
      <c r="P16" s="66"/>
      <c r="Q16" s="66"/>
    </row>
    <row r="17" spans="1:20" s="50" customFormat="1" ht="15" customHeight="1" x14ac:dyDescent="0.2">
      <c r="A17" s="66"/>
      <c r="G17" s="270"/>
      <c r="H17" s="442">
        <f>G17*'Verwerken verlichting'!H18</f>
        <v>0</v>
      </c>
      <c r="K17" s="86"/>
      <c r="L17" s="85"/>
      <c r="M17" s="85"/>
      <c r="N17" s="431">
        <f>IF('Verwerken verlichting'!Z18=1,0,G17)</f>
        <v>0</v>
      </c>
      <c r="O17" s="442">
        <f>N17*'Verwerken verlichting'!AD18</f>
        <v>0</v>
      </c>
      <c r="P17" s="66"/>
      <c r="Q17" s="66"/>
    </row>
    <row r="18" spans="1:20" s="50" customFormat="1" ht="15" customHeight="1" x14ac:dyDescent="0.2">
      <c r="A18" s="66"/>
      <c r="G18" s="270"/>
      <c r="H18" s="442">
        <f>G18*'Verwerken verlichting'!H19</f>
        <v>0</v>
      </c>
      <c r="K18" s="86"/>
      <c r="L18" s="85"/>
      <c r="M18" s="85"/>
      <c r="N18" s="431">
        <f>IF('Verwerken verlichting'!Z19=1,0,G18)</f>
        <v>0</v>
      </c>
      <c r="O18" s="442">
        <f>N18*'Verwerken verlichting'!AD19</f>
        <v>0</v>
      </c>
      <c r="P18" s="66"/>
      <c r="Q18" s="66"/>
    </row>
    <row r="19" spans="1:20" s="50" customFormat="1" ht="15" customHeight="1" x14ac:dyDescent="0.2">
      <c r="A19" s="66"/>
      <c r="G19" s="270"/>
      <c r="H19" s="442">
        <f>G19*'Verwerken verlichting'!H20</f>
        <v>0</v>
      </c>
      <c r="K19" s="86"/>
      <c r="L19" s="85"/>
      <c r="M19" s="85"/>
      <c r="N19" s="431">
        <f>IF('Verwerken verlichting'!Z20=1,0,G19)</f>
        <v>0</v>
      </c>
      <c r="O19" s="442">
        <f>N19*'Verwerken verlichting'!AD20</f>
        <v>0</v>
      </c>
      <c r="P19" s="66"/>
      <c r="Q19" s="66"/>
    </row>
    <row r="20" spans="1:20" s="50" customFormat="1" ht="15" customHeight="1" x14ac:dyDescent="0.2">
      <c r="A20" s="66"/>
      <c r="G20" s="270"/>
      <c r="H20" s="442">
        <f>G20*'Verwerken verlichting'!H21</f>
        <v>0</v>
      </c>
      <c r="K20" s="86"/>
      <c r="L20" s="85"/>
      <c r="M20" s="85"/>
      <c r="N20" s="431">
        <f>IF('Verwerken verlichting'!Z21=1,0,G20)</f>
        <v>0</v>
      </c>
      <c r="O20" s="442">
        <f>N20*'Verwerken verlichting'!AD21</f>
        <v>0</v>
      </c>
      <c r="P20" s="66"/>
      <c r="Q20" s="66"/>
    </row>
    <row r="21" spans="1:20" s="50" customFormat="1" ht="15" customHeight="1" x14ac:dyDescent="0.2">
      <c r="A21" s="66"/>
      <c r="G21" s="270"/>
      <c r="H21" s="442">
        <f>G21*'Verwerken verlichting'!H22</f>
        <v>0</v>
      </c>
      <c r="K21" s="86"/>
      <c r="L21" s="85"/>
      <c r="M21" s="85"/>
      <c r="N21" s="431">
        <f>IF('Verwerken verlichting'!Z22=1,0,G21)</f>
        <v>0</v>
      </c>
      <c r="O21" s="442">
        <f>N21*'Verwerken verlichting'!AD22</f>
        <v>0</v>
      </c>
      <c r="P21" s="66"/>
      <c r="Q21" s="66"/>
    </row>
    <row r="22" spans="1:20" s="50" customFormat="1" ht="15" customHeight="1" x14ac:dyDescent="0.2">
      <c r="A22" s="66"/>
      <c r="G22" s="270"/>
      <c r="H22" s="442">
        <f>G22*'Verwerken verlichting'!H23</f>
        <v>0</v>
      </c>
      <c r="K22" s="86"/>
      <c r="L22" s="85"/>
      <c r="M22" s="85"/>
      <c r="N22" s="431">
        <f>IF('Verwerken verlichting'!Z23=1,0,G22)</f>
        <v>0</v>
      </c>
      <c r="O22" s="442">
        <f>N22*'Verwerken verlichting'!AD23</f>
        <v>0</v>
      </c>
      <c r="P22" s="66"/>
      <c r="Q22" s="66"/>
    </row>
    <row r="23" spans="1:20" s="50" customFormat="1" ht="15" customHeight="1" x14ac:dyDescent="0.2">
      <c r="A23" s="66"/>
      <c r="G23" s="270"/>
      <c r="H23" s="442">
        <f>G23*'Verwerken verlichting'!H24</f>
        <v>0</v>
      </c>
      <c r="K23" s="86"/>
      <c r="L23" s="85"/>
      <c r="M23" s="85"/>
      <c r="N23" s="431">
        <f>IF('Verwerken verlichting'!Z24=1,0,G23)</f>
        <v>0</v>
      </c>
      <c r="O23" s="442">
        <f>N23*'Verwerken verlichting'!AD24</f>
        <v>0</v>
      </c>
      <c r="P23" s="66"/>
      <c r="Q23" s="66"/>
    </row>
    <row r="24" spans="1:20" s="50" customFormat="1" ht="15" customHeight="1" x14ac:dyDescent="0.2">
      <c r="A24" s="66"/>
      <c r="G24" s="270"/>
      <c r="H24" s="442">
        <f>G24*'Verwerken verlichting'!H25</f>
        <v>0</v>
      </c>
      <c r="K24" s="86"/>
      <c r="L24" s="85"/>
      <c r="M24" s="85"/>
      <c r="N24" s="431">
        <f>IF('Verwerken verlichting'!Z25=1,0,G24)</f>
        <v>0</v>
      </c>
      <c r="O24" s="442">
        <f>N24*'Verwerken verlichting'!AD25</f>
        <v>0</v>
      </c>
      <c r="P24" s="66"/>
      <c r="Q24" s="66"/>
      <c r="S24" s="66"/>
      <c r="T24" s="242" t="s">
        <v>675</v>
      </c>
    </row>
    <row r="25" spans="1:20" s="50" customFormat="1" ht="15" customHeight="1" x14ac:dyDescent="0.2">
      <c r="A25" s="66"/>
      <c r="G25" s="270"/>
      <c r="H25" s="442">
        <f>G25*'Verwerken verlichting'!H26</f>
        <v>0</v>
      </c>
      <c r="K25" s="86"/>
      <c r="L25" s="85"/>
      <c r="M25" s="85"/>
      <c r="N25" s="431">
        <f>IF('Verwerken verlichting'!Z26=1,0,G25)</f>
        <v>0</v>
      </c>
      <c r="O25" s="442">
        <f>N25*'Verwerken verlichting'!AD26</f>
        <v>0</v>
      </c>
      <c r="P25" s="66"/>
      <c r="Q25" s="66"/>
      <c r="S25" s="65"/>
      <c r="T25" s="242" t="s">
        <v>676</v>
      </c>
    </row>
    <row r="26" spans="1:20" s="50" customFormat="1" ht="15" customHeight="1" x14ac:dyDescent="0.2">
      <c r="A26" s="66"/>
      <c r="G26" s="270"/>
      <c r="H26" s="442">
        <f>G26*'Verwerken verlichting'!H27</f>
        <v>0</v>
      </c>
      <c r="K26" s="86"/>
      <c r="L26" s="85"/>
      <c r="M26" s="85"/>
      <c r="N26" s="431">
        <f>IF('Verwerken verlichting'!Z27=1,0,G26)</f>
        <v>0</v>
      </c>
      <c r="O26" s="442">
        <f>N26*'Verwerken verlichting'!AD27</f>
        <v>0</v>
      </c>
      <c r="P26" s="66"/>
      <c r="Q26" s="66"/>
      <c r="S26" s="291"/>
      <c r="T26" s="242" t="s">
        <v>677</v>
      </c>
    </row>
    <row r="27" spans="1:20" s="50" customFormat="1" ht="15" customHeight="1" x14ac:dyDescent="0.2">
      <c r="A27" s="66"/>
      <c r="G27" s="270"/>
      <c r="H27" s="442">
        <f>G27*'Verwerken verlichting'!H28</f>
        <v>0</v>
      </c>
      <c r="K27" s="86"/>
      <c r="L27" s="85"/>
      <c r="M27" s="85"/>
      <c r="N27" s="431">
        <f>IF('Verwerken verlichting'!Z28=1,0,G27)</f>
        <v>0</v>
      </c>
      <c r="O27" s="442">
        <f>N27*'Verwerken verlichting'!AD28</f>
        <v>0</v>
      </c>
      <c r="P27" s="66"/>
      <c r="Q27" s="66"/>
    </row>
  </sheetData>
  <mergeCells count="7">
    <mergeCell ref="Q1:Q3"/>
    <mergeCell ref="A2:I2"/>
    <mergeCell ref="K2:M2"/>
    <mergeCell ref="P2:P3"/>
    <mergeCell ref="O2:O3"/>
    <mergeCell ref="N2:N3"/>
    <mergeCell ref="K1:M1"/>
  </mergeCells>
  <phoneticPr fontId="0" type="noConversion"/>
  <pageMargins left="0.7" right="0.7" top="0.75" bottom="0.75" header="0.3" footer="0.3"/>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5362" r:id="rId3" name="Drop Down 2">
              <controlPr defaultSize="0" autoLine="0" autoPict="0">
                <anchor moveWithCells="1">
                  <from>
                    <xdr:col>8</xdr:col>
                    <xdr:colOff>0</xdr:colOff>
                    <xdr:row>3</xdr:row>
                    <xdr:rowOff>0</xdr:rowOff>
                  </from>
                  <to>
                    <xdr:col>9</xdr:col>
                    <xdr:colOff>9525</xdr:colOff>
                    <xdr:row>3</xdr:row>
                    <xdr:rowOff>200025</xdr:rowOff>
                  </to>
                </anchor>
              </controlPr>
            </control>
          </mc:Choice>
        </mc:AlternateContent>
        <mc:AlternateContent xmlns:mc="http://schemas.openxmlformats.org/markup-compatibility/2006">
          <mc:Choice Requires="x14">
            <control shapeId="15363" r:id="rId4" name="Drop Down 3">
              <controlPr defaultSize="0" autoLine="0" autoPict="0">
                <anchor moveWithCells="1">
                  <from>
                    <xdr:col>3</xdr:col>
                    <xdr:colOff>19050</xdr:colOff>
                    <xdr:row>3</xdr:row>
                    <xdr:rowOff>0</xdr:rowOff>
                  </from>
                  <to>
                    <xdr:col>4</xdr:col>
                    <xdr:colOff>19050</xdr:colOff>
                    <xdr:row>3</xdr:row>
                    <xdr:rowOff>209550</xdr:rowOff>
                  </to>
                </anchor>
              </controlPr>
            </control>
          </mc:Choice>
        </mc:AlternateContent>
        <mc:AlternateContent xmlns:mc="http://schemas.openxmlformats.org/markup-compatibility/2006">
          <mc:Choice Requires="x14">
            <control shapeId="15364" r:id="rId5" name="Drop Down 4">
              <controlPr defaultSize="0" autoLine="0" autoPict="0">
                <anchor moveWithCells="1">
                  <from>
                    <xdr:col>2</xdr:col>
                    <xdr:colOff>0</xdr:colOff>
                    <xdr:row>3</xdr:row>
                    <xdr:rowOff>0</xdr:rowOff>
                  </from>
                  <to>
                    <xdr:col>3</xdr:col>
                    <xdr:colOff>9525</xdr:colOff>
                    <xdr:row>4</xdr:row>
                    <xdr:rowOff>0</xdr:rowOff>
                  </to>
                </anchor>
              </controlPr>
            </control>
          </mc:Choice>
        </mc:AlternateContent>
        <mc:AlternateContent xmlns:mc="http://schemas.openxmlformats.org/markup-compatibility/2006">
          <mc:Choice Requires="x14">
            <control shapeId="15365" r:id="rId6" name="Drop Down 5">
              <controlPr defaultSize="0" autoLine="0" autoPict="0">
                <anchor moveWithCells="1">
                  <from>
                    <xdr:col>1</xdr:col>
                    <xdr:colOff>9525</xdr:colOff>
                    <xdr:row>3</xdr:row>
                    <xdr:rowOff>0</xdr:rowOff>
                  </from>
                  <to>
                    <xdr:col>1</xdr:col>
                    <xdr:colOff>923925</xdr:colOff>
                    <xdr:row>3</xdr:row>
                    <xdr:rowOff>200025</xdr:rowOff>
                  </to>
                </anchor>
              </controlPr>
            </control>
          </mc:Choice>
        </mc:AlternateContent>
        <mc:AlternateContent xmlns:mc="http://schemas.openxmlformats.org/markup-compatibility/2006">
          <mc:Choice Requires="x14">
            <control shapeId="15427" r:id="rId7" name="Drop Down 67">
              <controlPr defaultSize="0" autoLine="0" autoPict="0">
                <anchor moveWithCells="1">
                  <from>
                    <xdr:col>10</xdr:col>
                    <xdr:colOff>19050</xdr:colOff>
                    <xdr:row>3</xdr:row>
                    <xdr:rowOff>0</xdr:rowOff>
                  </from>
                  <to>
                    <xdr:col>11</xdr:col>
                    <xdr:colOff>9525</xdr:colOff>
                    <xdr:row>3</xdr:row>
                    <xdr:rowOff>209550</xdr:rowOff>
                  </to>
                </anchor>
              </controlPr>
            </control>
          </mc:Choice>
        </mc:AlternateContent>
        <mc:AlternateContent xmlns:mc="http://schemas.openxmlformats.org/markup-compatibility/2006">
          <mc:Choice Requires="x14">
            <control shapeId="15428" r:id="rId8" name="Drop Down 68">
              <controlPr defaultSize="0" autoLine="0" autoPict="0">
                <anchor moveWithCells="1">
                  <from>
                    <xdr:col>12</xdr:col>
                    <xdr:colOff>0</xdr:colOff>
                    <xdr:row>3</xdr:row>
                    <xdr:rowOff>0</xdr:rowOff>
                  </from>
                  <to>
                    <xdr:col>13</xdr:col>
                    <xdr:colOff>9525</xdr:colOff>
                    <xdr:row>3</xdr:row>
                    <xdr:rowOff>200025</xdr:rowOff>
                  </to>
                </anchor>
              </controlPr>
            </control>
          </mc:Choice>
        </mc:AlternateContent>
        <mc:AlternateContent xmlns:mc="http://schemas.openxmlformats.org/markup-compatibility/2006">
          <mc:Choice Requires="x14">
            <control shapeId="15429" r:id="rId9" name="Drop Down 69">
              <controlPr defaultSize="0" autoLine="0" autoPict="0">
                <anchor moveWithCells="1">
                  <from>
                    <xdr:col>4</xdr:col>
                    <xdr:colOff>19050</xdr:colOff>
                    <xdr:row>3</xdr:row>
                    <xdr:rowOff>0</xdr:rowOff>
                  </from>
                  <to>
                    <xdr:col>4</xdr:col>
                    <xdr:colOff>809625</xdr:colOff>
                    <xdr:row>3</xdr:row>
                    <xdr:rowOff>209550</xdr:rowOff>
                  </to>
                </anchor>
              </controlPr>
            </control>
          </mc:Choice>
        </mc:AlternateContent>
        <mc:AlternateContent xmlns:mc="http://schemas.openxmlformats.org/markup-compatibility/2006">
          <mc:Choice Requires="x14">
            <control shapeId="15430" r:id="rId10" name="Drop Down 70">
              <controlPr defaultSize="0" autoLine="0" autoPict="0">
                <anchor moveWithCells="1">
                  <from>
                    <xdr:col>11</xdr:col>
                    <xdr:colOff>19050</xdr:colOff>
                    <xdr:row>3</xdr:row>
                    <xdr:rowOff>0</xdr:rowOff>
                  </from>
                  <to>
                    <xdr:col>12</xdr:col>
                    <xdr:colOff>0</xdr:colOff>
                    <xdr:row>3</xdr:row>
                    <xdr:rowOff>200025</xdr:rowOff>
                  </to>
                </anchor>
              </controlPr>
            </control>
          </mc:Choice>
        </mc:AlternateContent>
        <mc:AlternateContent xmlns:mc="http://schemas.openxmlformats.org/markup-compatibility/2006">
          <mc:Choice Requires="x14">
            <control shapeId="15454" r:id="rId11" name="Drop Down 94">
              <controlPr defaultSize="0" autoLine="0" autoPict="0">
                <anchor moveWithCells="1">
                  <from>
                    <xdr:col>2</xdr:col>
                    <xdr:colOff>0</xdr:colOff>
                    <xdr:row>4</xdr:row>
                    <xdr:rowOff>0</xdr:rowOff>
                  </from>
                  <to>
                    <xdr:col>3</xdr:col>
                    <xdr:colOff>9525</xdr:colOff>
                    <xdr:row>5</xdr:row>
                    <xdr:rowOff>28575</xdr:rowOff>
                  </to>
                </anchor>
              </controlPr>
            </control>
          </mc:Choice>
        </mc:AlternateContent>
        <mc:AlternateContent xmlns:mc="http://schemas.openxmlformats.org/markup-compatibility/2006">
          <mc:Choice Requires="x14">
            <control shapeId="15455" r:id="rId12" name="Drop Down 95">
              <controlPr defaultSize="0" autoLine="0" autoPict="0">
                <anchor moveWithCells="1">
                  <from>
                    <xdr:col>2</xdr:col>
                    <xdr:colOff>0</xdr:colOff>
                    <xdr:row>5</xdr:row>
                    <xdr:rowOff>0</xdr:rowOff>
                  </from>
                  <to>
                    <xdr:col>3</xdr:col>
                    <xdr:colOff>9525</xdr:colOff>
                    <xdr:row>6</xdr:row>
                    <xdr:rowOff>28575</xdr:rowOff>
                  </to>
                </anchor>
              </controlPr>
            </control>
          </mc:Choice>
        </mc:AlternateContent>
        <mc:AlternateContent xmlns:mc="http://schemas.openxmlformats.org/markup-compatibility/2006">
          <mc:Choice Requires="x14">
            <control shapeId="15456" r:id="rId13" name="Drop Down 96">
              <controlPr defaultSize="0" autoLine="0" autoPict="0">
                <anchor moveWithCells="1">
                  <from>
                    <xdr:col>2</xdr:col>
                    <xdr:colOff>0</xdr:colOff>
                    <xdr:row>6</xdr:row>
                    <xdr:rowOff>0</xdr:rowOff>
                  </from>
                  <to>
                    <xdr:col>3</xdr:col>
                    <xdr:colOff>9525</xdr:colOff>
                    <xdr:row>7</xdr:row>
                    <xdr:rowOff>28575</xdr:rowOff>
                  </to>
                </anchor>
              </controlPr>
            </control>
          </mc:Choice>
        </mc:AlternateContent>
        <mc:AlternateContent xmlns:mc="http://schemas.openxmlformats.org/markup-compatibility/2006">
          <mc:Choice Requires="x14">
            <control shapeId="15457" r:id="rId14" name="Drop Down 97">
              <controlPr defaultSize="0" autoLine="0" autoPict="0">
                <anchor moveWithCells="1">
                  <from>
                    <xdr:col>2</xdr:col>
                    <xdr:colOff>0</xdr:colOff>
                    <xdr:row>7</xdr:row>
                    <xdr:rowOff>0</xdr:rowOff>
                  </from>
                  <to>
                    <xdr:col>3</xdr:col>
                    <xdr:colOff>9525</xdr:colOff>
                    <xdr:row>8</xdr:row>
                    <xdr:rowOff>28575</xdr:rowOff>
                  </to>
                </anchor>
              </controlPr>
            </control>
          </mc:Choice>
        </mc:AlternateContent>
        <mc:AlternateContent xmlns:mc="http://schemas.openxmlformats.org/markup-compatibility/2006">
          <mc:Choice Requires="x14">
            <control shapeId="15458" r:id="rId15" name="Drop Down 98">
              <controlPr defaultSize="0" autoLine="0" autoPict="0">
                <anchor moveWithCells="1">
                  <from>
                    <xdr:col>2</xdr:col>
                    <xdr:colOff>0</xdr:colOff>
                    <xdr:row>8</xdr:row>
                    <xdr:rowOff>0</xdr:rowOff>
                  </from>
                  <to>
                    <xdr:col>3</xdr:col>
                    <xdr:colOff>9525</xdr:colOff>
                    <xdr:row>9</xdr:row>
                    <xdr:rowOff>28575</xdr:rowOff>
                  </to>
                </anchor>
              </controlPr>
            </control>
          </mc:Choice>
        </mc:AlternateContent>
        <mc:AlternateContent xmlns:mc="http://schemas.openxmlformats.org/markup-compatibility/2006">
          <mc:Choice Requires="x14">
            <control shapeId="15459" r:id="rId16" name="Drop Down 99">
              <controlPr defaultSize="0" autoLine="0" autoPict="0">
                <anchor moveWithCells="1">
                  <from>
                    <xdr:col>2</xdr:col>
                    <xdr:colOff>0</xdr:colOff>
                    <xdr:row>9</xdr:row>
                    <xdr:rowOff>0</xdr:rowOff>
                  </from>
                  <to>
                    <xdr:col>3</xdr:col>
                    <xdr:colOff>9525</xdr:colOff>
                    <xdr:row>10</xdr:row>
                    <xdr:rowOff>28575</xdr:rowOff>
                  </to>
                </anchor>
              </controlPr>
            </control>
          </mc:Choice>
        </mc:AlternateContent>
        <mc:AlternateContent xmlns:mc="http://schemas.openxmlformats.org/markup-compatibility/2006">
          <mc:Choice Requires="x14">
            <control shapeId="15460" r:id="rId17" name="Drop Down 100">
              <controlPr defaultSize="0" autoLine="0" autoPict="0">
                <anchor moveWithCells="1">
                  <from>
                    <xdr:col>2</xdr:col>
                    <xdr:colOff>0</xdr:colOff>
                    <xdr:row>10</xdr:row>
                    <xdr:rowOff>0</xdr:rowOff>
                  </from>
                  <to>
                    <xdr:col>3</xdr:col>
                    <xdr:colOff>9525</xdr:colOff>
                    <xdr:row>11</xdr:row>
                    <xdr:rowOff>28575</xdr:rowOff>
                  </to>
                </anchor>
              </controlPr>
            </control>
          </mc:Choice>
        </mc:AlternateContent>
        <mc:AlternateContent xmlns:mc="http://schemas.openxmlformats.org/markup-compatibility/2006">
          <mc:Choice Requires="x14">
            <control shapeId="15461" r:id="rId18" name="Drop Down 101">
              <controlPr defaultSize="0" autoLine="0" autoPict="0">
                <anchor moveWithCells="1">
                  <from>
                    <xdr:col>2</xdr:col>
                    <xdr:colOff>0</xdr:colOff>
                    <xdr:row>11</xdr:row>
                    <xdr:rowOff>0</xdr:rowOff>
                  </from>
                  <to>
                    <xdr:col>3</xdr:col>
                    <xdr:colOff>9525</xdr:colOff>
                    <xdr:row>12</xdr:row>
                    <xdr:rowOff>28575</xdr:rowOff>
                  </to>
                </anchor>
              </controlPr>
            </control>
          </mc:Choice>
        </mc:AlternateContent>
        <mc:AlternateContent xmlns:mc="http://schemas.openxmlformats.org/markup-compatibility/2006">
          <mc:Choice Requires="x14">
            <control shapeId="15462" r:id="rId19" name="Drop Down 102">
              <controlPr defaultSize="0" autoLine="0" autoPict="0">
                <anchor moveWithCells="1">
                  <from>
                    <xdr:col>2</xdr:col>
                    <xdr:colOff>0</xdr:colOff>
                    <xdr:row>12</xdr:row>
                    <xdr:rowOff>0</xdr:rowOff>
                  </from>
                  <to>
                    <xdr:col>3</xdr:col>
                    <xdr:colOff>9525</xdr:colOff>
                    <xdr:row>13</xdr:row>
                    <xdr:rowOff>28575</xdr:rowOff>
                  </to>
                </anchor>
              </controlPr>
            </control>
          </mc:Choice>
        </mc:AlternateContent>
        <mc:AlternateContent xmlns:mc="http://schemas.openxmlformats.org/markup-compatibility/2006">
          <mc:Choice Requires="x14">
            <control shapeId="15463" r:id="rId20" name="Drop Down 103">
              <controlPr defaultSize="0" autoLine="0" autoPict="0">
                <anchor moveWithCells="1">
                  <from>
                    <xdr:col>2</xdr:col>
                    <xdr:colOff>0</xdr:colOff>
                    <xdr:row>13</xdr:row>
                    <xdr:rowOff>0</xdr:rowOff>
                  </from>
                  <to>
                    <xdr:col>3</xdr:col>
                    <xdr:colOff>9525</xdr:colOff>
                    <xdr:row>14</xdr:row>
                    <xdr:rowOff>28575</xdr:rowOff>
                  </to>
                </anchor>
              </controlPr>
            </control>
          </mc:Choice>
        </mc:AlternateContent>
        <mc:AlternateContent xmlns:mc="http://schemas.openxmlformats.org/markup-compatibility/2006">
          <mc:Choice Requires="x14">
            <control shapeId="15464" r:id="rId21" name="Drop Down 104">
              <controlPr defaultSize="0" autoLine="0" autoPict="0">
                <anchor moveWithCells="1">
                  <from>
                    <xdr:col>2</xdr:col>
                    <xdr:colOff>0</xdr:colOff>
                    <xdr:row>14</xdr:row>
                    <xdr:rowOff>0</xdr:rowOff>
                  </from>
                  <to>
                    <xdr:col>3</xdr:col>
                    <xdr:colOff>9525</xdr:colOff>
                    <xdr:row>15</xdr:row>
                    <xdr:rowOff>28575</xdr:rowOff>
                  </to>
                </anchor>
              </controlPr>
            </control>
          </mc:Choice>
        </mc:AlternateContent>
        <mc:AlternateContent xmlns:mc="http://schemas.openxmlformats.org/markup-compatibility/2006">
          <mc:Choice Requires="x14">
            <control shapeId="15465" r:id="rId22" name="Drop Down 105">
              <controlPr defaultSize="0" autoLine="0" autoPict="0">
                <anchor moveWithCells="1">
                  <from>
                    <xdr:col>2</xdr:col>
                    <xdr:colOff>0</xdr:colOff>
                    <xdr:row>15</xdr:row>
                    <xdr:rowOff>0</xdr:rowOff>
                  </from>
                  <to>
                    <xdr:col>3</xdr:col>
                    <xdr:colOff>9525</xdr:colOff>
                    <xdr:row>16</xdr:row>
                    <xdr:rowOff>28575</xdr:rowOff>
                  </to>
                </anchor>
              </controlPr>
            </control>
          </mc:Choice>
        </mc:AlternateContent>
        <mc:AlternateContent xmlns:mc="http://schemas.openxmlformats.org/markup-compatibility/2006">
          <mc:Choice Requires="x14">
            <control shapeId="15466" r:id="rId23" name="Drop Down 106">
              <controlPr defaultSize="0" autoLine="0" autoPict="0">
                <anchor moveWithCells="1">
                  <from>
                    <xdr:col>1</xdr:col>
                    <xdr:colOff>9525</xdr:colOff>
                    <xdr:row>4</xdr:row>
                    <xdr:rowOff>0</xdr:rowOff>
                  </from>
                  <to>
                    <xdr:col>1</xdr:col>
                    <xdr:colOff>923925</xdr:colOff>
                    <xdr:row>5</xdr:row>
                    <xdr:rowOff>9525</xdr:rowOff>
                  </to>
                </anchor>
              </controlPr>
            </control>
          </mc:Choice>
        </mc:AlternateContent>
        <mc:AlternateContent xmlns:mc="http://schemas.openxmlformats.org/markup-compatibility/2006">
          <mc:Choice Requires="x14">
            <control shapeId="15467" r:id="rId24" name="Drop Down 107">
              <controlPr defaultSize="0" autoLine="0" autoPict="0">
                <anchor moveWithCells="1">
                  <from>
                    <xdr:col>1</xdr:col>
                    <xdr:colOff>9525</xdr:colOff>
                    <xdr:row>5</xdr:row>
                    <xdr:rowOff>0</xdr:rowOff>
                  </from>
                  <to>
                    <xdr:col>1</xdr:col>
                    <xdr:colOff>923925</xdr:colOff>
                    <xdr:row>6</xdr:row>
                    <xdr:rowOff>9525</xdr:rowOff>
                  </to>
                </anchor>
              </controlPr>
            </control>
          </mc:Choice>
        </mc:AlternateContent>
        <mc:AlternateContent xmlns:mc="http://schemas.openxmlformats.org/markup-compatibility/2006">
          <mc:Choice Requires="x14">
            <control shapeId="15468" r:id="rId25" name="Drop Down 108">
              <controlPr defaultSize="0" autoLine="0" autoPict="0">
                <anchor moveWithCells="1">
                  <from>
                    <xdr:col>1</xdr:col>
                    <xdr:colOff>9525</xdr:colOff>
                    <xdr:row>6</xdr:row>
                    <xdr:rowOff>0</xdr:rowOff>
                  </from>
                  <to>
                    <xdr:col>1</xdr:col>
                    <xdr:colOff>923925</xdr:colOff>
                    <xdr:row>7</xdr:row>
                    <xdr:rowOff>9525</xdr:rowOff>
                  </to>
                </anchor>
              </controlPr>
            </control>
          </mc:Choice>
        </mc:AlternateContent>
        <mc:AlternateContent xmlns:mc="http://schemas.openxmlformats.org/markup-compatibility/2006">
          <mc:Choice Requires="x14">
            <control shapeId="15469" r:id="rId26" name="Drop Down 109">
              <controlPr defaultSize="0" autoLine="0" autoPict="0">
                <anchor moveWithCells="1">
                  <from>
                    <xdr:col>1</xdr:col>
                    <xdr:colOff>9525</xdr:colOff>
                    <xdr:row>7</xdr:row>
                    <xdr:rowOff>0</xdr:rowOff>
                  </from>
                  <to>
                    <xdr:col>1</xdr:col>
                    <xdr:colOff>923925</xdr:colOff>
                    <xdr:row>8</xdr:row>
                    <xdr:rowOff>9525</xdr:rowOff>
                  </to>
                </anchor>
              </controlPr>
            </control>
          </mc:Choice>
        </mc:AlternateContent>
        <mc:AlternateContent xmlns:mc="http://schemas.openxmlformats.org/markup-compatibility/2006">
          <mc:Choice Requires="x14">
            <control shapeId="15470" r:id="rId27" name="Drop Down 110">
              <controlPr defaultSize="0" autoLine="0" autoPict="0">
                <anchor moveWithCells="1">
                  <from>
                    <xdr:col>1</xdr:col>
                    <xdr:colOff>9525</xdr:colOff>
                    <xdr:row>8</xdr:row>
                    <xdr:rowOff>0</xdr:rowOff>
                  </from>
                  <to>
                    <xdr:col>1</xdr:col>
                    <xdr:colOff>923925</xdr:colOff>
                    <xdr:row>9</xdr:row>
                    <xdr:rowOff>9525</xdr:rowOff>
                  </to>
                </anchor>
              </controlPr>
            </control>
          </mc:Choice>
        </mc:AlternateContent>
        <mc:AlternateContent xmlns:mc="http://schemas.openxmlformats.org/markup-compatibility/2006">
          <mc:Choice Requires="x14">
            <control shapeId="15471" r:id="rId28" name="Drop Down 111">
              <controlPr defaultSize="0" autoLine="0" autoPict="0">
                <anchor moveWithCells="1">
                  <from>
                    <xdr:col>1</xdr:col>
                    <xdr:colOff>9525</xdr:colOff>
                    <xdr:row>9</xdr:row>
                    <xdr:rowOff>0</xdr:rowOff>
                  </from>
                  <to>
                    <xdr:col>1</xdr:col>
                    <xdr:colOff>923925</xdr:colOff>
                    <xdr:row>10</xdr:row>
                    <xdr:rowOff>9525</xdr:rowOff>
                  </to>
                </anchor>
              </controlPr>
            </control>
          </mc:Choice>
        </mc:AlternateContent>
        <mc:AlternateContent xmlns:mc="http://schemas.openxmlformats.org/markup-compatibility/2006">
          <mc:Choice Requires="x14">
            <control shapeId="15472" r:id="rId29" name="Drop Down 112">
              <controlPr defaultSize="0" autoLine="0" autoPict="0">
                <anchor moveWithCells="1">
                  <from>
                    <xdr:col>1</xdr:col>
                    <xdr:colOff>9525</xdr:colOff>
                    <xdr:row>10</xdr:row>
                    <xdr:rowOff>0</xdr:rowOff>
                  </from>
                  <to>
                    <xdr:col>1</xdr:col>
                    <xdr:colOff>923925</xdr:colOff>
                    <xdr:row>11</xdr:row>
                    <xdr:rowOff>9525</xdr:rowOff>
                  </to>
                </anchor>
              </controlPr>
            </control>
          </mc:Choice>
        </mc:AlternateContent>
        <mc:AlternateContent xmlns:mc="http://schemas.openxmlformats.org/markup-compatibility/2006">
          <mc:Choice Requires="x14">
            <control shapeId="15473" r:id="rId30" name="Drop Down 113">
              <controlPr defaultSize="0" autoLine="0" autoPict="0">
                <anchor moveWithCells="1">
                  <from>
                    <xdr:col>1</xdr:col>
                    <xdr:colOff>9525</xdr:colOff>
                    <xdr:row>11</xdr:row>
                    <xdr:rowOff>0</xdr:rowOff>
                  </from>
                  <to>
                    <xdr:col>1</xdr:col>
                    <xdr:colOff>923925</xdr:colOff>
                    <xdr:row>12</xdr:row>
                    <xdr:rowOff>9525</xdr:rowOff>
                  </to>
                </anchor>
              </controlPr>
            </control>
          </mc:Choice>
        </mc:AlternateContent>
        <mc:AlternateContent xmlns:mc="http://schemas.openxmlformats.org/markup-compatibility/2006">
          <mc:Choice Requires="x14">
            <control shapeId="15474" r:id="rId31" name="Drop Down 114">
              <controlPr defaultSize="0" autoLine="0" autoPict="0">
                <anchor moveWithCells="1">
                  <from>
                    <xdr:col>1</xdr:col>
                    <xdr:colOff>9525</xdr:colOff>
                    <xdr:row>12</xdr:row>
                    <xdr:rowOff>0</xdr:rowOff>
                  </from>
                  <to>
                    <xdr:col>1</xdr:col>
                    <xdr:colOff>923925</xdr:colOff>
                    <xdr:row>13</xdr:row>
                    <xdr:rowOff>9525</xdr:rowOff>
                  </to>
                </anchor>
              </controlPr>
            </control>
          </mc:Choice>
        </mc:AlternateContent>
        <mc:AlternateContent xmlns:mc="http://schemas.openxmlformats.org/markup-compatibility/2006">
          <mc:Choice Requires="x14">
            <control shapeId="15475" r:id="rId32" name="Drop Down 115">
              <controlPr defaultSize="0" autoLine="0" autoPict="0">
                <anchor moveWithCells="1">
                  <from>
                    <xdr:col>1</xdr:col>
                    <xdr:colOff>9525</xdr:colOff>
                    <xdr:row>13</xdr:row>
                    <xdr:rowOff>0</xdr:rowOff>
                  </from>
                  <to>
                    <xdr:col>1</xdr:col>
                    <xdr:colOff>923925</xdr:colOff>
                    <xdr:row>14</xdr:row>
                    <xdr:rowOff>9525</xdr:rowOff>
                  </to>
                </anchor>
              </controlPr>
            </control>
          </mc:Choice>
        </mc:AlternateContent>
        <mc:AlternateContent xmlns:mc="http://schemas.openxmlformats.org/markup-compatibility/2006">
          <mc:Choice Requires="x14">
            <control shapeId="15476" r:id="rId33" name="Drop Down 116">
              <controlPr defaultSize="0" autoLine="0" autoPict="0">
                <anchor moveWithCells="1">
                  <from>
                    <xdr:col>1</xdr:col>
                    <xdr:colOff>9525</xdr:colOff>
                    <xdr:row>14</xdr:row>
                    <xdr:rowOff>0</xdr:rowOff>
                  </from>
                  <to>
                    <xdr:col>1</xdr:col>
                    <xdr:colOff>923925</xdr:colOff>
                    <xdr:row>15</xdr:row>
                    <xdr:rowOff>9525</xdr:rowOff>
                  </to>
                </anchor>
              </controlPr>
            </control>
          </mc:Choice>
        </mc:AlternateContent>
        <mc:AlternateContent xmlns:mc="http://schemas.openxmlformats.org/markup-compatibility/2006">
          <mc:Choice Requires="x14">
            <control shapeId="15477" r:id="rId34" name="Drop Down 117">
              <controlPr defaultSize="0" autoLine="0" autoPict="0">
                <anchor moveWithCells="1">
                  <from>
                    <xdr:col>1</xdr:col>
                    <xdr:colOff>9525</xdr:colOff>
                    <xdr:row>15</xdr:row>
                    <xdr:rowOff>0</xdr:rowOff>
                  </from>
                  <to>
                    <xdr:col>1</xdr:col>
                    <xdr:colOff>923925</xdr:colOff>
                    <xdr:row>16</xdr:row>
                    <xdr:rowOff>9525</xdr:rowOff>
                  </to>
                </anchor>
              </controlPr>
            </control>
          </mc:Choice>
        </mc:AlternateContent>
        <mc:AlternateContent xmlns:mc="http://schemas.openxmlformats.org/markup-compatibility/2006">
          <mc:Choice Requires="x14">
            <control shapeId="15478" r:id="rId35" name="Drop Down 118">
              <controlPr defaultSize="0" autoLine="0" autoPict="0">
                <anchor moveWithCells="1">
                  <from>
                    <xdr:col>1</xdr:col>
                    <xdr:colOff>9525</xdr:colOff>
                    <xdr:row>16</xdr:row>
                    <xdr:rowOff>0</xdr:rowOff>
                  </from>
                  <to>
                    <xdr:col>1</xdr:col>
                    <xdr:colOff>923925</xdr:colOff>
                    <xdr:row>17</xdr:row>
                    <xdr:rowOff>9525</xdr:rowOff>
                  </to>
                </anchor>
              </controlPr>
            </control>
          </mc:Choice>
        </mc:AlternateContent>
        <mc:AlternateContent xmlns:mc="http://schemas.openxmlformats.org/markup-compatibility/2006">
          <mc:Choice Requires="x14">
            <control shapeId="15479" r:id="rId36" name="Drop Down 119">
              <controlPr defaultSize="0" autoLine="0" autoPict="0">
                <anchor moveWithCells="1">
                  <from>
                    <xdr:col>1</xdr:col>
                    <xdr:colOff>9525</xdr:colOff>
                    <xdr:row>17</xdr:row>
                    <xdr:rowOff>0</xdr:rowOff>
                  </from>
                  <to>
                    <xdr:col>1</xdr:col>
                    <xdr:colOff>923925</xdr:colOff>
                    <xdr:row>18</xdr:row>
                    <xdr:rowOff>9525</xdr:rowOff>
                  </to>
                </anchor>
              </controlPr>
            </control>
          </mc:Choice>
        </mc:AlternateContent>
        <mc:AlternateContent xmlns:mc="http://schemas.openxmlformats.org/markup-compatibility/2006">
          <mc:Choice Requires="x14">
            <control shapeId="15480" r:id="rId37" name="Drop Down 120">
              <controlPr defaultSize="0" autoLine="0" autoPict="0">
                <anchor moveWithCells="1">
                  <from>
                    <xdr:col>1</xdr:col>
                    <xdr:colOff>9525</xdr:colOff>
                    <xdr:row>18</xdr:row>
                    <xdr:rowOff>0</xdr:rowOff>
                  </from>
                  <to>
                    <xdr:col>1</xdr:col>
                    <xdr:colOff>923925</xdr:colOff>
                    <xdr:row>19</xdr:row>
                    <xdr:rowOff>9525</xdr:rowOff>
                  </to>
                </anchor>
              </controlPr>
            </control>
          </mc:Choice>
        </mc:AlternateContent>
        <mc:AlternateContent xmlns:mc="http://schemas.openxmlformats.org/markup-compatibility/2006">
          <mc:Choice Requires="x14">
            <control shapeId="15481" r:id="rId38" name="Drop Down 121">
              <controlPr defaultSize="0" autoLine="0" autoPict="0">
                <anchor moveWithCells="1">
                  <from>
                    <xdr:col>1</xdr:col>
                    <xdr:colOff>9525</xdr:colOff>
                    <xdr:row>20</xdr:row>
                    <xdr:rowOff>0</xdr:rowOff>
                  </from>
                  <to>
                    <xdr:col>1</xdr:col>
                    <xdr:colOff>923925</xdr:colOff>
                    <xdr:row>21</xdr:row>
                    <xdr:rowOff>9525</xdr:rowOff>
                  </to>
                </anchor>
              </controlPr>
            </control>
          </mc:Choice>
        </mc:AlternateContent>
        <mc:AlternateContent xmlns:mc="http://schemas.openxmlformats.org/markup-compatibility/2006">
          <mc:Choice Requires="x14">
            <control shapeId="15482" r:id="rId39" name="Drop Down 122">
              <controlPr defaultSize="0" autoLine="0" autoPict="0">
                <anchor moveWithCells="1">
                  <from>
                    <xdr:col>1</xdr:col>
                    <xdr:colOff>9525</xdr:colOff>
                    <xdr:row>19</xdr:row>
                    <xdr:rowOff>0</xdr:rowOff>
                  </from>
                  <to>
                    <xdr:col>1</xdr:col>
                    <xdr:colOff>923925</xdr:colOff>
                    <xdr:row>20</xdr:row>
                    <xdr:rowOff>9525</xdr:rowOff>
                  </to>
                </anchor>
              </controlPr>
            </control>
          </mc:Choice>
        </mc:AlternateContent>
        <mc:AlternateContent xmlns:mc="http://schemas.openxmlformats.org/markup-compatibility/2006">
          <mc:Choice Requires="x14">
            <control shapeId="15483" r:id="rId40" name="Drop Down 123">
              <controlPr defaultSize="0" autoLine="0" autoPict="0">
                <anchor moveWithCells="1">
                  <from>
                    <xdr:col>1</xdr:col>
                    <xdr:colOff>9525</xdr:colOff>
                    <xdr:row>21</xdr:row>
                    <xdr:rowOff>0</xdr:rowOff>
                  </from>
                  <to>
                    <xdr:col>1</xdr:col>
                    <xdr:colOff>923925</xdr:colOff>
                    <xdr:row>22</xdr:row>
                    <xdr:rowOff>9525</xdr:rowOff>
                  </to>
                </anchor>
              </controlPr>
            </control>
          </mc:Choice>
        </mc:AlternateContent>
        <mc:AlternateContent xmlns:mc="http://schemas.openxmlformats.org/markup-compatibility/2006">
          <mc:Choice Requires="x14">
            <control shapeId="15484" r:id="rId41" name="Drop Down 124">
              <controlPr defaultSize="0" autoLine="0" autoPict="0">
                <anchor moveWithCells="1">
                  <from>
                    <xdr:col>1</xdr:col>
                    <xdr:colOff>9525</xdr:colOff>
                    <xdr:row>22</xdr:row>
                    <xdr:rowOff>0</xdr:rowOff>
                  </from>
                  <to>
                    <xdr:col>1</xdr:col>
                    <xdr:colOff>923925</xdr:colOff>
                    <xdr:row>23</xdr:row>
                    <xdr:rowOff>9525</xdr:rowOff>
                  </to>
                </anchor>
              </controlPr>
            </control>
          </mc:Choice>
        </mc:AlternateContent>
        <mc:AlternateContent xmlns:mc="http://schemas.openxmlformats.org/markup-compatibility/2006">
          <mc:Choice Requires="x14">
            <control shapeId="15485" r:id="rId42" name="Drop Down 125">
              <controlPr defaultSize="0" autoLine="0" autoPict="0">
                <anchor moveWithCells="1">
                  <from>
                    <xdr:col>1</xdr:col>
                    <xdr:colOff>9525</xdr:colOff>
                    <xdr:row>23</xdr:row>
                    <xdr:rowOff>0</xdr:rowOff>
                  </from>
                  <to>
                    <xdr:col>1</xdr:col>
                    <xdr:colOff>923925</xdr:colOff>
                    <xdr:row>24</xdr:row>
                    <xdr:rowOff>9525</xdr:rowOff>
                  </to>
                </anchor>
              </controlPr>
            </control>
          </mc:Choice>
        </mc:AlternateContent>
        <mc:AlternateContent xmlns:mc="http://schemas.openxmlformats.org/markup-compatibility/2006">
          <mc:Choice Requires="x14">
            <control shapeId="15486" r:id="rId43" name="Drop Down 126">
              <controlPr defaultSize="0" autoLine="0" autoPict="0">
                <anchor moveWithCells="1">
                  <from>
                    <xdr:col>1</xdr:col>
                    <xdr:colOff>9525</xdr:colOff>
                    <xdr:row>24</xdr:row>
                    <xdr:rowOff>0</xdr:rowOff>
                  </from>
                  <to>
                    <xdr:col>1</xdr:col>
                    <xdr:colOff>923925</xdr:colOff>
                    <xdr:row>25</xdr:row>
                    <xdr:rowOff>9525</xdr:rowOff>
                  </to>
                </anchor>
              </controlPr>
            </control>
          </mc:Choice>
        </mc:AlternateContent>
        <mc:AlternateContent xmlns:mc="http://schemas.openxmlformats.org/markup-compatibility/2006">
          <mc:Choice Requires="x14">
            <control shapeId="15487" r:id="rId44" name="Drop Down 127">
              <controlPr defaultSize="0" autoLine="0" autoPict="0">
                <anchor moveWithCells="1">
                  <from>
                    <xdr:col>1</xdr:col>
                    <xdr:colOff>9525</xdr:colOff>
                    <xdr:row>25</xdr:row>
                    <xdr:rowOff>0</xdr:rowOff>
                  </from>
                  <to>
                    <xdr:col>1</xdr:col>
                    <xdr:colOff>923925</xdr:colOff>
                    <xdr:row>26</xdr:row>
                    <xdr:rowOff>9525</xdr:rowOff>
                  </to>
                </anchor>
              </controlPr>
            </control>
          </mc:Choice>
        </mc:AlternateContent>
        <mc:AlternateContent xmlns:mc="http://schemas.openxmlformats.org/markup-compatibility/2006">
          <mc:Choice Requires="x14">
            <control shapeId="15488" r:id="rId45" name="Drop Down 128">
              <controlPr defaultSize="0" autoLine="0" autoPict="0">
                <anchor moveWithCells="1">
                  <from>
                    <xdr:col>1</xdr:col>
                    <xdr:colOff>9525</xdr:colOff>
                    <xdr:row>26</xdr:row>
                    <xdr:rowOff>0</xdr:rowOff>
                  </from>
                  <to>
                    <xdr:col>1</xdr:col>
                    <xdr:colOff>923925</xdr:colOff>
                    <xdr:row>27</xdr:row>
                    <xdr:rowOff>9525</xdr:rowOff>
                  </to>
                </anchor>
              </controlPr>
            </control>
          </mc:Choice>
        </mc:AlternateContent>
        <mc:AlternateContent xmlns:mc="http://schemas.openxmlformats.org/markup-compatibility/2006">
          <mc:Choice Requires="x14">
            <control shapeId="15489" r:id="rId46" name="Drop Down 129">
              <controlPr defaultSize="0" autoLine="0" autoPict="0">
                <anchor moveWithCells="1">
                  <from>
                    <xdr:col>2</xdr:col>
                    <xdr:colOff>0</xdr:colOff>
                    <xdr:row>17</xdr:row>
                    <xdr:rowOff>0</xdr:rowOff>
                  </from>
                  <to>
                    <xdr:col>3</xdr:col>
                    <xdr:colOff>9525</xdr:colOff>
                    <xdr:row>18</xdr:row>
                    <xdr:rowOff>28575</xdr:rowOff>
                  </to>
                </anchor>
              </controlPr>
            </control>
          </mc:Choice>
        </mc:AlternateContent>
        <mc:AlternateContent xmlns:mc="http://schemas.openxmlformats.org/markup-compatibility/2006">
          <mc:Choice Requires="x14">
            <control shapeId="15490" r:id="rId47" name="Drop Down 130">
              <controlPr defaultSize="0" autoLine="0" autoPict="0">
                <anchor moveWithCells="1">
                  <from>
                    <xdr:col>2</xdr:col>
                    <xdr:colOff>0</xdr:colOff>
                    <xdr:row>16</xdr:row>
                    <xdr:rowOff>0</xdr:rowOff>
                  </from>
                  <to>
                    <xdr:col>3</xdr:col>
                    <xdr:colOff>9525</xdr:colOff>
                    <xdr:row>17</xdr:row>
                    <xdr:rowOff>28575</xdr:rowOff>
                  </to>
                </anchor>
              </controlPr>
            </control>
          </mc:Choice>
        </mc:AlternateContent>
        <mc:AlternateContent xmlns:mc="http://schemas.openxmlformats.org/markup-compatibility/2006">
          <mc:Choice Requires="x14">
            <control shapeId="15491" r:id="rId48" name="Drop Down 131">
              <controlPr defaultSize="0" autoLine="0" autoPict="0">
                <anchor moveWithCells="1">
                  <from>
                    <xdr:col>2</xdr:col>
                    <xdr:colOff>0</xdr:colOff>
                    <xdr:row>18</xdr:row>
                    <xdr:rowOff>0</xdr:rowOff>
                  </from>
                  <to>
                    <xdr:col>3</xdr:col>
                    <xdr:colOff>9525</xdr:colOff>
                    <xdr:row>19</xdr:row>
                    <xdr:rowOff>28575</xdr:rowOff>
                  </to>
                </anchor>
              </controlPr>
            </control>
          </mc:Choice>
        </mc:AlternateContent>
        <mc:AlternateContent xmlns:mc="http://schemas.openxmlformats.org/markup-compatibility/2006">
          <mc:Choice Requires="x14">
            <control shapeId="15492" r:id="rId49" name="Drop Down 132">
              <controlPr defaultSize="0" autoLine="0" autoPict="0">
                <anchor moveWithCells="1">
                  <from>
                    <xdr:col>2</xdr:col>
                    <xdr:colOff>0</xdr:colOff>
                    <xdr:row>19</xdr:row>
                    <xdr:rowOff>0</xdr:rowOff>
                  </from>
                  <to>
                    <xdr:col>3</xdr:col>
                    <xdr:colOff>9525</xdr:colOff>
                    <xdr:row>20</xdr:row>
                    <xdr:rowOff>28575</xdr:rowOff>
                  </to>
                </anchor>
              </controlPr>
            </control>
          </mc:Choice>
        </mc:AlternateContent>
        <mc:AlternateContent xmlns:mc="http://schemas.openxmlformats.org/markup-compatibility/2006">
          <mc:Choice Requires="x14">
            <control shapeId="15493" r:id="rId50" name="Drop Down 133">
              <controlPr defaultSize="0" autoLine="0" autoPict="0">
                <anchor moveWithCells="1">
                  <from>
                    <xdr:col>2</xdr:col>
                    <xdr:colOff>0</xdr:colOff>
                    <xdr:row>20</xdr:row>
                    <xdr:rowOff>0</xdr:rowOff>
                  </from>
                  <to>
                    <xdr:col>3</xdr:col>
                    <xdr:colOff>9525</xdr:colOff>
                    <xdr:row>21</xdr:row>
                    <xdr:rowOff>28575</xdr:rowOff>
                  </to>
                </anchor>
              </controlPr>
            </control>
          </mc:Choice>
        </mc:AlternateContent>
        <mc:AlternateContent xmlns:mc="http://schemas.openxmlformats.org/markup-compatibility/2006">
          <mc:Choice Requires="x14">
            <control shapeId="15494" r:id="rId51" name="Drop Down 134">
              <controlPr defaultSize="0" autoLine="0" autoPict="0">
                <anchor moveWithCells="1">
                  <from>
                    <xdr:col>2</xdr:col>
                    <xdr:colOff>0</xdr:colOff>
                    <xdr:row>21</xdr:row>
                    <xdr:rowOff>0</xdr:rowOff>
                  </from>
                  <to>
                    <xdr:col>3</xdr:col>
                    <xdr:colOff>9525</xdr:colOff>
                    <xdr:row>22</xdr:row>
                    <xdr:rowOff>28575</xdr:rowOff>
                  </to>
                </anchor>
              </controlPr>
            </control>
          </mc:Choice>
        </mc:AlternateContent>
        <mc:AlternateContent xmlns:mc="http://schemas.openxmlformats.org/markup-compatibility/2006">
          <mc:Choice Requires="x14">
            <control shapeId="15495" r:id="rId52" name="Drop Down 135">
              <controlPr defaultSize="0" autoLine="0" autoPict="0">
                <anchor moveWithCells="1">
                  <from>
                    <xdr:col>2</xdr:col>
                    <xdr:colOff>0</xdr:colOff>
                    <xdr:row>23</xdr:row>
                    <xdr:rowOff>0</xdr:rowOff>
                  </from>
                  <to>
                    <xdr:col>3</xdr:col>
                    <xdr:colOff>9525</xdr:colOff>
                    <xdr:row>24</xdr:row>
                    <xdr:rowOff>28575</xdr:rowOff>
                  </to>
                </anchor>
              </controlPr>
            </control>
          </mc:Choice>
        </mc:AlternateContent>
        <mc:AlternateContent xmlns:mc="http://schemas.openxmlformats.org/markup-compatibility/2006">
          <mc:Choice Requires="x14">
            <control shapeId="15496" r:id="rId53" name="Drop Down 136">
              <controlPr defaultSize="0" autoLine="0" autoPict="0">
                <anchor moveWithCells="1">
                  <from>
                    <xdr:col>2</xdr:col>
                    <xdr:colOff>0</xdr:colOff>
                    <xdr:row>22</xdr:row>
                    <xdr:rowOff>0</xdr:rowOff>
                  </from>
                  <to>
                    <xdr:col>3</xdr:col>
                    <xdr:colOff>9525</xdr:colOff>
                    <xdr:row>23</xdr:row>
                    <xdr:rowOff>28575</xdr:rowOff>
                  </to>
                </anchor>
              </controlPr>
            </control>
          </mc:Choice>
        </mc:AlternateContent>
        <mc:AlternateContent xmlns:mc="http://schemas.openxmlformats.org/markup-compatibility/2006">
          <mc:Choice Requires="x14">
            <control shapeId="15497" r:id="rId54" name="Drop Down 137">
              <controlPr defaultSize="0" autoLine="0" autoPict="0">
                <anchor moveWithCells="1">
                  <from>
                    <xdr:col>2</xdr:col>
                    <xdr:colOff>0</xdr:colOff>
                    <xdr:row>24</xdr:row>
                    <xdr:rowOff>0</xdr:rowOff>
                  </from>
                  <to>
                    <xdr:col>3</xdr:col>
                    <xdr:colOff>9525</xdr:colOff>
                    <xdr:row>25</xdr:row>
                    <xdr:rowOff>28575</xdr:rowOff>
                  </to>
                </anchor>
              </controlPr>
            </control>
          </mc:Choice>
        </mc:AlternateContent>
        <mc:AlternateContent xmlns:mc="http://schemas.openxmlformats.org/markup-compatibility/2006">
          <mc:Choice Requires="x14">
            <control shapeId="15498" r:id="rId55" name="Drop Down 138">
              <controlPr defaultSize="0" autoLine="0" autoPict="0">
                <anchor moveWithCells="1">
                  <from>
                    <xdr:col>2</xdr:col>
                    <xdr:colOff>0</xdr:colOff>
                    <xdr:row>25</xdr:row>
                    <xdr:rowOff>0</xdr:rowOff>
                  </from>
                  <to>
                    <xdr:col>3</xdr:col>
                    <xdr:colOff>9525</xdr:colOff>
                    <xdr:row>26</xdr:row>
                    <xdr:rowOff>28575</xdr:rowOff>
                  </to>
                </anchor>
              </controlPr>
            </control>
          </mc:Choice>
        </mc:AlternateContent>
        <mc:AlternateContent xmlns:mc="http://schemas.openxmlformats.org/markup-compatibility/2006">
          <mc:Choice Requires="x14">
            <control shapeId="15499" r:id="rId56" name="Drop Down 139">
              <controlPr defaultSize="0" autoLine="0" autoPict="0">
                <anchor moveWithCells="1">
                  <from>
                    <xdr:col>2</xdr:col>
                    <xdr:colOff>0</xdr:colOff>
                    <xdr:row>26</xdr:row>
                    <xdr:rowOff>0</xdr:rowOff>
                  </from>
                  <to>
                    <xdr:col>3</xdr:col>
                    <xdr:colOff>9525</xdr:colOff>
                    <xdr:row>27</xdr:row>
                    <xdr:rowOff>28575</xdr:rowOff>
                  </to>
                </anchor>
              </controlPr>
            </control>
          </mc:Choice>
        </mc:AlternateContent>
        <mc:AlternateContent xmlns:mc="http://schemas.openxmlformats.org/markup-compatibility/2006">
          <mc:Choice Requires="x14">
            <control shapeId="15500" r:id="rId57" name="Drop Down 140">
              <controlPr defaultSize="0" autoLine="0" autoPict="0">
                <anchor moveWithCells="1">
                  <from>
                    <xdr:col>3</xdr:col>
                    <xdr:colOff>19050</xdr:colOff>
                    <xdr:row>4</xdr:row>
                    <xdr:rowOff>0</xdr:rowOff>
                  </from>
                  <to>
                    <xdr:col>4</xdr:col>
                    <xdr:colOff>19050</xdr:colOff>
                    <xdr:row>5</xdr:row>
                    <xdr:rowOff>19050</xdr:rowOff>
                  </to>
                </anchor>
              </controlPr>
            </control>
          </mc:Choice>
        </mc:AlternateContent>
        <mc:AlternateContent xmlns:mc="http://schemas.openxmlformats.org/markup-compatibility/2006">
          <mc:Choice Requires="x14">
            <control shapeId="15501" r:id="rId58" name="Drop Down 141">
              <controlPr defaultSize="0" autoLine="0" autoPict="0">
                <anchor moveWithCells="1">
                  <from>
                    <xdr:col>3</xdr:col>
                    <xdr:colOff>19050</xdr:colOff>
                    <xdr:row>5</xdr:row>
                    <xdr:rowOff>0</xdr:rowOff>
                  </from>
                  <to>
                    <xdr:col>4</xdr:col>
                    <xdr:colOff>19050</xdr:colOff>
                    <xdr:row>6</xdr:row>
                    <xdr:rowOff>19050</xdr:rowOff>
                  </to>
                </anchor>
              </controlPr>
            </control>
          </mc:Choice>
        </mc:AlternateContent>
        <mc:AlternateContent xmlns:mc="http://schemas.openxmlformats.org/markup-compatibility/2006">
          <mc:Choice Requires="x14">
            <control shapeId="15502" r:id="rId59" name="Drop Down 142">
              <controlPr defaultSize="0" autoLine="0" autoPict="0">
                <anchor moveWithCells="1">
                  <from>
                    <xdr:col>3</xdr:col>
                    <xdr:colOff>19050</xdr:colOff>
                    <xdr:row>6</xdr:row>
                    <xdr:rowOff>0</xdr:rowOff>
                  </from>
                  <to>
                    <xdr:col>4</xdr:col>
                    <xdr:colOff>19050</xdr:colOff>
                    <xdr:row>7</xdr:row>
                    <xdr:rowOff>19050</xdr:rowOff>
                  </to>
                </anchor>
              </controlPr>
            </control>
          </mc:Choice>
        </mc:AlternateContent>
        <mc:AlternateContent xmlns:mc="http://schemas.openxmlformats.org/markup-compatibility/2006">
          <mc:Choice Requires="x14">
            <control shapeId="15503" r:id="rId60" name="Drop Down 143">
              <controlPr defaultSize="0" autoLine="0" autoPict="0">
                <anchor moveWithCells="1">
                  <from>
                    <xdr:col>3</xdr:col>
                    <xdr:colOff>19050</xdr:colOff>
                    <xdr:row>7</xdr:row>
                    <xdr:rowOff>0</xdr:rowOff>
                  </from>
                  <to>
                    <xdr:col>4</xdr:col>
                    <xdr:colOff>19050</xdr:colOff>
                    <xdr:row>8</xdr:row>
                    <xdr:rowOff>19050</xdr:rowOff>
                  </to>
                </anchor>
              </controlPr>
            </control>
          </mc:Choice>
        </mc:AlternateContent>
        <mc:AlternateContent xmlns:mc="http://schemas.openxmlformats.org/markup-compatibility/2006">
          <mc:Choice Requires="x14">
            <control shapeId="15504" r:id="rId61" name="Drop Down 144">
              <controlPr defaultSize="0" autoLine="0" autoPict="0">
                <anchor moveWithCells="1">
                  <from>
                    <xdr:col>3</xdr:col>
                    <xdr:colOff>19050</xdr:colOff>
                    <xdr:row>8</xdr:row>
                    <xdr:rowOff>0</xdr:rowOff>
                  </from>
                  <to>
                    <xdr:col>4</xdr:col>
                    <xdr:colOff>19050</xdr:colOff>
                    <xdr:row>9</xdr:row>
                    <xdr:rowOff>19050</xdr:rowOff>
                  </to>
                </anchor>
              </controlPr>
            </control>
          </mc:Choice>
        </mc:AlternateContent>
        <mc:AlternateContent xmlns:mc="http://schemas.openxmlformats.org/markup-compatibility/2006">
          <mc:Choice Requires="x14">
            <control shapeId="15505" r:id="rId62" name="Drop Down 145">
              <controlPr defaultSize="0" autoLine="0" autoPict="0">
                <anchor moveWithCells="1">
                  <from>
                    <xdr:col>3</xdr:col>
                    <xdr:colOff>19050</xdr:colOff>
                    <xdr:row>9</xdr:row>
                    <xdr:rowOff>0</xdr:rowOff>
                  </from>
                  <to>
                    <xdr:col>4</xdr:col>
                    <xdr:colOff>19050</xdr:colOff>
                    <xdr:row>10</xdr:row>
                    <xdr:rowOff>19050</xdr:rowOff>
                  </to>
                </anchor>
              </controlPr>
            </control>
          </mc:Choice>
        </mc:AlternateContent>
        <mc:AlternateContent xmlns:mc="http://schemas.openxmlformats.org/markup-compatibility/2006">
          <mc:Choice Requires="x14">
            <control shapeId="15506" r:id="rId63" name="Drop Down 146">
              <controlPr defaultSize="0" autoLine="0" autoPict="0">
                <anchor moveWithCells="1">
                  <from>
                    <xdr:col>3</xdr:col>
                    <xdr:colOff>19050</xdr:colOff>
                    <xdr:row>10</xdr:row>
                    <xdr:rowOff>0</xdr:rowOff>
                  </from>
                  <to>
                    <xdr:col>4</xdr:col>
                    <xdr:colOff>19050</xdr:colOff>
                    <xdr:row>11</xdr:row>
                    <xdr:rowOff>19050</xdr:rowOff>
                  </to>
                </anchor>
              </controlPr>
            </control>
          </mc:Choice>
        </mc:AlternateContent>
        <mc:AlternateContent xmlns:mc="http://schemas.openxmlformats.org/markup-compatibility/2006">
          <mc:Choice Requires="x14">
            <control shapeId="15507" r:id="rId64" name="Drop Down 147">
              <controlPr defaultSize="0" autoLine="0" autoPict="0">
                <anchor moveWithCells="1">
                  <from>
                    <xdr:col>3</xdr:col>
                    <xdr:colOff>19050</xdr:colOff>
                    <xdr:row>11</xdr:row>
                    <xdr:rowOff>0</xdr:rowOff>
                  </from>
                  <to>
                    <xdr:col>4</xdr:col>
                    <xdr:colOff>19050</xdr:colOff>
                    <xdr:row>12</xdr:row>
                    <xdr:rowOff>19050</xdr:rowOff>
                  </to>
                </anchor>
              </controlPr>
            </control>
          </mc:Choice>
        </mc:AlternateContent>
        <mc:AlternateContent xmlns:mc="http://schemas.openxmlformats.org/markup-compatibility/2006">
          <mc:Choice Requires="x14">
            <control shapeId="15508" r:id="rId65" name="Drop Down 148">
              <controlPr defaultSize="0" autoLine="0" autoPict="0">
                <anchor moveWithCells="1">
                  <from>
                    <xdr:col>3</xdr:col>
                    <xdr:colOff>19050</xdr:colOff>
                    <xdr:row>12</xdr:row>
                    <xdr:rowOff>0</xdr:rowOff>
                  </from>
                  <to>
                    <xdr:col>4</xdr:col>
                    <xdr:colOff>19050</xdr:colOff>
                    <xdr:row>13</xdr:row>
                    <xdr:rowOff>19050</xdr:rowOff>
                  </to>
                </anchor>
              </controlPr>
            </control>
          </mc:Choice>
        </mc:AlternateContent>
        <mc:AlternateContent xmlns:mc="http://schemas.openxmlformats.org/markup-compatibility/2006">
          <mc:Choice Requires="x14">
            <control shapeId="15509" r:id="rId66" name="Drop Down 149">
              <controlPr defaultSize="0" autoLine="0" autoPict="0">
                <anchor moveWithCells="1">
                  <from>
                    <xdr:col>3</xdr:col>
                    <xdr:colOff>19050</xdr:colOff>
                    <xdr:row>13</xdr:row>
                    <xdr:rowOff>0</xdr:rowOff>
                  </from>
                  <to>
                    <xdr:col>4</xdr:col>
                    <xdr:colOff>19050</xdr:colOff>
                    <xdr:row>14</xdr:row>
                    <xdr:rowOff>19050</xdr:rowOff>
                  </to>
                </anchor>
              </controlPr>
            </control>
          </mc:Choice>
        </mc:AlternateContent>
        <mc:AlternateContent xmlns:mc="http://schemas.openxmlformats.org/markup-compatibility/2006">
          <mc:Choice Requires="x14">
            <control shapeId="15510" r:id="rId67" name="Drop Down 150">
              <controlPr defaultSize="0" autoLine="0" autoPict="0">
                <anchor moveWithCells="1">
                  <from>
                    <xdr:col>3</xdr:col>
                    <xdr:colOff>19050</xdr:colOff>
                    <xdr:row>14</xdr:row>
                    <xdr:rowOff>0</xdr:rowOff>
                  </from>
                  <to>
                    <xdr:col>4</xdr:col>
                    <xdr:colOff>19050</xdr:colOff>
                    <xdr:row>15</xdr:row>
                    <xdr:rowOff>19050</xdr:rowOff>
                  </to>
                </anchor>
              </controlPr>
            </control>
          </mc:Choice>
        </mc:AlternateContent>
        <mc:AlternateContent xmlns:mc="http://schemas.openxmlformats.org/markup-compatibility/2006">
          <mc:Choice Requires="x14">
            <control shapeId="15511" r:id="rId68" name="Drop Down 151">
              <controlPr defaultSize="0" autoLine="0" autoPict="0">
                <anchor moveWithCells="1">
                  <from>
                    <xdr:col>3</xdr:col>
                    <xdr:colOff>19050</xdr:colOff>
                    <xdr:row>15</xdr:row>
                    <xdr:rowOff>0</xdr:rowOff>
                  </from>
                  <to>
                    <xdr:col>4</xdr:col>
                    <xdr:colOff>19050</xdr:colOff>
                    <xdr:row>16</xdr:row>
                    <xdr:rowOff>19050</xdr:rowOff>
                  </to>
                </anchor>
              </controlPr>
            </control>
          </mc:Choice>
        </mc:AlternateContent>
        <mc:AlternateContent xmlns:mc="http://schemas.openxmlformats.org/markup-compatibility/2006">
          <mc:Choice Requires="x14">
            <control shapeId="15512" r:id="rId69" name="Drop Down 152">
              <controlPr defaultSize="0" autoLine="0" autoPict="0">
                <anchor moveWithCells="1">
                  <from>
                    <xdr:col>3</xdr:col>
                    <xdr:colOff>19050</xdr:colOff>
                    <xdr:row>16</xdr:row>
                    <xdr:rowOff>0</xdr:rowOff>
                  </from>
                  <to>
                    <xdr:col>4</xdr:col>
                    <xdr:colOff>19050</xdr:colOff>
                    <xdr:row>17</xdr:row>
                    <xdr:rowOff>19050</xdr:rowOff>
                  </to>
                </anchor>
              </controlPr>
            </control>
          </mc:Choice>
        </mc:AlternateContent>
        <mc:AlternateContent xmlns:mc="http://schemas.openxmlformats.org/markup-compatibility/2006">
          <mc:Choice Requires="x14">
            <control shapeId="15513" r:id="rId70" name="Drop Down 153">
              <controlPr defaultSize="0" autoLine="0" autoPict="0">
                <anchor moveWithCells="1">
                  <from>
                    <xdr:col>3</xdr:col>
                    <xdr:colOff>19050</xdr:colOff>
                    <xdr:row>17</xdr:row>
                    <xdr:rowOff>0</xdr:rowOff>
                  </from>
                  <to>
                    <xdr:col>4</xdr:col>
                    <xdr:colOff>19050</xdr:colOff>
                    <xdr:row>18</xdr:row>
                    <xdr:rowOff>19050</xdr:rowOff>
                  </to>
                </anchor>
              </controlPr>
            </control>
          </mc:Choice>
        </mc:AlternateContent>
        <mc:AlternateContent xmlns:mc="http://schemas.openxmlformats.org/markup-compatibility/2006">
          <mc:Choice Requires="x14">
            <control shapeId="15514" r:id="rId71" name="Drop Down 154">
              <controlPr defaultSize="0" autoLine="0" autoPict="0">
                <anchor moveWithCells="1">
                  <from>
                    <xdr:col>3</xdr:col>
                    <xdr:colOff>19050</xdr:colOff>
                    <xdr:row>18</xdr:row>
                    <xdr:rowOff>0</xdr:rowOff>
                  </from>
                  <to>
                    <xdr:col>4</xdr:col>
                    <xdr:colOff>19050</xdr:colOff>
                    <xdr:row>19</xdr:row>
                    <xdr:rowOff>19050</xdr:rowOff>
                  </to>
                </anchor>
              </controlPr>
            </control>
          </mc:Choice>
        </mc:AlternateContent>
        <mc:AlternateContent xmlns:mc="http://schemas.openxmlformats.org/markup-compatibility/2006">
          <mc:Choice Requires="x14">
            <control shapeId="15515" r:id="rId72" name="Drop Down 155">
              <controlPr defaultSize="0" autoLine="0" autoPict="0">
                <anchor moveWithCells="1">
                  <from>
                    <xdr:col>3</xdr:col>
                    <xdr:colOff>19050</xdr:colOff>
                    <xdr:row>19</xdr:row>
                    <xdr:rowOff>0</xdr:rowOff>
                  </from>
                  <to>
                    <xdr:col>4</xdr:col>
                    <xdr:colOff>19050</xdr:colOff>
                    <xdr:row>20</xdr:row>
                    <xdr:rowOff>19050</xdr:rowOff>
                  </to>
                </anchor>
              </controlPr>
            </control>
          </mc:Choice>
        </mc:AlternateContent>
        <mc:AlternateContent xmlns:mc="http://schemas.openxmlformats.org/markup-compatibility/2006">
          <mc:Choice Requires="x14">
            <control shapeId="15516" r:id="rId73" name="Drop Down 156">
              <controlPr defaultSize="0" autoLine="0" autoPict="0">
                <anchor moveWithCells="1">
                  <from>
                    <xdr:col>3</xdr:col>
                    <xdr:colOff>19050</xdr:colOff>
                    <xdr:row>20</xdr:row>
                    <xdr:rowOff>0</xdr:rowOff>
                  </from>
                  <to>
                    <xdr:col>4</xdr:col>
                    <xdr:colOff>19050</xdr:colOff>
                    <xdr:row>21</xdr:row>
                    <xdr:rowOff>19050</xdr:rowOff>
                  </to>
                </anchor>
              </controlPr>
            </control>
          </mc:Choice>
        </mc:AlternateContent>
        <mc:AlternateContent xmlns:mc="http://schemas.openxmlformats.org/markup-compatibility/2006">
          <mc:Choice Requires="x14">
            <control shapeId="15517" r:id="rId74" name="Drop Down 157">
              <controlPr defaultSize="0" autoLine="0" autoPict="0">
                <anchor moveWithCells="1">
                  <from>
                    <xdr:col>3</xdr:col>
                    <xdr:colOff>19050</xdr:colOff>
                    <xdr:row>21</xdr:row>
                    <xdr:rowOff>0</xdr:rowOff>
                  </from>
                  <to>
                    <xdr:col>4</xdr:col>
                    <xdr:colOff>19050</xdr:colOff>
                    <xdr:row>22</xdr:row>
                    <xdr:rowOff>19050</xdr:rowOff>
                  </to>
                </anchor>
              </controlPr>
            </control>
          </mc:Choice>
        </mc:AlternateContent>
        <mc:AlternateContent xmlns:mc="http://schemas.openxmlformats.org/markup-compatibility/2006">
          <mc:Choice Requires="x14">
            <control shapeId="15518" r:id="rId75" name="Drop Down 158">
              <controlPr defaultSize="0" autoLine="0" autoPict="0">
                <anchor moveWithCells="1">
                  <from>
                    <xdr:col>3</xdr:col>
                    <xdr:colOff>19050</xdr:colOff>
                    <xdr:row>22</xdr:row>
                    <xdr:rowOff>0</xdr:rowOff>
                  </from>
                  <to>
                    <xdr:col>4</xdr:col>
                    <xdr:colOff>19050</xdr:colOff>
                    <xdr:row>23</xdr:row>
                    <xdr:rowOff>19050</xdr:rowOff>
                  </to>
                </anchor>
              </controlPr>
            </control>
          </mc:Choice>
        </mc:AlternateContent>
        <mc:AlternateContent xmlns:mc="http://schemas.openxmlformats.org/markup-compatibility/2006">
          <mc:Choice Requires="x14">
            <control shapeId="15519" r:id="rId76" name="Drop Down 159">
              <controlPr defaultSize="0" autoLine="0" autoPict="0">
                <anchor moveWithCells="1">
                  <from>
                    <xdr:col>3</xdr:col>
                    <xdr:colOff>19050</xdr:colOff>
                    <xdr:row>23</xdr:row>
                    <xdr:rowOff>0</xdr:rowOff>
                  </from>
                  <to>
                    <xdr:col>4</xdr:col>
                    <xdr:colOff>19050</xdr:colOff>
                    <xdr:row>24</xdr:row>
                    <xdr:rowOff>19050</xdr:rowOff>
                  </to>
                </anchor>
              </controlPr>
            </control>
          </mc:Choice>
        </mc:AlternateContent>
        <mc:AlternateContent xmlns:mc="http://schemas.openxmlformats.org/markup-compatibility/2006">
          <mc:Choice Requires="x14">
            <control shapeId="15520" r:id="rId77" name="Drop Down 160">
              <controlPr defaultSize="0" autoLine="0" autoPict="0">
                <anchor moveWithCells="1">
                  <from>
                    <xdr:col>3</xdr:col>
                    <xdr:colOff>19050</xdr:colOff>
                    <xdr:row>24</xdr:row>
                    <xdr:rowOff>0</xdr:rowOff>
                  </from>
                  <to>
                    <xdr:col>4</xdr:col>
                    <xdr:colOff>19050</xdr:colOff>
                    <xdr:row>25</xdr:row>
                    <xdr:rowOff>19050</xdr:rowOff>
                  </to>
                </anchor>
              </controlPr>
            </control>
          </mc:Choice>
        </mc:AlternateContent>
        <mc:AlternateContent xmlns:mc="http://schemas.openxmlformats.org/markup-compatibility/2006">
          <mc:Choice Requires="x14">
            <control shapeId="15521" r:id="rId78" name="Drop Down 161">
              <controlPr defaultSize="0" autoLine="0" autoPict="0">
                <anchor moveWithCells="1">
                  <from>
                    <xdr:col>3</xdr:col>
                    <xdr:colOff>19050</xdr:colOff>
                    <xdr:row>25</xdr:row>
                    <xdr:rowOff>0</xdr:rowOff>
                  </from>
                  <to>
                    <xdr:col>4</xdr:col>
                    <xdr:colOff>19050</xdr:colOff>
                    <xdr:row>26</xdr:row>
                    <xdr:rowOff>19050</xdr:rowOff>
                  </to>
                </anchor>
              </controlPr>
            </control>
          </mc:Choice>
        </mc:AlternateContent>
        <mc:AlternateContent xmlns:mc="http://schemas.openxmlformats.org/markup-compatibility/2006">
          <mc:Choice Requires="x14">
            <control shapeId="15522" r:id="rId79" name="Drop Down 162">
              <controlPr defaultSize="0" autoLine="0" autoPict="0">
                <anchor moveWithCells="1">
                  <from>
                    <xdr:col>3</xdr:col>
                    <xdr:colOff>19050</xdr:colOff>
                    <xdr:row>26</xdr:row>
                    <xdr:rowOff>0</xdr:rowOff>
                  </from>
                  <to>
                    <xdr:col>4</xdr:col>
                    <xdr:colOff>19050</xdr:colOff>
                    <xdr:row>27</xdr:row>
                    <xdr:rowOff>19050</xdr:rowOff>
                  </to>
                </anchor>
              </controlPr>
            </control>
          </mc:Choice>
        </mc:AlternateContent>
        <mc:AlternateContent xmlns:mc="http://schemas.openxmlformats.org/markup-compatibility/2006">
          <mc:Choice Requires="x14">
            <control shapeId="15523" r:id="rId80" name="Drop Down 163">
              <controlPr defaultSize="0" autoLine="0" autoPict="0">
                <anchor moveWithCells="1">
                  <from>
                    <xdr:col>4</xdr:col>
                    <xdr:colOff>19050</xdr:colOff>
                    <xdr:row>4</xdr:row>
                    <xdr:rowOff>0</xdr:rowOff>
                  </from>
                  <to>
                    <xdr:col>4</xdr:col>
                    <xdr:colOff>809625</xdr:colOff>
                    <xdr:row>5</xdr:row>
                    <xdr:rowOff>19050</xdr:rowOff>
                  </to>
                </anchor>
              </controlPr>
            </control>
          </mc:Choice>
        </mc:AlternateContent>
        <mc:AlternateContent xmlns:mc="http://schemas.openxmlformats.org/markup-compatibility/2006">
          <mc:Choice Requires="x14">
            <control shapeId="15524" r:id="rId81" name="Drop Down 164">
              <controlPr defaultSize="0" autoLine="0" autoPict="0">
                <anchor moveWithCells="1">
                  <from>
                    <xdr:col>4</xdr:col>
                    <xdr:colOff>19050</xdr:colOff>
                    <xdr:row>5</xdr:row>
                    <xdr:rowOff>0</xdr:rowOff>
                  </from>
                  <to>
                    <xdr:col>4</xdr:col>
                    <xdr:colOff>809625</xdr:colOff>
                    <xdr:row>6</xdr:row>
                    <xdr:rowOff>19050</xdr:rowOff>
                  </to>
                </anchor>
              </controlPr>
            </control>
          </mc:Choice>
        </mc:AlternateContent>
        <mc:AlternateContent xmlns:mc="http://schemas.openxmlformats.org/markup-compatibility/2006">
          <mc:Choice Requires="x14">
            <control shapeId="15525" r:id="rId82" name="Drop Down 165">
              <controlPr defaultSize="0" autoLine="0" autoPict="0">
                <anchor moveWithCells="1">
                  <from>
                    <xdr:col>4</xdr:col>
                    <xdr:colOff>19050</xdr:colOff>
                    <xdr:row>6</xdr:row>
                    <xdr:rowOff>0</xdr:rowOff>
                  </from>
                  <to>
                    <xdr:col>4</xdr:col>
                    <xdr:colOff>809625</xdr:colOff>
                    <xdr:row>7</xdr:row>
                    <xdr:rowOff>19050</xdr:rowOff>
                  </to>
                </anchor>
              </controlPr>
            </control>
          </mc:Choice>
        </mc:AlternateContent>
        <mc:AlternateContent xmlns:mc="http://schemas.openxmlformats.org/markup-compatibility/2006">
          <mc:Choice Requires="x14">
            <control shapeId="15526" r:id="rId83" name="Drop Down 166">
              <controlPr defaultSize="0" autoLine="0" autoPict="0">
                <anchor moveWithCells="1">
                  <from>
                    <xdr:col>4</xdr:col>
                    <xdr:colOff>19050</xdr:colOff>
                    <xdr:row>7</xdr:row>
                    <xdr:rowOff>0</xdr:rowOff>
                  </from>
                  <to>
                    <xdr:col>4</xdr:col>
                    <xdr:colOff>809625</xdr:colOff>
                    <xdr:row>8</xdr:row>
                    <xdr:rowOff>19050</xdr:rowOff>
                  </to>
                </anchor>
              </controlPr>
            </control>
          </mc:Choice>
        </mc:AlternateContent>
        <mc:AlternateContent xmlns:mc="http://schemas.openxmlformats.org/markup-compatibility/2006">
          <mc:Choice Requires="x14">
            <control shapeId="15527" r:id="rId84" name="Drop Down 167">
              <controlPr defaultSize="0" autoLine="0" autoPict="0">
                <anchor moveWithCells="1">
                  <from>
                    <xdr:col>4</xdr:col>
                    <xdr:colOff>19050</xdr:colOff>
                    <xdr:row>8</xdr:row>
                    <xdr:rowOff>0</xdr:rowOff>
                  </from>
                  <to>
                    <xdr:col>4</xdr:col>
                    <xdr:colOff>809625</xdr:colOff>
                    <xdr:row>9</xdr:row>
                    <xdr:rowOff>19050</xdr:rowOff>
                  </to>
                </anchor>
              </controlPr>
            </control>
          </mc:Choice>
        </mc:AlternateContent>
        <mc:AlternateContent xmlns:mc="http://schemas.openxmlformats.org/markup-compatibility/2006">
          <mc:Choice Requires="x14">
            <control shapeId="15528" r:id="rId85" name="Drop Down 168">
              <controlPr defaultSize="0" autoLine="0" autoPict="0">
                <anchor moveWithCells="1">
                  <from>
                    <xdr:col>4</xdr:col>
                    <xdr:colOff>19050</xdr:colOff>
                    <xdr:row>9</xdr:row>
                    <xdr:rowOff>0</xdr:rowOff>
                  </from>
                  <to>
                    <xdr:col>4</xdr:col>
                    <xdr:colOff>809625</xdr:colOff>
                    <xdr:row>10</xdr:row>
                    <xdr:rowOff>19050</xdr:rowOff>
                  </to>
                </anchor>
              </controlPr>
            </control>
          </mc:Choice>
        </mc:AlternateContent>
        <mc:AlternateContent xmlns:mc="http://schemas.openxmlformats.org/markup-compatibility/2006">
          <mc:Choice Requires="x14">
            <control shapeId="15529" r:id="rId86" name="Drop Down 169">
              <controlPr defaultSize="0" autoLine="0" autoPict="0">
                <anchor moveWithCells="1">
                  <from>
                    <xdr:col>4</xdr:col>
                    <xdr:colOff>19050</xdr:colOff>
                    <xdr:row>10</xdr:row>
                    <xdr:rowOff>0</xdr:rowOff>
                  </from>
                  <to>
                    <xdr:col>4</xdr:col>
                    <xdr:colOff>809625</xdr:colOff>
                    <xdr:row>11</xdr:row>
                    <xdr:rowOff>19050</xdr:rowOff>
                  </to>
                </anchor>
              </controlPr>
            </control>
          </mc:Choice>
        </mc:AlternateContent>
        <mc:AlternateContent xmlns:mc="http://schemas.openxmlformats.org/markup-compatibility/2006">
          <mc:Choice Requires="x14">
            <control shapeId="15530" r:id="rId87" name="Drop Down 170">
              <controlPr defaultSize="0" autoLine="0" autoPict="0">
                <anchor moveWithCells="1">
                  <from>
                    <xdr:col>4</xdr:col>
                    <xdr:colOff>19050</xdr:colOff>
                    <xdr:row>11</xdr:row>
                    <xdr:rowOff>0</xdr:rowOff>
                  </from>
                  <to>
                    <xdr:col>4</xdr:col>
                    <xdr:colOff>809625</xdr:colOff>
                    <xdr:row>12</xdr:row>
                    <xdr:rowOff>19050</xdr:rowOff>
                  </to>
                </anchor>
              </controlPr>
            </control>
          </mc:Choice>
        </mc:AlternateContent>
        <mc:AlternateContent xmlns:mc="http://schemas.openxmlformats.org/markup-compatibility/2006">
          <mc:Choice Requires="x14">
            <control shapeId="15531" r:id="rId88" name="Drop Down 171">
              <controlPr defaultSize="0" autoLine="0" autoPict="0">
                <anchor moveWithCells="1">
                  <from>
                    <xdr:col>4</xdr:col>
                    <xdr:colOff>19050</xdr:colOff>
                    <xdr:row>12</xdr:row>
                    <xdr:rowOff>0</xdr:rowOff>
                  </from>
                  <to>
                    <xdr:col>4</xdr:col>
                    <xdr:colOff>809625</xdr:colOff>
                    <xdr:row>13</xdr:row>
                    <xdr:rowOff>19050</xdr:rowOff>
                  </to>
                </anchor>
              </controlPr>
            </control>
          </mc:Choice>
        </mc:AlternateContent>
        <mc:AlternateContent xmlns:mc="http://schemas.openxmlformats.org/markup-compatibility/2006">
          <mc:Choice Requires="x14">
            <control shapeId="15532" r:id="rId89" name="Drop Down 172">
              <controlPr defaultSize="0" autoLine="0" autoPict="0">
                <anchor moveWithCells="1">
                  <from>
                    <xdr:col>4</xdr:col>
                    <xdr:colOff>19050</xdr:colOff>
                    <xdr:row>13</xdr:row>
                    <xdr:rowOff>0</xdr:rowOff>
                  </from>
                  <to>
                    <xdr:col>4</xdr:col>
                    <xdr:colOff>809625</xdr:colOff>
                    <xdr:row>14</xdr:row>
                    <xdr:rowOff>19050</xdr:rowOff>
                  </to>
                </anchor>
              </controlPr>
            </control>
          </mc:Choice>
        </mc:AlternateContent>
        <mc:AlternateContent xmlns:mc="http://schemas.openxmlformats.org/markup-compatibility/2006">
          <mc:Choice Requires="x14">
            <control shapeId="15533" r:id="rId90" name="Drop Down 173">
              <controlPr defaultSize="0" autoLine="0" autoPict="0">
                <anchor moveWithCells="1">
                  <from>
                    <xdr:col>4</xdr:col>
                    <xdr:colOff>19050</xdr:colOff>
                    <xdr:row>14</xdr:row>
                    <xdr:rowOff>0</xdr:rowOff>
                  </from>
                  <to>
                    <xdr:col>4</xdr:col>
                    <xdr:colOff>809625</xdr:colOff>
                    <xdr:row>15</xdr:row>
                    <xdr:rowOff>19050</xdr:rowOff>
                  </to>
                </anchor>
              </controlPr>
            </control>
          </mc:Choice>
        </mc:AlternateContent>
        <mc:AlternateContent xmlns:mc="http://schemas.openxmlformats.org/markup-compatibility/2006">
          <mc:Choice Requires="x14">
            <control shapeId="15534" r:id="rId91" name="Drop Down 174">
              <controlPr defaultSize="0" autoLine="0" autoPict="0">
                <anchor moveWithCells="1">
                  <from>
                    <xdr:col>4</xdr:col>
                    <xdr:colOff>19050</xdr:colOff>
                    <xdr:row>15</xdr:row>
                    <xdr:rowOff>0</xdr:rowOff>
                  </from>
                  <to>
                    <xdr:col>4</xdr:col>
                    <xdr:colOff>809625</xdr:colOff>
                    <xdr:row>16</xdr:row>
                    <xdr:rowOff>19050</xdr:rowOff>
                  </to>
                </anchor>
              </controlPr>
            </control>
          </mc:Choice>
        </mc:AlternateContent>
        <mc:AlternateContent xmlns:mc="http://schemas.openxmlformats.org/markup-compatibility/2006">
          <mc:Choice Requires="x14">
            <control shapeId="15535" r:id="rId92" name="Drop Down 175">
              <controlPr defaultSize="0" autoLine="0" autoPict="0">
                <anchor moveWithCells="1">
                  <from>
                    <xdr:col>4</xdr:col>
                    <xdr:colOff>19050</xdr:colOff>
                    <xdr:row>16</xdr:row>
                    <xdr:rowOff>0</xdr:rowOff>
                  </from>
                  <to>
                    <xdr:col>4</xdr:col>
                    <xdr:colOff>809625</xdr:colOff>
                    <xdr:row>17</xdr:row>
                    <xdr:rowOff>19050</xdr:rowOff>
                  </to>
                </anchor>
              </controlPr>
            </control>
          </mc:Choice>
        </mc:AlternateContent>
        <mc:AlternateContent xmlns:mc="http://schemas.openxmlformats.org/markup-compatibility/2006">
          <mc:Choice Requires="x14">
            <control shapeId="15536" r:id="rId93" name="Drop Down 176">
              <controlPr defaultSize="0" autoLine="0" autoPict="0">
                <anchor moveWithCells="1">
                  <from>
                    <xdr:col>4</xdr:col>
                    <xdr:colOff>19050</xdr:colOff>
                    <xdr:row>17</xdr:row>
                    <xdr:rowOff>0</xdr:rowOff>
                  </from>
                  <to>
                    <xdr:col>4</xdr:col>
                    <xdr:colOff>809625</xdr:colOff>
                    <xdr:row>18</xdr:row>
                    <xdr:rowOff>19050</xdr:rowOff>
                  </to>
                </anchor>
              </controlPr>
            </control>
          </mc:Choice>
        </mc:AlternateContent>
        <mc:AlternateContent xmlns:mc="http://schemas.openxmlformats.org/markup-compatibility/2006">
          <mc:Choice Requires="x14">
            <control shapeId="15537" r:id="rId94" name="Drop Down 177">
              <controlPr defaultSize="0" autoLine="0" autoPict="0">
                <anchor moveWithCells="1">
                  <from>
                    <xdr:col>4</xdr:col>
                    <xdr:colOff>19050</xdr:colOff>
                    <xdr:row>18</xdr:row>
                    <xdr:rowOff>0</xdr:rowOff>
                  </from>
                  <to>
                    <xdr:col>4</xdr:col>
                    <xdr:colOff>809625</xdr:colOff>
                    <xdr:row>19</xdr:row>
                    <xdr:rowOff>19050</xdr:rowOff>
                  </to>
                </anchor>
              </controlPr>
            </control>
          </mc:Choice>
        </mc:AlternateContent>
        <mc:AlternateContent xmlns:mc="http://schemas.openxmlformats.org/markup-compatibility/2006">
          <mc:Choice Requires="x14">
            <control shapeId="15538" r:id="rId95" name="Drop Down 178">
              <controlPr defaultSize="0" autoLine="0" autoPict="0">
                <anchor moveWithCells="1">
                  <from>
                    <xdr:col>4</xdr:col>
                    <xdr:colOff>19050</xdr:colOff>
                    <xdr:row>19</xdr:row>
                    <xdr:rowOff>0</xdr:rowOff>
                  </from>
                  <to>
                    <xdr:col>4</xdr:col>
                    <xdr:colOff>809625</xdr:colOff>
                    <xdr:row>20</xdr:row>
                    <xdr:rowOff>19050</xdr:rowOff>
                  </to>
                </anchor>
              </controlPr>
            </control>
          </mc:Choice>
        </mc:AlternateContent>
        <mc:AlternateContent xmlns:mc="http://schemas.openxmlformats.org/markup-compatibility/2006">
          <mc:Choice Requires="x14">
            <control shapeId="15539" r:id="rId96" name="Drop Down 179">
              <controlPr defaultSize="0" autoLine="0" autoPict="0">
                <anchor moveWithCells="1">
                  <from>
                    <xdr:col>4</xdr:col>
                    <xdr:colOff>19050</xdr:colOff>
                    <xdr:row>20</xdr:row>
                    <xdr:rowOff>0</xdr:rowOff>
                  </from>
                  <to>
                    <xdr:col>4</xdr:col>
                    <xdr:colOff>809625</xdr:colOff>
                    <xdr:row>21</xdr:row>
                    <xdr:rowOff>19050</xdr:rowOff>
                  </to>
                </anchor>
              </controlPr>
            </control>
          </mc:Choice>
        </mc:AlternateContent>
        <mc:AlternateContent xmlns:mc="http://schemas.openxmlformats.org/markup-compatibility/2006">
          <mc:Choice Requires="x14">
            <control shapeId="15540" r:id="rId97" name="Drop Down 180">
              <controlPr defaultSize="0" autoLine="0" autoPict="0">
                <anchor moveWithCells="1">
                  <from>
                    <xdr:col>4</xdr:col>
                    <xdr:colOff>19050</xdr:colOff>
                    <xdr:row>21</xdr:row>
                    <xdr:rowOff>0</xdr:rowOff>
                  </from>
                  <to>
                    <xdr:col>4</xdr:col>
                    <xdr:colOff>809625</xdr:colOff>
                    <xdr:row>22</xdr:row>
                    <xdr:rowOff>19050</xdr:rowOff>
                  </to>
                </anchor>
              </controlPr>
            </control>
          </mc:Choice>
        </mc:AlternateContent>
        <mc:AlternateContent xmlns:mc="http://schemas.openxmlformats.org/markup-compatibility/2006">
          <mc:Choice Requires="x14">
            <control shapeId="15541" r:id="rId98" name="Drop Down 181">
              <controlPr defaultSize="0" autoLine="0" autoPict="0">
                <anchor moveWithCells="1">
                  <from>
                    <xdr:col>4</xdr:col>
                    <xdr:colOff>19050</xdr:colOff>
                    <xdr:row>22</xdr:row>
                    <xdr:rowOff>0</xdr:rowOff>
                  </from>
                  <to>
                    <xdr:col>4</xdr:col>
                    <xdr:colOff>809625</xdr:colOff>
                    <xdr:row>23</xdr:row>
                    <xdr:rowOff>19050</xdr:rowOff>
                  </to>
                </anchor>
              </controlPr>
            </control>
          </mc:Choice>
        </mc:AlternateContent>
        <mc:AlternateContent xmlns:mc="http://schemas.openxmlformats.org/markup-compatibility/2006">
          <mc:Choice Requires="x14">
            <control shapeId="15542" r:id="rId99" name="Drop Down 182">
              <controlPr defaultSize="0" autoLine="0" autoPict="0">
                <anchor moveWithCells="1">
                  <from>
                    <xdr:col>4</xdr:col>
                    <xdr:colOff>19050</xdr:colOff>
                    <xdr:row>23</xdr:row>
                    <xdr:rowOff>0</xdr:rowOff>
                  </from>
                  <to>
                    <xdr:col>4</xdr:col>
                    <xdr:colOff>809625</xdr:colOff>
                    <xdr:row>24</xdr:row>
                    <xdr:rowOff>19050</xdr:rowOff>
                  </to>
                </anchor>
              </controlPr>
            </control>
          </mc:Choice>
        </mc:AlternateContent>
        <mc:AlternateContent xmlns:mc="http://schemas.openxmlformats.org/markup-compatibility/2006">
          <mc:Choice Requires="x14">
            <control shapeId="15543" r:id="rId100" name="Drop Down 183">
              <controlPr defaultSize="0" autoLine="0" autoPict="0">
                <anchor moveWithCells="1">
                  <from>
                    <xdr:col>4</xdr:col>
                    <xdr:colOff>19050</xdr:colOff>
                    <xdr:row>24</xdr:row>
                    <xdr:rowOff>0</xdr:rowOff>
                  </from>
                  <to>
                    <xdr:col>4</xdr:col>
                    <xdr:colOff>809625</xdr:colOff>
                    <xdr:row>25</xdr:row>
                    <xdr:rowOff>19050</xdr:rowOff>
                  </to>
                </anchor>
              </controlPr>
            </control>
          </mc:Choice>
        </mc:AlternateContent>
        <mc:AlternateContent xmlns:mc="http://schemas.openxmlformats.org/markup-compatibility/2006">
          <mc:Choice Requires="x14">
            <control shapeId="15544" r:id="rId101" name="Drop Down 184">
              <controlPr defaultSize="0" autoLine="0" autoPict="0">
                <anchor moveWithCells="1">
                  <from>
                    <xdr:col>4</xdr:col>
                    <xdr:colOff>19050</xdr:colOff>
                    <xdr:row>25</xdr:row>
                    <xdr:rowOff>0</xdr:rowOff>
                  </from>
                  <to>
                    <xdr:col>4</xdr:col>
                    <xdr:colOff>809625</xdr:colOff>
                    <xdr:row>26</xdr:row>
                    <xdr:rowOff>19050</xdr:rowOff>
                  </to>
                </anchor>
              </controlPr>
            </control>
          </mc:Choice>
        </mc:AlternateContent>
        <mc:AlternateContent xmlns:mc="http://schemas.openxmlformats.org/markup-compatibility/2006">
          <mc:Choice Requires="x14">
            <control shapeId="15545" r:id="rId102" name="Drop Down 185">
              <controlPr defaultSize="0" autoLine="0" autoPict="0">
                <anchor moveWithCells="1">
                  <from>
                    <xdr:col>4</xdr:col>
                    <xdr:colOff>19050</xdr:colOff>
                    <xdr:row>26</xdr:row>
                    <xdr:rowOff>0</xdr:rowOff>
                  </from>
                  <to>
                    <xdr:col>4</xdr:col>
                    <xdr:colOff>809625</xdr:colOff>
                    <xdr:row>27</xdr:row>
                    <xdr:rowOff>19050</xdr:rowOff>
                  </to>
                </anchor>
              </controlPr>
            </control>
          </mc:Choice>
        </mc:AlternateContent>
        <mc:AlternateContent xmlns:mc="http://schemas.openxmlformats.org/markup-compatibility/2006">
          <mc:Choice Requires="x14">
            <control shapeId="15546" r:id="rId103" name="Drop Down 186">
              <controlPr defaultSize="0" autoLine="0" autoPict="0">
                <anchor moveWithCells="1">
                  <from>
                    <xdr:col>8</xdr:col>
                    <xdr:colOff>0</xdr:colOff>
                    <xdr:row>4</xdr:row>
                    <xdr:rowOff>0</xdr:rowOff>
                  </from>
                  <to>
                    <xdr:col>9</xdr:col>
                    <xdr:colOff>9525</xdr:colOff>
                    <xdr:row>5</xdr:row>
                    <xdr:rowOff>9525</xdr:rowOff>
                  </to>
                </anchor>
              </controlPr>
            </control>
          </mc:Choice>
        </mc:AlternateContent>
        <mc:AlternateContent xmlns:mc="http://schemas.openxmlformats.org/markup-compatibility/2006">
          <mc:Choice Requires="x14">
            <control shapeId="15547" r:id="rId104" name="Drop Down 187">
              <controlPr defaultSize="0" autoLine="0" autoPict="0">
                <anchor moveWithCells="1">
                  <from>
                    <xdr:col>8</xdr:col>
                    <xdr:colOff>0</xdr:colOff>
                    <xdr:row>5</xdr:row>
                    <xdr:rowOff>0</xdr:rowOff>
                  </from>
                  <to>
                    <xdr:col>9</xdr:col>
                    <xdr:colOff>9525</xdr:colOff>
                    <xdr:row>6</xdr:row>
                    <xdr:rowOff>9525</xdr:rowOff>
                  </to>
                </anchor>
              </controlPr>
            </control>
          </mc:Choice>
        </mc:AlternateContent>
        <mc:AlternateContent xmlns:mc="http://schemas.openxmlformats.org/markup-compatibility/2006">
          <mc:Choice Requires="x14">
            <control shapeId="15548" r:id="rId105" name="Drop Down 188">
              <controlPr defaultSize="0" autoLine="0" autoPict="0">
                <anchor moveWithCells="1">
                  <from>
                    <xdr:col>8</xdr:col>
                    <xdr:colOff>0</xdr:colOff>
                    <xdr:row>6</xdr:row>
                    <xdr:rowOff>0</xdr:rowOff>
                  </from>
                  <to>
                    <xdr:col>9</xdr:col>
                    <xdr:colOff>9525</xdr:colOff>
                    <xdr:row>7</xdr:row>
                    <xdr:rowOff>9525</xdr:rowOff>
                  </to>
                </anchor>
              </controlPr>
            </control>
          </mc:Choice>
        </mc:AlternateContent>
        <mc:AlternateContent xmlns:mc="http://schemas.openxmlformats.org/markup-compatibility/2006">
          <mc:Choice Requires="x14">
            <control shapeId="15549" r:id="rId106" name="Drop Down 189">
              <controlPr defaultSize="0" autoLine="0" autoPict="0">
                <anchor moveWithCells="1">
                  <from>
                    <xdr:col>8</xdr:col>
                    <xdr:colOff>0</xdr:colOff>
                    <xdr:row>7</xdr:row>
                    <xdr:rowOff>0</xdr:rowOff>
                  </from>
                  <to>
                    <xdr:col>9</xdr:col>
                    <xdr:colOff>9525</xdr:colOff>
                    <xdr:row>8</xdr:row>
                    <xdr:rowOff>9525</xdr:rowOff>
                  </to>
                </anchor>
              </controlPr>
            </control>
          </mc:Choice>
        </mc:AlternateContent>
        <mc:AlternateContent xmlns:mc="http://schemas.openxmlformats.org/markup-compatibility/2006">
          <mc:Choice Requires="x14">
            <control shapeId="15550" r:id="rId107" name="Drop Down 190">
              <controlPr defaultSize="0" autoLine="0" autoPict="0">
                <anchor moveWithCells="1">
                  <from>
                    <xdr:col>8</xdr:col>
                    <xdr:colOff>0</xdr:colOff>
                    <xdr:row>8</xdr:row>
                    <xdr:rowOff>0</xdr:rowOff>
                  </from>
                  <to>
                    <xdr:col>9</xdr:col>
                    <xdr:colOff>9525</xdr:colOff>
                    <xdr:row>9</xdr:row>
                    <xdr:rowOff>9525</xdr:rowOff>
                  </to>
                </anchor>
              </controlPr>
            </control>
          </mc:Choice>
        </mc:AlternateContent>
        <mc:AlternateContent xmlns:mc="http://schemas.openxmlformats.org/markup-compatibility/2006">
          <mc:Choice Requires="x14">
            <control shapeId="15551" r:id="rId108" name="Drop Down 191">
              <controlPr defaultSize="0" autoLine="0" autoPict="0">
                <anchor moveWithCells="1">
                  <from>
                    <xdr:col>8</xdr:col>
                    <xdr:colOff>0</xdr:colOff>
                    <xdr:row>9</xdr:row>
                    <xdr:rowOff>0</xdr:rowOff>
                  </from>
                  <to>
                    <xdr:col>9</xdr:col>
                    <xdr:colOff>9525</xdr:colOff>
                    <xdr:row>10</xdr:row>
                    <xdr:rowOff>9525</xdr:rowOff>
                  </to>
                </anchor>
              </controlPr>
            </control>
          </mc:Choice>
        </mc:AlternateContent>
        <mc:AlternateContent xmlns:mc="http://schemas.openxmlformats.org/markup-compatibility/2006">
          <mc:Choice Requires="x14">
            <control shapeId="15552" r:id="rId109" name="Drop Down 192">
              <controlPr defaultSize="0" autoLine="0" autoPict="0">
                <anchor moveWithCells="1">
                  <from>
                    <xdr:col>8</xdr:col>
                    <xdr:colOff>0</xdr:colOff>
                    <xdr:row>10</xdr:row>
                    <xdr:rowOff>0</xdr:rowOff>
                  </from>
                  <to>
                    <xdr:col>9</xdr:col>
                    <xdr:colOff>9525</xdr:colOff>
                    <xdr:row>11</xdr:row>
                    <xdr:rowOff>9525</xdr:rowOff>
                  </to>
                </anchor>
              </controlPr>
            </control>
          </mc:Choice>
        </mc:AlternateContent>
        <mc:AlternateContent xmlns:mc="http://schemas.openxmlformats.org/markup-compatibility/2006">
          <mc:Choice Requires="x14">
            <control shapeId="15553" r:id="rId110" name="Drop Down 193">
              <controlPr defaultSize="0" autoLine="0" autoPict="0">
                <anchor moveWithCells="1">
                  <from>
                    <xdr:col>8</xdr:col>
                    <xdr:colOff>0</xdr:colOff>
                    <xdr:row>11</xdr:row>
                    <xdr:rowOff>0</xdr:rowOff>
                  </from>
                  <to>
                    <xdr:col>9</xdr:col>
                    <xdr:colOff>9525</xdr:colOff>
                    <xdr:row>12</xdr:row>
                    <xdr:rowOff>9525</xdr:rowOff>
                  </to>
                </anchor>
              </controlPr>
            </control>
          </mc:Choice>
        </mc:AlternateContent>
        <mc:AlternateContent xmlns:mc="http://schemas.openxmlformats.org/markup-compatibility/2006">
          <mc:Choice Requires="x14">
            <control shapeId="15554" r:id="rId111" name="Drop Down 194">
              <controlPr defaultSize="0" autoLine="0" autoPict="0">
                <anchor moveWithCells="1">
                  <from>
                    <xdr:col>8</xdr:col>
                    <xdr:colOff>0</xdr:colOff>
                    <xdr:row>12</xdr:row>
                    <xdr:rowOff>0</xdr:rowOff>
                  </from>
                  <to>
                    <xdr:col>9</xdr:col>
                    <xdr:colOff>9525</xdr:colOff>
                    <xdr:row>13</xdr:row>
                    <xdr:rowOff>9525</xdr:rowOff>
                  </to>
                </anchor>
              </controlPr>
            </control>
          </mc:Choice>
        </mc:AlternateContent>
        <mc:AlternateContent xmlns:mc="http://schemas.openxmlformats.org/markup-compatibility/2006">
          <mc:Choice Requires="x14">
            <control shapeId="15555" r:id="rId112" name="Drop Down 195">
              <controlPr defaultSize="0" autoLine="0" autoPict="0">
                <anchor moveWithCells="1">
                  <from>
                    <xdr:col>8</xdr:col>
                    <xdr:colOff>0</xdr:colOff>
                    <xdr:row>13</xdr:row>
                    <xdr:rowOff>0</xdr:rowOff>
                  </from>
                  <to>
                    <xdr:col>9</xdr:col>
                    <xdr:colOff>9525</xdr:colOff>
                    <xdr:row>14</xdr:row>
                    <xdr:rowOff>9525</xdr:rowOff>
                  </to>
                </anchor>
              </controlPr>
            </control>
          </mc:Choice>
        </mc:AlternateContent>
        <mc:AlternateContent xmlns:mc="http://schemas.openxmlformats.org/markup-compatibility/2006">
          <mc:Choice Requires="x14">
            <control shapeId="15556" r:id="rId113" name="Drop Down 196">
              <controlPr defaultSize="0" autoLine="0" autoPict="0">
                <anchor moveWithCells="1">
                  <from>
                    <xdr:col>8</xdr:col>
                    <xdr:colOff>0</xdr:colOff>
                    <xdr:row>14</xdr:row>
                    <xdr:rowOff>0</xdr:rowOff>
                  </from>
                  <to>
                    <xdr:col>9</xdr:col>
                    <xdr:colOff>9525</xdr:colOff>
                    <xdr:row>15</xdr:row>
                    <xdr:rowOff>9525</xdr:rowOff>
                  </to>
                </anchor>
              </controlPr>
            </control>
          </mc:Choice>
        </mc:AlternateContent>
        <mc:AlternateContent xmlns:mc="http://schemas.openxmlformats.org/markup-compatibility/2006">
          <mc:Choice Requires="x14">
            <control shapeId="15557" r:id="rId114" name="Drop Down 197">
              <controlPr defaultSize="0" autoLine="0" autoPict="0">
                <anchor moveWithCells="1">
                  <from>
                    <xdr:col>8</xdr:col>
                    <xdr:colOff>0</xdr:colOff>
                    <xdr:row>15</xdr:row>
                    <xdr:rowOff>0</xdr:rowOff>
                  </from>
                  <to>
                    <xdr:col>9</xdr:col>
                    <xdr:colOff>9525</xdr:colOff>
                    <xdr:row>16</xdr:row>
                    <xdr:rowOff>9525</xdr:rowOff>
                  </to>
                </anchor>
              </controlPr>
            </control>
          </mc:Choice>
        </mc:AlternateContent>
        <mc:AlternateContent xmlns:mc="http://schemas.openxmlformats.org/markup-compatibility/2006">
          <mc:Choice Requires="x14">
            <control shapeId="15558" r:id="rId115" name="Drop Down 198">
              <controlPr defaultSize="0" autoLine="0" autoPict="0">
                <anchor moveWithCells="1">
                  <from>
                    <xdr:col>8</xdr:col>
                    <xdr:colOff>0</xdr:colOff>
                    <xdr:row>16</xdr:row>
                    <xdr:rowOff>0</xdr:rowOff>
                  </from>
                  <to>
                    <xdr:col>9</xdr:col>
                    <xdr:colOff>9525</xdr:colOff>
                    <xdr:row>17</xdr:row>
                    <xdr:rowOff>9525</xdr:rowOff>
                  </to>
                </anchor>
              </controlPr>
            </control>
          </mc:Choice>
        </mc:AlternateContent>
        <mc:AlternateContent xmlns:mc="http://schemas.openxmlformats.org/markup-compatibility/2006">
          <mc:Choice Requires="x14">
            <control shapeId="15559" r:id="rId116" name="Drop Down 199">
              <controlPr defaultSize="0" autoLine="0" autoPict="0">
                <anchor moveWithCells="1">
                  <from>
                    <xdr:col>8</xdr:col>
                    <xdr:colOff>0</xdr:colOff>
                    <xdr:row>17</xdr:row>
                    <xdr:rowOff>0</xdr:rowOff>
                  </from>
                  <to>
                    <xdr:col>9</xdr:col>
                    <xdr:colOff>9525</xdr:colOff>
                    <xdr:row>18</xdr:row>
                    <xdr:rowOff>9525</xdr:rowOff>
                  </to>
                </anchor>
              </controlPr>
            </control>
          </mc:Choice>
        </mc:AlternateContent>
        <mc:AlternateContent xmlns:mc="http://schemas.openxmlformats.org/markup-compatibility/2006">
          <mc:Choice Requires="x14">
            <control shapeId="15560" r:id="rId117" name="Drop Down 200">
              <controlPr defaultSize="0" autoLine="0" autoPict="0">
                <anchor moveWithCells="1">
                  <from>
                    <xdr:col>8</xdr:col>
                    <xdr:colOff>0</xdr:colOff>
                    <xdr:row>18</xdr:row>
                    <xdr:rowOff>0</xdr:rowOff>
                  </from>
                  <to>
                    <xdr:col>9</xdr:col>
                    <xdr:colOff>9525</xdr:colOff>
                    <xdr:row>19</xdr:row>
                    <xdr:rowOff>9525</xdr:rowOff>
                  </to>
                </anchor>
              </controlPr>
            </control>
          </mc:Choice>
        </mc:AlternateContent>
        <mc:AlternateContent xmlns:mc="http://schemas.openxmlformats.org/markup-compatibility/2006">
          <mc:Choice Requires="x14">
            <control shapeId="15561" r:id="rId118" name="Drop Down 201">
              <controlPr defaultSize="0" autoLine="0" autoPict="0">
                <anchor moveWithCells="1">
                  <from>
                    <xdr:col>8</xdr:col>
                    <xdr:colOff>0</xdr:colOff>
                    <xdr:row>19</xdr:row>
                    <xdr:rowOff>0</xdr:rowOff>
                  </from>
                  <to>
                    <xdr:col>9</xdr:col>
                    <xdr:colOff>9525</xdr:colOff>
                    <xdr:row>20</xdr:row>
                    <xdr:rowOff>9525</xdr:rowOff>
                  </to>
                </anchor>
              </controlPr>
            </control>
          </mc:Choice>
        </mc:AlternateContent>
        <mc:AlternateContent xmlns:mc="http://schemas.openxmlformats.org/markup-compatibility/2006">
          <mc:Choice Requires="x14">
            <control shapeId="15562" r:id="rId119" name="Drop Down 202">
              <controlPr defaultSize="0" autoLine="0" autoPict="0">
                <anchor moveWithCells="1">
                  <from>
                    <xdr:col>8</xdr:col>
                    <xdr:colOff>0</xdr:colOff>
                    <xdr:row>20</xdr:row>
                    <xdr:rowOff>0</xdr:rowOff>
                  </from>
                  <to>
                    <xdr:col>9</xdr:col>
                    <xdr:colOff>9525</xdr:colOff>
                    <xdr:row>21</xdr:row>
                    <xdr:rowOff>9525</xdr:rowOff>
                  </to>
                </anchor>
              </controlPr>
            </control>
          </mc:Choice>
        </mc:AlternateContent>
        <mc:AlternateContent xmlns:mc="http://schemas.openxmlformats.org/markup-compatibility/2006">
          <mc:Choice Requires="x14">
            <control shapeId="15563" r:id="rId120" name="Drop Down 203">
              <controlPr defaultSize="0" autoLine="0" autoPict="0">
                <anchor moveWithCells="1">
                  <from>
                    <xdr:col>8</xdr:col>
                    <xdr:colOff>0</xdr:colOff>
                    <xdr:row>21</xdr:row>
                    <xdr:rowOff>0</xdr:rowOff>
                  </from>
                  <to>
                    <xdr:col>9</xdr:col>
                    <xdr:colOff>9525</xdr:colOff>
                    <xdr:row>22</xdr:row>
                    <xdr:rowOff>9525</xdr:rowOff>
                  </to>
                </anchor>
              </controlPr>
            </control>
          </mc:Choice>
        </mc:AlternateContent>
        <mc:AlternateContent xmlns:mc="http://schemas.openxmlformats.org/markup-compatibility/2006">
          <mc:Choice Requires="x14">
            <control shapeId="15564" r:id="rId121" name="Drop Down 204">
              <controlPr defaultSize="0" autoLine="0" autoPict="0">
                <anchor moveWithCells="1">
                  <from>
                    <xdr:col>8</xdr:col>
                    <xdr:colOff>0</xdr:colOff>
                    <xdr:row>22</xdr:row>
                    <xdr:rowOff>0</xdr:rowOff>
                  </from>
                  <to>
                    <xdr:col>9</xdr:col>
                    <xdr:colOff>9525</xdr:colOff>
                    <xdr:row>23</xdr:row>
                    <xdr:rowOff>9525</xdr:rowOff>
                  </to>
                </anchor>
              </controlPr>
            </control>
          </mc:Choice>
        </mc:AlternateContent>
        <mc:AlternateContent xmlns:mc="http://schemas.openxmlformats.org/markup-compatibility/2006">
          <mc:Choice Requires="x14">
            <control shapeId="15565" r:id="rId122" name="Drop Down 205">
              <controlPr defaultSize="0" autoLine="0" autoPict="0">
                <anchor moveWithCells="1">
                  <from>
                    <xdr:col>8</xdr:col>
                    <xdr:colOff>0</xdr:colOff>
                    <xdr:row>23</xdr:row>
                    <xdr:rowOff>0</xdr:rowOff>
                  </from>
                  <to>
                    <xdr:col>9</xdr:col>
                    <xdr:colOff>9525</xdr:colOff>
                    <xdr:row>24</xdr:row>
                    <xdr:rowOff>9525</xdr:rowOff>
                  </to>
                </anchor>
              </controlPr>
            </control>
          </mc:Choice>
        </mc:AlternateContent>
        <mc:AlternateContent xmlns:mc="http://schemas.openxmlformats.org/markup-compatibility/2006">
          <mc:Choice Requires="x14">
            <control shapeId="15566" r:id="rId123" name="Drop Down 206">
              <controlPr defaultSize="0" autoLine="0" autoPict="0">
                <anchor moveWithCells="1">
                  <from>
                    <xdr:col>8</xdr:col>
                    <xdr:colOff>0</xdr:colOff>
                    <xdr:row>24</xdr:row>
                    <xdr:rowOff>0</xdr:rowOff>
                  </from>
                  <to>
                    <xdr:col>9</xdr:col>
                    <xdr:colOff>9525</xdr:colOff>
                    <xdr:row>25</xdr:row>
                    <xdr:rowOff>9525</xdr:rowOff>
                  </to>
                </anchor>
              </controlPr>
            </control>
          </mc:Choice>
        </mc:AlternateContent>
        <mc:AlternateContent xmlns:mc="http://schemas.openxmlformats.org/markup-compatibility/2006">
          <mc:Choice Requires="x14">
            <control shapeId="15567" r:id="rId124" name="Drop Down 207">
              <controlPr defaultSize="0" autoLine="0" autoPict="0">
                <anchor moveWithCells="1">
                  <from>
                    <xdr:col>8</xdr:col>
                    <xdr:colOff>0</xdr:colOff>
                    <xdr:row>25</xdr:row>
                    <xdr:rowOff>0</xdr:rowOff>
                  </from>
                  <to>
                    <xdr:col>9</xdr:col>
                    <xdr:colOff>9525</xdr:colOff>
                    <xdr:row>26</xdr:row>
                    <xdr:rowOff>9525</xdr:rowOff>
                  </to>
                </anchor>
              </controlPr>
            </control>
          </mc:Choice>
        </mc:AlternateContent>
        <mc:AlternateContent xmlns:mc="http://schemas.openxmlformats.org/markup-compatibility/2006">
          <mc:Choice Requires="x14">
            <control shapeId="15568" r:id="rId125" name="Drop Down 208">
              <controlPr defaultSize="0" autoLine="0" autoPict="0">
                <anchor moveWithCells="1">
                  <from>
                    <xdr:col>8</xdr:col>
                    <xdr:colOff>0</xdr:colOff>
                    <xdr:row>26</xdr:row>
                    <xdr:rowOff>0</xdr:rowOff>
                  </from>
                  <to>
                    <xdr:col>9</xdr:col>
                    <xdr:colOff>9525</xdr:colOff>
                    <xdr:row>27</xdr:row>
                    <xdr:rowOff>9525</xdr:rowOff>
                  </to>
                </anchor>
              </controlPr>
            </control>
          </mc:Choice>
        </mc:AlternateContent>
        <mc:AlternateContent xmlns:mc="http://schemas.openxmlformats.org/markup-compatibility/2006">
          <mc:Choice Requires="x14">
            <control shapeId="15569" r:id="rId126" name="Drop Down 209">
              <controlPr defaultSize="0" autoLine="0" autoPict="0">
                <anchor moveWithCells="1">
                  <from>
                    <xdr:col>10</xdr:col>
                    <xdr:colOff>19050</xdr:colOff>
                    <xdr:row>5</xdr:row>
                    <xdr:rowOff>0</xdr:rowOff>
                  </from>
                  <to>
                    <xdr:col>11</xdr:col>
                    <xdr:colOff>9525</xdr:colOff>
                    <xdr:row>6</xdr:row>
                    <xdr:rowOff>19050</xdr:rowOff>
                  </to>
                </anchor>
              </controlPr>
            </control>
          </mc:Choice>
        </mc:AlternateContent>
        <mc:AlternateContent xmlns:mc="http://schemas.openxmlformats.org/markup-compatibility/2006">
          <mc:Choice Requires="x14">
            <control shapeId="15570" r:id="rId127" name="Drop Down 210">
              <controlPr defaultSize="0" autoLine="0" autoPict="0">
                <anchor moveWithCells="1">
                  <from>
                    <xdr:col>10</xdr:col>
                    <xdr:colOff>19050</xdr:colOff>
                    <xdr:row>4</xdr:row>
                    <xdr:rowOff>0</xdr:rowOff>
                  </from>
                  <to>
                    <xdr:col>11</xdr:col>
                    <xdr:colOff>9525</xdr:colOff>
                    <xdr:row>5</xdr:row>
                    <xdr:rowOff>19050</xdr:rowOff>
                  </to>
                </anchor>
              </controlPr>
            </control>
          </mc:Choice>
        </mc:AlternateContent>
        <mc:AlternateContent xmlns:mc="http://schemas.openxmlformats.org/markup-compatibility/2006">
          <mc:Choice Requires="x14">
            <control shapeId="15571" r:id="rId128" name="Drop Down 211">
              <controlPr defaultSize="0" autoLine="0" autoPict="0">
                <anchor moveWithCells="1">
                  <from>
                    <xdr:col>10</xdr:col>
                    <xdr:colOff>19050</xdr:colOff>
                    <xdr:row>6</xdr:row>
                    <xdr:rowOff>0</xdr:rowOff>
                  </from>
                  <to>
                    <xdr:col>11</xdr:col>
                    <xdr:colOff>9525</xdr:colOff>
                    <xdr:row>7</xdr:row>
                    <xdr:rowOff>19050</xdr:rowOff>
                  </to>
                </anchor>
              </controlPr>
            </control>
          </mc:Choice>
        </mc:AlternateContent>
        <mc:AlternateContent xmlns:mc="http://schemas.openxmlformats.org/markup-compatibility/2006">
          <mc:Choice Requires="x14">
            <control shapeId="15572" r:id="rId129" name="Drop Down 212">
              <controlPr defaultSize="0" autoLine="0" autoPict="0">
                <anchor moveWithCells="1">
                  <from>
                    <xdr:col>10</xdr:col>
                    <xdr:colOff>19050</xdr:colOff>
                    <xdr:row>7</xdr:row>
                    <xdr:rowOff>0</xdr:rowOff>
                  </from>
                  <to>
                    <xdr:col>11</xdr:col>
                    <xdr:colOff>9525</xdr:colOff>
                    <xdr:row>8</xdr:row>
                    <xdr:rowOff>19050</xdr:rowOff>
                  </to>
                </anchor>
              </controlPr>
            </control>
          </mc:Choice>
        </mc:AlternateContent>
        <mc:AlternateContent xmlns:mc="http://schemas.openxmlformats.org/markup-compatibility/2006">
          <mc:Choice Requires="x14">
            <control shapeId="15573" r:id="rId130" name="Drop Down 213">
              <controlPr defaultSize="0" autoLine="0" autoPict="0">
                <anchor moveWithCells="1">
                  <from>
                    <xdr:col>10</xdr:col>
                    <xdr:colOff>19050</xdr:colOff>
                    <xdr:row>8</xdr:row>
                    <xdr:rowOff>0</xdr:rowOff>
                  </from>
                  <to>
                    <xdr:col>11</xdr:col>
                    <xdr:colOff>9525</xdr:colOff>
                    <xdr:row>9</xdr:row>
                    <xdr:rowOff>19050</xdr:rowOff>
                  </to>
                </anchor>
              </controlPr>
            </control>
          </mc:Choice>
        </mc:AlternateContent>
        <mc:AlternateContent xmlns:mc="http://schemas.openxmlformats.org/markup-compatibility/2006">
          <mc:Choice Requires="x14">
            <control shapeId="15574" r:id="rId131" name="Drop Down 214">
              <controlPr defaultSize="0" autoLine="0" autoPict="0">
                <anchor moveWithCells="1">
                  <from>
                    <xdr:col>10</xdr:col>
                    <xdr:colOff>19050</xdr:colOff>
                    <xdr:row>9</xdr:row>
                    <xdr:rowOff>0</xdr:rowOff>
                  </from>
                  <to>
                    <xdr:col>11</xdr:col>
                    <xdr:colOff>9525</xdr:colOff>
                    <xdr:row>10</xdr:row>
                    <xdr:rowOff>19050</xdr:rowOff>
                  </to>
                </anchor>
              </controlPr>
            </control>
          </mc:Choice>
        </mc:AlternateContent>
        <mc:AlternateContent xmlns:mc="http://schemas.openxmlformats.org/markup-compatibility/2006">
          <mc:Choice Requires="x14">
            <control shapeId="15575" r:id="rId132" name="Drop Down 215">
              <controlPr defaultSize="0" autoLine="0" autoPict="0">
                <anchor moveWithCells="1">
                  <from>
                    <xdr:col>10</xdr:col>
                    <xdr:colOff>19050</xdr:colOff>
                    <xdr:row>10</xdr:row>
                    <xdr:rowOff>0</xdr:rowOff>
                  </from>
                  <to>
                    <xdr:col>11</xdr:col>
                    <xdr:colOff>9525</xdr:colOff>
                    <xdr:row>11</xdr:row>
                    <xdr:rowOff>19050</xdr:rowOff>
                  </to>
                </anchor>
              </controlPr>
            </control>
          </mc:Choice>
        </mc:AlternateContent>
        <mc:AlternateContent xmlns:mc="http://schemas.openxmlformats.org/markup-compatibility/2006">
          <mc:Choice Requires="x14">
            <control shapeId="15576" r:id="rId133" name="Drop Down 216">
              <controlPr defaultSize="0" autoLine="0" autoPict="0">
                <anchor moveWithCells="1">
                  <from>
                    <xdr:col>10</xdr:col>
                    <xdr:colOff>19050</xdr:colOff>
                    <xdr:row>11</xdr:row>
                    <xdr:rowOff>0</xdr:rowOff>
                  </from>
                  <to>
                    <xdr:col>11</xdr:col>
                    <xdr:colOff>9525</xdr:colOff>
                    <xdr:row>12</xdr:row>
                    <xdr:rowOff>19050</xdr:rowOff>
                  </to>
                </anchor>
              </controlPr>
            </control>
          </mc:Choice>
        </mc:AlternateContent>
        <mc:AlternateContent xmlns:mc="http://schemas.openxmlformats.org/markup-compatibility/2006">
          <mc:Choice Requires="x14">
            <control shapeId="15577" r:id="rId134" name="Drop Down 217">
              <controlPr defaultSize="0" autoLine="0" autoPict="0">
                <anchor moveWithCells="1">
                  <from>
                    <xdr:col>10</xdr:col>
                    <xdr:colOff>19050</xdr:colOff>
                    <xdr:row>12</xdr:row>
                    <xdr:rowOff>0</xdr:rowOff>
                  </from>
                  <to>
                    <xdr:col>11</xdr:col>
                    <xdr:colOff>9525</xdr:colOff>
                    <xdr:row>13</xdr:row>
                    <xdr:rowOff>19050</xdr:rowOff>
                  </to>
                </anchor>
              </controlPr>
            </control>
          </mc:Choice>
        </mc:AlternateContent>
        <mc:AlternateContent xmlns:mc="http://schemas.openxmlformats.org/markup-compatibility/2006">
          <mc:Choice Requires="x14">
            <control shapeId="15578" r:id="rId135" name="Drop Down 218">
              <controlPr defaultSize="0" autoLine="0" autoPict="0">
                <anchor moveWithCells="1">
                  <from>
                    <xdr:col>10</xdr:col>
                    <xdr:colOff>19050</xdr:colOff>
                    <xdr:row>13</xdr:row>
                    <xdr:rowOff>0</xdr:rowOff>
                  </from>
                  <to>
                    <xdr:col>11</xdr:col>
                    <xdr:colOff>9525</xdr:colOff>
                    <xdr:row>14</xdr:row>
                    <xdr:rowOff>19050</xdr:rowOff>
                  </to>
                </anchor>
              </controlPr>
            </control>
          </mc:Choice>
        </mc:AlternateContent>
        <mc:AlternateContent xmlns:mc="http://schemas.openxmlformats.org/markup-compatibility/2006">
          <mc:Choice Requires="x14">
            <control shapeId="15579" r:id="rId136" name="Drop Down 219">
              <controlPr defaultSize="0" autoLine="0" autoPict="0">
                <anchor moveWithCells="1">
                  <from>
                    <xdr:col>10</xdr:col>
                    <xdr:colOff>19050</xdr:colOff>
                    <xdr:row>14</xdr:row>
                    <xdr:rowOff>0</xdr:rowOff>
                  </from>
                  <to>
                    <xdr:col>11</xdr:col>
                    <xdr:colOff>9525</xdr:colOff>
                    <xdr:row>15</xdr:row>
                    <xdr:rowOff>19050</xdr:rowOff>
                  </to>
                </anchor>
              </controlPr>
            </control>
          </mc:Choice>
        </mc:AlternateContent>
        <mc:AlternateContent xmlns:mc="http://schemas.openxmlformats.org/markup-compatibility/2006">
          <mc:Choice Requires="x14">
            <control shapeId="15580" r:id="rId137" name="Drop Down 220">
              <controlPr defaultSize="0" autoLine="0" autoPict="0">
                <anchor moveWithCells="1">
                  <from>
                    <xdr:col>10</xdr:col>
                    <xdr:colOff>19050</xdr:colOff>
                    <xdr:row>15</xdr:row>
                    <xdr:rowOff>0</xdr:rowOff>
                  </from>
                  <to>
                    <xdr:col>11</xdr:col>
                    <xdr:colOff>9525</xdr:colOff>
                    <xdr:row>16</xdr:row>
                    <xdr:rowOff>19050</xdr:rowOff>
                  </to>
                </anchor>
              </controlPr>
            </control>
          </mc:Choice>
        </mc:AlternateContent>
        <mc:AlternateContent xmlns:mc="http://schemas.openxmlformats.org/markup-compatibility/2006">
          <mc:Choice Requires="x14">
            <control shapeId="15581" r:id="rId138" name="Drop Down 221">
              <controlPr defaultSize="0" autoLine="0" autoPict="0">
                <anchor moveWithCells="1">
                  <from>
                    <xdr:col>10</xdr:col>
                    <xdr:colOff>19050</xdr:colOff>
                    <xdr:row>16</xdr:row>
                    <xdr:rowOff>0</xdr:rowOff>
                  </from>
                  <to>
                    <xdr:col>11</xdr:col>
                    <xdr:colOff>9525</xdr:colOff>
                    <xdr:row>17</xdr:row>
                    <xdr:rowOff>19050</xdr:rowOff>
                  </to>
                </anchor>
              </controlPr>
            </control>
          </mc:Choice>
        </mc:AlternateContent>
        <mc:AlternateContent xmlns:mc="http://schemas.openxmlformats.org/markup-compatibility/2006">
          <mc:Choice Requires="x14">
            <control shapeId="15582" r:id="rId139" name="Drop Down 222">
              <controlPr defaultSize="0" autoLine="0" autoPict="0">
                <anchor moveWithCells="1">
                  <from>
                    <xdr:col>10</xdr:col>
                    <xdr:colOff>19050</xdr:colOff>
                    <xdr:row>17</xdr:row>
                    <xdr:rowOff>0</xdr:rowOff>
                  </from>
                  <to>
                    <xdr:col>11</xdr:col>
                    <xdr:colOff>9525</xdr:colOff>
                    <xdr:row>18</xdr:row>
                    <xdr:rowOff>19050</xdr:rowOff>
                  </to>
                </anchor>
              </controlPr>
            </control>
          </mc:Choice>
        </mc:AlternateContent>
        <mc:AlternateContent xmlns:mc="http://schemas.openxmlformats.org/markup-compatibility/2006">
          <mc:Choice Requires="x14">
            <control shapeId="15583" r:id="rId140" name="Drop Down 223">
              <controlPr defaultSize="0" autoLine="0" autoPict="0">
                <anchor moveWithCells="1">
                  <from>
                    <xdr:col>10</xdr:col>
                    <xdr:colOff>19050</xdr:colOff>
                    <xdr:row>18</xdr:row>
                    <xdr:rowOff>0</xdr:rowOff>
                  </from>
                  <to>
                    <xdr:col>11</xdr:col>
                    <xdr:colOff>9525</xdr:colOff>
                    <xdr:row>19</xdr:row>
                    <xdr:rowOff>19050</xdr:rowOff>
                  </to>
                </anchor>
              </controlPr>
            </control>
          </mc:Choice>
        </mc:AlternateContent>
        <mc:AlternateContent xmlns:mc="http://schemas.openxmlformats.org/markup-compatibility/2006">
          <mc:Choice Requires="x14">
            <control shapeId="15584" r:id="rId141" name="Drop Down 224">
              <controlPr defaultSize="0" autoLine="0" autoPict="0">
                <anchor moveWithCells="1">
                  <from>
                    <xdr:col>10</xdr:col>
                    <xdr:colOff>19050</xdr:colOff>
                    <xdr:row>19</xdr:row>
                    <xdr:rowOff>0</xdr:rowOff>
                  </from>
                  <to>
                    <xdr:col>11</xdr:col>
                    <xdr:colOff>9525</xdr:colOff>
                    <xdr:row>20</xdr:row>
                    <xdr:rowOff>19050</xdr:rowOff>
                  </to>
                </anchor>
              </controlPr>
            </control>
          </mc:Choice>
        </mc:AlternateContent>
        <mc:AlternateContent xmlns:mc="http://schemas.openxmlformats.org/markup-compatibility/2006">
          <mc:Choice Requires="x14">
            <control shapeId="15585" r:id="rId142" name="Drop Down 225">
              <controlPr defaultSize="0" autoLine="0" autoPict="0">
                <anchor moveWithCells="1">
                  <from>
                    <xdr:col>10</xdr:col>
                    <xdr:colOff>19050</xdr:colOff>
                    <xdr:row>20</xdr:row>
                    <xdr:rowOff>0</xdr:rowOff>
                  </from>
                  <to>
                    <xdr:col>11</xdr:col>
                    <xdr:colOff>9525</xdr:colOff>
                    <xdr:row>21</xdr:row>
                    <xdr:rowOff>19050</xdr:rowOff>
                  </to>
                </anchor>
              </controlPr>
            </control>
          </mc:Choice>
        </mc:AlternateContent>
        <mc:AlternateContent xmlns:mc="http://schemas.openxmlformats.org/markup-compatibility/2006">
          <mc:Choice Requires="x14">
            <control shapeId="15586" r:id="rId143" name="Drop Down 226">
              <controlPr defaultSize="0" autoLine="0" autoPict="0">
                <anchor moveWithCells="1">
                  <from>
                    <xdr:col>10</xdr:col>
                    <xdr:colOff>19050</xdr:colOff>
                    <xdr:row>21</xdr:row>
                    <xdr:rowOff>0</xdr:rowOff>
                  </from>
                  <to>
                    <xdr:col>11</xdr:col>
                    <xdr:colOff>9525</xdr:colOff>
                    <xdr:row>22</xdr:row>
                    <xdr:rowOff>19050</xdr:rowOff>
                  </to>
                </anchor>
              </controlPr>
            </control>
          </mc:Choice>
        </mc:AlternateContent>
        <mc:AlternateContent xmlns:mc="http://schemas.openxmlformats.org/markup-compatibility/2006">
          <mc:Choice Requires="x14">
            <control shapeId="15587" r:id="rId144" name="Drop Down 227">
              <controlPr defaultSize="0" autoLine="0" autoPict="0">
                <anchor moveWithCells="1">
                  <from>
                    <xdr:col>10</xdr:col>
                    <xdr:colOff>19050</xdr:colOff>
                    <xdr:row>22</xdr:row>
                    <xdr:rowOff>0</xdr:rowOff>
                  </from>
                  <to>
                    <xdr:col>11</xdr:col>
                    <xdr:colOff>9525</xdr:colOff>
                    <xdr:row>23</xdr:row>
                    <xdr:rowOff>19050</xdr:rowOff>
                  </to>
                </anchor>
              </controlPr>
            </control>
          </mc:Choice>
        </mc:AlternateContent>
        <mc:AlternateContent xmlns:mc="http://schemas.openxmlformats.org/markup-compatibility/2006">
          <mc:Choice Requires="x14">
            <control shapeId="15588" r:id="rId145" name="Drop Down 228">
              <controlPr defaultSize="0" autoLine="0" autoPict="0">
                <anchor moveWithCells="1">
                  <from>
                    <xdr:col>10</xdr:col>
                    <xdr:colOff>19050</xdr:colOff>
                    <xdr:row>23</xdr:row>
                    <xdr:rowOff>0</xdr:rowOff>
                  </from>
                  <to>
                    <xdr:col>11</xdr:col>
                    <xdr:colOff>9525</xdr:colOff>
                    <xdr:row>24</xdr:row>
                    <xdr:rowOff>19050</xdr:rowOff>
                  </to>
                </anchor>
              </controlPr>
            </control>
          </mc:Choice>
        </mc:AlternateContent>
        <mc:AlternateContent xmlns:mc="http://schemas.openxmlformats.org/markup-compatibility/2006">
          <mc:Choice Requires="x14">
            <control shapeId="15589" r:id="rId146" name="Drop Down 229">
              <controlPr defaultSize="0" autoLine="0" autoPict="0">
                <anchor moveWithCells="1">
                  <from>
                    <xdr:col>10</xdr:col>
                    <xdr:colOff>19050</xdr:colOff>
                    <xdr:row>24</xdr:row>
                    <xdr:rowOff>0</xdr:rowOff>
                  </from>
                  <to>
                    <xdr:col>11</xdr:col>
                    <xdr:colOff>9525</xdr:colOff>
                    <xdr:row>25</xdr:row>
                    <xdr:rowOff>19050</xdr:rowOff>
                  </to>
                </anchor>
              </controlPr>
            </control>
          </mc:Choice>
        </mc:AlternateContent>
        <mc:AlternateContent xmlns:mc="http://schemas.openxmlformats.org/markup-compatibility/2006">
          <mc:Choice Requires="x14">
            <control shapeId="15590" r:id="rId147" name="Drop Down 230">
              <controlPr defaultSize="0" autoLine="0" autoPict="0">
                <anchor moveWithCells="1">
                  <from>
                    <xdr:col>10</xdr:col>
                    <xdr:colOff>19050</xdr:colOff>
                    <xdr:row>25</xdr:row>
                    <xdr:rowOff>0</xdr:rowOff>
                  </from>
                  <to>
                    <xdr:col>11</xdr:col>
                    <xdr:colOff>9525</xdr:colOff>
                    <xdr:row>26</xdr:row>
                    <xdr:rowOff>19050</xdr:rowOff>
                  </to>
                </anchor>
              </controlPr>
            </control>
          </mc:Choice>
        </mc:AlternateContent>
        <mc:AlternateContent xmlns:mc="http://schemas.openxmlformats.org/markup-compatibility/2006">
          <mc:Choice Requires="x14">
            <control shapeId="15591" r:id="rId148" name="Drop Down 231">
              <controlPr defaultSize="0" autoLine="0" autoPict="0">
                <anchor moveWithCells="1">
                  <from>
                    <xdr:col>10</xdr:col>
                    <xdr:colOff>19050</xdr:colOff>
                    <xdr:row>26</xdr:row>
                    <xdr:rowOff>0</xdr:rowOff>
                  </from>
                  <to>
                    <xdr:col>11</xdr:col>
                    <xdr:colOff>9525</xdr:colOff>
                    <xdr:row>27</xdr:row>
                    <xdr:rowOff>19050</xdr:rowOff>
                  </to>
                </anchor>
              </controlPr>
            </control>
          </mc:Choice>
        </mc:AlternateContent>
        <mc:AlternateContent xmlns:mc="http://schemas.openxmlformats.org/markup-compatibility/2006">
          <mc:Choice Requires="x14">
            <control shapeId="15592" r:id="rId149" name="Drop Down 232">
              <controlPr defaultSize="0" autoLine="0" autoPict="0">
                <anchor moveWithCells="1">
                  <from>
                    <xdr:col>11</xdr:col>
                    <xdr:colOff>19050</xdr:colOff>
                    <xdr:row>4</xdr:row>
                    <xdr:rowOff>0</xdr:rowOff>
                  </from>
                  <to>
                    <xdr:col>12</xdr:col>
                    <xdr:colOff>0</xdr:colOff>
                    <xdr:row>5</xdr:row>
                    <xdr:rowOff>9525</xdr:rowOff>
                  </to>
                </anchor>
              </controlPr>
            </control>
          </mc:Choice>
        </mc:AlternateContent>
        <mc:AlternateContent xmlns:mc="http://schemas.openxmlformats.org/markup-compatibility/2006">
          <mc:Choice Requires="x14">
            <control shapeId="15593" r:id="rId150" name="Drop Down 233">
              <controlPr defaultSize="0" autoLine="0" autoPict="0">
                <anchor moveWithCells="1">
                  <from>
                    <xdr:col>11</xdr:col>
                    <xdr:colOff>19050</xdr:colOff>
                    <xdr:row>5</xdr:row>
                    <xdr:rowOff>0</xdr:rowOff>
                  </from>
                  <to>
                    <xdr:col>12</xdr:col>
                    <xdr:colOff>0</xdr:colOff>
                    <xdr:row>6</xdr:row>
                    <xdr:rowOff>9525</xdr:rowOff>
                  </to>
                </anchor>
              </controlPr>
            </control>
          </mc:Choice>
        </mc:AlternateContent>
        <mc:AlternateContent xmlns:mc="http://schemas.openxmlformats.org/markup-compatibility/2006">
          <mc:Choice Requires="x14">
            <control shapeId="15594" r:id="rId151" name="Drop Down 234">
              <controlPr defaultSize="0" autoLine="0" autoPict="0">
                <anchor moveWithCells="1">
                  <from>
                    <xdr:col>11</xdr:col>
                    <xdr:colOff>19050</xdr:colOff>
                    <xdr:row>6</xdr:row>
                    <xdr:rowOff>0</xdr:rowOff>
                  </from>
                  <to>
                    <xdr:col>12</xdr:col>
                    <xdr:colOff>0</xdr:colOff>
                    <xdr:row>7</xdr:row>
                    <xdr:rowOff>9525</xdr:rowOff>
                  </to>
                </anchor>
              </controlPr>
            </control>
          </mc:Choice>
        </mc:AlternateContent>
        <mc:AlternateContent xmlns:mc="http://schemas.openxmlformats.org/markup-compatibility/2006">
          <mc:Choice Requires="x14">
            <control shapeId="15595" r:id="rId152" name="Drop Down 235">
              <controlPr defaultSize="0" autoLine="0" autoPict="0">
                <anchor moveWithCells="1">
                  <from>
                    <xdr:col>11</xdr:col>
                    <xdr:colOff>19050</xdr:colOff>
                    <xdr:row>7</xdr:row>
                    <xdr:rowOff>0</xdr:rowOff>
                  </from>
                  <to>
                    <xdr:col>12</xdr:col>
                    <xdr:colOff>0</xdr:colOff>
                    <xdr:row>8</xdr:row>
                    <xdr:rowOff>9525</xdr:rowOff>
                  </to>
                </anchor>
              </controlPr>
            </control>
          </mc:Choice>
        </mc:AlternateContent>
        <mc:AlternateContent xmlns:mc="http://schemas.openxmlformats.org/markup-compatibility/2006">
          <mc:Choice Requires="x14">
            <control shapeId="15596" r:id="rId153" name="Drop Down 236">
              <controlPr defaultSize="0" autoLine="0" autoPict="0">
                <anchor moveWithCells="1">
                  <from>
                    <xdr:col>11</xdr:col>
                    <xdr:colOff>19050</xdr:colOff>
                    <xdr:row>8</xdr:row>
                    <xdr:rowOff>0</xdr:rowOff>
                  </from>
                  <to>
                    <xdr:col>12</xdr:col>
                    <xdr:colOff>0</xdr:colOff>
                    <xdr:row>9</xdr:row>
                    <xdr:rowOff>9525</xdr:rowOff>
                  </to>
                </anchor>
              </controlPr>
            </control>
          </mc:Choice>
        </mc:AlternateContent>
        <mc:AlternateContent xmlns:mc="http://schemas.openxmlformats.org/markup-compatibility/2006">
          <mc:Choice Requires="x14">
            <control shapeId="15597" r:id="rId154" name="Drop Down 237">
              <controlPr defaultSize="0" autoLine="0" autoPict="0">
                <anchor moveWithCells="1">
                  <from>
                    <xdr:col>11</xdr:col>
                    <xdr:colOff>19050</xdr:colOff>
                    <xdr:row>9</xdr:row>
                    <xdr:rowOff>0</xdr:rowOff>
                  </from>
                  <to>
                    <xdr:col>12</xdr:col>
                    <xdr:colOff>0</xdr:colOff>
                    <xdr:row>10</xdr:row>
                    <xdr:rowOff>9525</xdr:rowOff>
                  </to>
                </anchor>
              </controlPr>
            </control>
          </mc:Choice>
        </mc:AlternateContent>
        <mc:AlternateContent xmlns:mc="http://schemas.openxmlformats.org/markup-compatibility/2006">
          <mc:Choice Requires="x14">
            <control shapeId="15598" r:id="rId155" name="Drop Down 238">
              <controlPr defaultSize="0" autoLine="0" autoPict="0">
                <anchor moveWithCells="1">
                  <from>
                    <xdr:col>11</xdr:col>
                    <xdr:colOff>19050</xdr:colOff>
                    <xdr:row>10</xdr:row>
                    <xdr:rowOff>0</xdr:rowOff>
                  </from>
                  <to>
                    <xdr:col>12</xdr:col>
                    <xdr:colOff>0</xdr:colOff>
                    <xdr:row>11</xdr:row>
                    <xdr:rowOff>9525</xdr:rowOff>
                  </to>
                </anchor>
              </controlPr>
            </control>
          </mc:Choice>
        </mc:AlternateContent>
        <mc:AlternateContent xmlns:mc="http://schemas.openxmlformats.org/markup-compatibility/2006">
          <mc:Choice Requires="x14">
            <control shapeId="15599" r:id="rId156" name="Drop Down 239">
              <controlPr defaultSize="0" autoLine="0" autoPict="0">
                <anchor moveWithCells="1">
                  <from>
                    <xdr:col>11</xdr:col>
                    <xdr:colOff>19050</xdr:colOff>
                    <xdr:row>11</xdr:row>
                    <xdr:rowOff>0</xdr:rowOff>
                  </from>
                  <to>
                    <xdr:col>12</xdr:col>
                    <xdr:colOff>0</xdr:colOff>
                    <xdr:row>12</xdr:row>
                    <xdr:rowOff>9525</xdr:rowOff>
                  </to>
                </anchor>
              </controlPr>
            </control>
          </mc:Choice>
        </mc:AlternateContent>
        <mc:AlternateContent xmlns:mc="http://schemas.openxmlformats.org/markup-compatibility/2006">
          <mc:Choice Requires="x14">
            <control shapeId="15600" r:id="rId157" name="Drop Down 240">
              <controlPr defaultSize="0" autoLine="0" autoPict="0">
                <anchor moveWithCells="1">
                  <from>
                    <xdr:col>11</xdr:col>
                    <xdr:colOff>19050</xdr:colOff>
                    <xdr:row>12</xdr:row>
                    <xdr:rowOff>0</xdr:rowOff>
                  </from>
                  <to>
                    <xdr:col>12</xdr:col>
                    <xdr:colOff>0</xdr:colOff>
                    <xdr:row>13</xdr:row>
                    <xdr:rowOff>9525</xdr:rowOff>
                  </to>
                </anchor>
              </controlPr>
            </control>
          </mc:Choice>
        </mc:AlternateContent>
        <mc:AlternateContent xmlns:mc="http://schemas.openxmlformats.org/markup-compatibility/2006">
          <mc:Choice Requires="x14">
            <control shapeId="15601" r:id="rId158" name="Drop Down 241">
              <controlPr defaultSize="0" autoLine="0" autoPict="0">
                <anchor moveWithCells="1">
                  <from>
                    <xdr:col>11</xdr:col>
                    <xdr:colOff>19050</xdr:colOff>
                    <xdr:row>13</xdr:row>
                    <xdr:rowOff>0</xdr:rowOff>
                  </from>
                  <to>
                    <xdr:col>12</xdr:col>
                    <xdr:colOff>0</xdr:colOff>
                    <xdr:row>14</xdr:row>
                    <xdr:rowOff>9525</xdr:rowOff>
                  </to>
                </anchor>
              </controlPr>
            </control>
          </mc:Choice>
        </mc:AlternateContent>
        <mc:AlternateContent xmlns:mc="http://schemas.openxmlformats.org/markup-compatibility/2006">
          <mc:Choice Requires="x14">
            <control shapeId="15602" r:id="rId159" name="Drop Down 242">
              <controlPr defaultSize="0" autoLine="0" autoPict="0">
                <anchor moveWithCells="1">
                  <from>
                    <xdr:col>11</xdr:col>
                    <xdr:colOff>19050</xdr:colOff>
                    <xdr:row>14</xdr:row>
                    <xdr:rowOff>0</xdr:rowOff>
                  </from>
                  <to>
                    <xdr:col>12</xdr:col>
                    <xdr:colOff>0</xdr:colOff>
                    <xdr:row>15</xdr:row>
                    <xdr:rowOff>9525</xdr:rowOff>
                  </to>
                </anchor>
              </controlPr>
            </control>
          </mc:Choice>
        </mc:AlternateContent>
        <mc:AlternateContent xmlns:mc="http://schemas.openxmlformats.org/markup-compatibility/2006">
          <mc:Choice Requires="x14">
            <control shapeId="15603" r:id="rId160" name="Drop Down 243">
              <controlPr defaultSize="0" autoLine="0" autoPict="0">
                <anchor moveWithCells="1">
                  <from>
                    <xdr:col>11</xdr:col>
                    <xdr:colOff>19050</xdr:colOff>
                    <xdr:row>15</xdr:row>
                    <xdr:rowOff>0</xdr:rowOff>
                  </from>
                  <to>
                    <xdr:col>12</xdr:col>
                    <xdr:colOff>0</xdr:colOff>
                    <xdr:row>16</xdr:row>
                    <xdr:rowOff>9525</xdr:rowOff>
                  </to>
                </anchor>
              </controlPr>
            </control>
          </mc:Choice>
        </mc:AlternateContent>
        <mc:AlternateContent xmlns:mc="http://schemas.openxmlformats.org/markup-compatibility/2006">
          <mc:Choice Requires="x14">
            <control shapeId="15604" r:id="rId161" name="Drop Down 244">
              <controlPr defaultSize="0" autoLine="0" autoPict="0">
                <anchor moveWithCells="1">
                  <from>
                    <xdr:col>11</xdr:col>
                    <xdr:colOff>19050</xdr:colOff>
                    <xdr:row>16</xdr:row>
                    <xdr:rowOff>0</xdr:rowOff>
                  </from>
                  <to>
                    <xdr:col>12</xdr:col>
                    <xdr:colOff>0</xdr:colOff>
                    <xdr:row>17</xdr:row>
                    <xdr:rowOff>9525</xdr:rowOff>
                  </to>
                </anchor>
              </controlPr>
            </control>
          </mc:Choice>
        </mc:AlternateContent>
        <mc:AlternateContent xmlns:mc="http://schemas.openxmlformats.org/markup-compatibility/2006">
          <mc:Choice Requires="x14">
            <control shapeId="15605" r:id="rId162" name="Drop Down 245">
              <controlPr defaultSize="0" autoLine="0" autoPict="0">
                <anchor moveWithCells="1">
                  <from>
                    <xdr:col>11</xdr:col>
                    <xdr:colOff>19050</xdr:colOff>
                    <xdr:row>17</xdr:row>
                    <xdr:rowOff>0</xdr:rowOff>
                  </from>
                  <to>
                    <xdr:col>12</xdr:col>
                    <xdr:colOff>0</xdr:colOff>
                    <xdr:row>18</xdr:row>
                    <xdr:rowOff>9525</xdr:rowOff>
                  </to>
                </anchor>
              </controlPr>
            </control>
          </mc:Choice>
        </mc:AlternateContent>
        <mc:AlternateContent xmlns:mc="http://schemas.openxmlformats.org/markup-compatibility/2006">
          <mc:Choice Requires="x14">
            <control shapeId="15606" r:id="rId163" name="Drop Down 246">
              <controlPr defaultSize="0" autoLine="0" autoPict="0">
                <anchor moveWithCells="1">
                  <from>
                    <xdr:col>11</xdr:col>
                    <xdr:colOff>19050</xdr:colOff>
                    <xdr:row>18</xdr:row>
                    <xdr:rowOff>0</xdr:rowOff>
                  </from>
                  <to>
                    <xdr:col>12</xdr:col>
                    <xdr:colOff>0</xdr:colOff>
                    <xdr:row>19</xdr:row>
                    <xdr:rowOff>9525</xdr:rowOff>
                  </to>
                </anchor>
              </controlPr>
            </control>
          </mc:Choice>
        </mc:AlternateContent>
        <mc:AlternateContent xmlns:mc="http://schemas.openxmlformats.org/markup-compatibility/2006">
          <mc:Choice Requires="x14">
            <control shapeId="15607" r:id="rId164" name="Drop Down 247">
              <controlPr defaultSize="0" autoLine="0" autoPict="0">
                <anchor moveWithCells="1">
                  <from>
                    <xdr:col>11</xdr:col>
                    <xdr:colOff>19050</xdr:colOff>
                    <xdr:row>19</xdr:row>
                    <xdr:rowOff>0</xdr:rowOff>
                  </from>
                  <to>
                    <xdr:col>12</xdr:col>
                    <xdr:colOff>0</xdr:colOff>
                    <xdr:row>20</xdr:row>
                    <xdr:rowOff>9525</xdr:rowOff>
                  </to>
                </anchor>
              </controlPr>
            </control>
          </mc:Choice>
        </mc:AlternateContent>
        <mc:AlternateContent xmlns:mc="http://schemas.openxmlformats.org/markup-compatibility/2006">
          <mc:Choice Requires="x14">
            <control shapeId="15608" r:id="rId165" name="Drop Down 248">
              <controlPr defaultSize="0" autoLine="0" autoPict="0">
                <anchor moveWithCells="1">
                  <from>
                    <xdr:col>11</xdr:col>
                    <xdr:colOff>19050</xdr:colOff>
                    <xdr:row>20</xdr:row>
                    <xdr:rowOff>0</xdr:rowOff>
                  </from>
                  <to>
                    <xdr:col>12</xdr:col>
                    <xdr:colOff>0</xdr:colOff>
                    <xdr:row>21</xdr:row>
                    <xdr:rowOff>9525</xdr:rowOff>
                  </to>
                </anchor>
              </controlPr>
            </control>
          </mc:Choice>
        </mc:AlternateContent>
        <mc:AlternateContent xmlns:mc="http://schemas.openxmlformats.org/markup-compatibility/2006">
          <mc:Choice Requires="x14">
            <control shapeId="15609" r:id="rId166" name="Drop Down 249">
              <controlPr defaultSize="0" autoLine="0" autoPict="0">
                <anchor moveWithCells="1">
                  <from>
                    <xdr:col>11</xdr:col>
                    <xdr:colOff>19050</xdr:colOff>
                    <xdr:row>21</xdr:row>
                    <xdr:rowOff>0</xdr:rowOff>
                  </from>
                  <to>
                    <xdr:col>12</xdr:col>
                    <xdr:colOff>0</xdr:colOff>
                    <xdr:row>22</xdr:row>
                    <xdr:rowOff>9525</xdr:rowOff>
                  </to>
                </anchor>
              </controlPr>
            </control>
          </mc:Choice>
        </mc:AlternateContent>
        <mc:AlternateContent xmlns:mc="http://schemas.openxmlformats.org/markup-compatibility/2006">
          <mc:Choice Requires="x14">
            <control shapeId="15610" r:id="rId167" name="Drop Down 250">
              <controlPr defaultSize="0" autoLine="0" autoPict="0">
                <anchor moveWithCells="1">
                  <from>
                    <xdr:col>11</xdr:col>
                    <xdr:colOff>19050</xdr:colOff>
                    <xdr:row>22</xdr:row>
                    <xdr:rowOff>0</xdr:rowOff>
                  </from>
                  <to>
                    <xdr:col>12</xdr:col>
                    <xdr:colOff>0</xdr:colOff>
                    <xdr:row>23</xdr:row>
                    <xdr:rowOff>9525</xdr:rowOff>
                  </to>
                </anchor>
              </controlPr>
            </control>
          </mc:Choice>
        </mc:AlternateContent>
        <mc:AlternateContent xmlns:mc="http://schemas.openxmlformats.org/markup-compatibility/2006">
          <mc:Choice Requires="x14">
            <control shapeId="15611" r:id="rId168" name="Drop Down 251">
              <controlPr defaultSize="0" autoLine="0" autoPict="0">
                <anchor moveWithCells="1">
                  <from>
                    <xdr:col>11</xdr:col>
                    <xdr:colOff>19050</xdr:colOff>
                    <xdr:row>23</xdr:row>
                    <xdr:rowOff>0</xdr:rowOff>
                  </from>
                  <to>
                    <xdr:col>12</xdr:col>
                    <xdr:colOff>0</xdr:colOff>
                    <xdr:row>24</xdr:row>
                    <xdr:rowOff>9525</xdr:rowOff>
                  </to>
                </anchor>
              </controlPr>
            </control>
          </mc:Choice>
        </mc:AlternateContent>
        <mc:AlternateContent xmlns:mc="http://schemas.openxmlformats.org/markup-compatibility/2006">
          <mc:Choice Requires="x14">
            <control shapeId="15612" r:id="rId169" name="Drop Down 252">
              <controlPr defaultSize="0" autoLine="0" autoPict="0">
                <anchor moveWithCells="1">
                  <from>
                    <xdr:col>11</xdr:col>
                    <xdr:colOff>19050</xdr:colOff>
                    <xdr:row>24</xdr:row>
                    <xdr:rowOff>0</xdr:rowOff>
                  </from>
                  <to>
                    <xdr:col>12</xdr:col>
                    <xdr:colOff>0</xdr:colOff>
                    <xdr:row>25</xdr:row>
                    <xdr:rowOff>9525</xdr:rowOff>
                  </to>
                </anchor>
              </controlPr>
            </control>
          </mc:Choice>
        </mc:AlternateContent>
        <mc:AlternateContent xmlns:mc="http://schemas.openxmlformats.org/markup-compatibility/2006">
          <mc:Choice Requires="x14">
            <control shapeId="15613" r:id="rId170" name="Drop Down 253">
              <controlPr defaultSize="0" autoLine="0" autoPict="0">
                <anchor moveWithCells="1">
                  <from>
                    <xdr:col>11</xdr:col>
                    <xdr:colOff>19050</xdr:colOff>
                    <xdr:row>25</xdr:row>
                    <xdr:rowOff>0</xdr:rowOff>
                  </from>
                  <to>
                    <xdr:col>12</xdr:col>
                    <xdr:colOff>0</xdr:colOff>
                    <xdr:row>26</xdr:row>
                    <xdr:rowOff>9525</xdr:rowOff>
                  </to>
                </anchor>
              </controlPr>
            </control>
          </mc:Choice>
        </mc:AlternateContent>
        <mc:AlternateContent xmlns:mc="http://schemas.openxmlformats.org/markup-compatibility/2006">
          <mc:Choice Requires="x14">
            <control shapeId="15614" r:id="rId171" name="Drop Down 254">
              <controlPr defaultSize="0" autoLine="0" autoPict="0">
                <anchor moveWithCells="1">
                  <from>
                    <xdr:col>11</xdr:col>
                    <xdr:colOff>19050</xdr:colOff>
                    <xdr:row>26</xdr:row>
                    <xdr:rowOff>0</xdr:rowOff>
                  </from>
                  <to>
                    <xdr:col>12</xdr:col>
                    <xdr:colOff>0</xdr:colOff>
                    <xdr:row>27</xdr:row>
                    <xdr:rowOff>9525</xdr:rowOff>
                  </to>
                </anchor>
              </controlPr>
            </control>
          </mc:Choice>
        </mc:AlternateContent>
        <mc:AlternateContent xmlns:mc="http://schemas.openxmlformats.org/markup-compatibility/2006">
          <mc:Choice Requires="x14">
            <control shapeId="15615" r:id="rId172" name="Drop Down 255">
              <controlPr defaultSize="0" autoLine="0" autoPict="0">
                <anchor moveWithCells="1">
                  <from>
                    <xdr:col>12</xdr:col>
                    <xdr:colOff>0</xdr:colOff>
                    <xdr:row>4</xdr:row>
                    <xdr:rowOff>0</xdr:rowOff>
                  </from>
                  <to>
                    <xdr:col>13</xdr:col>
                    <xdr:colOff>9525</xdr:colOff>
                    <xdr:row>5</xdr:row>
                    <xdr:rowOff>9525</xdr:rowOff>
                  </to>
                </anchor>
              </controlPr>
            </control>
          </mc:Choice>
        </mc:AlternateContent>
        <mc:AlternateContent xmlns:mc="http://schemas.openxmlformats.org/markup-compatibility/2006">
          <mc:Choice Requires="x14">
            <control shapeId="15616" r:id="rId173" name="Drop Down 256">
              <controlPr defaultSize="0" autoLine="0" autoPict="0">
                <anchor moveWithCells="1">
                  <from>
                    <xdr:col>12</xdr:col>
                    <xdr:colOff>0</xdr:colOff>
                    <xdr:row>5</xdr:row>
                    <xdr:rowOff>0</xdr:rowOff>
                  </from>
                  <to>
                    <xdr:col>13</xdr:col>
                    <xdr:colOff>9525</xdr:colOff>
                    <xdr:row>6</xdr:row>
                    <xdr:rowOff>9525</xdr:rowOff>
                  </to>
                </anchor>
              </controlPr>
            </control>
          </mc:Choice>
        </mc:AlternateContent>
        <mc:AlternateContent xmlns:mc="http://schemas.openxmlformats.org/markup-compatibility/2006">
          <mc:Choice Requires="x14">
            <control shapeId="15617" r:id="rId174" name="Drop Down 257">
              <controlPr defaultSize="0" autoLine="0" autoPict="0">
                <anchor moveWithCells="1">
                  <from>
                    <xdr:col>12</xdr:col>
                    <xdr:colOff>0</xdr:colOff>
                    <xdr:row>6</xdr:row>
                    <xdr:rowOff>0</xdr:rowOff>
                  </from>
                  <to>
                    <xdr:col>13</xdr:col>
                    <xdr:colOff>9525</xdr:colOff>
                    <xdr:row>7</xdr:row>
                    <xdr:rowOff>9525</xdr:rowOff>
                  </to>
                </anchor>
              </controlPr>
            </control>
          </mc:Choice>
        </mc:AlternateContent>
        <mc:AlternateContent xmlns:mc="http://schemas.openxmlformats.org/markup-compatibility/2006">
          <mc:Choice Requires="x14">
            <control shapeId="15618" r:id="rId175" name="Drop Down 258">
              <controlPr defaultSize="0" autoLine="0" autoPict="0">
                <anchor moveWithCells="1">
                  <from>
                    <xdr:col>12</xdr:col>
                    <xdr:colOff>0</xdr:colOff>
                    <xdr:row>7</xdr:row>
                    <xdr:rowOff>0</xdr:rowOff>
                  </from>
                  <to>
                    <xdr:col>13</xdr:col>
                    <xdr:colOff>9525</xdr:colOff>
                    <xdr:row>8</xdr:row>
                    <xdr:rowOff>9525</xdr:rowOff>
                  </to>
                </anchor>
              </controlPr>
            </control>
          </mc:Choice>
        </mc:AlternateContent>
        <mc:AlternateContent xmlns:mc="http://schemas.openxmlformats.org/markup-compatibility/2006">
          <mc:Choice Requires="x14">
            <control shapeId="15619" r:id="rId176" name="Drop Down 259">
              <controlPr defaultSize="0" autoLine="0" autoPict="0">
                <anchor moveWithCells="1">
                  <from>
                    <xdr:col>12</xdr:col>
                    <xdr:colOff>0</xdr:colOff>
                    <xdr:row>8</xdr:row>
                    <xdr:rowOff>0</xdr:rowOff>
                  </from>
                  <to>
                    <xdr:col>13</xdr:col>
                    <xdr:colOff>9525</xdr:colOff>
                    <xdr:row>9</xdr:row>
                    <xdr:rowOff>9525</xdr:rowOff>
                  </to>
                </anchor>
              </controlPr>
            </control>
          </mc:Choice>
        </mc:AlternateContent>
        <mc:AlternateContent xmlns:mc="http://schemas.openxmlformats.org/markup-compatibility/2006">
          <mc:Choice Requires="x14">
            <control shapeId="15620" r:id="rId177" name="Drop Down 260">
              <controlPr defaultSize="0" autoLine="0" autoPict="0">
                <anchor moveWithCells="1">
                  <from>
                    <xdr:col>12</xdr:col>
                    <xdr:colOff>0</xdr:colOff>
                    <xdr:row>9</xdr:row>
                    <xdr:rowOff>0</xdr:rowOff>
                  </from>
                  <to>
                    <xdr:col>13</xdr:col>
                    <xdr:colOff>9525</xdr:colOff>
                    <xdr:row>10</xdr:row>
                    <xdr:rowOff>9525</xdr:rowOff>
                  </to>
                </anchor>
              </controlPr>
            </control>
          </mc:Choice>
        </mc:AlternateContent>
        <mc:AlternateContent xmlns:mc="http://schemas.openxmlformats.org/markup-compatibility/2006">
          <mc:Choice Requires="x14">
            <control shapeId="15621" r:id="rId178" name="Drop Down 261">
              <controlPr defaultSize="0" autoLine="0" autoPict="0">
                <anchor moveWithCells="1">
                  <from>
                    <xdr:col>12</xdr:col>
                    <xdr:colOff>0</xdr:colOff>
                    <xdr:row>10</xdr:row>
                    <xdr:rowOff>0</xdr:rowOff>
                  </from>
                  <to>
                    <xdr:col>13</xdr:col>
                    <xdr:colOff>9525</xdr:colOff>
                    <xdr:row>11</xdr:row>
                    <xdr:rowOff>9525</xdr:rowOff>
                  </to>
                </anchor>
              </controlPr>
            </control>
          </mc:Choice>
        </mc:AlternateContent>
        <mc:AlternateContent xmlns:mc="http://schemas.openxmlformats.org/markup-compatibility/2006">
          <mc:Choice Requires="x14">
            <control shapeId="15622" r:id="rId179" name="Drop Down 262">
              <controlPr defaultSize="0" autoLine="0" autoPict="0">
                <anchor moveWithCells="1">
                  <from>
                    <xdr:col>12</xdr:col>
                    <xdr:colOff>0</xdr:colOff>
                    <xdr:row>11</xdr:row>
                    <xdr:rowOff>0</xdr:rowOff>
                  </from>
                  <to>
                    <xdr:col>13</xdr:col>
                    <xdr:colOff>9525</xdr:colOff>
                    <xdr:row>12</xdr:row>
                    <xdr:rowOff>9525</xdr:rowOff>
                  </to>
                </anchor>
              </controlPr>
            </control>
          </mc:Choice>
        </mc:AlternateContent>
        <mc:AlternateContent xmlns:mc="http://schemas.openxmlformats.org/markup-compatibility/2006">
          <mc:Choice Requires="x14">
            <control shapeId="15623" r:id="rId180" name="Drop Down 263">
              <controlPr defaultSize="0" autoLine="0" autoPict="0">
                <anchor moveWithCells="1">
                  <from>
                    <xdr:col>12</xdr:col>
                    <xdr:colOff>0</xdr:colOff>
                    <xdr:row>12</xdr:row>
                    <xdr:rowOff>0</xdr:rowOff>
                  </from>
                  <to>
                    <xdr:col>13</xdr:col>
                    <xdr:colOff>9525</xdr:colOff>
                    <xdr:row>13</xdr:row>
                    <xdr:rowOff>9525</xdr:rowOff>
                  </to>
                </anchor>
              </controlPr>
            </control>
          </mc:Choice>
        </mc:AlternateContent>
        <mc:AlternateContent xmlns:mc="http://schemas.openxmlformats.org/markup-compatibility/2006">
          <mc:Choice Requires="x14">
            <control shapeId="15624" r:id="rId181" name="Drop Down 264">
              <controlPr defaultSize="0" autoLine="0" autoPict="0">
                <anchor moveWithCells="1">
                  <from>
                    <xdr:col>12</xdr:col>
                    <xdr:colOff>0</xdr:colOff>
                    <xdr:row>13</xdr:row>
                    <xdr:rowOff>0</xdr:rowOff>
                  </from>
                  <to>
                    <xdr:col>13</xdr:col>
                    <xdr:colOff>9525</xdr:colOff>
                    <xdr:row>14</xdr:row>
                    <xdr:rowOff>9525</xdr:rowOff>
                  </to>
                </anchor>
              </controlPr>
            </control>
          </mc:Choice>
        </mc:AlternateContent>
        <mc:AlternateContent xmlns:mc="http://schemas.openxmlformats.org/markup-compatibility/2006">
          <mc:Choice Requires="x14">
            <control shapeId="15625" r:id="rId182" name="Drop Down 265">
              <controlPr defaultSize="0" autoLine="0" autoPict="0">
                <anchor moveWithCells="1">
                  <from>
                    <xdr:col>12</xdr:col>
                    <xdr:colOff>0</xdr:colOff>
                    <xdr:row>14</xdr:row>
                    <xdr:rowOff>0</xdr:rowOff>
                  </from>
                  <to>
                    <xdr:col>13</xdr:col>
                    <xdr:colOff>9525</xdr:colOff>
                    <xdr:row>15</xdr:row>
                    <xdr:rowOff>9525</xdr:rowOff>
                  </to>
                </anchor>
              </controlPr>
            </control>
          </mc:Choice>
        </mc:AlternateContent>
        <mc:AlternateContent xmlns:mc="http://schemas.openxmlformats.org/markup-compatibility/2006">
          <mc:Choice Requires="x14">
            <control shapeId="15626" r:id="rId183" name="Drop Down 266">
              <controlPr defaultSize="0" autoLine="0" autoPict="0">
                <anchor moveWithCells="1">
                  <from>
                    <xdr:col>12</xdr:col>
                    <xdr:colOff>0</xdr:colOff>
                    <xdr:row>15</xdr:row>
                    <xdr:rowOff>0</xdr:rowOff>
                  </from>
                  <to>
                    <xdr:col>13</xdr:col>
                    <xdr:colOff>9525</xdr:colOff>
                    <xdr:row>16</xdr:row>
                    <xdr:rowOff>9525</xdr:rowOff>
                  </to>
                </anchor>
              </controlPr>
            </control>
          </mc:Choice>
        </mc:AlternateContent>
        <mc:AlternateContent xmlns:mc="http://schemas.openxmlformats.org/markup-compatibility/2006">
          <mc:Choice Requires="x14">
            <control shapeId="15627" r:id="rId184" name="Drop Down 267">
              <controlPr defaultSize="0" autoLine="0" autoPict="0">
                <anchor moveWithCells="1">
                  <from>
                    <xdr:col>12</xdr:col>
                    <xdr:colOff>0</xdr:colOff>
                    <xdr:row>16</xdr:row>
                    <xdr:rowOff>0</xdr:rowOff>
                  </from>
                  <to>
                    <xdr:col>13</xdr:col>
                    <xdr:colOff>9525</xdr:colOff>
                    <xdr:row>17</xdr:row>
                    <xdr:rowOff>9525</xdr:rowOff>
                  </to>
                </anchor>
              </controlPr>
            </control>
          </mc:Choice>
        </mc:AlternateContent>
        <mc:AlternateContent xmlns:mc="http://schemas.openxmlformats.org/markup-compatibility/2006">
          <mc:Choice Requires="x14">
            <control shapeId="15628" r:id="rId185" name="Drop Down 268">
              <controlPr defaultSize="0" autoLine="0" autoPict="0">
                <anchor moveWithCells="1">
                  <from>
                    <xdr:col>12</xdr:col>
                    <xdr:colOff>0</xdr:colOff>
                    <xdr:row>17</xdr:row>
                    <xdr:rowOff>0</xdr:rowOff>
                  </from>
                  <to>
                    <xdr:col>13</xdr:col>
                    <xdr:colOff>9525</xdr:colOff>
                    <xdr:row>18</xdr:row>
                    <xdr:rowOff>9525</xdr:rowOff>
                  </to>
                </anchor>
              </controlPr>
            </control>
          </mc:Choice>
        </mc:AlternateContent>
        <mc:AlternateContent xmlns:mc="http://schemas.openxmlformats.org/markup-compatibility/2006">
          <mc:Choice Requires="x14">
            <control shapeId="15629" r:id="rId186" name="Drop Down 269">
              <controlPr defaultSize="0" autoLine="0" autoPict="0">
                <anchor moveWithCells="1">
                  <from>
                    <xdr:col>12</xdr:col>
                    <xdr:colOff>0</xdr:colOff>
                    <xdr:row>18</xdr:row>
                    <xdr:rowOff>0</xdr:rowOff>
                  </from>
                  <to>
                    <xdr:col>13</xdr:col>
                    <xdr:colOff>9525</xdr:colOff>
                    <xdr:row>19</xdr:row>
                    <xdr:rowOff>9525</xdr:rowOff>
                  </to>
                </anchor>
              </controlPr>
            </control>
          </mc:Choice>
        </mc:AlternateContent>
        <mc:AlternateContent xmlns:mc="http://schemas.openxmlformats.org/markup-compatibility/2006">
          <mc:Choice Requires="x14">
            <control shapeId="15630" r:id="rId187" name="Drop Down 270">
              <controlPr defaultSize="0" autoLine="0" autoPict="0">
                <anchor moveWithCells="1">
                  <from>
                    <xdr:col>12</xdr:col>
                    <xdr:colOff>0</xdr:colOff>
                    <xdr:row>19</xdr:row>
                    <xdr:rowOff>0</xdr:rowOff>
                  </from>
                  <to>
                    <xdr:col>13</xdr:col>
                    <xdr:colOff>9525</xdr:colOff>
                    <xdr:row>20</xdr:row>
                    <xdr:rowOff>9525</xdr:rowOff>
                  </to>
                </anchor>
              </controlPr>
            </control>
          </mc:Choice>
        </mc:AlternateContent>
        <mc:AlternateContent xmlns:mc="http://schemas.openxmlformats.org/markup-compatibility/2006">
          <mc:Choice Requires="x14">
            <control shapeId="15631" r:id="rId188" name="Drop Down 271">
              <controlPr defaultSize="0" autoLine="0" autoPict="0">
                <anchor moveWithCells="1">
                  <from>
                    <xdr:col>12</xdr:col>
                    <xdr:colOff>0</xdr:colOff>
                    <xdr:row>20</xdr:row>
                    <xdr:rowOff>0</xdr:rowOff>
                  </from>
                  <to>
                    <xdr:col>13</xdr:col>
                    <xdr:colOff>9525</xdr:colOff>
                    <xdr:row>21</xdr:row>
                    <xdr:rowOff>9525</xdr:rowOff>
                  </to>
                </anchor>
              </controlPr>
            </control>
          </mc:Choice>
        </mc:AlternateContent>
        <mc:AlternateContent xmlns:mc="http://schemas.openxmlformats.org/markup-compatibility/2006">
          <mc:Choice Requires="x14">
            <control shapeId="15632" r:id="rId189" name="Drop Down 272">
              <controlPr defaultSize="0" autoLine="0" autoPict="0">
                <anchor moveWithCells="1">
                  <from>
                    <xdr:col>12</xdr:col>
                    <xdr:colOff>0</xdr:colOff>
                    <xdr:row>21</xdr:row>
                    <xdr:rowOff>0</xdr:rowOff>
                  </from>
                  <to>
                    <xdr:col>13</xdr:col>
                    <xdr:colOff>9525</xdr:colOff>
                    <xdr:row>22</xdr:row>
                    <xdr:rowOff>9525</xdr:rowOff>
                  </to>
                </anchor>
              </controlPr>
            </control>
          </mc:Choice>
        </mc:AlternateContent>
        <mc:AlternateContent xmlns:mc="http://schemas.openxmlformats.org/markup-compatibility/2006">
          <mc:Choice Requires="x14">
            <control shapeId="15633" r:id="rId190" name="Drop Down 273">
              <controlPr defaultSize="0" autoLine="0" autoPict="0">
                <anchor moveWithCells="1">
                  <from>
                    <xdr:col>12</xdr:col>
                    <xdr:colOff>0</xdr:colOff>
                    <xdr:row>22</xdr:row>
                    <xdr:rowOff>0</xdr:rowOff>
                  </from>
                  <to>
                    <xdr:col>13</xdr:col>
                    <xdr:colOff>9525</xdr:colOff>
                    <xdr:row>23</xdr:row>
                    <xdr:rowOff>9525</xdr:rowOff>
                  </to>
                </anchor>
              </controlPr>
            </control>
          </mc:Choice>
        </mc:AlternateContent>
        <mc:AlternateContent xmlns:mc="http://schemas.openxmlformats.org/markup-compatibility/2006">
          <mc:Choice Requires="x14">
            <control shapeId="15634" r:id="rId191" name="Drop Down 274">
              <controlPr defaultSize="0" autoLine="0" autoPict="0">
                <anchor moveWithCells="1">
                  <from>
                    <xdr:col>12</xdr:col>
                    <xdr:colOff>0</xdr:colOff>
                    <xdr:row>23</xdr:row>
                    <xdr:rowOff>0</xdr:rowOff>
                  </from>
                  <to>
                    <xdr:col>13</xdr:col>
                    <xdr:colOff>9525</xdr:colOff>
                    <xdr:row>24</xdr:row>
                    <xdr:rowOff>9525</xdr:rowOff>
                  </to>
                </anchor>
              </controlPr>
            </control>
          </mc:Choice>
        </mc:AlternateContent>
        <mc:AlternateContent xmlns:mc="http://schemas.openxmlformats.org/markup-compatibility/2006">
          <mc:Choice Requires="x14">
            <control shapeId="15635" r:id="rId192" name="Drop Down 275">
              <controlPr defaultSize="0" autoLine="0" autoPict="0">
                <anchor moveWithCells="1">
                  <from>
                    <xdr:col>12</xdr:col>
                    <xdr:colOff>0</xdr:colOff>
                    <xdr:row>24</xdr:row>
                    <xdr:rowOff>0</xdr:rowOff>
                  </from>
                  <to>
                    <xdr:col>13</xdr:col>
                    <xdr:colOff>9525</xdr:colOff>
                    <xdr:row>25</xdr:row>
                    <xdr:rowOff>9525</xdr:rowOff>
                  </to>
                </anchor>
              </controlPr>
            </control>
          </mc:Choice>
        </mc:AlternateContent>
        <mc:AlternateContent xmlns:mc="http://schemas.openxmlformats.org/markup-compatibility/2006">
          <mc:Choice Requires="x14">
            <control shapeId="15636" r:id="rId193" name="Drop Down 276">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637" r:id="rId194" name="Drop Down 277">
              <controlPr defaultSize="0" autoLine="0" autoPict="0">
                <anchor moveWithCells="1">
                  <from>
                    <xdr:col>12</xdr:col>
                    <xdr:colOff>0</xdr:colOff>
                    <xdr:row>26</xdr:row>
                    <xdr:rowOff>0</xdr:rowOff>
                  </from>
                  <to>
                    <xdr:col>13</xdr:col>
                    <xdr:colOff>9525</xdr:colOff>
                    <xdr:row>27</xdr:row>
                    <xdr:rowOff>9525</xdr:rowOff>
                  </to>
                </anchor>
              </controlPr>
            </control>
          </mc:Choice>
        </mc:AlternateContent>
        <mc:AlternateContent xmlns:mc="http://schemas.openxmlformats.org/markup-compatibility/2006">
          <mc:Choice Requires="x14">
            <control shapeId="15638" r:id="rId195" name="Drop Down 278">
              <controlPr defaultSize="0" autoLine="0" autoPict="0">
                <anchor moveWithCells="1">
                  <from>
                    <xdr:col>5</xdr:col>
                    <xdr:colOff>0</xdr:colOff>
                    <xdr:row>3</xdr:row>
                    <xdr:rowOff>0</xdr:rowOff>
                  </from>
                  <to>
                    <xdr:col>5</xdr:col>
                    <xdr:colOff>514350</xdr:colOff>
                    <xdr:row>3</xdr:row>
                    <xdr:rowOff>200025</xdr:rowOff>
                  </to>
                </anchor>
              </controlPr>
            </control>
          </mc:Choice>
        </mc:AlternateContent>
        <mc:AlternateContent xmlns:mc="http://schemas.openxmlformats.org/markup-compatibility/2006">
          <mc:Choice Requires="x14">
            <control shapeId="15650" r:id="rId196" name="Drop Down 290">
              <controlPr defaultSize="0" autoLine="0" autoPict="0">
                <anchor moveWithCells="1">
                  <from>
                    <xdr:col>5</xdr:col>
                    <xdr:colOff>0</xdr:colOff>
                    <xdr:row>4</xdr:row>
                    <xdr:rowOff>0</xdr:rowOff>
                  </from>
                  <to>
                    <xdr:col>5</xdr:col>
                    <xdr:colOff>514350</xdr:colOff>
                    <xdr:row>5</xdr:row>
                    <xdr:rowOff>9525</xdr:rowOff>
                  </to>
                </anchor>
              </controlPr>
            </control>
          </mc:Choice>
        </mc:AlternateContent>
        <mc:AlternateContent xmlns:mc="http://schemas.openxmlformats.org/markup-compatibility/2006">
          <mc:Choice Requires="x14">
            <control shapeId="15651" r:id="rId197" name="Drop Down 291">
              <controlPr defaultSize="0" autoLine="0" autoPict="0">
                <anchor moveWithCells="1">
                  <from>
                    <xdr:col>5</xdr:col>
                    <xdr:colOff>0</xdr:colOff>
                    <xdr:row>5</xdr:row>
                    <xdr:rowOff>0</xdr:rowOff>
                  </from>
                  <to>
                    <xdr:col>5</xdr:col>
                    <xdr:colOff>514350</xdr:colOff>
                    <xdr:row>6</xdr:row>
                    <xdr:rowOff>9525</xdr:rowOff>
                  </to>
                </anchor>
              </controlPr>
            </control>
          </mc:Choice>
        </mc:AlternateContent>
        <mc:AlternateContent xmlns:mc="http://schemas.openxmlformats.org/markup-compatibility/2006">
          <mc:Choice Requires="x14">
            <control shapeId="15652" r:id="rId198" name="Drop Down 292">
              <controlPr defaultSize="0" autoLine="0" autoPict="0">
                <anchor moveWithCells="1">
                  <from>
                    <xdr:col>5</xdr:col>
                    <xdr:colOff>0</xdr:colOff>
                    <xdr:row>6</xdr:row>
                    <xdr:rowOff>0</xdr:rowOff>
                  </from>
                  <to>
                    <xdr:col>5</xdr:col>
                    <xdr:colOff>514350</xdr:colOff>
                    <xdr:row>7</xdr:row>
                    <xdr:rowOff>9525</xdr:rowOff>
                  </to>
                </anchor>
              </controlPr>
            </control>
          </mc:Choice>
        </mc:AlternateContent>
        <mc:AlternateContent xmlns:mc="http://schemas.openxmlformats.org/markup-compatibility/2006">
          <mc:Choice Requires="x14">
            <control shapeId="15653" r:id="rId199" name="Drop Down 293">
              <controlPr defaultSize="0" autoLine="0" autoPict="0">
                <anchor moveWithCells="1">
                  <from>
                    <xdr:col>5</xdr:col>
                    <xdr:colOff>0</xdr:colOff>
                    <xdr:row>7</xdr:row>
                    <xdr:rowOff>0</xdr:rowOff>
                  </from>
                  <to>
                    <xdr:col>5</xdr:col>
                    <xdr:colOff>514350</xdr:colOff>
                    <xdr:row>8</xdr:row>
                    <xdr:rowOff>9525</xdr:rowOff>
                  </to>
                </anchor>
              </controlPr>
            </control>
          </mc:Choice>
        </mc:AlternateContent>
        <mc:AlternateContent xmlns:mc="http://schemas.openxmlformats.org/markup-compatibility/2006">
          <mc:Choice Requires="x14">
            <control shapeId="15654" r:id="rId200" name="Drop Down 294">
              <controlPr defaultSize="0" autoLine="0" autoPict="0">
                <anchor moveWithCells="1">
                  <from>
                    <xdr:col>5</xdr:col>
                    <xdr:colOff>0</xdr:colOff>
                    <xdr:row>8</xdr:row>
                    <xdr:rowOff>0</xdr:rowOff>
                  </from>
                  <to>
                    <xdr:col>5</xdr:col>
                    <xdr:colOff>514350</xdr:colOff>
                    <xdr:row>9</xdr:row>
                    <xdr:rowOff>9525</xdr:rowOff>
                  </to>
                </anchor>
              </controlPr>
            </control>
          </mc:Choice>
        </mc:AlternateContent>
        <mc:AlternateContent xmlns:mc="http://schemas.openxmlformats.org/markup-compatibility/2006">
          <mc:Choice Requires="x14">
            <control shapeId="15655" r:id="rId201" name="Drop Down 295">
              <controlPr defaultSize="0" autoLine="0" autoPict="0">
                <anchor moveWithCells="1">
                  <from>
                    <xdr:col>5</xdr:col>
                    <xdr:colOff>0</xdr:colOff>
                    <xdr:row>9</xdr:row>
                    <xdr:rowOff>0</xdr:rowOff>
                  </from>
                  <to>
                    <xdr:col>5</xdr:col>
                    <xdr:colOff>514350</xdr:colOff>
                    <xdr:row>10</xdr:row>
                    <xdr:rowOff>9525</xdr:rowOff>
                  </to>
                </anchor>
              </controlPr>
            </control>
          </mc:Choice>
        </mc:AlternateContent>
        <mc:AlternateContent xmlns:mc="http://schemas.openxmlformats.org/markup-compatibility/2006">
          <mc:Choice Requires="x14">
            <control shapeId="15656" r:id="rId202" name="Drop Down 296">
              <controlPr defaultSize="0" autoLine="0" autoPict="0">
                <anchor moveWithCells="1">
                  <from>
                    <xdr:col>5</xdr:col>
                    <xdr:colOff>0</xdr:colOff>
                    <xdr:row>10</xdr:row>
                    <xdr:rowOff>0</xdr:rowOff>
                  </from>
                  <to>
                    <xdr:col>5</xdr:col>
                    <xdr:colOff>514350</xdr:colOff>
                    <xdr:row>11</xdr:row>
                    <xdr:rowOff>9525</xdr:rowOff>
                  </to>
                </anchor>
              </controlPr>
            </control>
          </mc:Choice>
        </mc:AlternateContent>
        <mc:AlternateContent xmlns:mc="http://schemas.openxmlformats.org/markup-compatibility/2006">
          <mc:Choice Requires="x14">
            <control shapeId="15657" r:id="rId203" name="Drop Down 297">
              <controlPr defaultSize="0" autoLine="0" autoPict="0">
                <anchor moveWithCells="1">
                  <from>
                    <xdr:col>5</xdr:col>
                    <xdr:colOff>0</xdr:colOff>
                    <xdr:row>11</xdr:row>
                    <xdr:rowOff>0</xdr:rowOff>
                  </from>
                  <to>
                    <xdr:col>5</xdr:col>
                    <xdr:colOff>514350</xdr:colOff>
                    <xdr:row>12</xdr:row>
                    <xdr:rowOff>9525</xdr:rowOff>
                  </to>
                </anchor>
              </controlPr>
            </control>
          </mc:Choice>
        </mc:AlternateContent>
        <mc:AlternateContent xmlns:mc="http://schemas.openxmlformats.org/markup-compatibility/2006">
          <mc:Choice Requires="x14">
            <control shapeId="15658" r:id="rId204" name="Drop Down 298">
              <controlPr defaultSize="0" autoLine="0" autoPict="0">
                <anchor moveWithCells="1">
                  <from>
                    <xdr:col>5</xdr:col>
                    <xdr:colOff>0</xdr:colOff>
                    <xdr:row>12</xdr:row>
                    <xdr:rowOff>0</xdr:rowOff>
                  </from>
                  <to>
                    <xdr:col>5</xdr:col>
                    <xdr:colOff>514350</xdr:colOff>
                    <xdr:row>13</xdr:row>
                    <xdr:rowOff>9525</xdr:rowOff>
                  </to>
                </anchor>
              </controlPr>
            </control>
          </mc:Choice>
        </mc:AlternateContent>
        <mc:AlternateContent xmlns:mc="http://schemas.openxmlformats.org/markup-compatibility/2006">
          <mc:Choice Requires="x14">
            <control shapeId="15659" r:id="rId205" name="Drop Down 299">
              <controlPr defaultSize="0" autoLine="0" autoPict="0">
                <anchor moveWithCells="1">
                  <from>
                    <xdr:col>5</xdr:col>
                    <xdr:colOff>0</xdr:colOff>
                    <xdr:row>13</xdr:row>
                    <xdr:rowOff>0</xdr:rowOff>
                  </from>
                  <to>
                    <xdr:col>5</xdr:col>
                    <xdr:colOff>514350</xdr:colOff>
                    <xdr:row>14</xdr:row>
                    <xdr:rowOff>9525</xdr:rowOff>
                  </to>
                </anchor>
              </controlPr>
            </control>
          </mc:Choice>
        </mc:AlternateContent>
        <mc:AlternateContent xmlns:mc="http://schemas.openxmlformats.org/markup-compatibility/2006">
          <mc:Choice Requires="x14">
            <control shapeId="15660" r:id="rId206" name="Drop Down 300">
              <controlPr defaultSize="0" autoLine="0" autoPict="0">
                <anchor moveWithCells="1">
                  <from>
                    <xdr:col>5</xdr:col>
                    <xdr:colOff>0</xdr:colOff>
                    <xdr:row>14</xdr:row>
                    <xdr:rowOff>0</xdr:rowOff>
                  </from>
                  <to>
                    <xdr:col>5</xdr:col>
                    <xdr:colOff>514350</xdr:colOff>
                    <xdr:row>15</xdr:row>
                    <xdr:rowOff>9525</xdr:rowOff>
                  </to>
                </anchor>
              </controlPr>
            </control>
          </mc:Choice>
        </mc:AlternateContent>
        <mc:AlternateContent xmlns:mc="http://schemas.openxmlformats.org/markup-compatibility/2006">
          <mc:Choice Requires="x14">
            <control shapeId="15661" r:id="rId207" name="Drop Down 301">
              <controlPr defaultSize="0" autoLine="0" autoPict="0">
                <anchor moveWithCells="1">
                  <from>
                    <xdr:col>5</xdr:col>
                    <xdr:colOff>0</xdr:colOff>
                    <xdr:row>15</xdr:row>
                    <xdr:rowOff>0</xdr:rowOff>
                  </from>
                  <to>
                    <xdr:col>5</xdr:col>
                    <xdr:colOff>514350</xdr:colOff>
                    <xdr:row>16</xdr:row>
                    <xdr:rowOff>9525</xdr:rowOff>
                  </to>
                </anchor>
              </controlPr>
            </control>
          </mc:Choice>
        </mc:AlternateContent>
        <mc:AlternateContent xmlns:mc="http://schemas.openxmlformats.org/markup-compatibility/2006">
          <mc:Choice Requires="x14">
            <control shapeId="15662" r:id="rId208" name="Drop Down 302">
              <controlPr defaultSize="0" autoLine="0" autoPict="0">
                <anchor moveWithCells="1">
                  <from>
                    <xdr:col>5</xdr:col>
                    <xdr:colOff>0</xdr:colOff>
                    <xdr:row>16</xdr:row>
                    <xdr:rowOff>0</xdr:rowOff>
                  </from>
                  <to>
                    <xdr:col>5</xdr:col>
                    <xdr:colOff>514350</xdr:colOff>
                    <xdr:row>17</xdr:row>
                    <xdr:rowOff>9525</xdr:rowOff>
                  </to>
                </anchor>
              </controlPr>
            </control>
          </mc:Choice>
        </mc:AlternateContent>
        <mc:AlternateContent xmlns:mc="http://schemas.openxmlformats.org/markup-compatibility/2006">
          <mc:Choice Requires="x14">
            <control shapeId="15663" r:id="rId209" name="Drop Down 303">
              <controlPr defaultSize="0" autoLine="0" autoPict="0">
                <anchor moveWithCells="1">
                  <from>
                    <xdr:col>5</xdr:col>
                    <xdr:colOff>0</xdr:colOff>
                    <xdr:row>17</xdr:row>
                    <xdr:rowOff>0</xdr:rowOff>
                  </from>
                  <to>
                    <xdr:col>5</xdr:col>
                    <xdr:colOff>514350</xdr:colOff>
                    <xdr:row>18</xdr:row>
                    <xdr:rowOff>9525</xdr:rowOff>
                  </to>
                </anchor>
              </controlPr>
            </control>
          </mc:Choice>
        </mc:AlternateContent>
        <mc:AlternateContent xmlns:mc="http://schemas.openxmlformats.org/markup-compatibility/2006">
          <mc:Choice Requires="x14">
            <control shapeId="15664" r:id="rId210" name="Drop Down 304">
              <controlPr defaultSize="0" autoLine="0" autoPict="0">
                <anchor moveWithCells="1">
                  <from>
                    <xdr:col>5</xdr:col>
                    <xdr:colOff>0</xdr:colOff>
                    <xdr:row>18</xdr:row>
                    <xdr:rowOff>0</xdr:rowOff>
                  </from>
                  <to>
                    <xdr:col>5</xdr:col>
                    <xdr:colOff>514350</xdr:colOff>
                    <xdr:row>19</xdr:row>
                    <xdr:rowOff>9525</xdr:rowOff>
                  </to>
                </anchor>
              </controlPr>
            </control>
          </mc:Choice>
        </mc:AlternateContent>
        <mc:AlternateContent xmlns:mc="http://schemas.openxmlformats.org/markup-compatibility/2006">
          <mc:Choice Requires="x14">
            <control shapeId="15665" r:id="rId211" name="Drop Down 305">
              <controlPr defaultSize="0" autoLine="0" autoPict="0">
                <anchor moveWithCells="1">
                  <from>
                    <xdr:col>5</xdr:col>
                    <xdr:colOff>0</xdr:colOff>
                    <xdr:row>19</xdr:row>
                    <xdr:rowOff>0</xdr:rowOff>
                  </from>
                  <to>
                    <xdr:col>5</xdr:col>
                    <xdr:colOff>514350</xdr:colOff>
                    <xdr:row>20</xdr:row>
                    <xdr:rowOff>9525</xdr:rowOff>
                  </to>
                </anchor>
              </controlPr>
            </control>
          </mc:Choice>
        </mc:AlternateContent>
        <mc:AlternateContent xmlns:mc="http://schemas.openxmlformats.org/markup-compatibility/2006">
          <mc:Choice Requires="x14">
            <control shapeId="15666" r:id="rId212" name="Drop Down 306">
              <controlPr defaultSize="0" autoLine="0" autoPict="0">
                <anchor moveWithCells="1">
                  <from>
                    <xdr:col>5</xdr:col>
                    <xdr:colOff>0</xdr:colOff>
                    <xdr:row>20</xdr:row>
                    <xdr:rowOff>0</xdr:rowOff>
                  </from>
                  <to>
                    <xdr:col>5</xdr:col>
                    <xdr:colOff>514350</xdr:colOff>
                    <xdr:row>21</xdr:row>
                    <xdr:rowOff>9525</xdr:rowOff>
                  </to>
                </anchor>
              </controlPr>
            </control>
          </mc:Choice>
        </mc:AlternateContent>
        <mc:AlternateContent xmlns:mc="http://schemas.openxmlformats.org/markup-compatibility/2006">
          <mc:Choice Requires="x14">
            <control shapeId="15667" r:id="rId213" name="Drop Down 307">
              <controlPr defaultSize="0" autoLine="0" autoPict="0">
                <anchor moveWithCells="1">
                  <from>
                    <xdr:col>5</xdr:col>
                    <xdr:colOff>0</xdr:colOff>
                    <xdr:row>21</xdr:row>
                    <xdr:rowOff>0</xdr:rowOff>
                  </from>
                  <to>
                    <xdr:col>5</xdr:col>
                    <xdr:colOff>514350</xdr:colOff>
                    <xdr:row>22</xdr:row>
                    <xdr:rowOff>9525</xdr:rowOff>
                  </to>
                </anchor>
              </controlPr>
            </control>
          </mc:Choice>
        </mc:AlternateContent>
        <mc:AlternateContent xmlns:mc="http://schemas.openxmlformats.org/markup-compatibility/2006">
          <mc:Choice Requires="x14">
            <control shapeId="15668" r:id="rId214" name="Drop Down 308">
              <controlPr defaultSize="0" autoLine="0" autoPict="0">
                <anchor moveWithCells="1">
                  <from>
                    <xdr:col>5</xdr:col>
                    <xdr:colOff>0</xdr:colOff>
                    <xdr:row>22</xdr:row>
                    <xdr:rowOff>0</xdr:rowOff>
                  </from>
                  <to>
                    <xdr:col>5</xdr:col>
                    <xdr:colOff>514350</xdr:colOff>
                    <xdr:row>23</xdr:row>
                    <xdr:rowOff>9525</xdr:rowOff>
                  </to>
                </anchor>
              </controlPr>
            </control>
          </mc:Choice>
        </mc:AlternateContent>
        <mc:AlternateContent xmlns:mc="http://schemas.openxmlformats.org/markup-compatibility/2006">
          <mc:Choice Requires="x14">
            <control shapeId="15669" r:id="rId215" name="Drop Down 309">
              <controlPr defaultSize="0" autoLine="0" autoPict="0">
                <anchor moveWithCells="1">
                  <from>
                    <xdr:col>5</xdr:col>
                    <xdr:colOff>0</xdr:colOff>
                    <xdr:row>23</xdr:row>
                    <xdr:rowOff>0</xdr:rowOff>
                  </from>
                  <to>
                    <xdr:col>5</xdr:col>
                    <xdr:colOff>514350</xdr:colOff>
                    <xdr:row>24</xdr:row>
                    <xdr:rowOff>9525</xdr:rowOff>
                  </to>
                </anchor>
              </controlPr>
            </control>
          </mc:Choice>
        </mc:AlternateContent>
        <mc:AlternateContent xmlns:mc="http://schemas.openxmlformats.org/markup-compatibility/2006">
          <mc:Choice Requires="x14">
            <control shapeId="15670" r:id="rId216" name="Drop Down 310">
              <controlPr defaultSize="0" autoLine="0" autoPict="0">
                <anchor moveWithCells="1">
                  <from>
                    <xdr:col>5</xdr:col>
                    <xdr:colOff>0</xdr:colOff>
                    <xdr:row>24</xdr:row>
                    <xdr:rowOff>0</xdr:rowOff>
                  </from>
                  <to>
                    <xdr:col>5</xdr:col>
                    <xdr:colOff>514350</xdr:colOff>
                    <xdr:row>25</xdr:row>
                    <xdr:rowOff>9525</xdr:rowOff>
                  </to>
                </anchor>
              </controlPr>
            </control>
          </mc:Choice>
        </mc:AlternateContent>
        <mc:AlternateContent xmlns:mc="http://schemas.openxmlformats.org/markup-compatibility/2006">
          <mc:Choice Requires="x14">
            <control shapeId="15671" r:id="rId217" name="Drop Down 311">
              <controlPr defaultSize="0" autoLine="0" autoPict="0">
                <anchor moveWithCells="1">
                  <from>
                    <xdr:col>5</xdr:col>
                    <xdr:colOff>0</xdr:colOff>
                    <xdr:row>25</xdr:row>
                    <xdr:rowOff>0</xdr:rowOff>
                  </from>
                  <to>
                    <xdr:col>5</xdr:col>
                    <xdr:colOff>514350</xdr:colOff>
                    <xdr:row>26</xdr:row>
                    <xdr:rowOff>9525</xdr:rowOff>
                  </to>
                </anchor>
              </controlPr>
            </control>
          </mc:Choice>
        </mc:AlternateContent>
        <mc:AlternateContent xmlns:mc="http://schemas.openxmlformats.org/markup-compatibility/2006">
          <mc:Choice Requires="x14">
            <control shapeId="15672" r:id="rId218" name="Drop Down 312">
              <controlPr defaultSize="0" autoLine="0" autoPict="0">
                <anchor moveWithCells="1">
                  <from>
                    <xdr:col>5</xdr:col>
                    <xdr:colOff>0</xdr:colOff>
                    <xdr:row>26</xdr:row>
                    <xdr:rowOff>0</xdr:rowOff>
                  </from>
                  <to>
                    <xdr:col>5</xdr:col>
                    <xdr:colOff>514350</xdr:colOff>
                    <xdr:row>27</xdr:row>
                    <xdr:rowOff>9525</xdr:rowOff>
                  </to>
                </anchor>
              </controlPr>
            </control>
          </mc:Choice>
        </mc:AlternateContent>
        <mc:AlternateContent xmlns:mc="http://schemas.openxmlformats.org/markup-compatibility/2006">
          <mc:Choice Requires="x14">
            <control shapeId="15673" r:id="rId219" name="Drop Down 313">
              <controlPr defaultSize="0" autoLine="0" autoPict="0">
                <anchor moveWithCells="1">
                  <from>
                    <xdr:col>12</xdr:col>
                    <xdr:colOff>0</xdr:colOff>
                    <xdr:row>4</xdr:row>
                    <xdr:rowOff>0</xdr:rowOff>
                  </from>
                  <to>
                    <xdr:col>13</xdr:col>
                    <xdr:colOff>9525</xdr:colOff>
                    <xdr:row>5</xdr:row>
                    <xdr:rowOff>9525</xdr:rowOff>
                  </to>
                </anchor>
              </controlPr>
            </control>
          </mc:Choice>
        </mc:AlternateContent>
        <mc:AlternateContent xmlns:mc="http://schemas.openxmlformats.org/markup-compatibility/2006">
          <mc:Choice Requires="x14">
            <control shapeId="15674" r:id="rId220" name="Drop Down 314">
              <controlPr defaultSize="0" autoLine="0" autoPict="0">
                <anchor moveWithCells="1">
                  <from>
                    <xdr:col>12</xdr:col>
                    <xdr:colOff>0</xdr:colOff>
                    <xdr:row>5</xdr:row>
                    <xdr:rowOff>0</xdr:rowOff>
                  </from>
                  <to>
                    <xdr:col>13</xdr:col>
                    <xdr:colOff>9525</xdr:colOff>
                    <xdr:row>6</xdr:row>
                    <xdr:rowOff>9525</xdr:rowOff>
                  </to>
                </anchor>
              </controlPr>
            </control>
          </mc:Choice>
        </mc:AlternateContent>
        <mc:AlternateContent xmlns:mc="http://schemas.openxmlformats.org/markup-compatibility/2006">
          <mc:Choice Requires="x14">
            <control shapeId="15675" r:id="rId221" name="Drop Down 315">
              <controlPr defaultSize="0" autoLine="0" autoPict="0">
                <anchor moveWithCells="1">
                  <from>
                    <xdr:col>12</xdr:col>
                    <xdr:colOff>0</xdr:colOff>
                    <xdr:row>6</xdr:row>
                    <xdr:rowOff>0</xdr:rowOff>
                  </from>
                  <to>
                    <xdr:col>13</xdr:col>
                    <xdr:colOff>9525</xdr:colOff>
                    <xdr:row>7</xdr:row>
                    <xdr:rowOff>9525</xdr:rowOff>
                  </to>
                </anchor>
              </controlPr>
            </control>
          </mc:Choice>
        </mc:AlternateContent>
        <mc:AlternateContent xmlns:mc="http://schemas.openxmlformats.org/markup-compatibility/2006">
          <mc:Choice Requires="x14">
            <control shapeId="15676" r:id="rId222" name="Drop Down 316">
              <controlPr defaultSize="0" autoLine="0" autoPict="0">
                <anchor moveWithCells="1">
                  <from>
                    <xdr:col>12</xdr:col>
                    <xdr:colOff>0</xdr:colOff>
                    <xdr:row>7</xdr:row>
                    <xdr:rowOff>0</xdr:rowOff>
                  </from>
                  <to>
                    <xdr:col>13</xdr:col>
                    <xdr:colOff>9525</xdr:colOff>
                    <xdr:row>8</xdr:row>
                    <xdr:rowOff>9525</xdr:rowOff>
                  </to>
                </anchor>
              </controlPr>
            </control>
          </mc:Choice>
        </mc:AlternateContent>
        <mc:AlternateContent xmlns:mc="http://schemas.openxmlformats.org/markup-compatibility/2006">
          <mc:Choice Requires="x14">
            <control shapeId="15677" r:id="rId223" name="Drop Down 317">
              <controlPr defaultSize="0" autoLine="0" autoPict="0">
                <anchor moveWithCells="1">
                  <from>
                    <xdr:col>12</xdr:col>
                    <xdr:colOff>0</xdr:colOff>
                    <xdr:row>8</xdr:row>
                    <xdr:rowOff>0</xdr:rowOff>
                  </from>
                  <to>
                    <xdr:col>13</xdr:col>
                    <xdr:colOff>9525</xdr:colOff>
                    <xdr:row>9</xdr:row>
                    <xdr:rowOff>9525</xdr:rowOff>
                  </to>
                </anchor>
              </controlPr>
            </control>
          </mc:Choice>
        </mc:AlternateContent>
        <mc:AlternateContent xmlns:mc="http://schemas.openxmlformats.org/markup-compatibility/2006">
          <mc:Choice Requires="x14">
            <control shapeId="15678" r:id="rId224" name="Drop Down 318">
              <controlPr defaultSize="0" autoLine="0" autoPict="0">
                <anchor moveWithCells="1">
                  <from>
                    <xdr:col>12</xdr:col>
                    <xdr:colOff>0</xdr:colOff>
                    <xdr:row>9</xdr:row>
                    <xdr:rowOff>0</xdr:rowOff>
                  </from>
                  <to>
                    <xdr:col>13</xdr:col>
                    <xdr:colOff>9525</xdr:colOff>
                    <xdr:row>10</xdr:row>
                    <xdr:rowOff>9525</xdr:rowOff>
                  </to>
                </anchor>
              </controlPr>
            </control>
          </mc:Choice>
        </mc:AlternateContent>
        <mc:AlternateContent xmlns:mc="http://schemas.openxmlformats.org/markup-compatibility/2006">
          <mc:Choice Requires="x14">
            <control shapeId="15679" r:id="rId225" name="Drop Down 319">
              <controlPr defaultSize="0" autoLine="0" autoPict="0">
                <anchor moveWithCells="1">
                  <from>
                    <xdr:col>12</xdr:col>
                    <xdr:colOff>0</xdr:colOff>
                    <xdr:row>10</xdr:row>
                    <xdr:rowOff>0</xdr:rowOff>
                  </from>
                  <to>
                    <xdr:col>13</xdr:col>
                    <xdr:colOff>9525</xdr:colOff>
                    <xdr:row>11</xdr:row>
                    <xdr:rowOff>9525</xdr:rowOff>
                  </to>
                </anchor>
              </controlPr>
            </control>
          </mc:Choice>
        </mc:AlternateContent>
        <mc:AlternateContent xmlns:mc="http://schemas.openxmlformats.org/markup-compatibility/2006">
          <mc:Choice Requires="x14">
            <control shapeId="15680" r:id="rId226" name="Drop Down 320">
              <controlPr defaultSize="0" autoLine="0" autoPict="0">
                <anchor moveWithCells="1">
                  <from>
                    <xdr:col>12</xdr:col>
                    <xdr:colOff>0</xdr:colOff>
                    <xdr:row>11</xdr:row>
                    <xdr:rowOff>0</xdr:rowOff>
                  </from>
                  <to>
                    <xdr:col>13</xdr:col>
                    <xdr:colOff>9525</xdr:colOff>
                    <xdr:row>12</xdr:row>
                    <xdr:rowOff>9525</xdr:rowOff>
                  </to>
                </anchor>
              </controlPr>
            </control>
          </mc:Choice>
        </mc:AlternateContent>
        <mc:AlternateContent xmlns:mc="http://schemas.openxmlformats.org/markup-compatibility/2006">
          <mc:Choice Requires="x14">
            <control shapeId="15681" r:id="rId227" name="Drop Down 321">
              <controlPr defaultSize="0" autoLine="0" autoPict="0">
                <anchor moveWithCells="1">
                  <from>
                    <xdr:col>12</xdr:col>
                    <xdr:colOff>0</xdr:colOff>
                    <xdr:row>12</xdr:row>
                    <xdr:rowOff>0</xdr:rowOff>
                  </from>
                  <to>
                    <xdr:col>13</xdr:col>
                    <xdr:colOff>9525</xdr:colOff>
                    <xdr:row>13</xdr:row>
                    <xdr:rowOff>9525</xdr:rowOff>
                  </to>
                </anchor>
              </controlPr>
            </control>
          </mc:Choice>
        </mc:AlternateContent>
        <mc:AlternateContent xmlns:mc="http://schemas.openxmlformats.org/markup-compatibility/2006">
          <mc:Choice Requires="x14">
            <control shapeId="15682" r:id="rId228" name="Drop Down 322">
              <controlPr defaultSize="0" autoLine="0" autoPict="0">
                <anchor moveWithCells="1">
                  <from>
                    <xdr:col>12</xdr:col>
                    <xdr:colOff>0</xdr:colOff>
                    <xdr:row>13</xdr:row>
                    <xdr:rowOff>0</xdr:rowOff>
                  </from>
                  <to>
                    <xdr:col>13</xdr:col>
                    <xdr:colOff>9525</xdr:colOff>
                    <xdr:row>14</xdr:row>
                    <xdr:rowOff>9525</xdr:rowOff>
                  </to>
                </anchor>
              </controlPr>
            </control>
          </mc:Choice>
        </mc:AlternateContent>
        <mc:AlternateContent xmlns:mc="http://schemas.openxmlformats.org/markup-compatibility/2006">
          <mc:Choice Requires="x14">
            <control shapeId="15683" r:id="rId229" name="Drop Down 323">
              <controlPr defaultSize="0" autoLine="0" autoPict="0">
                <anchor moveWithCells="1">
                  <from>
                    <xdr:col>12</xdr:col>
                    <xdr:colOff>0</xdr:colOff>
                    <xdr:row>14</xdr:row>
                    <xdr:rowOff>0</xdr:rowOff>
                  </from>
                  <to>
                    <xdr:col>13</xdr:col>
                    <xdr:colOff>9525</xdr:colOff>
                    <xdr:row>15</xdr:row>
                    <xdr:rowOff>9525</xdr:rowOff>
                  </to>
                </anchor>
              </controlPr>
            </control>
          </mc:Choice>
        </mc:AlternateContent>
        <mc:AlternateContent xmlns:mc="http://schemas.openxmlformats.org/markup-compatibility/2006">
          <mc:Choice Requires="x14">
            <control shapeId="15684" r:id="rId230" name="Drop Down 324">
              <controlPr defaultSize="0" autoLine="0" autoPict="0">
                <anchor moveWithCells="1">
                  <from>
                    <xdr:col>12</xdr:col>
                    <xdr:colOff>0</xdr:colOff>
                    <xdr:row>15</xdr:row>
                    <xdr:rowOff>0</xdr:rowOff>
                  </from>
                  <to>
                    <xdr:col>13</xdr:col>
                    <xdr:colOff>9525</xdr:colOff>
                    <xdr:row>16</xdr:row>
                    <xdr:rowOff>9525</xdr:rowOff>
                  </to>
                </anchor>
              </controlPr>
            </control>
          </mc:Choice>
        </mc:AlternateContent>
        <mc:AlternateContent xmlns:mc="http://schemas.openxmlformats.org/markup-compatibility/2006">
          <mc:Choice Requires="x14">
            <control shapeId="15685" r:id="rId231" name="Drop Down 325">
              <controlPr defaultSize="0" autoLine="0" autoPict="0">
                <anchor moveWithCells="1">
                  <from>
                    <xdr:col>12</xdr:col>
                    <xdr:colOff>0</xdr:colOff>
                    <xdr:row>16</xdr:row>
                    <xdr:rowOff>0</xdr:rowOff>
                  </from>
                  <to>
                    <xdr:col>13</xdr:col>
                    <xdr:colOff>9525</xdr:colOff>
                    <xdr:row>17</xdr:row>
                    <xdr:rowOff>9525</xdr:rowOff>
                  </to>
                </anchor>
              </controlPr>
            </control>
          </mc:Choice>
        </mc:AlternateContent>
        <mc:AlternateContent xmlns:mc="http://schemas.openxmlformats.org/markup-compatibility/2006">
          <mc:Choice Requires="x14">
            <control shapeId="15686" r:id="rId232" name="Drop Down 326">
              <controlPr defaultSize="0" autoLine="0" autoPict="0">
                <anchor moveWithCells="1">
                  <from>
                    <xdr:col>12</xdr:col>
                    <xdr:colOff>0</xdr:colOff>
                    <xdr:row>17</xdr:row>
                    <xdr:rowOff>0</xdr:rowOff>
                  </from>
                  <to>
                    <xdr:col>13</xdr:col>
                    <xdr:colOff>9525</xdr:colOff>
                    <xdr:row>18</xdr:row>
                    <xdr:rowOff>9525</xdr:rowOff>
                  </to>
                </anchor>
              </controlPr>
            </control>
          </mc:Choice>
        </mc:AlternateContent>
        <mc:AlternateContent xmlns:mc="http://schemas.openxmlformats.org/markup-compatibility/2006">
          <mc:Choice Requires="x14">
            <control shapeId="15687" r:id="rId233" name="Drop Down 327">
              <controlPr defaultSize="0" autoLine="0" autoPict="0">
                <anchor moveWithCells="1">
                  <from>
                    <xdr:col>12</xdr:col>
                    <xdr:colOff>0</xdr:colOff>
                    <xdr:row>18</xdr:row>
                    <xdr:rowOff>0</xdr:rowOff>
                  </from>
                  <to>
                    <xdr:col>13</xdr:col>
                    <xdr:colOff>9525</xdr:colOff>
                    <xdr:row>19</xdr:row>
                    <xdr:rowOff>9525</xdr:rowOff>
                  </to>
                </anchor>
              </controlPr>
            </control>
          </mc:Choice>
        </mc:AlternateContent>
        <mc:AlternateContent xmlns:mc="http://schemas.openxmlformats.org/markup-compatibility/2006">
          <mc:Choice Requires="x14">
            <control shapeId="15688" r:id="rId234" name="Drop Down 328">
              <controlPr defaultSize="0" autoLine="0" autoPict="0">
                <anchor moveWithCells="1">
                  <from>
                    <xdr:col>12</xdr:col>
                    <xdr:colOff>0</xdr:colOff>
                    <xdr:row>19</xdr:row>
                    <xdr:rowOff>0</xdr:rowOff>
                  </from>
                  <to>
                    <xdr:col>13</xdr:col>
                    <xdr:colOff>9525</xdr:colOff>
                    <xdr:row>20</xdr:row>
                    <xdr:rowOff>9525</xdr:rowOff>
                  </to>
                </anchor>
              </controlPr>
            </control>
          </mc:Choice>
        </mc:AlternateContent>
        <mc:AlternateContent xmlns:mc="http://schemas.openxmlformats.org/markup-compatibility/2006">
          <mc:Choice Requires="x14">
            <control shapeId="15689" r:id="rId235" name="Drop Down 329">
              <controlPr defaultSize="0" autoLine="0" autoPict="0">
                <anchor moveWithCells="1">
                  <from>
                    <xdr:col>12</xdr:col>
                    <xdr:colOff>0</xdr:colOff>
                    <xdr:row>20</xdr:row>
                    <xdr:rowOff>0</xdr:rowOff>
                  </from>
                  <to>
                    <xdr:col>13</xdr:col>
                    <xdr:colOff>9525</xdr:colOff>
                    <xdr:row>21</xdr:row>
                    <xdr:rowOff>9525</xdr:rowOff>
                  </to>
                </anchor>
              </controlPr>
            </control>
          </mc:Choice>
        </mc:AlternateContent>
        <mc:AlternateContent xmlns:mc="http://schemas.openxmlformats.org/markup-compatibility/2006">
          <mc:Choice Requires="x14">
            <control shapeId="15690" r:id="rId236" name="Drop Down 330">
              <controlPr defaultSize="0" autoLine="0" autoPict="0">
                <anchor moveWithCells="1">
                  <from>
                    <xdr:col>12</xdr:col>
                    <xdr:colOff>0</xdr:colOff>
                    <xdr:row>21</xdr:row>
                    <xdr:rowOff>0</xdr:rowOff>
                  </from>
                  <to>
                    <xdr:col>13</xdr:col>
                    <xdr:colOff>9525</xdr:colOff>
                    <xdr:row>22</xdr:row>
                    <xdr:rowOff>9525</xdr:rowOff>
                  </to>
                </anchor>
              </controlPr>
            </control>
          </mc:Choice>
        </mc:AlternateContent>
        <mc:AlternateContent xmlns:mc="http://schemas.openxmlformats.org/markup-compatibility/2006">
          <mc:Choice Requires="x14">
            <control shapeId="15691" r:id="rId237" name="Drop Down 331">
              <controlPr defaultSize="0" autoLine="0" autoPict="0">
                <anchor moveWithCells="1">
                  <from>
                    <xdr:col>12</xdr:col>
                    <xdr:colOff>0</xdr:colOff>
                    <xdr:row>22</xdr:row>
                    <xdr:rowOff>0</xdr:rowOff>
                  </from>
                  <to>
                    <xdr:col>13</xdr:col>
                    <xdr:colOff>9525</xdr:colOff>
                    <xdr:row>23</xdr:row>
                    <xdr:rowOff>9525</xdr:rowOff>
                  </to>
                </anchor>
              </controlPr>
            </control>
          </mc:Choice>
        </mc:AlternateContent>
        <mc:AlternateContent xmlns:mc="http://schemas.openxmlformats.org/markup-compatibility/2006">
          <mc:Choice Requires="x14">
            <control shapeId="15692" r:id="rId238" name="Drop Down 332">
              <controlPr defaultSize="0" autoLine="0" autoPict="0">
                <anchor moveWithCells="1">
                  <from>
                    <xdr:col>12</xdr:col>
                    <xdr:colOff>0</xdr:colOff>
                    <xdr:row>23</xdr:row>
                    <xdr:rowOff>0</xdr:rowOff>
                  </from>
                  <to>
                    <xdr:col>13</xdr:col>
                    <xdr:colOff>9525</xdr:colOff>
                    <xdr:row>24</xdr:row>
                    <xdr:rowOff>9525</xdr:rowOff>
                  </to>
                </anchor>
              </controlPr>
            </control>
          </mc:Choice>
        </mc:AlternateContent>
        <mc:AlternateContent xmlns:mc="http://schemas.openxmlformats.org/markup-compatibility/2006">
          <mc:Choice Requires="x14">
            <control shapeId="15693" r:id="rId239" name="Drop Down 333">
              <controlPr defaultSize="0" autoLine="0" autoPict="0">
                <anchor moveWithCells="1">
                  <from>
                    <xdr:col>12</xdr:col>
                    <xdr:colOff>0</xdr:colOff>
                    <xdr:row>24</xdr:row>
                    <xdr:rowOff>0</xdr:rowOff>
                  </from>
                  <to>
                    <xdr:col>13</xdr:col>
                    <xdr:colOff>9525</xdr:colOff>
                    <xdr:row>25</xdr:row>
                    <xdr:rowOff>9525</xdr:rowOff>
                  </to>
                </anchor>
              </controlPr>
            </control>
          </mc:Choice>
        </mc:AlternateContent>
        <mc:AlternateContent xmlns:mc="http://schemas.openxmlformats.org/markup-compatibility/2006">
          <mc:Choice Requires="x14">
            <control shapeId="15694" r:id="rId240" name="Drop Down 334">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695" r:id="rId241" name="Drop Down 335">
              <controlPr defaultSize="0" autoLine="0" autoPict="0">
                <anchor moveWithCells="1">
                  <from>
                    <xdr:col>12</xdr:col>
                    <xdr:colOff>0</xdr:colOff>
                    <xdr:row>26</xdr:row>
                    <xdr:rowOff>0</xdr:rowOff>
                  </from>
                  <to>
                    <xdr:col>13</xdr:col>
                    <xdr:colOff>9525</xdr:colOff>
                    <xdr:row>27</xdr:row>
                    <xdr:rowOff>9525</xdr:rowOff>
                  </to>
                </anchor>
              </controlPr>
            </control>
          </mc:Choice>
        </mc:AlternateContent>
        <mc:AlternateContent xmlns:mc="http://schemas.openxmlformats.org/markup-compatibility/2006">
          <mc:Choice Requires="x14">
            <control shapeId="15698" r:id="rId242" name="Drop Down 338">
              <controlPr defaultSize="0" autoLine="0" autoPict="0">
                <anchor moveWithCells="1">
                  <from>
                    <xdr:col>12</xdr:col>
                    <xdr:colOff>0</xdr:colOff>
                    <xdr:row>3</xdr:row>
                    <xdr:rowOff>0</xdr:rowOff>
                  </from>
                  <to>
                    <xdr:col>13</xdr:col>
                    <xdr:colOff>9525</xdr:colOff>
                    <xdr:row>3</xdr:row>
                    <xdr:rowOff>200025</xdr:rowOff>
                  </to>
                </anchor>
              </controlPr>
            </control>
          </mc:Choice>
        </mc:AlternateContent>
        <mc:AlternateContent xmlns:mc="http://schemas.openxmlformats.org/markup-compatibility/2006">
          <mc:Choice Requires="x14">
            <control shapeId="15699" r:id="rId243" name="Drop Down 339">
              <controlPr defaultSize="0" autoLine="0" autoPict="0">
                <anchor moveWithCells="1">
                  <from>
                    <xdr:col>12</xdr:col>
                    <xdr:colOff>0</xdr:colOff>
                    <xdr:row>3</xdr:row>
                    <xdr:rowOff>0</xdr:rowOff>
                  </from>
                  <to>
                    <xdr:col>13</xdr:col>
                    <xdr:colOff>9525</xdr:colOff>
                    <xdr:row>3</xdr:row>
                    <xdr:rowOff>200025</xdr:rowOff>
                  </to>
                </anchor>
              </controlPr>
            </control>
          </mc:Choice>
        </mc:AlternateContent>
        <mc:AlternateContent xmlns:mc="http://schemas.openxmlformats.org/markup-compatibility/2006">
          <mc:Choice Requires="x14">
            <control shapeId="15700" r:id="rId244" name="Drop Down 340">
              <controlPr defaultSize="0" autoLine="0" autoPict="0">
                <anchor moveWithCells="1">
                  <from>
                    <xdr:col>12</xdr:col>
                    <xdr:colOff>0</xdr:colOff>
                    <xdr:row>4</xdr:row>
                    <xdr:rowOff>0</xdr:rowOff>
                  </from>
                  <to>
                    <xdr:col>13</xdr:col>
                    <xdr:colOff>9525</xdr:colOff>
                    <xdr:row>5</xdr:row>
                    <xdr:rowOff>9525</xdr:rowOff>
                  </to>
                </anchor>
              </controlPr>
            </control>
          </mc:Choice>
        </mc:AlternateContent>
        <mc:AlternateContent xmlns:mc="http://schemas.openxmlformats.org/markup-compatibility/2006">
          <mc:Choice Requires="x14">
            <control shapeId="15701" r:id="rId245" name="Drop Down 341">
              <controlPr defaultSize="0" autoLine="0" autoPict="0">
                <anchor moveWithCells="1">
                  <from>
                    <xdr:col>12</xdr:col>
                    <xdr:colOff>0</xdr:colOff>
                    <xdr:row>4</xdr:row>
                    <xdr:rowOff>0</xdr:rowOff>
                  </from>
                  <to>
                    <xdr:col>13</xdr:col>
                    <xdr:colOff>9525</xdr:colOff>
                    <xdr:row>5</xdr:row>
                    <xdr:rowOff>9525</xdr:rowOff>
                  </to>
                </anchor>
              </controlPr>
            </control>
          </mc:Choice>
        </mc:AlternateContent>
        <mc:AlternateContent xmlns:mc="http://schemas.openxmlformats.org/markup-compatibility/2006">
          <mc:Choice Requires="x14">
            <control shapeId="15702" r:id="rId246" name="Drop Down 342">
              <controlPr defaultSize="0" autoLine="0" autoPict="0">
                <anchor moveWithCells="1">
                  <from>
                    <xdr:col>12</xdr:col>
                    <xdr:colOff>0</xdr:colOff>
                    <xdr:row>4</xdr:row>
                    <xdr:rowOff>0</xdr:rowOff>
                  </from>
                  <to>
                    <xdr:col>13</xdr:col>
                    <xdr:colOff>9525</xdr:colOff>
                    <xdr:row>5</xdr:row>
                    <xdr:rowOff>9525</xdr:rowOff>
                  </to>
                </anchor>
              </controlPr>
            </control>
          </mc:Choice>
        </mc:AlternateContent>
        <mc:AlternateContent xmlns:mc="http://schemas.openxmlformats.org/markup-compatibility/2006">
          <mc:Choice Requires="x14">
            <control shapeId="15703" r:id="rId247" name="Drop Down 343">
              <controlPr defaultSize="0" autoLine="0" autoPict="0">
                <anchor moveWithCells="1">
                  <from>
                    <xdr:col>12</xdr:col>
                    <xdr:colOff>0</xdr:colOff>
                    <xdr:row>5</xdr:row>
                    <xdr:rowOff>0</xdr:rowOff>
                  </from>
                  <to>
                    <xdr:col>13</xdr:col>
                    <xdr:colOff>9525</xdr:colOff>
                    <xdr:row>6</xdr:row>
                    <xdr:rowOff>9525</xdr:rowOff>
                  </to>
                </anchor>
              </controlPr>
            </control>
          </mc:Choice>
        </mc:AlternateContent>
        <mc:AlternateContent xmlns:mc="http://schemas.openxmlformats.org/markup-compatibility/2006">
          <mc:Choice Requires="x14">
            <control shapeId="15704" r:id="rId248" name="Drop Down 344">
              <controlPr defaultSize="0" autoLine="0" autoPict="0">
                <anchor moveWithCells="1">
                  <from>
                    <xdr:col>12</xdr:col>
                    <xdr:colOff>0</xdr:colOff>
                    <xdr:row>5</xdr:row>
                    <xdr:rowOff>0</xdr:rowOff>
                  </from>
                  <to>
                    <xdr:col>13</xdr:col>
                    <xdr:colOff>9525</xdr:colOff>
                    <xdr:row>6</xdr:row>
                    <xdr:rowOff>9525</xdr:rowOff>
                  </to>
                </anchor>
              </controlPr>
            </control>
          </mc:Choice>
        </mc:AlternateContent>
        <mc:AlternateContent xmlns:mc="http://schemas.openxmlformats.org/markup-compatibility/2006">
          <mc:Choice Requires="x14">
            <control shapeId="15705" r:id="rId249" name="Drop Down 345">
              <controlPr defaultSize="0" autoLine="0" autoPict="0">
                <anchor moveWithCells="1">
                  <from>
                    <xdr:col>12</xdr:col>
                    <xdr:colOff>0</xdr:colOff>
                    <xdr:row>5</xdr:row>
                    <xdr:rowOff>0</xdr:rowOff>
                  </from>
                  <to>
                    <xdr:col>13</xdr:col>
                    <xdr:colOff>9525</xdr:colOff>
                    <xdr:row>6</xdr:row>
                    <xdr:rowOff>9525</xdr:rowOff>
                  </to>
                </anchor>
              </controlPr>
            </control>
          </mc:Choice>
        </mc:AlternateContent>
        <mc:AlternateContent xmlns:mc="http://schemas.openxmlformats.org/markup-compatibility/2006">
          <mc:Choice Requires="x14">
            <control shapeId="15706" r:id="rId250" name="Drop Down 346">
              <controlPr defaultSize="0" autoLine="0" autoPict="0">
                <anchor moveWithCells="1">
                  <from>
                    <xdr:col>12</xdr:col>
                    <xdr:colOff>0</xdr:colOff>
                    <xdr:row>6</xdr:row>
                    <xdr:rowOff>0</xdr:rowOff>
                  </from>
                  <to>
                    <xdr:col>13</xdr:col>
                    <xdr:colOff>9525</xdr:colOff>
                    <xdr:row>7</xdr:row>
                    <xdr:rowOff>9525</xdr:rowOff>
                  </to>
                </anchor>
              </controlPr>
            </control>
          </mc:Choice>
        </mc:AlternateContent>
        <mc:AlternateContent xmlns:mc="http://schemas.openxmlformats.org/markup-compatibility/2006">
          <mc:Choice Requires="x14">
            <control shapeId="15707" r:id="rId251" name="Drop Down 347">
              <controlPr defaultSize="0" autoLine="0" autoPict="0">
                <anchor moveWithCells="1">
                  <from>
                    <xdr:col>12</xdr:col>
                    <xdr:colOff>0</xdr:colOff>
                    <xdr:row>6</xdr:row>
                    <xdr:rowOff>0</xdr:rowOff>
                  </from>
                  <to>
                    <xdr:col>13</xdr:col>
                    <xdr:colOff>9525</xdr:colOff>
                    <xdr:row>7</xdr:row>
                    <xdr:rowOff>9525</xdr:rowOff>
                  </to>
                </anchor>
              </controlPr>
            </control>
          </mc:Choice>
        </mc:AlternateContent>
        <mc:AlternateContent xmlns:mc="http://schemas.openxmlformats.org/markup-compatibility/2006">
          <mc:Choice Requires="x14">
            <control shapeId="15708" r:id="rId252" name="Drop Down 348">
              <controlPr defaultSize="0" autoLine="0" autoPict="0">
                <anchor moveWithCells="1">
                  <from>
                    <xdr:col>12</xdr:col>
                    <xdr:colOff>0</xdr:colOff>
                    <xdr:row>6</xdr:row>
                    <xdr:rowOff>0</xdr:rowOff>
                  </from>
                  <to>
                    <xdr:col>13</xdr:col>
                    <xdr:colOff>9525</xdr:colOff>
                    <xdr:row>7</xdr:row>
                    <xdr:rowOff>9525</xdr:rowOff>
                  </to>
                </anchor>
              </controlPr>
            </control>
          </mc:Choice>
        </mc:AlternateContent>
        <mc:AlternateContent xmlns:mc="http://schemas.openxmlformats.org/markup-compatibility/2006">
          <mc:Choice Requires="x14">
            <control shapeId="15709" r:id="rId253" name="Drop Down 349">
              <controlPr defaultSize="0" autoLine="0" autoPict="0">
                <anchor moveWithCells="1">
                  <from>
                    <xdr:col>12</xdr:col>
                    <xdr:colOff>0</xdr:colOff>
                    <xdr:row>7</xdr:row>
                    <xdr:rowOff>0</xdr:rowOff>
                  </from>
                  <to>
                    <xdr:col>13</xdr:col>
                    <xdr:colOff>9525</xdr:colOff>
                    <xdr:row>8</xdr:row>
                    <xdr:rowOff>9525</xdr:rowOff>
                  </to>
                </anchor>
              </controlPr>
            </control>
          </mc:Choice>
        </mc:AlternateContent>
        <mc:AlternateContent xmlns:mc="http://schemas.openxmlformats.org/markup-compatibility/2006">
          <mc:Choice Requires="x14">
            <control shapeId="15710" r:id="rId254" name="Drop Down 350">
              <controlPr defaultSize="0" autoLine="0" autoPict="0">
                <anchor moveWithCells="1">
                  <from>
                    <xdr:col>12</xdr:col>
                    <xdr:colOff>0</xdr:colOff>
                    <xdr:row>7</xdr:row>
                    <xdr:rowOff>0</xdr:rowOff>
                  </from>
                  <to>
                    <xdr:col>13</xdr:col>
                    <xdr:colOff>9525</xdr:colOff>
                    <xdr:row>8</xdr:row>
                    <xdr:rowOff>9525</xdr:rowOff>
                  </to>
                </anchor>
              </controlPr>
            </control>
          </mc:Choice>
        </mc:AlternateContent>
        <mc:AlternateContent xmlns:mc="http://schemas.openxmlformats.org/markup-compatibility/2006">
          <mc:Choice Requires="x14">
            <control shapeId="15711" r:id="rId255" name="Drop Down 351">
              <controlPr defaultSize="0" autoLine="0" autoPict="0">
                <anchor moveWithCells="1">
                  <from>
                    <xdr:col>12</xdr:col>
                    <xdr:colOff>0</xdr:colOff>
                    <xdr:row>7</xdr:row>
                    <xdr:rowOff>0</xdr:rowOff>
                  </from>
                  <to>
                    <xdr:col>13</xdr:col>
                    <xdr:colOff>9525</xdr:colOff>
                    <xdr:row>8</xdr:row>
                    <xdr:rowOff>9525</xdr:rowOff>
                  </to>
                </anchor>
              </controlPr>
            </control>
          </mc:Choice>
        </mc:AlternateContent>
        <mc:AlternateContent xmlns:mc="http://schemas.openxmlformats.org/markup-compatibility/2006">
          <mc:Choice Requires="x14">
            <control shapeId="15712" r:id="rId256" name="Drop Down 352">
              <controlPr defaultSize="0" autoLine="0" autoPict="0">
                <anchor moveWithCells="1">
                  <from>
                    <xdr:col>12</xdr:col>
                    <xdr:colOff>0</xdr:colOff>
                    <xdr:row>8</xdr:row>
                    <xdr:rowOff>0</xdr:rowOff>
                  </from>
                  <to>
                    <xdr:col>13</xdr:col>
                    <xdr:colOff>9525</xdr:colOff>
                    <xdr:row>9</xdr:row>
                    <xdr:rowOff>9525</xdr:rowOff>
                  </to>
                </anchor>
              </controlPr>
            </control>
          </mc:Choice>
        </mc:AlternateContent>
        <mc:AlternateContent xmlns:mc="http://schemas.openxmlformats.org/markup-compatibility/2006">
          <mc:Choice Requires="x14">
            <control shapeId="15713" r:id="rId257" name="Drop Down 353">
              <controlPr defaultSize="0" autoLine="0" autoPict="0">
                <anchor moveWithCells="1">
                  <from>
                    <xdr:col>12</xdr:col>
                    <xdr:colOff>0</xdr:colOff>
                    <xdr:row>8</xdr:row>
                    <xdr:rowOff>0</xdr:rowOff>
                  </from>
                  <to>
                    <xdr:col>13</xdr:col>
                    <xdr:colOff>9525</xdr:colOff>
                    <xdr:row>9</xdr:row>
                    <xdr:rowOff>9525</xdr:rowOff>
                  </to>
                </anchor>
              </controlPr>
            </control>
          </mc:Choice>
        </mc:AlternateContent>
        <mc:AlternateContent xmlns:mc="http://schemas.openxmlformats.org/markup-compatibility/2006">
          <mc:Choice Requires="x14">
            <control shapeId="15714" r:id="rId258" name="Drop Down 354">
              <controlPr defaultSize="0" autoLine="0" autoPict="0">
                <anchor moveWithCells="1">
                  <from>
                    <xdr:col>12</xdr:col>
                    <xdr:colOff>0</xdr:colOff>
                    <xdr:row>8</xdr:row>
                    <xdr:rowOff>0</xdr:rowOff>
                  </from>
                  <to>
                    <xdr:col>13</xdr:col>
                    <xdr:colOff>9525</xdr:colOff>
                    <xdr:row>9</xdr:row>
                    <xdr:rowOff>9525</xdr:rowOff>
                  </to>
                </anchor>
              </controlPr>
            </control>
          </mc:Choice>
        </mc:AlternateContent>
        <mc:AlternateContent xmlns:mc="http://schemas.openxmlformats.org/markup-compatibility/2006">
          <mc:Choice Requires="x14">
            <control shapeId="15715" r:id="rId259" name="Drop Down 355">
              <controlPr defaultSize="0" autoLine="0" autoPict="0">
                <anchor moveWithCells="1">
                  <from>
                    <xdr:col>12</xdr:col>
                    <xdr:colOff>0</xdr:colOff>
                    <xdr:row>9</xdr:row>
                    <xdr:rowOff>0</xdr:rowOff>
                  </from>
                  <to>
                    <xdr:col>13</xdr:col>
                    <xdr:colOff>9525</xdr:colOff>
                    <xdr:row>10</xdr:row>
                    <xdr:rowOff>9525</xdr:rowOff>
                  </to>
                </anchor>
              </controlPr>
            </control>
          </mc:Choice>
        </mc:AlternateContent>
        <mc:AlternateContent xmlns:mc="http://schemas.openxmlformats.org/markup-compatibility/2006">
          <mc:Choice Requires="x14">
            <control shapeId="15716" r:id="rId260" name="Drop Down 356">
              <controlPr defaultSize="0" autoLine="0" autoPict="0">
                <anchor moveWithCells="1">
                  <from>
                    <xdr:col>12</xdr:col>
                    <xdr:colOff>0</xdr:colOff>
                    <xdr:row>9</xdr:row>
                    <xdr:rowOff>0</xdr:rowOff>
                  </from>
                  <to>
                    <xdr:col>13</xdr:col>
                    <xdr:colOff>9525</xdr:colOff>
                    <xdr:row>10</xdr:row>
                    <xdr:rowOff>9525</xdr:rowOff>
                  </to>
                </anchor>
              </controlPr>
            </control>
          </mc:Choice>
        </mc:AlternateContent>
        <mc:AlternateContent xmlns:mc="http://schemas.openxmlformats.org/markup-compatibility/2006">
          <mc:Choice Requires="x14">
            <control shapeId="15717" r:id="rId261" name="Drop Down 357">
              <controlPr defaultSize="0" autoLine="0" autoPict="0">
                <anchor moveWithCells="1">
                  <from>
                    <xdr:col>12</xdr:col>
                    <xdr:colOff>0</xdr:colOff>
                    <xdr:row>9</xdr:row>
                    <xdr:rowOff>0</xdr:rowOff>
                  </from>
                  <to>
                    <xdr:col>13</xdr:col>
                    <xdr:colOff>9525</xdr:colOff>
                    <xdr:row>10</xdr:row>
                    <xdr:rowOff>9525</xdr:rowOff>
                  </to>
                </anchor>
              </controlPr>
            </control>
          </mc:Choice>
        </mc:AlternateContent>
        <mc:AlternateContent xmlns:mc="http://schemas.openxmlformats.org/markup-compatibility/2006">
          <mc:Choice Requires="x14">
            <control shapeId="15718" r:id="rId262" name="Drop Down 358">
              <controlPr defaultSize="0" autoLine="0" autoPict="0">
                <anchor moveWithCells="1">
                  <from>
                    <xdr:col>12</xdr:col>
                    <xdr:colOff>0</xdr:colOff>
                    <xdr:row>10</xdr:row>
                    <xdr:rowOff>0</xdr:rowOff>
                  </from>
                  <to>
                    <xdr:col>13</xdr:col>
                    <xdr:colOff>9525</xdr:colOff>
                    <xdr:row>11</xdr:row>
                    <xdr:rowOff>9525</xdr:rowOff>
                  </to>
                </anchor>
              </controlPr>
            </control>
          </mc:Choice>
        </mc:AlternateContent>
        <mc:AlternateContent xmlns:mc="http://schemas.openxmlformats.org/markup-compatibility/2006">
          <mc:Choice Requires="x14">
            <control shapeId="15719" r:id="rId263" name="Drop Down 359">
              <controlPr defaultSize="0" autoLine="0" autoPict="0">
                <anchor moveWithCells="1">
                  <from>
                    <xdr:col>12</xdr:col>
                    <xdr:colOff>0</xdr:colOff>
                    <xdr:row>10</xdr:row>
                    <xdr:rowOff>0</xdr:rowOff>
                  </from>
                  <to>
                    <xdr:col>13</xdr:col>
                    <xdr:colOff>9525</xdr:colOff>
                    <xdr:row>11</xdr:row>
                    <xdr:rowOff>9525</xdr:rowOff>
                  </to>
                </anchor>
              </controlPr>
            </control>
          </mc:Choice>
        </mc:AlternateContent>
        <mc:AlternateContent xmlns:mc="http://schemas.openxmlformats.org/markup-compatibility/2006">
          <mc:Choice Requires="x14">
            <control shapeId="15720" r:id="rId264" name="Drop Down 360">
              <controlPr defaultSize="0" autoLine="0" autoPict="0">
                <anchor moveWithCells="1">
                  <from>
                    <xdr:col>12</xdr:col>
                    <xdr:colOff>0</xdr:colOff>
                    <xdr:row>10</xdr:row>
                    <xdr:rowOff>0</xdr:rowOff>
                  </from>
                  <to>
                    <xdr:col>13</xdr:col>
                    <xdr:colOff>9525</xdr:colOff>
                    <xdr:row>11</xdr:row>
                    <xdr:rowOff>9525</xdr:rowOff>
                  </to>
                </anchor>
              </controlPr>
            </control>
          </mc:Choice>
        </mc:AlternateContent>
        <mc:AlternateContent xmlns:mc="http://schemas.openxmlformats.org/markup-compatibility/2006">
          <mc:Choice Requires="x14">
            <control shapeId="15721" r:id="rId265" name="Drop Down 361">
              <controlPr defaultSize="0" autoLine="0" autoPict="0">
                <anchor moveWithCells="1">
                  <from>
                    <xdr:col>12</xdr:col>
                    <xdr:colOff>0</xdr:colOff>
                    <xdr:row>11</xdr:row>
                    <xdr:rowOff>0</xdr:rowOff>
                  </from>
                  <to>
                    <xdr:col>13</xdr:col>
                    <xdr:colOff>9525</xdr:colOff>
                    <xdr:row>12</xdr:row>
                    <xdr:rowOff>9525</xdr:rowOff>
                  </to>
                </anchor>
              </controlPr>
            </control>
          </mc:Choice>
        </mc:AlternateContent>
        <mc:AlternateContent xmlns:mc="http://schemas.openxmlformats.org/markup-compatibility/2006">
          <mc:Choice Requires="x14">
            <control shapeId="15722" r:id="rId266" name="Drop Down 362">
              <controlPr defaultSize="0" autoLine="0" autoPict="0">
                <anchor moveWithCells="1">
                  <from>
                    <xdr:col>12</xdr:col>
                    <xdr:colOff>0</xdr:colOff>
                    <xdr:row>11</xdr:row>
                    <xdr:rowOff>0</xdr:rowOff>
                  </from>
                  <to>
                    <xdr:col>13</xdr:col>
                    <xdr:colOff>9525</xdr:colOff>
                    <xdr:row>12</xdr:row>
                    <xdr:rowOff>9525</xdr:rowOff>
                  </to>
                </anchor>
              </controlPr>
            </control>
          </mc:Choice>
        </mc:AlternateContent>
        <mc:AlternateContent xmlns:mc="http://schemas.openxmlformats.org/markup-compatibility/2006">
          <mc:Choice Requires="x14">
            <control shapeId="15723" r:id="rId267" name="Drop Down 363">
              <controlPr defaultSize="0" autoLine="0" autoPict="0">
                <anchor moveWithCells="1">
                  <from>
                    <xdr:col>12</xdr:col>
                    <xdr:colOff>0</xdr:colOff>
                    <xdr:row>11</xdr:row>
                    <xdr:rowOff>0</xdr:rowOff>
                  </from>
                  <to>
                    <xdr:col>13</xdr:col>
                    <xdr:colOff>9525</xdr:colOff>
                    <xdr:row>12</xdr:row>
                    <xdr:rowOff>9525</xdr:rowOff>
                  </to>
                </anchor>
              </controlPr>
            </control>
          </mc:Choice>
        </mc:AlternateContent>
        <mc:AlternateContent xmlns:mc="http://schemas.openxmlformats.org/markup-compatibility/2006">
          <mc:Choice Requires="x14">
            <control shapeId="15724" r:id="rId268" name="Drop Down 364">
              <controlPr defaultSize="0" autoLine="0" autoPict="0">
                <anchor moveWithCells="1">
                  <from>
                    <xdr:col>12</xdr:col>
                    <xdr:colOff>0</xdr:colOff>
                    <xdr:row>12</xdr:row>
                    <xdr:rowOff>0</xdr:rowOff>
                  </from>
                  <to>
                    <xdr:col>13</xdr:col>
                    <xdr:colOff>9525</xdr:colOff>
                    <xdr:row>13</xdr:row>
                    <xdr:rowOff>9525</xdr:rowOff>
                  </to>
                </anchor>
              </controlPr>
            </control>
          </mc:Choice>
        </mc:AlternateContent>
        <mc:AlternateContent xmlns:mc="http://schemas.openxmlformats.org/markup-compatibility/2006">
          <mc:Choice Requires="x14">
            <control shapeId="15725" r:id="rId269" name="Drop Down 365">
              <controlPr defaultSize="0" autoLine="0" autoPict="0">
                <anchor moveWithCells="1">
                  <from>
                    <xdr:col>12</xdr:col>
                    <xdr:colOff>0</xdr:colOff>
                    <xdr:row>12</xdr:row>
                    <xdr:rowOff>0</xdr:rowOff>
                  </from>
                  <to>
                    <xdr:col>13</xdr:col>
                    <xdr:colOff>9525</xdr:colOff>
                    <xdr:row>13</xdr:row>
                    <xdr:rowOff>9525</xdr:rowOff>
                  </to>
                </anchor>
              </controlPr>
            </control>
          </mc:Choice>
        </mc:AlternateContent>
        <mc:AlternateContent xmlns:mc="http://schemas.openxmlformats.org/markup-compatibility/2006">
          <mc:Choice Requires="x14">
            <control shapeId="15726" r:id="rId270" name="Drop Down 366">
              <controlPr defaultSize="0" autoLine="0" autoPict="0">
                <anchor moveWithCells="1">
                  <from>
                    <xdr:col>12</xdr:col>
                    <xdr:colOff>0</xdr:colOff>
                    <xdr:row>12</xdr:row>
                    <xdr:rowOff>0</xdr:rowOff>
                  </from>
                  <to>
                    <xdr:col>13</xdr:col>
                    <xdr:colOff>9525</xdr:colOff>
                    <xdr:row>13</xdr:row>
                    <xdr:rowOff>9525</xdr:rowOff>
                  </to>
                </anchor>
              </controlPr>
            </control>
          </mc:Choice>
        </mc:AlternateContent>
        <mc:AlternateContent xmlns:mc="http://schemas.openxmlformats.org/markup-compatibility/2006">
          <mc:Choice Requires="x14">
            <control shapeId="15727" r:id="rId271" name="Drop Down 367">
              <controlPr defaultSize="0" autoLine="0" autoPict="0">
                <anchor moveWithCells="1">
                  <from>
                    <xdr:col>12</xdr:col>
                    <xdr:colOff>0</xdr:colOff>
                    <xdr:row>13</xdr:row>
                    <xdr:rowOff>0</xdr:rowOff>
                  </from>
                  <to>
                    <xdr:col>13</xdr:col>
                    <xdr:colOff>9525</xdr:colOff>
                    <xdr:row>14</xdr:row>
                    <xdr:rowOff>9525</xdr:rowOff>
                  </to>
                </anchor>
              </controlPr>
            </control>
          </mc:Choice>
        </mc:AlternateContent>
        <mc:AlternateContent xmlns:mc="http://schemas.openxmlformats.org/markup-compatibility/2006">
          <mc:Choice Requires="x14">
            <control shapeId="15728" r:id="rId272" name="Drop Down 368">
              <controlPr defaultSize="0" autoLine="0" autoPict="0">
                <anchor moveWithCells="1">
                  <from>
                    <xdr:col>12</xdr:col>
                    <xdr:colOff>0</xdr:colOff>
                    <xdr:row>13</xdr:row>
                    <xdr:rowOff>0</xdr:rowOff>
                  </from>
                  <to>
                    <xdr:col>13</xdr:col>
                    <xdr:colOff>9525</xdr:colOff>
                    <xdr:row>14</xdr:row>
                    <xdr:rowOff>9525</xdr:rowOff>
                  </to>
                </anchor>
              </controlPr>
            </control>
          </mc:Choice>
        </mc:AlternateContent>
        <mc:AlternateContent xmlns:mc="http://schemas.openxmlformats.org/markup-compatibility/2006">
          <mc:Choice Requires="x14">
            <control shapeId="15729" r:id="rId273" name="Drop Down 369">
              <controlPr defaultSize="0" autoLine="0" autoPict="0">
                <anchor moveWithCells="1">
                  <from>
                    <xdr:col>12</xdr:col>
                    <xdr:colOff>0</xdr:colOff>
                    <xdr:row>13</xdr:row>
                    <xdr:rowOff>0</xdr:rowOff>
                  </from>
                  <to>
                    <xdr:col>13</xdr:col>
                    <xdr:colOff>9525</xdr:colOff>
                    <xdr:row>14</xdr:row>
                    <xdr:rowOff>9525</xdr:rowOff>
                  </to>
                </anchor>
              </controlPr>
            </control>
          </mc:Choice>
        </mc:AlternateContent>
        <mc:AlternateContent xmlns:mc="http://schemas.openxmlformats.org/markup-compatibility/2006">
          <mc:Choice Requires="x14">
            <control shapeId="15730" r:id="rId274" name="Drop Down 370">
              <controlPr defaultSize="0" autoLine="0" autoPict="0">
                <anchor moveWithCells="1">
                  <from>
                    <xdr:col>12</xdr:col>
                    <xdr:colOff>0</xdr:colOff>
                    <xdr:row>14</xdr:row>
                    <xdr:rowOff>0</xdr:rowOff>
                  </from>
                  <to>
                    <xdr:col>13</xdr:col>
                    <xdr:colOff>9525</xdr:colOff>
                    <xdr:row>15</xdr:row>
                    <xdr:rowOff>9525</xdr:rowOff>
                  </to>
                </anchor>
              </controlPr>
            </control>
          </mc:Choice>
        </mc:AlternateContent>
        <mc:AlternateContent xmlns:mc="http://schemas.openxmlformats.org/markup-compatibility/2006">
          <mc:Choice Requires="x14">
            <control shapeId="15731" r:id="rId275" name="Drop Down 371">
              <controlPr defaultSize="0" autoLine="0" autoPict="0">
                <anchor moveWithCells="1">
                  <from>
                    <xdr:col>12</xdr:col>
                    <xdr:colOff>0</xdr:colOff>
                    <xdr:row>14</xdr:row>
                    <xdr:rowOff>0</xdr:rowOff>
                  </from>
                  <to>
                    <xdr:col>13</xdr:col>
                    <xdr:colOff>9525</xdr:colOff>
                    <xdr:row>15</xdr:row>
                    <xdr:rowOff>9525</xdr:rowOff>
                  </to>
                </anchor>
              </controlPr>
            </control>
          </mc:Choice>
        </mc:AlternateContent>
        <mc:AlternateContent xmlns:mc="http://schemas.openxmlformats.org/markup-compatibility/2006">
          <mc:Choice Requires="x14">
            <control shapeId="15732" r:id="rId276" name="Drop Down 372">
              <controlPr defaultSize="0" autoLine="0" autoPict="0">
                <anchor moveWithCells="1">
                  <from>
                    <xdr:col>12</xdr:col>
                    <xdr:colOff>0</xdr:colOff>
                    <xdr:row>14</xdr:row>
                    <xdr:rowOff>0</xdr:rowOff>
                  </from>
                  <to>
                    <xdr:col>13</xdr:col>
                    <xdr:colOff>9525</xdr:colOff>
                    <xdr:row>15</xdr:row>
                    <xdr:rowOff>9525</xdr:rowOff>
                  </to>
                </anchor>
              </controlPr>
            </control>
          </mc:Choice>
        </mc:AlternateContent>
        <mc:AlternateContent xmlns:mc="http://schemas.openxmlformats.org/markup-compatibility/2006">
          <mc:Choice Requires="x14">
            <control shapeId="15733" r:id="rId277" name="Drop Down 373">
              <controlPr defaultSize="0" autoLine="0" autoPict="0">
                <anchor moveWithCells="1">
                  <from>
                    <xdr:col>12</xdr:col>
                    <xdr:colOff>0</xdr:colOff>
                    <xdr:row>15</xdr:row>
                    <xdr:rowOff>0</xdr:rowOff>
                  </from>
                  <to>
                    <xdr:col>13</xdr:col>
                    <xdr:colOff>9525</xdr:colOff>
                    <xdr:row>16</xdr:row>
                    <xdr:rowOff>9525</xdr:rowOff>
                  </to>
                </anchor>
              </controlPr>
            </control>
          </mc:Choice>
        </mc:AlternateContent>
        <mc:AlternateContent xmlns:mc="http://schemas.openxmlformats.org/markup-compatibility/2006">
          <mc:Choice Requires="x14">
            <control shapeId="15734" r:id="rId278" name="Drop Down 374">
              <controlPr defaultSize="0" autoLine="0" autoPict="0">
                <anchor moveWithCells="1">
                  <from>
                    <xdr:col>12</xdr:col>
                    <xdr:colOff>0</xdr:colOff>
                    <xdr:row>15</xdr:row>
                    <xdr:rowOff>0</xdr:rowOff>
                  </from>
                  <to>
                    <xdr:col>13</xdr:col>
                    <xdr:colOff>9525</xdr:colOff>
                    <xdr:row>16</xdr:row>
                    <xdr:rowOff>9525</xdr:rowOff>
                  </to>
                </anchor>
              </controlPr>
            </control>
          </mc:Choice>
        </mc:AlternateContent>
        <mc:AlternateContent xmlns:mc="http://schemas.openxmlformats.org/markup-compatibility/2006">
          <mc:Choice Requires="x14">
            <control shapeId="15735" r:id="rId279" name="Drop Down 375">
              <controlPr defaultSize="0" autoLine="0" autoPict="0">
                <anchor moveWithCells="1">
                  <from>
                    <xdr:col>12</xdr:col>
                    <xdr:colOff>0</xdr:colOff>
                    <xdr:row>15</xdr:row>
                    <xdr:rowOff>0</xdr:rowOff>
                  </from>
                  <to>
                    <xdr:col>13</xdr:col>
                    <xdr:colOff>9525</xdr:colOff>
                    <xdr:row>16</xdr:row>
                    <xdr:rowOff>9525</xdr:rowOff>
                  </to>
                </anchor>
              </controlPr>
            </control>
          </mc:Choice>
        </mc:AlternateContent>
        <mc:AlternateContent xmlns:mc="http://schemas.openxmlformats.org/markup-compatibility/2006">
          <mc:Choice Requires="x14">
            <control shapeId="15736" r:id="rId280" name="Drop Down 376">
              <controlPr defaultSize="0" autoLine="0" autoPict="0">
                <anchor moveWithCells="1">
                  <from>
                    <xdr:col>12</xdr:col>
                    <xdr:colOff>0</xdr:colOff>
                    <xdr:row>16</xdr:row>
                    <xdr:rowOff>0</xdr:rowOff>
                  </from>
                  <to>
                    <xdr:col>13</xdr:col>
                    <xdr:colOff>9525</xdr:colOff>
                    <xdr:row>17</xdr:row>
                    <xdr:rowOff>9525</xdr:rowOff>
                  </to>
                </anchor>
              </controlPr>
            </control>
          </mc:Choice>
        </mc:AlternateContent>
        <mc:AlternateContent xmlns:mc="http://schemas.openxmlformats.org/markup-compatibility/2006">
          <mc:Choice Requires="x14">
            <control shapeId="15737" r:id="rId281" name="Drop Down 377">
              <controlPr defaultSize="0" autoLine="0" autoPict="0">
                <anchor moveWithCells="1">
                  <from>
                    <xdr:col>12</xdr:col>
                    <xdr:colOff>0</xdr:colOff>
                    <xdr:row>16</xdr:row>
                    <xdr:rowOff>0</xdr:rowOff>
                  </from>
                  <to>
                    <xdr:col>13</xdr:col>
                    <xdr:colOff>9525</xdr:colOff>
                    <xdr:row>17</xdr:row>
                    <xdr:rowOff>9525</xdr:rowOff>
                  </to>
                </anchor>
              </controlPr>
            </control>
          </mc:Choice>
        </mc:AlternateContent>
        <mc:AlternateContent xmlns:mc="http://schemas.openxmlformats.org/markup-compatibility/2006">
          <mc:Choice Requires="x14">
            <control shapeId="15738" r:id="rId282" name="Drop Down 378">
              <controlPr defaultSize="0" autoLine="0" autoPict="0">
                <anchor moveWithCells="1">
                  <from>
                    <xdr:col>12</xdr:col>
                    <xdr:colOff>0</xdr:colOff>
                    <xdr:row>16</xdr:row>
                    <xdr:rowOff>0</xdr:rowOff>
                  </from>
                  <to>
                    <xdr:col>13</xdr:col>
                    <xdr:colOff>9525</xdr:colOff>
                    <xdr:row>17</xdr:row>
                    <xdr:rowOff>9525</xdr:rowOff>
                  </to>
                </anchor>
              </controlPr>
            </control>
          </mc:Choice>
        </mc:AlternateContent>
        <mc:AlternateContent xmlns:mc="http://schemas.openxmlformats.org/markup-compatibility/2006">
          <mc:Choice Requires="x14">
            <control shapeId="15739" r:id="rId283" name="Drop Down 379">
              <controlPr defaultSize="0" autoLine="0" autoPict="0">
                <anchor moveWithCells="1">
                  <from>
                    <xdr:col>12</xdr:col>
                    <xdr:colOff>0</xdr:colOff>
                    <xdr:row>17</xdr:row>
                    <xdr:rowOff>0</xdr:rowOff>
                  </from>
                  <to>
                    <xdr:col>13</xdr:col>
                    <xdr:colOff>9525</xdr:colOff>
                    <xdr:row>18</xdr:row>
                    <xdr:rowOff>9525</xdr:rowOff>
                  </to>
                </anchor>
              </controlPr>
            </control>
          </mc:Choice>
        </mc:AlternateContent>
        <mc:AlternateContent xmlns:mc="http://schemas.openxmlformats.org/markup-compatibility/2006">
          <mc:Choice Requires="x14">
            <control shapeId="15740" r:id="rId284" name="Drop Down 380">
              <controlPr defaultSize="0" autoLine="0" autoPict="0">
                <anchor moveWithCells="1">
                  <from>
                    <xdr:col>12</xdr:col>
                    <xdr:colOff>0</xdr:colOff>
                    <xdr:row>17</xdr:row>
                    <xdr:rowOff>0</xdr:rowOff>
                  </from>
                  <to>
                    <xdr:col>13</xdr:col>
                    <xdr:colOff>9525</xdr:colOff>
                    <xdr:row>18</xdr:row>
                    <xdr:rowOff>9525</xdr:rowOff>
                  </to>
                </anchor>
              </controlPr>
            </control>
          </mc:Choice>
        </mc:AlternateContent>
        <mc:AlternateContent xmlns:mc="http://schemas.openxmlformats.org/markup-compatibility/2006">
          <mc:Choice Requires="x14">
            <control shapeId="15741" r:id="rId285" name="Drop Down 381">
              <controlPr defaultSize="0" autoLine="0" autoPict="0">
                <anchor moveWithCells="1">
                  <from>
                    <xdr:col>12</xdr:col>
                    <xdr:colOff>0</xdr:colOff>
                    <xdr:row>17</xdr:row>
                    <xdr:rowOff>0</xdr:rowOff>
                  </from>
                  <to>
                    <xdr:col>13</xdr:col>
                    <xdr:colOff>9525</xdr:colOff>
                    <xdr:row>18</xdr:row>
                    <xdr:rowOff>9525</xdr:rowOff>
                  </to>
                </anchor>
              </controlPr>
            </control>
          </mc:Choice>
        </mc:AlternateContent>
        <mc:AlternateContent xmlns:mc="http://schemas.openxmlformats.org/markup-compatibility/2006">
          <mc:Choice Requires="x14">
            <control shapeId="15742" r:id="rId286" name="Drop Down 382">
              <controlPr defaultSize="0" autoLine="0" autoPict="0">
                <anchor moveWithCells="1">
                  <from>
                    <xdr:col>12</xdr:col>
                    <xdr:colOff>0</xdr:colOff>
                    <xdr:row>18</xdr:row>
                    <xdr:rowOff>0</xdr:rowOff>
                  </from>
                  <to>
                    <xdr:col>13</xdr:col>
                    <xdr:colOff>9525</xdr:colOff>
                    <xdr:row>19</xdr:row>
                    <xdr:rowOff>9525</xdr:rowOff>
                  </to>
                </anchor>
              </controlPr>
            </control>
          </mc:Choice>
        </mc:AlternateContent>
        <mc:AlternateContent xmlns:mc="http://schemas.openxmlformats.org/markup-compatibility/2006">
          <mc:Choice Requires="x14">
            <control shapeId="15743" r:id="rId287" name="Drop Down 383">
              <controlPr defaultSize="0" autoLine="0" autoPict="0">
                <anchor moveWithCells="1">
                  <from>
                    <xdr:col>12</xdr:col>
                    <xdr:colOff>0</xdr:colOff>
                    <xdr:row>18</xdr:row>
                    <xdr:rowOff>0</xdr:rowOff>
                  </from>
                  <to>
                    <xdr:col>13</xdr:col>
                    <xdr:colOff>9525</xdr:colOff>
                    <xdr:row>19</xdr:row>
                    <xdr:rowOff>9525</xdr:rowOff>
                  </to>
                </anchor>
              </controlPr>
            </control>
          </mc:Choice>
        </mc:AlternateContent>
        <mc:AlternateContent xmlns:mc="http://schemas.openxmlformats.org/markup-compatibility/2006">
          <mc:Choice Requires="x14">
            <control shapeId="15744" r:id="rId288" name="Drop Down 384">
              <controlPr defaultSize="0" autoLine="0" autoPict="0">
                <anchor moveWithCells="1">
                  <from>
                    <xdr:col>12</xdr:col>
                    <xdr:colOff>0</xdr:colOff>
                    <xdr:row>18</xdr:row>
                    <xdr:rowOff>0</xdr:rowOff>
                  </from>
                  <to>
                    <xdr:col>13</xdr:col>
                    <xdr:colOff>9525</xdr:colOff>
                    <xdr:row>19</xdr:row>
                    <xdr:rowOff>9525</xdr:rowOff>
                  </to>
                </anchor>
              </controlPr>
            </control>
          </mc:Choice>
        </mc:AlternateContent>
        <mc:AlternateContent xmlns:mc="http://schemas.openxmlformats.org/markup-compatibility/2006">
          <mc:Choice Requires="x14">
            <control shapeId="15745" r:id="rId289" name="Drop Down 385">
              <controlPr defaultSize="0" autoLine="0" autoPict="0">
                <anchor moveWithCells="1">
                  <from>
                    <xdr:col>12</xdr:col>
                    <xdr:colOff>0</xdr:colOff>
                    <xdr:row>19</xdr:row>
                    <xdr:rowOff>0</xdr:rowOff>
                  </from>
                  <to>
                    <xdr:col>13</xdr:col>
                    <xdr:colOff>9525</xdr:colOff>
                    <xdr:row>20</xdr:row>
                    <xdr:rowOff>9525</xdr:rowOff>
                  </to>
                </anchor>
              </controlPr>
            </control>
          </mc:Choice>
        </mc:AlternateContent>
        <mc:AlternateContent xmlns:mc="http://schemas.openxmlformats.org/markup-compatibility/2006">
          <mc:Choice Requires="x14">
            <control shapeId="15746" r:id="rId290" name="Drop Down 386">
              <controlPr defaultSize="0" autoLine="0" autoPict="0">
                <anchor moveWithCells="1">
                  <from>
                    <xdr:col>12</xdr:col>
                    <xdr:colOff>0</xdr:colOff>
                    <xdr:row>19</xdr:row>
                    <xdr:rowOff>0</xdr:rowOff>
                  </from>
                  <to>
                    <xdr:col>13</xdr:col>
                    <xdr:colOff>9525</xdr:colOff>
                    <xdr:row>20</xdr:row>
                    <xdr:rowOff>9525</xdr:rowOff>
                  </to>
                </anchor>
              </controlPr>
            </control>
          </mc:Choice>
        </mc:AlternateContent>
        <mc:AlternateContent xmlns:mc="http://schemas.openxmlformats.org/markup-compatibility/2006">
          <mc:Choice Requires="x14">
            <control shapeId="15747" r:id="rId291" name="Drop Down 387">
              <controlPr defaultSize="0" autoLine="0" autoPict="0">
                <anchor moveWithCells="1">
                  <from>
                    <xdr:col>12</xdr:col>
                    <xdr:colOff>0</xdr:colOff>
                    <xdr:row>19</xdr:row>
                    <xdr:rowOff>0</xdr:rowOff>
                  </from>
                  <to>
                    <xdr:col>13</xdr:col>
                    <xdr:colOff>9525</xdr:colOff>
                    <xdr:row>20</xdr:row>
                    <xdr:rowOff>9525</xdr:rowOff>
                  </to>
                </anchor>
              </controlPr>
            </control>
          </mc:Choice>
        </mc:AlternateContent>
        <mc:AlternateContent xmlns:mc="http://schemas.openxmlformats.org/markup-compatibility/2006">
          <mc:Choice Requires="x14">
            <control shapeId="15748" r:id="rId292" name="Drop Down 388">
              <controlPr defaultSize="0" autoLine="0" autoPict="0">
                <anchor moveWithCells="1">
                  <from>
                    <xdr:col>12</xdr:col>
                    <xdr:colOff>0</xdr:colOff>
                    <xdr:row>20</xdr:row>
                    <xdr:rowOff>0</xdr:rowOff>
                  </from>
                  <to>
                    <xdr:col>13</xdr:col>
                    <xdr:colOff>9525</xdr:colOff>
                    <xdr:row>21</xdr:row>
                    <xdr:rowOff>9525</xdr:rowOff>
                  </to>
                </anchor>
              </controlPr>
            </control>
          </mc:Choice>
        </mc:AlternateContent>
        <mc:AlternateContent xmlns:mc="http://schemas.openxmlformats.org/markup-compatibility/2006">
          <mc:Choice Requires="x14">
            <control shapeId="15749" r:id="rId293" name="Drop Down 389">
              <controlPr defaultSize="0" autoLine="0" autoPict="0">
                <anchor moveWithCells="1">
                  <from>
                    <xdr:col>12</xdr:col>
                    <xdr:colOff>0</xdr:colOff>
                    <xdr:row>20</xdr:row>
                    <xdr:rowOff>0</xdr:rowOff>
                  </from>
                  <to>
                    <xdr:col>13</xdr:col>
                    <xdr:colOff>9525</xdr:colOff>
                    <xdr:row>21</xdr:row>
                    <xdr:rowOff>9525</xdr:rowOff>
                  </to>
                </anchor>
              </controlPr>
            </control>
          </mc:Choice>
        </mc:AlternateContent>
        <mc:AlternateContent xmlns:mc="http://schemas.openxmlformats.org/markup-compatibility/2006">
          <mc:Choice Requires="x14">
            <control shapeId="15750" r:id="rId294" name="Drop Down 390">
              <controlPr defaultSize="0" autoLine="0" autoPict="0">
                <anchor moveWithCells="1">
                  <from>
                    <xdr:col>12</xdr:col>
                    <xdr:colOff>0</xdr:colOff>
                    <xdr:row>20</xdr:row>
                    <xdr:rowOff>0</xdr:rowOff>
                  </from>
                  <to>
                    <xdr:col>13</xdr:col>
                    <xdr:colOff>9525</xdr:colOff>
                    <xdr:row>21</xdr:row>
                    <xdr:rowOff>9525</xdr:rowOff>
                  </to>
                </anchor>
              </controlPr>
            </control>
          </mc:Choice>
        </mc:AlternateContent>
        <mc:AlternateContent xmlns:mc="http://schemas.openxmlformats.org/markup-compatibility/2006">
          <mc:Choice Requires="x14">
            <control shapeId="15751" r:id="rId295" name="Drop Down 391">
              <controlPr defaultSize="0" autoLine="0" autoPict="0">
                <anchor moveWithCells="1">
                  <from>
                    <xdr:col>12</xdr:col>
                    <xdr:colOff>0</xdr:colOff>
                    <xdr:row>21</xdr:row>
                    <xdr:rowOff>0</xdr:rowOff>
                  </from>
                  <to>
                    <xdr:col>13</xdr:col>
                    <xdr:colOff>9525</xdr:colOff>
                    <xdr:row>22</xdr:row>
                    <xdr:rowOff>9525</xdr:rowOff>
                  </to>
                </anchor>
              </controlPr>
            </control>
          </mc:Choice>
        </mc:AlternateContent>
        <mc:AlternateContent xmlns:mc="http://schemas.openxmlformats.org/markup-compatibility/2006">
          <mc:Choice Requires="x14">
            <control shapeId="15752" r:id="rId296" name="Drop Down 392">
              <controlPr defaultSize="0" autoLine="0" autoPict="0">
                <anchor moveWithCells="1">
                  <from>
                    <xdr:col>12</xdr:col>
                    <xdr:colOff>0</xdr:colOff>
                    <xdr:row>21</xdr:row>
                    <xdr:rowOff>0</xdr:rowOff>
                  </from>
                  <to>
                    <xdr:col>13</xdr:col>
                    <xdr:colOff>9525</xdr:colOff>
                    <xdr:row>22</xdr:row>
                    <xdr:rowOff>9525</xdr:rowOff>
                  </to>
                </anchor>
              </controlPr>
            </control>
          </mc:Choice>
        </mc:AlternateContent>
        <mc:AlternateContent xmlns:mc="http://schemas.openxmlformats.org/markup-compatibility/2006">
          <mc:Choice Requires="x14">
            <control shapeId="15753" r:id="rId297" name="Drop Down 393">
              <controlPr defaultSize="0" autoLine="0" autoPict="0">
                <anchor moveWithCells="1">
                  <from>
                    <xdr:col>12</xdr:col>
                    <xdr:colOff>0</xdr:colOff>
                    <xdr:row>21</xdr:row>
                    <xdr:rowOff>0</xdr:rowOff>
                  </from>
                  <to>
                    <xdr:col>13</xdr:col>
                    <xdr:colOff>9525</xdr:colOff>
                    <xdr:row>22</xdr:row>
                    <xdr:rowOff>9525</xdr:rowOff>
                  </to>
                </anchor>
              </controlPr>
            </control>
          </mc:Choice>
        </mc:AlternateContent>
        <mc:AlternateContent xmlns:mc="http://schemas.openxmlformats.org/markup-compatibility/2006">
          <mc:Choice Requires="x14">
            <control shapeId="15754" r:id="rId298" name="Drop Down 394">
              <controlPr defaultSize="0" autoLine="0" autoPict="0">
                <anchor moveWithCells="1">
                  <from>
                    <xdr:col>12</xdr:col>
                    <xdr:colOff>0</xdr:colOff>
                    <xdr:row>22</xdr:row>
                    <xdr:rowOff>0</xdr:rowOff>
                  </from>
                  <to>
                    <xdr:col>13</xdr:col>
                    <xdr:colOff>9525</xdr:colOff>
                    <xdr:row>23</xdr:row>
                    <xdr:rowOff>9525</xdr:rowOff>
                  </to>
                </anchor>
              </controlPr>
            </control>
          </mc:Choice>
        </mc:AlternateContent>
        <mc:AlternateContent xmlns:mc="http://schemas.openxmlformats.org/markup-compatibility/2006">
          <mc:Choice Requires="x14">
            <control shapeId="15755" r:id="rId299" name="Drop Down 395">
              <controlPr defaultSize="0" autoLine="0" autoPict="0">
                <anchor moveWithCells="1">
                  <from>
                    <xdr:col>12</xdr:col>
                    <xdr:colOff>0</xdr:colOff>
                    <xdr:row>22</xdr:row>
                    <xdr:rowOff>0</xdr:rowOff>
                  </from>
                  <to>
                    <xdr:col>13</xdr:col>
                    <xdr:colOff>9525</xdr:colOff>
                    <xdr:row>23</xdr:row>
                    <xdr:rowOff>9525</xdr:rowOff>
                  </to>
                </anchor>
              </controlPr>
            </control>
          </mc:Choice>
        </mc:AlternateContent>
        <mc:AlternateContent xmlns:mc="http://schemas.openxmlformats.org/markup-compatibility/2006">
          <mc:Choice Requires="x14">
            <control shapeId="15756" r:id="rId300" name="Drop Down 396">
              <controlPr defaultSize="0" autoLine="0" autoPict="0">
                <anchor moveWithCells="1">
                  <from>
                    <xdr:col>12</xdr:col>
                    <xdr:colOff>0</xdr:colOff>
                    <xdr:row>22</xdr:row>
                    <xdr:rowOff>0</xdr:rowOff>
                  </from>
                  <to>
                    <xdr:col>13</xdr:col>
                    <xdr:colOff>9525</xdr:colOff>
                    <xdr:row>23</xdr:row>
                    <xdr:rowOff>9525</xdr:rowOff>
                  </to>
                </anchor>
              </controlPr>
            </control>
          </mc:Choice>
        </mc:AlternateContent>
        <mc:AlternateContent xmlns:mc="http://schemas.openxmlformats.org/markup-compatibility/2006">
          <mc:Choice Requires="x14">
            <control shapeId="15757" r:id="rId301" name="Drop Down 397">
              <controlPr defaultSize="0" autoLine="0" autoPict="0">
                <anchor moveWithCells="1">
                  <from>
                    <xdr:col>12</xdr:col>
                    <xdr:colOff>0</xdr:colOff>
                    <xdr:row>23</xdr:row>
                    <xdr:rowOff>0</xdr:rowOff>
                  </from>
                  <to>
                    <xdr:col>13</xdr:col>
                    <xdr:colOff>9525</xdr:colOff>
                    <xdr:row>24</xdr:row>
                    <xdr:rowOff>9525</xdr:rowOff>
                  </to>
                </anchor>
              </controlPr>
            </control>
          </mc:Choice>
        </mc:AlternateContent>
        <mc:AlternateContent xmlns:mc="http://schemas.openxmlformats.org/markup-compatibility/2006">
          <mc:Choice Requires="x14">
            <control shapeId="15758" r:id="rId302" name="Drop Down 398">
              <controlPr defaultSize="0" autoLine="0" autoPict="0">
                <anchor moveWithCells="1">
                  <from>
                    <xdr:col>12</xdr:col>
                    <xdr:colOff>0</xdr:colOff>
                    <xdr:row>23</xdr:row>
                    <xdr:rowOff>0</xdr:rowOff>
                  </from>
                  <to>
                    <xdr:col>13</xdr:col>
                    <xdr:colOff>9525</xdr:colOff>
                    <xdr:row>24</xdr:row>
                    <xdr:rowOff>9525</xdr:rowOff>
                  </to>
                </anchor>
              </controlPr>
            </control>
          </mc:Choice>
        </mc:AlternateContent>
        <mc:AlternateContent xmlns:mc="http://schemas.openxmlformats.org/markup-compatibility/2006">
          <mc:Choice Requires="x14">
            <control shapeId="15759" r:id="rId303" name="Drop Down 399">
              <controlPr defaultSize="0" autoLine="0" autoPict="0">
                <anchor moveWithCells="1">
                  <from>
                    <xdr:col>12</xdr:col>
                    <xdr:colOff>0</xdr:colOff>
                    <xdr:row>23</xdr:row>
                    <xdr:rowOff>0</xdr:rowOff>
                  </from>
                  <to>
                    <xdr:col>13</xdr:col>
                    <xdr:colOff>9525</xdr:colOff>
                    <xdr:row>24</xdr:row>
                    <xdr:rowOff>9525</xdr:rowOff>
                  </to>
                </anchor>
              </controlPr>
            </control>
          </mc:Choice>
        </mc:AlternateContent>
        <mc:AlternateContent xmlns:mc="http://schemas.openxmlformats.org/markup-compatibility/2006">
          <mc:Choice Requires="x14">
            <control shapeId="15760" r:id="rId304" name="Drop Down 400">
              <controlPr defaultSize="0" autoLine="0" autoPict="0">
                <anchor moveWithCells="1">
                  <from>
                    <xdr:col>12</xdr:col>
                    <xdr:colOff>0</xdr:colOff>
                    <xdr:row>24</xdr:row>
                    <xdr:rowOff>0</xdr:rowOff>
                  </from>
                  <to>
                    <xdr:col>13</xdr:col>
                    <xdr:colOff>9525</xdr:colOff>
                    <xdr:row>25</xdr:row>
                    <xdr:rowOff>9525</xdr:rowOff>
                  </to>
                </anchor>
              </controlPr>
            </control>
          </mc:Choice>
        </mc:AlternateContent>
        <mc:AlternateContent xmlns:mc="http://schemas.openxmlformats.org/markup-compatibility/2006">
          <mc:Choice Requires="x14">
            <control shapeId="15761" r:id="rId305" name="Drop Down 401">
              <controlPr defaultSize="0" autoLine="0" autoPict="0">
                <anchor moveWithCells="1">
                  <from>
                    <xdr:col>12</xdr:col>
                    <xdr:colOff>0</xdr:colOff>
                    <xdr:row>24</xdr:row>
                    <xdr:rowOff>0</xdr:rowOff>
                  </from>
                  <to>
                    <xdr:col>13</xdr:col>
                    <xdr:colOff>9525</xdr:colOff>
                    <xdr:row>25</xdr:row>
                    <xdr:rowOff>9525</xdr:rowOff>
                  </to>
                </anchor>
              </controlPr>
            </control>
          </mc:Choice>
        </mc:AlternateContent>
        <mc:AlternateContent xmlns:mc="http://schemas.openxmlformats.org/markup-compatibility/2006">
          <mc:Choice Requires="x14">
            <control shapeId="15762" r:id="rId306" name="Drop Down 402">
              <controlPr defaultSize="0" autoLine="0" autoPict="0">
                <anchor moveWithCells="1">
                  <from>
                    <xdr:col>12</xdr:col>
                    <xdr:colOff>0</xdr:colOff>
                    <xdr:row>24</xdr:row>
                    <xdr:rowOff>0</xdr:rowOff>
                  </from>
                  <to>
                    <xdr:col>13</xdr:col>
                    <xdr:colOff>9525</xdr:colOff>
                    <xdr:row>25</xdr:row>
                    <xdr:rowOff>9525</xdr:rowOff>
                  </to>
                </anchor>
              </controlPr>
            </control>
          </mc:Choice>
        </mc:AlternateContent>
        <mc:AlternateContent xmlns:mc="http://schemas.openxmlformats.org/markup-compatibility/2006">
          <mc:Choice Requires="x14">
            <control shapeId="15763" r:id="rId307" name="Drop Down 403">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764" r:id="rId308" name="Drop Down 404">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765" r:id="rId309" name="Drop Down 405">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766" r:id="rId310" name="Drop Down 406">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767" r:id="rId311" name="Drop Down 407">
              <controlPr defaultSize="0" autoLine="0" autoPict="0">
                <anchor moveWithCells="1">
                  <from>
                    <xdr:col>12</xdr:col>
                    <xdr:colOff>0</xdr:colOff>
                    <xdr:row>26</xdr:row>
                    <xdr:rowOff>0</xdr:rowOff>
                  </from>
                  <to>
                    <xdr:col>13</xdr:col>
                    <xdr:colOff>9525</xdr:colOff>
                    <xdr:row>27</xdr:row>
                    <xdr:rowOff>9525</xdr:rowOff>
                  </to>
                </anchor>
              </controlPr>
            </control>
          </mc:Choice>
        </mc:AlternateContent>
        <mc:AlternateContent xmlns:mc="http://schemas.openxmlformats.org/markup-compatibility/2006">
          <mc:Choice Requires="x14">
            <control shapeId="15768" r:id="rId312" name="Drop Down 408">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769" r:id="rId313" name="Drop Down 409">
              <controlPr defaultSize="0" autoLine="0" autoPict="0">
                <anchor moveWithCells="1">
                  <from>
                    <xdr:col>12</xdr:col>
                    <xdr:colOff>0</xdr:colOff>
                    <xdr:row>26</xdr:row>
                    <xdr:rowOff>0</xdr:rowOff>
                  </from>
                  <to>
                    <xdr:col>13</xdr:col>
                    <xdr:colOff>9525</xdr:colOff>
                    <xdr:row>27</xdr:row>
                    <xdr:rowOff>9525</xdr:rowOff>
                  </to>
                </anchor>
              </controlPr>
            </control>
          </mc:Choice>
        </mc:AlternateContent>
        <mc:AlternateContent xmlns:mc="http://schemas.openxmlformats.org/markup-compatibility/2006">
          <mc:Choice Requires="x14">
            <control shapeId="15770" r:id="rId314" name="Drop Down 410">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771" r:id="rId315" name="Drop Down 411">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772" r:id="rId316" name="Drop Down 412">
              <controlPr defaultSize="0" autoLine="0" autoPict="0">
                <anchor moveWithCells="1">
                  <from>
                    <xdr:col>12</xdr:col>
                    <xdr:colOff>0</xdr:colOff>
                    <xdr:row>25</xdr:row>
                    <xdr:rowOff>0</xdr:rowOff>
                  </from>
                  <to>
                    <xdr:col>13</xdr:col>
                    <xdr:colOff>9525</xdr:colOff>
                    <xdr:row>26</xdr:row>
                    <xdr:rowOff>9525</xdr:rowOff>
                  </to>
                </anchor>
              </controlPr>
            </control>
          </mc:Choice>
        </mc:AlternateContent>
        <mc:AlternateContent xmlns:mc="http://schemas.openxmlformats.org/markup-compatibility/2006">
          <mc:Choice Requires="x14">
            <control shapeId="15773" r:id="rId317" name="Drop Down 413">
              <controlPr defaultSize="0" autoLine="0" autoPict="0">
                <anchor moveWithCells="1">
                  <from>
                    <xdr:col>12</xdr:col>
                    <xdr:colOff>0</xdr:colOff>
                    <xdr:row>26</xdr:row>
                    <xdr:rowOff>0</xdr:rowOff>
                  </from>
                  <to>
                    <xdr:col>13</xdr:col>
                    <xdr:colOff>9525</xdr:colOff>
                    <xdr:row>27</xdr:row>
                    <xdr:rowOff>9525</xdr:rowOff>
                  </to>
                </anchor>
              </controlPr>
            </control>
          </mc:Choice>
        </mc:AlternateContent>
        <mc:AlternateContent xmlns:mc="http://schemas.openxmlformats.org/markup-compatibility/2006">
          <mc:Choice Requires="x14">
            <control shapeId="15774" r:id="rId318" name="Drop Down 414">
              <controlPr defaultSize="0" autoLine="0" autoPict="0">
                <anchor moveWithCells="1">
                  <from>
                    <xdr:col>12</xdr:col>
                    <xdr:colOff>0</xdr:colOff>
                    <xdr:row>26</xdr:row>
                    <xdr:rowOff>0</xdr:rowOff>
                  </from>
                  <to>
                    <xdr:col>13</xdr:col>
                    <xdr:colOff>9525</xdr:colOff>
                    <xdr:row>27</xdr:row>
                    <xdr:rowOff>9525</xdr:rowOff>
                  </to>
                </anchor>
              </controlPr>
            </control>
          </mc:Choice>
        </mc:AlternateContent>
        <mc:AlternateContent xmlns:mc="http://schemas.openxmlformats.org/markup-compatibility/2006">
          <mc:Choice Requires="x14">
            <control shapeId="15775" r:id="rId319" name="Drop Down 415">
              <controlPr defaultSize="0" autoLine="0" autoPict="0">
                <anchor moveWithCells="1">
                  <from>
                    <xdr:col>12</xdr:col>
                    <xdr:colOff>0</xdr:colOff>
                    <xdr:row>26</xdr:row>
                    <xdr:rowOff>0</xdr:rowOff>
                  </from>
                  <to>
                    <xdr:col>13</xdr:col>
                    <xdr:colOff>9525</xdr:colOff>
                    <xdr:row>27</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00"/>
  <sheetViews>
    <sheetView topLeftCell="A77" workbookViewId="0">
      <selection activeCell="F89" sqref="F89"/>
    </sheetView>
  </sheetViews>
  <sheetFormatPr defaultRowHeight="12.75" x14ac:dyDescent="0.2"/>
  <cols>
    <col min="2" max="2" width="14.140625" customWidth="1"/>
    <col min="3" max="3" width="10.140625" customWidth="1"/>
    <col min="4" max="4" width="18.42578125" customWidth="1"/>
    <col min="5" max="5" width="12.140625" customWidth="1"/>
    <col min="6" max="6" width="17.5703125" bestFit="1" customWidth="1"/>
    <col min="7" max="7" width="11.5703125" customWidth="1"/>
    <col min="9" max="9" width="14.42578125" customWidth="1"/>
    <col min="10" max="10" width="21.28515625" customWidth="1"/>
    <col min="11" max="11" width="13.85546875" customWidth="1"/>
    <col min="13" max="13" width="13.5703125" customWidth="1"/>
    <col min="25" max="25" width="9.140625" style="244"/>
    <col min="29" max="29" width="13.5703125" customWidth="1"/>
    <col min="33" max="33" width="13.140625" customWidth="1"/>
    <col min="75" max="75" width="12.42578125" customWidth="1"/>
    <col min="76" max="76" width="16.42578125" customWidth="1"/>
    <col min="77" max="77" width="12.5703125" customWidth="1"/>
    <col min="78" max="78" width="16.42578125" customWidth="1"/>
    <col min="79" max="79" width="16.140625" customWidth="1"/>
    <col min="83" max="83" width="20.7109375" customWidth="1"/>
    <col min="87" max="87" width="11" customWidth="1"/>
  </cols>
  <sheetData>
    <row r="1" spans="1:89" x14ac:dyDescent="0.2">
      <c r="A1" s="28" t="s">
        <v>311</v>
      </c>
      <c r="AG1">
        <f>0.6*0.3</f>
        <v>0.18</v>
      </c>
      <c r="AH1">
        <f>0.8*0.7</f>
        <v>0.55999999999999994</v>
      </c>
      <c r="AI1">
        <f>AG1+AH1</f>
        <v>0.74</v>
      </c>
    </row>
    <row r="2" spans="1:89" x14ac:dyDescent="0.2">
      <c r="AO2" s="118" t="s">
        <v>764</v>
      </c>
      <c r="AX2" s="118" t="s">
        <v>322</v>
      </c>
      <c r="BG2" s="118" t="s">
        <v>770</v>
      </c>
      <c r="BP2" s="118" t="s">
        <v>771</v>
      </c>
    </row>
    <row r="3" spans="1:89" s="89" customFormat="1" x14ac:dyDescent="0.2">
      <c r="A3" s="626" t="s">
        <v>129</v>
      </c>
      <c r="B3" s="627"/>
      <c r="C3" s="627"/>
      <c r="D3" s="627"/>
      <c r="E3" s="627"/>
      <c r="F3" s="628"/>
      <c r="G3" s="626"/>
      <c r="H3" s="626"/>
      <c r="Q3" s="620" t="s">
        <v>508</v>
      </c>
      <c r="R3" s="621"/>
      <c r="S3" s="621"/>
      <c r="T3" s="622"/>
      <c r="U3" s="620" t="s">
        <v>526</v>
      </c>
      <c r="V3" s="621"/>
      <c r="W3" s="621"/>
      <c r="X3" s="622"/>
      <c r="Y3" s="244"/>
      <c r="AO3" s="620" t="s">
        <v>508</v>
      </c>
      <c r="AP3" s="621"/>
      <c r="AQ3" s="621"/>
      <c r="AR3" s="622"/>
      <c r="AS3" s="620" t="s">
        <v>526</v>
      </c>
      <c r="AT3" s="621"/>
      <c r="AU3" s="621"/>
      <c r="AV3" s="622"/>
      <c r="AW3" s="367"/>
      <c r="AX3" s="620" t="s">
        <v>508</v>
      </c>
      <c r="AY3" s="621"/>
      <c r="AZ3" s="621"/>
      <c r="BA3" s="622"/>
      <c r="BB3" s="620" t="s">
        <v>526</v>
      </c>
      <c r="BC3" s="621"/>
      <c r="BD3" s="621"/>
      <c r="BE3" s="622"/>
      <c r="BF3" s="367"/>
      <c r="BG3" s="620" t="s">
        <v>508</v>
      </c>
      <c r="BH3" s="621"/>
      <c r="BI3" s="621"/>
      <c r="BJ3" s="622"/>
      <c r="BK3" s="620" t="s">
        <v>526</v>
      </c>
      <c r="BL3" s="621"/>
      <c r="BM3" s="621"/>
      <c r="BN3" s="622"/>
      <c r="BO3" s="367"/>
      <c r="BP3" s="620" t="s">
        <v>508</v>
      </c>
      <c r="BQ3" s="621"/>
      <c r="BR3" s="621"/>
      <c r="BS3" s="622"/>
      <c r="BT3" s="367"/>
      <c r="BU3" s="367"/>
      <c r="BV3" s="367"/>
      <c r="BW3" s="367"/>
      <c r="BX3" s="155" t="s">
        <v>47</v>
      </c>
      <c r="CA3" s="155" t="s">
        <v>614</v>
      </c>
      <c r="CJ3" s="619" t="s">
        <v>33</v>
      </c>
      <c r="CK3" s="619"/>
    </row>
    <row r="4" spans="1:89" s="89" customFormat="1" x14ac:dyDescent="0.2">
      <c r="A4" s="18" t="s">
        <v>306</v>
      </c>
      <c r="B4" s="121" t="s">
        <v>721</v>
      </c>
      <c r="C4" s="121" t="s">
        <v>956</v>
      </c>
      <c r="D4" s="121" t="s">
        <v>957</v>
      </c>
      <c r="E4" s="18" t="s">
        <v>322</v>
      </c>
      <c r="F4" s="121" t="s">
        <v>522</v>
      </c>
      <c r="G4" s="121" t="s">
        <v>33</v>
      </c>
      <c r="H4" s="121" t="s">
        <v>385</v>
      </c>
      <c r="I4" s="121" t="s">
        <v>384</v>
      </c>
      <c r="J4" s="190" t="s">
        <v>309</v>
      </c>
      <c r="K4" s="191" t="s">
        <v>519</v>
      </c>
      <c r="L4" s="191" t="s">
        <v>520</v>
      </c>
      <c r="M4" s="192" t="s">
        <v>523</v>
      </c>
      <c r="N4" s="193" t="s">
        <v>524</v>
      </c>
      <c r="O4" s="193" t="s">
        <v>525</v>
      </c>
      <c r="P4" s="194" t="s">
        <v>508</v>
      </c>
      <c r="Q4" s="193" t="s">
        <v>67</v>
      </c>
      <c r="R4" s="193" t="s">
        <v>68</v>
      </c>
      <c r="S4" s="193" t="s">
        <v>69</v>
      </c>
      <c r="T4" s="193" t="s">
        <v>70</v>
      </c>
      <c r="U4" s="193" t="s">
        <v>67</v>
      </c>
      <c r="V4" s="193" t="s">
        <v>68</v>
      </c>
      <c r="W4" s="193" t="s">
        <v>69</v>
      </c>
      <c r="X4" s="193" t="s">
        <v>70</v>
      </c>
      <c r="Y4" s="284"/>
      <c r="Z4" s="121" t="s">
        <v>957</v>
      </c>
      <c r="AA4" s="18" t="s">
        <v>322</v>
      </c>
      <c r="AB4" s="121" t="s">
        <v>522</v>
      </c>
      <c r="AC4" s="121" t="s">
        <v>33</v>
      </c>
      <c r="AD4" s="121" t="s">
        <v>385</v>
      </c>
      <c r="AE4" s="121" t="s">
        <v>384</v>
      </c>
      <c r="AF4" s="121" t="s">
        <v>309</v>
      </c>
      <c r="AG4" s="121" t="s">
        <v>958</v>
      </c>
      <c r="AH4" s="121" t="s">
        <v>651</v>
      </c>
      <c r="AI4" s="191" t="s">
        <v>519</v>
      </c>
      <c r="AJ4" s="191" t="s">
        <v>520</v>
      </c>
      <c r="AK4" s="192" t="s">
        <v>523</v>
      </c>
      <c r="AL4" s="193" t="s">
        <v>524</v>
      </c>
      <c r="AM4" s="193" t="s">
        <v>525</v>
      </c>
      <c r="AN4" s="194" t="s">
        <v>766</v>
      </c>
      <c r="AO4" s="193" t="s">
        <v>67</v>
      </c>
      <c r="AP4" s="193" t="s">
        <v>68</v>
      </c>
      <c r="AQ4" s="193" t="s">
        <v>69</v>
      </c>
      <c r="AR4" s="193" t="s">
        <v>70</v>
      </c>
      <c r="AS4" s="193" t="s">
        <v>67</v>
      </c>
      <c r="AT4" s="193" t="s">
        <v>68</v>
      </c>
      <c r="AU4" s="194" t="s">
        <v>69</v>
      </c>
      <c r="AV4" s="193" t="s">
        <v>70</v>
      </c>
      <c r="AW4" s="339"/>
      <c r="AX4" s="193" t="s">
        <v>67</v>
      </c>
      <c r="AY4" s="193" t="s">
        <v>68</v>
      </c>
      <c r="AZ4" s="193" t="s">
        <v>69</v>
      </c>
      <c r="BA4" s="193" t="s">
        <v>70</v>
      </c>
      <c r="BB4" s="193" t="s">
        <v>67</v>
      </c>
      <c r="BC4" s="193" t="s">
        <v>68</v>
      </c>
      <c r="BD4" s="194" t="s">
        <v>69</v>
      </c>
      <c r="BE4" s="193" t="s">
        <v>70</v>
      </c>
      <c r="BF4" s="339"/>
      <c r="BG4" s="193" t="s">
        <v>67</v>
      </c>
      <c r="BH4" s="193" t="s">
        <v>68</v>
      </c>
      <c r="BI4" s="193" t="s">
        <v>69</v>
      </c>
      <c r="BJ4" s="193" t="s">
        <v>70</v>
      </c>
      <c r="BK4" s="193" t="s">
        <v>67</v>
      </c>
      <c r="BL4" s="193" t="s">
        <v>68</v>
      </c>
      <c r="BM4" s="194" t="s">
        <v>69</v>
      </c>
      <c r="BN4" s="193" t="s">
        <v>70</v>
      </c>
      <c r="BO4" s="339"/>
      <c r="BP4" s="193" t="s">
        <v>67</v>
      </c>
      <c r="BQ4" s="193" t="s">
        <v>68</v>
      </c>
      <c r="BR4" s="193" t="s">
        <v>69</v>
      </c>
      <c r="BS4" s="193" t="s">
        <v>70</v>
      </c>
      <c r="BT4" s="339"/>
      <c r="BU4" s="339"/>
      <c r="BV4" s="339"/>
      <c r="BW4" s="339"/>
      <c r="BX4" s="286" t="s">
        <v>653</v>
      </c>
      <c r="BY4" s="286" t="s">
        <v>322</v>
      </c>
      <c r="BZ4" s="286" t="s">
        <v>649</v>
      </c>
      <c r="CA4" s="286" t="s">
        <v>653</v>
      </c>
      <c r="CB4" s="286" t="s">
        <v>322</v>
      </c>
      <c r="CC4" s="286" t="s">
        <v>649</v>
      </c>
      <c r="CE4" s="339" t="s">
        <v>726</v>
      </c>
      <c r="CH4" s="155" t="s">
        <v>60</v>
      </c>
      <c r="CI4" s="155" t="s">
        <v>779</v>
      </c>
      <c r="CJ4" s="155" t="s">
        <v>759</v>
      </c>
      <c r="CK4" s="155" t="s">
        <v>780</v>
      </c>
    </row>
    <row r="5" spans="1:89" s="89" customFormat="1" x14ac:dyDescent="0.2">
      <c r="A5" s="124">
        <f>'Invoer verlichting'!A4</f>
        <v>0</v>
      </c>
      <c r="B5" s="123">
        <v>1</v>
      </c>
      <c r="C5" s="125">
        <v>1</v>
      </c>
      <c r="D5" s="125">
        <v>1</v>
      </c>
      <c r="E5" s="125">
        <v>1</v>
      </c>
      <c r="F5" s="125">
        <v>1</v>
      </c>
      <c r="G5" s="125">
        <f>'Invoer verlichting'!G4</f>
        <v>0</v>
      </c>
      <c r="H5" s="125">
        <f t="shared" ref="H5:H28" si="0">INDEX($G$31:$G$53,D5)</f>
        <v>0</v>
      </c>
      <c r="I5" s="125">
        <f>'Invoer verlichting'!H4</f>
        <v>0</v>
      </c>
      <c r="J5" s="124">
        <v>1</v>
      </c>
      <c r="K5" s="125">
        <f>IF(E5=3,0.6,INDEX($C$31:$C$36,C5))</f>
        <v>0</v>
      </c>
      <c r="L5" s="125">
        <f>IF(E5=3,0.8,INDEX($D$31:$D$36,C5))</f>
        <v>0</v>
      </c>
      <c r="M5" s="125">
        <f>IF(F5=3,0.5,1)</f>
        <v>1</v>
      </c>
      <c r="N5" s="125">
        <f>IF(J5=3,0.8,1)</f>
        <v>1</v>
      </c>
      <c r="O5" s="125">
        <f>IF(B5=2,'Invoer Algemeen'!$D$16,IF(B5=3,'Invoer Algemeen'!$D$17,IF(B5=4,'Invoer Algemeen'!$D$18,IF(B5=5,'Invoer Algemeen'!$D$19,0))))</f>
        <v>0</v>
      </c>
      <c r="P5" s="125">
        <f>IF(O5=0,0,((I5/O5)*3.6*(K5*0.3*O5+L5*0.7*O5)*N5*1800)/(12*0.39))/1000</f>
        <v>0</v>
      </c>
      <c r="Q5" s="114">
        <f>IF(B5=2,P5,0)</f>
        <v>0</v>
      </c>
      <c r="R5" s="125">
        <f>IF(B5=3,P5,0)</f>
        <v>0</v>
      </c>
      <c r="S5" s="125">
        <f>IF(B5=4,P5,0)</f>
        <v>0</v>
      </c>
      <c r="T5" s="195">
        <f>IF(B5=5,P5,0)</f>
        <v>0</v>
      </c>
      <c r="U5" s="114">
        <f>M5*Q5*0.39</f>
        <v>0</v>
      </c>
      <c r="V5" s="114">
        <f>M5*R5*0.39</f>
        <v>0</v>
      </c>
      <c r="W5" s="114">
        <f>M5*S5*0.39</f>
        <v>0</v>
      </c>
      <c r="X5" s="114">
        <f>M5*T5*0.39</f>
        <v>0</v>
      </c>
      <c r="Y5" s="245"/>
      <c r="Z5" s="126">
        <v>1</v>
      </c>
      <c r="AA5" s="126">
        <v>1</v>
      </c>
      <c r="AB5" s="126">
        <f>F5</f>
        <v>1</v>
      </c>
      <c r="AC5" s="125">
        <f>IF(Z5=1,G5,'Invoer verlichting'!N4)</f>
        <v>0</v>
      </c>
      <c r="AD5" s="125">
        <f t="shared" ref="AD5:AD28" si="1">IF(Z5=1,H5,INDEX($G$31:$G$53,Z5))</f>
        <v>0</v>
      </c>
      <c r="AE5" s="125">
        <f>'Invoer verlichting'!O4</f>
        <v>0</v>
      </c>
      <c r="AF5" s="126">
        <v>1</v>
      </c>
      <c r="AG5" s="126">
        <f>'Invoer verlichting'!P4</f>
        <v>0</v>
      </c>
      <c r="AH5" s="126">
        <f>'Invoer verlichting'!Q4</f>
        <v>0</v>
      </c>
      <c r="AI5" s="125">
        <f>IF(AA5=1,K5,IF(AA5=3,0.6,INDEX($C$31:$C$36,C5)))</f>
        <v>0</v>
      </c>
      <c r="AJ5" s="125">
        <f>IF(AA5=1,L5,IF(AA5=3,0.8,INDEX($D$31:$D$36,C5)))</f>
        <v>0</v>
      </c>
      <c r="AK5" s="125">
        <f>IF(F5=3,0.5,1)</f>
        <v>1</v>
      </c>
      <c r="AL5" s="125">
        <f>IF(AF5=1,N5,IF(AF5=3,0.9,1))</f>
        <v>1</v>
      </c>
      <c r="AM5" s="125">
        <f>IF(B5=2,'Invoer Algemeen'!$D$16,IF(B5=3,'Invoer Algemeen'!$D$17,IF(B5=4,'Invoer Algemeen'!$D$18,IF(B5=5,'Invoer Algemeen'!$D$19,0))))</f>
        <v>0</v>
      </c>
      <c r="AN5" s="125">
        <f>IF(AM5=0,0,((AE5/AM5)*3.6*1800)/(12*0.39))/1000</f>
        <v>0</v>
      </c>
      <c r="AO5" s="114">
        <f>IF($AE5=0,Q5,IF($B5=2,$AN5*($K5*0.3*$AM5+$L5*0.7*$AM5),0))</f>
        <v>0</v>
      </c>
      <c r="AP5" s="114">
        <f>IF($AE5=0,R5,IF($B5=3,$AN5*($K5*0.3*$AM5+$L5*0.7*$AM5),0))</f>
        <v>0</v>
      </c>
      <c r="AQ5" s="114">
        <f>IF($AE5=0,S5,IF($B5=4,$AN5*($K5*0.3*$AM5+$L5*0.7*$AM5),0))</f>
        <v>0</v>
      </c>
      <c r="AR5" s="114">
        <f>IF($AE5=0,T5,IF($B5=5,$AN5*($K5*0.3*$AM5+$L5*0.7*$AM5),0))</f>
        <v>0</v>
      </c>
      <c r="AS5" s="114">
        <f>$AK5*AO5*0.39</f>
        <v>0</v>
      </c>
      <c r="AT5" s="114">
        <f>$AK5*AP5*0.39</f>
        <v>0</v>
      </c>
      <c r="AU5" s="114">
        <f>$AK5*AQ5*0.39</f>
        <v>0</v>
      </c>
      <c r="AV5" s="114">
        <f>$AK5*AR5*0.39</f>
        <v>0</v>
      </c>
      <c r="AW5" s="125"/>
      <c r="AX5" s="114">
        <f>IF($AE5=0,Q5,IF($B5=2,IF($AA5=3,($AI5*0.3*$AM5+$AJ5*0.7*$AM5)*$AN5,AO5),0))</f>
        <v>0</v>
      </c>
      <c r="AY5" s="114">
        <f>IF($AE5=0,R5,IF($B5=3,IF($AA5=3,($AI5*0.3*$AM5+$AJ5*0.7*$AM5)*$AN5,AP5),0))</f>
        <v>0</v>
      </c>
      <c r="AZ5" s="114">
        <f>IF($AE5=0,S5,IF($B5=4,IF($AA5=3,($AI5*0.3*$AM5+$AJ5*0.7*$AM5)*$AN5,AQ5),0))</f>
        <v>0</v>
      </c>
      <c r="BA5" s="114">
        <f>IF($AE5=0,T5,IF($B5=5,IF($AA5=3,($AI5*0.3*$AM5+$AJ5*0.7*$AM5)*$AN5,AR5),0))</f>
        <v>0</v>
      </c>
      <c r="BB5" s="114">
        <f>$AK5*AX5*0.39</f>
        <v>0</v>
      </c>
      <c r="BC5" s="114">
        <f>$AK5*AY5*0.39</f>
        <v>0</v>
      </c>
      <c r="BD5" s="114">
        <f>$AK5*AZ5*0.39</f>
        <v>0</v>
      </c>
      <c r="BE5" s="114">
        <f>$AK5*BA5*0.39</f>
        <v>0</v>
      </c>
      <c r="BF5" s="125"/>
      <c r="BG5" s="114">
        <f>IF($AE5=0,Q5,IF($AF5=3,AX5*$AL5,AX5))</f>
        <v>0</v>
      </c>
      <c r="BH5" s="114">
        <f>IF($AE5=0,R5,IF($AF5=3,AY5*$AL5,AY5))</f>
        <v>0</v>
      </c>
      <c r="BI5" s="114">
        <f>IF($AE5=0,S5,IF($AF5=3,AZ5*$AL5,AZ5))</f>
        <v>0</v>
      </c>
      <c r="BJ5" s="114">
        <f>IF($AE5=0,T5,IF($AF5=3,BA5*$AL5,BA5))</f>
        <v>0</v>
      </c>
      <c r="BK5" s="114">
        <f>IF($AF5=3,BB5*$AL5,BB5)</f>
        <v>0</v>
      </c>
      <c r="BL5" s="114">
        <f>IF($AF5=3,BC5*$AL5,BC5)</f>
        <v>0</v>
      </c>
      <c r="BM5" s="114">
        <f>IF($AF5=3,BD5*$AL5,BD5)</f>
        <v>0</v>
      </c>
      <c r="BN5" s="114">
        <f>IF($AF5=3,BE5*$AL5,BE5)</f>
        <v>0</v>
      </c>
      <c r="BO5" s="125"/>
      <c r="BP5" s="114">
        <f>IF($B5=2,IF(AND($J5=2,$AF5=3),0.1*Q5,0),0)</f>
        <v>0</v>
      </c>
      <c r="BQ5" s="114">
        <f>IF($B5=3,IF(AND($J5=2,$AF5=3),0.1*R5,0),0)</f>
        <v>0</v>
      </c>
      <c r="BR5" s="114">
        <f>IF($B5=4,IF(AND($J5=2,$AF5=3),0.1*S5,0),0)</f>
        <v>0</v>
      </c>
      <c r="BS5" s="114">
        <f>IF($B5=5,IF(AND($J5=2,$AF5=3),0.1*T5,0),0)</f>
        <v>0</v>
      </c>
      <c r="BT5" s="125"/>
      <c r="BU5" s="125"/>
      <c r="BV5" s="125"/>
      <c r="BW5" s="125"/>
      <c r="BX5" s="89">
        <f>IF(Z5=1,0,AC5*'Kosten kengetallen'!$B$42)</f>
        <v>0</v>
      </c>
      <c r="BY5" s="89">
        <f>'Kosten kengetallen'!$B$43*AH5</f>
        <v>0</v>
      </c>
      <c r="BZ5" s="89">
        <f>'Kosten kengetallen'!$B$44*AG5</f>
        <v>0</v>
      </c>
      <c r="CA5" s="89">
        <f>0.6*BX5</f>
        <v>0</v>
      </c>
      <c r="CB5" s="89">
        <f>0.6*BY5</f>
        <v>0</v>
      </c>
      <c r="CC5" s="89">
        <v>0</v>
      </c>
      <c r="CE5" s="89">
        <f>IF(Z5=1,0,AC5*15)</f>
        <v>0</v>
      </c>
      <c r="CH5" s="89">
        <f>INDEX($E$31:$E$53,D5)</f>
        <v>0</v>
      </c>
      <c r="CI5" s="89">
        <f>IF(CH5="conv",G5,0)</f>
        <v>0</v>
      </c>
      <c r="CJ5" s="89">
        <f>IF(C5=2,CI5,0)</f>
        <v>0</v>
      </c>
      <c r="CK5" s="89">
        <f>CI5-CJ5</f>
        <v>0</v>
      </c>
    </row>
    <row r="6" spans="1:89" s="89" customFormat="1" x14ac:dyDescent="0.2">
      <c r="A6" s="124">
        <f>'Invoer verlichting'!A5</f>
        <v>0</v>
      </c>
      <c r="B6" s="123">
        <v>1</v>
      </c>
      <c r="C6" s="125">
        <v>1</v>
      </c>
      <c r="D6" s="125">
        <v>1</v>
      </c>
      <c r="E6" s="125">
        <v>1</v>
      </c>
      <c r="F6" s="125">
        <v>1</v>
      </c>
      <c r="G6" s="125">
        <f>'Invoer verlichting'!G5</f>
        <v>0</v>
      </c>
      <c r="H6" s="125">
        <f t="shared" si="0"/>
        <v>0</v>
      </c>
      <c r="I6" s="125">
        <f>'Invoer verlichting'!H5</f>
        <v>0</v>
      </c>
      <c r="J6" s="125">
        <v>1</v>
      </c>
      <c r="K6" s="125">
        <f t="shared" ref="K6:K28" si="2">IF(E6=3,0.6,INDEX($C$31:$C$36,C6))</f>
        <v>0</v>
      </c>
      <c r="L6" s="125">
        <f t="shared" ref="L6:L28" si="3">IF(E6=3,0.8,INDEX($D$31:$D$36,C6))</f>
        <v>0</v>
      </c>
      <c r="M6" s="125">
        <f t="shared" ref="M6:M28" si="4">IF(F6=3,0.5,1)</f>
        <v>1</v>
      </c>
      <c r="N6" s="125">
        <f t="shared" ref="N6:N28" si="5">IF(J6=3,0.8,1)</f>
        <v>1</v>
      </c>
      <c r="O6" s="125">
        <f>IF(B6=2,'Invoer Algemeen'!$D$16,IF(B6=3,'Invoer Algemeen'!$D$17,IF(B6=4,'Invoer Algemeen'!$D$18,IF(B6=5,'Invoer Algemeen'!$D$19,0))))</f>
        <v>0</v>
      </c>
      <c r="P6" s="125">
        <f t="shared" ref="P6:P28" si="6">IF(O6=0,0,((I6/O6)*3.6*(K6*0.3*O6+L6*0.7*O6)*N6*1800)/(12*0.39))/1000</f>
        <v>0</v>
      </c>
      <c r="Q6" s="114">
        <f t="shared" ref="Q6:Q28" si="7">IF(B6=2,P6,0)</f>
        <v>0</v>
      </c>
      <c r="R6" s="125">
        <f t="shared" ref="R6:R28" si="8">IF(B6=3,P6,0)</f>
        <v>0</v>
      </c>
      <c r="S6" s="125">
        <f t="shared" ref="S6:S28" si="9">IF(B6=4,P6,0)</f>
        <v>0</v>
      </c>
      <c r="T6" s="195">
        <f t="shared" ref="T6:T28" si="10">IF(B6=5,P6,0)</f>
        <v>0</v>
      </c>
      <c r="U6" s="114">
        <f t="shared" ref="U6:U28" si="11">M6*Q6*0.39</f>
        <v>0</v>
      </c>
      <c r="V6" s="114">
        <f t="shared" ref="V6:V28" si="12">M6*R6*0.39</f>
        <v>0</v>
      </c>
      <c r="W6" s="114">
        <f t="shared" ref="W6:W28" si="13">M6*S6*0.39</f>
        <v>0</v>
      </c>
      <c r="X6" s="114">
        <f t="shared" ref="X6:X28" si="14">M6*T6*0.39</f>
        <v>0</v>
      </c>
      <c r="Y6" s="245"/>
      <c r="Z6" s="126">
        <v>1</v>
      </c>
      <c r="AA6" s="126">
        <v>1</v>
      </c>
      <c r="AB6" s="126">
        <f t="shared" ref="AB6:AB28" si="15">F6</f>
        <v>1</v>
      </c>
      <c r="AC6" s="125">
        <f>IF(Z6=1,G6,'Invoer verlichting'!N5)</f>
        <v>0</v>
      </c>
      <c r="AD6" s="125">
        <f t="shared" si="1"/>
        <v>0</v>
      </c>
      <c r="AE6" s="125">
        <f>'Invoer verlichting'!O5</f>
        <v>0</v>
      </c>
      <c r="AF6" s="126">
        <v>1</v>
      </c>
      <c r="AG6" s="126">
        <f>'Invoer verlichting'!P5</f>
        <v>0</v>
      </c>
      <c r="AH6" s="126">
        <f>'Invoer verlichting'!Q5</f>
        <v>0</v>
      </c>
      <c r="AI6" s="125">
        <f t="shared" ref="AI6:AI28" si="16">IF(AA6=1,K6,IF(AA6=3,0.6,INDEX($C$31:$C$36,C6)))</f>
        <v>0</v>
      </c>
      <c r="AJ6" s="125">
        <f t="shared" ref="AJ6:AJ28" si="17">IF(AA6=1,L6,IF(AA6=3,0.8,INDEX($D$31:$D$36,C6)))</f>
        <v>0</v>
      </c>
      <c r="AK6" s="125">
        <f t="shared" ref="AK6:AK28" si="18">IF(F6=3,0.5,1)</f>
        <v>1</v>
      </c>
      <c r="AL6" s="125">
        <f t="shared" ref="AL6:AL28" si="19">IF(AF6=1,N6,IF(AF6=3,0.9,1))</f>
        <v>1</v>
      </c>
      <c r="AM6" s="125">
        <f>IF(B6=2,'Invoer Algemeen'!$D$16,IF(B6=3,'Invoer Algemeen'!$D$17,IF(B6=4,'Invoer Algemeen'!$D$18,IF(B6=5,'Invoer Algemeen'!$D$19,0))))</f>
        <v>0</v>
      </c>
      <c r="AN6" s="125">
        <f t="shared" ref="AN6:AN28" si="20">IF(AM6=0,0,((AE6/AM6)*3.6*1800)/(12*0.39))/1000</f>
        <v>0</v>
      </c>
      <c r="AO6" s="114">
        <f t="shared" ref="AO6:AO28" si="21">IF($AE6=0,Q6,IF($B6=2,$AN6*($K6*0.3*$AM6+$L6*0.7*$AM6),0))</f>
        <v>0</v>
      </c>
      <c r="AP6" s="114">
        <f t="shared" ref="AP6:AP28" si="22">IF($AE6=0,R6,IF($B6=3,$AN6*($K6*0.3*$AM6+$L6*0.7*$AM6),0))</f>
        <v>0</v>
      </c>
      <c r="AQ6" s="114">
        <f t="shared" ref="AQ6:AQ28" si="23">IF($AE6=0,S6,IF($B6=4,$AN6*($K6*0.3*$AM6+$L6*0.7*$AM6),0))</f>
        <v>0</v>
      </c>
      <c r="AR6" s="114">
        <f t="shared" ref="AR6:AR28" si="24">IF($AE6=0,T6,IF($B6=5,$AN6*($K6*0.3*$AM6+$L6*0.7*$AM6),0))</f>
        <v>0</v>
      </c>
      <c r="AS6" s="114">
        <f t="shared" ref="AS6:AS28" si="25">$AK6*AO6*0.39</f>
        <v>0</v>
      </c>
      <c r="AT6" s="114">
        <f t="shared" ref="AT6:AT28" si="26">$AK6*AP6*0.39</f>
        <v>0</v>
      </c>
      <c r="AU6" s="114">
        <f t="shared" ref="AU6:AU28" si="27">$AK6*AQ6*0.39</f>
        <v>0</v>
      </c>
      <c r="AV6" s="114">
        <f t="shared" ref="AV6:AV28" si="28">$AK6*AR6*0.39</f>
        <v>0</v>
      </c>
      <c r="AW6" s="125"/>
      <c r="AX6" s="114">
        <f t="shared" ref="AX6:AX28" si="29">IF($AE6=0,Q6,IF($B6=2,IF($AA6=3,($AI6*0.3*$AM6+$AJ6*0.7*$AM6)*$AN6,AO6),0))</f>
        <v>0</v>
      </c>
      <c r="AY6" s="114">
        <f t="shared" ref="AY6:AY28" si="30">IF($AE6=0,R6,IF($B6=3,IF($AA6=3,($AI6*0.3*$AM6+$AJ6*0.7*$AM6)*$AN6,AP6),0))</f>
        <v>0</v>
      </c>
      <c r="AZ6" s="114">
        <f t="shared" ref="AZ6:AZ28" si="31">IF($AE6=0,S6,IF($B6=4,IF($AA6=3,($AI6*0.3*$AM6+$AJ6*0.7*$AM6)*$AN6,AQ6),0))</f>
        <v>0</v>
      </c>
      <c r="BA6" s="114">
        <f t="shared" ref="BA6:BA28" si="32">IF($AE6=0,T6,IF($B6=5,IF($AA6=3,($AI6*0.3*$AM6+$AJ6*0.7*$AM6)*$AN6,AR6),0))</f>
        <v>0</v>
      </c>
      <c r="BB6" s="114">
        <f t="shared" ref="BB6:BB28" si="33">$AK6*AX6*0.39</f>
        <v>0</v>
      </c>
      <c r="BC6" s="114">
        <f t="shared" ref="BC6:BC28" si="34">$AK6*AY6*0.39</f>
        <v>0</v>
      </c>
      <c r="BD6" s="114">
        <f t="shared" ref="BD6:BD28" si="35">$AK6*AZ6*0.39</f>
        <v>0</v>
      </c>
      <c r="BE6" s="114">
        <f t="shared" ref="BE6:BE28" si="36">$AK6*BA6*0.39</f>
        <v>0</v>
      </c>
      <c r="BF6" s="125"/>
      <c r="BG6" s="114">
        <f t="shared" ref="BG6:BG28" si="37">IF($AE6=0,Q6,IF($AF6=3,AX6*$AL6,AX6))</f>
        <v>0</v>
      </c>
      <c r="BH6" s="114">
        <f t="shared" ref="BH6:BH28" si="38">IF($AE6=0,R6,IF($AF6=3,AY6*$AL6,AY6))</f>
        <v>0</v>
      </c>
      <c r="BI6" s="114">
        <f t="shared" ref="BI6:BI28" si="39">IF($AE6=0,S6,IF($AF6=3,AZ6*$AL6,AZ6))</f>
        <v>0</v>
      </c>
      <c r="BJ6" s="114">
        <f t="shared" ref="BJ6:BJ28" si="40">IF($AE6=0,T6,IF($AF6=3,BA6*$AL6,BA6))</f>
        <v>0</v>
      </c>
      <c r="BK6" s="114">
        <f t="shared" ref="BK6:BK28" si="41">IF($AF6=3,BB6*$AL6,BB6)</f>
        <v>0</v>
      </c>
      <c r="BL6" s="114">
        <f t="shared" ref="BL6:BL28" si="42">IF($AF6=3,BC6*$AL6,BC6)</f>
        <v>0</v>
      </c>
      <c r="BM6" s="114">
        <f t="shared" ref="BM6:BM28" si="43">IF($AF6=3,BD6*$AL6,BD6)</f>
        <v>0</v>
      </c>
      <c r="BN6" s="114">
        <f t="shared" ref="BN6:BN28" si="44">IF($AF6=3,BE6*$AL6,BE6)</f>
        <v>0</v>
      </c>
      <c r="BO6" s="125"/>
      <c r="BP6" s="114">
        <f t="shared" ref="BP6:BP28" si="45">IF($B6=2,IF(AND($J6=2,$AF6=3),0.1*Q6,0),0)</f>
        <v>0</v>
      </c>
      <c r="BQ6" s="114">
        <f t="shared" ref="BQ6:BQ28" si="46">IF($B6=3,IF(AND($J6=2,$AF6=3),0.1*R6,0),0)</f>
        <v>0</v>
      </c>
      <c r="BR6" s="114">
        <f t="shared" ref="BR6:BR28" si="47">IF($B6=4,IF(AND($J6=2,$AF6=3),0.1*S6,0),0)</f>
        <v>0</v>
      </c>
      <c r="BS6" s="114">
        <f t="shared" ref="BS6:BS28" si="48">IF($B6=5,IF(AND($J6=2,$AF6=3),0.1*T6,0),0)</f>
        <v>0</v>
      </c>
      <c r="BT6" s="125"/>
      <c r="BU6" s="125"/>
      <c r="BV6" s="125"/>
      <c r="BW6" s="125"/>
      <c r="BX6" s="89">
        <f>IF(Z6=1,0,AC6*'Kosten kengetallen'!$B$42)</f>
        <v>0</v>
      </c>
      <c r="BY6" s="89">
        <f>'Kosten kengetallen'!$B$43*AH6</f>
        <v>0</v>
      </c>
      <c r="BZ6" s="89">
        <f>'Kosten kengetallen'!$B$44*AG6</f>
        <v>0</v>
      </c>
      <c r="CA6" s="89">
        <f t="shared" ref="CA6:CA28" si="49">0.6*BX6</f>
        <v>0</v>
      </c>
      <c r="CB6" s="89">
        <f t="shared" ref="CB6:CB28" si="50">0.6*BY6</f>
        <v>0</v>
      </c>
      <c r="CC6" s="89">
        <v>0</v>
      </c>
      <c r="CE6" s="89">
        <f t="shared" ref="CE6:CE28" si="51">IF(Z6=1,0,AC6*15)</f>
        <v>0</v>
      </c>
      <c r="CH6" s="89">
        <f t="shared" ref="CH6:CH27" si="52">INDEX($E$31:$E$53,D6)</f>
        <v>0</v>
      </c>
      <c r="CI6" s="89">
        <f t="shared" ref="CI6:CI27" si="53">IF(CH6="conv",G6,0)</f>
        <v>0</v>
      </c>
      <c r="CJ6" s="89">
        <f t="shared" ref="CJ6:CJ27" si="54">IF(C6=2,CI6,0)</f>
        <v>0</v>
      </c>
      <c r="CK6" s="89">
        <f t="shared" ref="CK6:CK27" si="55">CI6-CJ6</f>
        <v>0</v>
      </c>
    </row>
    <row r="7" spans="1:89" s="89" customFormat="1" x14ac:dyDescent="0.2">
      <c r="A7" s="124">
        <f>'Invoer verlichting'!A6</f>
        <v>0</v>
      </c>
      <c r="B7" s="123">
        <v>1</v>
      </c>
      <c r="C7" s="125">
        <v>1</v>
      </c>
      <c r="D7" s="125">
        <v>1</v>
      </c>
      <c r="E7" s="125">
        <v>1</v>
      </c>
      <c r="F7" s="125">
        <v>1</v>
      </c>
      <c r="G7" s="125">
        <f>'Invoer verlichting'!G6</f>
        <v>0</v>
      </c>
      <c r="H7" s="125">
        <f t="shared" si="0"/>
        <v>0</v>
      </c>
      <c r="I7" s="125">
        <f>'Invoer verlichting'!H6</f>
        <v>0</v>
      </c>
      <c r="J7" s="125">
        <v>1</v>
      </c>
      <c r="K7" s="125">
        <f t="shared" si="2"/>
        <v>0</v>
      </c>
      <c r="L7" s="125">
        <f t="shared" si="3"/>
        <v>0</v>
      </c>
      <c r="M7" s="125">
        <f t="shared" si="4"/>
        <v>1</v>
      </c>
      <c r="N7" s="125">
        <f t="shared" si="5"/>
        <v>1</v>
      </c>
      <c r="O7" s="125">
        <f>IF(B7=2,'Invoer Algemeen'!$D$16,IF(B7=3,'Invoer Algemeen'!$D$17,IF(B7=4,'Invoer Algemeen'!$D$18,IF(B7=5,'Invoer Algemeen'!$D$19,0))))</f>
        <v>0</v>
      </c>
      <c r="P7" s="125">
        <f t="shared" si="6"/>
        <v>0</v>
      </c>
      <c r="Q7" s="114">
        <f t="shared" si="7"/>
        <v>0</v>
      </c>
      <c r="R7" s="125">
        <f t="shared" si="8"/>
        <v>0</v>
      </c>
      <c r="S7" s="125">
        <f t="shared" si="9"/>
        <v>0</v>
      </c>
      <c r="T7" s="195">
        <f t="shared" si="10"/>
        <v>0</v>
      </c>
      <c r="U7" s="114">
        <f t="shared" si="11"/>
        <v>0</v>
      </c>
      <c r="V7" s="114">
        <f t="shared" si="12"/>
        <v>0</v>
      </c>
      <c r="W7" s="114">
        <f t="shared" si="13"/>
        <v>0</v>
      </c>
      <c r="X7" s="114">
        <f t="shared" si="14"/>
        <v>0</v>
      </c>
      <c r="Y7" s="245"/>
      <c r="Z7" s="126">
        <v>1</v>
      </c>
      <c r="AA7" s="126">
        <v>1</v>
      </c>
      <c r="AB7" s="126">
        <f t="shared" si="15"/>
        <v>1</v>
      </c>
      <c r="AC7" s="125">
        <f>IF(Z7=1,G7,'Invoer verlichting'!N6)</f>
        <v>0</v>
      </c>
      <c r="AD7" s="125">
        <f t="shared" si="1"/>
        <v>0</v>
      </c>
      <c r="AE7" s="125">
        <f>'Invoer verlichting'!O6</f>
        <v>0</v>
      </c>
      <c r="AF7" s="126">
        <v>1</v>
      </c>
      <c r="AG7" s="126">
        <f>'Invoer verlichting'!P6</f>
        <v>0</v>
      </c>
      <c r="AH7" s="126">
        <f>'Invoer verlichting'!Q6</f>
        <v>0</v>
      </c>
      <c r="AI7" s="125">
        <f t="shared" si="16"/>
        <v>0</v>
      </c>
      <c r="AJ7" s="125">
        <f t="shared" si="17"/>
        <v>0</v>
      </c>
      <c r="AK7" s="125">
        <f t="shared" si="18"/>
        <v>1</v>
      </c>
      <c r="AL7" s="125">
        <f t="shared" si="19"/>
        <v>1</v>
      </c>
      <c r="AM7" s="125">
        <f>IF(B7=2,'Invoer Algemeen'!$D$16,IF(B7=3,'Invoer Algemeen'!$D$17,IF(B7=4,'Invoer Algemeen'!$D$18,IF(B7=5,'Invoer Algemeen'!$D$19,0))))</f>
        <v>0</v>
      </c>
      <c r="AN7" s="125">
        <f t="shared" si="20"/>
        <v>0</v>
      </c>
      <c r="AO7" s="114">
        <f t="shared" si="21"/>
        <v>0</v>
      </c>
      <c r="AP7" s="114">
        <f t="shared" si="22"/>
        <v>0</v>
      </c>
      <c r="AQ7" s="114">
        <f t="shared" si="23"/>
        <v>0</v>
      </c>
      <c r="AR7" s="114">
        <f t="shared" si="24"/>
        <v>0</v>
      </c>
      <c r="AS7" s="114">
        <f t="shared" si="25"/>
        <v>0</v>
      </c>
      <c r="AT7" s="114">
        <f t="shared" si="26"/>
        <v>0</v>
      </c>
      <c r="AU7" s="114">
        <f t="shared" si="27"/>
        <v>0</v>
      </c>
      <c r="AV7" s="114">
        <f t="shared" si="28"/>
        <v>0</v>
      </c>
      <c r="AW7" s="125"/>
      <c r="AX7" s="114">
        <f t="shared" si="29"/>
        <v>0</v>
      </c>
      <c r="AY7" s="114">
        <f t="shared" si="30"/>
        <v>0</v>
      </c>
      <c r="AZ7" s="114">
        <f t="shared" si="31"/>
        <v>0</v>
      </c>
      <c r="BA7" s="114">
        <f t="shared" si="32"/>
        <v>0</v>
      </c>
      <c r="BB7" s="114">
        <f t="shared" si="33"/>
        <v>0</v>
      </c>
      <c r="BC7" s="114">
        <f t="shared" si="34"/>
        <v>0</v>
      </c>
      <c r="BD7" s="114">
        <f t="shared" si="35"/>
        <v>0</v>
      </c>
      <c r="BE7" s="114">
        <f t="shared" si="36"/>
        <v>0</v>
      </c>
      <c r="BF7" s="125"/>
      <c r="BG7" s="114">
        <f t="shared" si="37"/>
        <v>0</v>
      </c>
      <c r="BH7" s="114">
        <f t="shared" si="38"/>
        <v>0</v>
      </c>
      <c r="BI7" s="114">
        <f t="shared" si="39"/>
        <v>0</v>
      </c>
      <c r="BJ7" s="114">
        <f t="shared" si="40"/>
        <v>0</v>
      </c>
      <c r="BK7" s="114">
        <f t="shared" si="41"/>
        <v>0</v>
      </c>
      <c r="BL7" s="114">
        <f t="shared" si="42"/>
        <v>0</v>
      </c>
      <c r="BM7" s="114">
        <f t="shared" si="43"/>
        <v>0</v>
      </c>
      <c r="BN7" s="114">
        <f t="shared" si="44"/>
        <v>0</v>
      </c>
      <c r="BO7" s="125"/>
      <c r="BP7" s="114">
        <f t="shared" si="45"/>
        <v>0</v>
      </c>
      <c r="BQ7" s="114">
        <f t="shared" si="46"/>
        <v>0</v>
      </c>
      <c r="BR7" s="114">
        <f t="shared" si="47"/>
        <v>0</v>
      </c>
      <c r="BS7" s="114">
        <f t="shared" si="48"/>
        <v>0</v>
      </c>
      <c r="BT7" s="125"/>
      <c r="BU7" s="125"/>
      <c r="BV7" s="125"/>
      <c r="BW7" s="125"/>
      <c r="BX7" s="89">
        <f>IF(Z7=1,0,AC7*'Kosten kengetallen'!$B$42)</f>
        <v>0</v>
      </c>
      <c r="BY7" s="89">
        <f>'Kosten kengetallen'!$B$43*AH7</f>
        <v>0</v>
      </c>
      <c r="BZ7" s="89">
        <f>'Kosten kengetallen'!$B$44*AG7</f>
        <v>0</v>
      </c>
      <c r="CA7" s="89">
        <f t="shared" si="49"/>
        <v>0</v>
      </c>
      <c r="CB7" s="89">
        <f t="shared" si="50"/>
        <v>0</v>
      </c>
      <c r="CC7" s="89">
        <v>0</v>
      </c>
      <c r="CE7" s="89">
        <f t="shared" si="51"/>
        <v>0</v>
      </c>
      <c r="CH7" s="89">
        <f t="shared" si="52"/>
        <v>0</v>
      </c>
      <c r="CI7" s="89">
        <f t="shared" si="53"/>
        <v>0</v>
      </c>
      <c r="CJ7" s="89">
        <f t="shared" si="54"/>
        <v>0</v>
      </c>
      <c r="CK7" s="89">
        <f t="shared" si="55"/>
        <v>0</v>
      </c>
    </row>
    <row r="8" spans="1:89" s="89" customFormat="1" x14ac:dyDescent="0.2">
      <c r="A8" s="124">
        <f>'Invoer verlichting'!A7</f>
        <v>0</v>
      </c>
      <c r="B8" s="123">
        <v>1</v>
      </c>
      <c r="C8" s="125">
        <v>1</v>
      </c>
      <c r="D8" s="125">
        <v>1</v>
      </c>
      <c r="E8" s="125">
        <v>1</v>
      </c>
      <c r="F8" s="125">
        <v>1</v>
      </c>
      <c r="G8" s="125">
        <f>'Invoer verlichting'!G7</f>
        <v>0</v>
      </c>
      <c r="H8" s="125">
        <f t="shared" si="0"/>
        <v>0</v>
      </c>
      <c r="I8" s="125">
        <f>'Invoer verlichting'!H7</f>
        <v>0</v>
      </c>
      <c r="J8" s="125">
        <v>1</v>
      </c>
      <c r="K8" s="125">
        <f t="shared" si="2"/>
        <v>0</v>
      </c>
      <c r="L8" s="125">
        <f t="shared" si="3"/>
        <v>0</v>
      </c>
      <c r="M8" s="125">
        <f t="shared" si="4"/>
        <v>1</v>
      </c>
      <c r="N8" s="125">
        <f t="shared" si="5"/>
        <v>1</v>
      </c>
      <c r="O8" s="125">
        <f>IF(B8=2,'Invoer Algemeen'!$D$16,IF(B8=3,'Invoer Algemeen'!$D$17,IF(B8=4,'Invoer Algemeen'!$D$18,IF(B8=5,'Invoer Algemeen'!$D$19,0))))</f>
        <v>0</v>
      </c>
      <c r="P8" s="125">
        <f t="shared" si="6"/>
        <v>0</v>
      </c>
      <c r="Q8" s="114">
        <f t="shared" si="7"/>
        <v>0</v>
      </c>
      <c r="R8" s="125">
        <f t="shared" si="8"/>
        <v>0</v>
      </c>
      <c r="S8" s="125">
        <f t="shared" si="9"/>
        <v>0</v>
      </c>
      <c r="T8" s="195">
        <f t="shared" si="10"/>
        <v>0</v>
      </c>
      <c r="U8" s="114">
        <f t="shared" si="11"/>
        <v>0</v>
      </c>
      <c r="V8" s="114">
        <f t="shared" si="12"/>
        <v>0</v>
      </c>
      <c r="W8" s="114">
        <f t="shared" si="13"/>
        <v>0</v>
      </c>
      <c r="X8" s="114">
        <f t="shared" si="14"/>
        <v>0</v>
      </c>
      <c r="Y8" s="245"/>
      <c r="Z8" s="126">
        <v>1</v>
      </c>
      <c r="AA8" s="126">
        <v>1</v>
      </c>
      <c r="AB8" s="126">
        <f t="shared" si="15"/>
        <v>1</v>
      </c>
      <c r="AC8" s="125">
        <f>IF(Z8=1,G8,'Invoer verlichting'!N7)</f>
        <v>0</v>
      </c>
      <c r="AD8" s="125">
        <f t="shared" si="1"/>
        <v>0</v>
      </c>
      <c r="AE8" s="125">
        <f>'Invoer verlichting'!O7</f>
        <v>0</v>
      </c>
      <c r="AF8" s="126">
        <v>1</v>
      </c>
      <c r="AG8" s="126">
        <f>'Invoer verlichting'!P7</f>
        <v>0</v>
      </c>
      <c r="AH8" s="126">
        <f>'Invoer verlichting'!Q7</f>
        <v>0</v>
      </c>
      <c r="AI8" s="125">
        <f t="shared" si="16"/>
        <v>0</v>
      </c>
      <c r="AJ8" s="125">
        <f t="shared" si="17"/>
        <v>0</v>
      </c>
      <c r="AK8" s="125">
        <f t="shared" si="18"/>
        <v>1</v>
      </c>
      <c r="AL8" s="125">
        <f t="shared" si="19"/>
        <v>1</v>
      </c>
      <c r="AM8" s="125">
        <f>IF(B8=2,'Invoer Algemeen'!$D$16,IF(B8=3,'Invoer Algemeen'!$D$17,IF(B8=4,'Invoer Algemeen'!$D$18,IF(B8=5,'Invoer Algemeen'!$D$19,0))))</f>
        <v>0</v>
      </c>
      <c r="AN8" s="125">
        <f t="shared" si="20"/>
        <v>0</v>
      </c>
      <c r="AO8" s="114">
        <f t="shared" si="21"/>
        <v>0</v>
      </c>
      <c r="AP8" s="114">
        <f t="shared" si="22"/>
        <v>0</v>
      </c>
      <c r="AQ8" s="114">
        <f t="shared" si="23"/>
        <v>0</v>
      </c>
      <c r="AR8" s="114">
        <f t="shared" si="24"/>
        <v>0</v>
      </c>
      <c r="AS8" s="114">
        <f t="shared" si="25"/>
        <v>0</v>
      </c>
      <c r="AT8" s="114">
        <f t="shared" si="26"/>
        <v>0</v>
      </c>
      <c r="AU8" s="114">
        <f t="shared" si="27"/>
        <v>0</v>
      </c>
      <c r="AV8" s="114">
        <f t="shared" si="28"/>
        <v>0</v>
      </c>
      <c r="AW8" s="125"/>
      <c r="AX8" s="114">
        <f t="shared" si="29"/>
        <v>0</v>
      </c>
      <c r="AY8" s="114">
        <f t="shared" si="30"/>
        <v>0</v>
      </c>
      <c r="AZ8" s="114">
        <f t="shared" si="31"/>
        <v>0</v>
      </c>
      <c r="BA8" s="114">
        <f t="shared" si="32"/>
        <v>0</v>
      </c>
      <c r="BB8" s="114">
        <f t="shared" si="33"/>
        <v>0</v>
      </c>
      <c r="BC8" s="114">
        <f t="shared" si="34"/>
        <v>0</v>
      </c>
      <c r="BD8" s="114">
        <f t="shared" si="35"/>
        <v>0</v>
      </c>
      <c r="BE8" s="114">
        <f t="shared" si="36"/>
        <v>0</v>
      </c>
      <c r="BF8" s="125"/>
      <c r="BG8" s="114">
        <f t="shared" si="37"/>
        <v>0</v>
      </c>
      <c r="BH8" s="114">
        <f t="shared" si="38"/>
        <v>0</v>
      </c>
      <c r="BI8" s="114">
        <f t="shared" si="39"/>
        <v>0</v>
      </c>
      <c r="BJ8" s="114">
        <f t="shared" si="40"/>
        <v>0</v>
      </c>
      <c r="BK8" s="114">
        <f t="shared" si="41"/>
        <v>0</v>
      </c>
      <c r="BL8" s="114">
        <f t="shared" si="42"/>
        <v>0</v>
      </c>
      <c r="BM8" s="114">
        <f t="shared" si="43"/>
        <v>0</v>
      </c>
      <c r="BN8" s="114">
        <f t="shared" si="44"/>
        <v>0</v>
      </c>
      <c r="BO8" s="125"/>
      <c r="BP8" s="114">
        <f t="shared" si="45"/>
        <v>0</v>
      </c>
      <c r="BQ8" s="114">
        <f t="shared" si="46"/>
        <v>0</v>
      </c>
      <c r="BR8" s="114">
        <f t="shared" si="47"/>
        <v>0</v>
      </c>
      <c r="BS8" s="114">
        <f t="shared" si="48"/>
        <v>0</v>
      </c>
      <c r="BT8" s="125"/>
      <c r="BU8" s="125"/>
      <c r="BV8" s="125"/>
      <c r="BW8" s="125"/>
      <c r="BX8" s="89">
        <f>IF(Z8=1,0,AC8*'Kosten kengetallen'!$B$42)</f>
        <v>0</v>
      </c>
      <c r="BY8" s="89">
        <f>'Kosten kengetallen'!$B$43*AH8</f>
        <v>0</v>
      </c>
      <c r="BZ8" s="89">
        <f>'Kosten kengetallen'!$B$44*AG8</f>
        <v>0</v>
      </c>
      <c r="CA8" s="89">
        <f t="shared" si="49"/>
        <v>0</v>
      </c>
      <c r="CB8" s="89">
        <f t="shared" si="50"/>
        <v>0</v>
      </c>
      <c r="CC8" s="89">
        <v>0</v>
      </c>
      <c r="CE8" s="89">
        <f t="shared" si="51"/>
        <v>0</v>
      </c>
      <c r="CH8" s="89">
        <f t="shared" si="52"/>
        <v>0</v>
      </c>
      <c r="CI8" s="89">
        <f t="shared" si="53"/>
        <v>0</v>
      </c>
      <c r="CJ8" s="89">
        <f t="shared" si="54"/>
        <v>0</v>
      </c>
      <c r="CK8" s="89">
        <f t="shared" si="55"/>
        <v>0</v>
      </c>
    </row>
    <row r="9" spans="1:89" s="89" customFormat="1" x14ac:dyDescent="0.2">
      <c r="A9" s="124">
        <f>'Invoer verlichting'!A8</f>
        <v>0</v>
      </c>
      <c r="B9" s="123">
        <v>1</v>
      </c>
      <c r="C9" s="125">
        <v>1</v>
      </c>
      <c r="D9" s="125">
        <v>1</v>
      </c>
      <c r="E9" s="125">
        <v>1</v>
      </c>
      <c r="F9" s="125">
        <v>1</v>
      </c>
      <c r="G9" s="125">
        <f>'Invoer verlichting'!G8</f>
        <v>0</v>
      </c>
      <c r="H9" s="125">
        <f t="shared" si="0"/>
        <v>0</v>
      </c>
      <c r="I9" s="125">
        <f>'Invoer verlichting'!H8</f>
        <v>0</v>
      </c>
      <c r="J9" s="125">
        <v>1</v>
      </c>
      <c r="K9" s="125">
        <f t="shared" si="2"/>
        <v>0</v>
      </c>
      <c r="L9" s="125">
        <f t="shared" si="3"/>
        <v>0</v>
      </c>
      <c r="M9" s="125">
        <f t="shared" si="4"/>
        <v>1</v>
      </c>
      <c r="N9" s="125">
        <f t="shared" si="5"/>
        <v>1</v>
      </c>
      <c r="O9" s="125">
        <f>IF(B9=2,'Invoer Algemeen'!$D$16,IF(B9=3,'Invoer Algemeen'!$D$17,IF(B9=4,'Invoer Algemeen'!$D$18,IF(B9=5,'Invoer Algemeen'!$D$19,0))))</f>
        <v>0</v>
      </c>
      <c r="P9" s="125">
        <f t="shared" si="6"/>
        <v>0</v>
      </c>
      <c r="Q9" s="114">
        <f t="shared" si="7"/>
        <v>0</v>
      </c>
      <c r="R9" s="125">
        <f t="shared" si="8"/>
        <v>0</v>
      </c>
      <c r="S9" s="125">
        <f t="shared" si="9"/>
        <v>0</v>
      </c>
      <c r="T9" s="195">
        <f t="shared" si="10"/>
        <v>0</v>
      </c>
      <c r="U9" s="114">
        <f t="shared" si="11"/>
        <v>0</v>
      </c>
      <c r="V9" s="114">
        <f t="shared" si="12"/>
        <v>0</v>
      </c>
      <c r="W9" s="114">
        <f t="shared" si="13"/>
        <v>0</v>
      </c>
      <c r="X9" s="114">
        <f t="shared" si="14"/>
        <v>0</v>
      </c>
      <c r="Y9" s="245"/>
      <c r="Z9" s="126">
        <v>1</v>
      </c>
      <c r="AA9" s="126">
        <v>1</v>
      </c>
      <c r="AB9" s="126">
        <f t="shared" si="15"/>
        <v>1</v>
      </c>
      <c r="AC9" s="125">
        <f>IF(Z9=1,G9,'Invoer verlichting'!N8)</f>
        <v>0</v>
      </c>
      <c r="AD9" s="125">
        <f t="shared" si="1"/>
        <v>0</v>
      </c>
      <c r="AE9" s="125">
        <f>'Invoer verlichting'!O8</f>
        <v>0</v>
      </c>
      <c r="AF9" s="126">
        <v>1</v>
      </c>
      <c r="AG9" s="126">
        <f>'Invoer verlichting'!P8</f>
        <v>0</v>
      </c>
      <c r="AH9" s="126">
        <f>'Invoer verlichting'!Q8</f>
        <v>0</v>
      </c>
      <c r="AI9" s="125">
        <f t="shared" si="16"/>
        <v>0</v>
      </c>
      <c r="AJ9" s="125">
        <f t="shared" si="17"/>
        <v>0</v>
      </c>
      <c r="AK9" s="125">
        <f t="shared" si="18"/>
        <v>1</v>
      </c>
      <c r="AL9" s="125">
        <f t="shared" si="19"/>
        <v>1</v>
      </c>
      <c r="AM9" s="125">
        <f>IF(B9=2,'Invoer Algemeen'!$D$16,IF(B9=3,'Invoer Algemeen'!$D$17,IF(B9=4,'Invoer Algemeen'!$D$18,IF(B9=5,'Invoer Algemeen'!$D$19,0))))</f>
        <v>0</v>
      </c>
      <c r="AN9" s="125">
        <f t="shared" si="20"/>
        <v>0</v>
      </c>
      <c r="AO9" s="114">
        <f t="shared" si="21"/>
        <v>0</v>
      </c>
      <c r="AP9" s="114">
        <f t="shared" si="22"/>
        <v>0</v>
      </c>
      <c r="AQ9" s="114">
        <f t="shared" si="23"/>
        <v>0</v>
      </c>
      <c r="AR9" s="114">
        <f t="shared" si="24"/>
        <v>0</v>
      </c>
      <c r="AS9" s="114">
        <f t="shared" si="25"/>
        <v>0</v>
      </c>
      <c r="AT9" s="114">
        <f t="shared" si="26"/>
        <v>0</v>
      </c>
      <c r="AU9" s="114">
        <f t="shared" si="27"/>
        <v>0</v>
      </c>
      <c r="AV9" s="114">
        <f t="shared" si="28"/>
        <v>0</v>
      </c>
      <c r="AW9" s="125"/>
      <c r="AX9" s="114">
        <f t="shared" si="29"/>
        <v>0</v>
      </c>
      <c r="AY9" s="114">
        <f t="shared" si="30"/>
        <v>0</v>
      </c>
      <c r="AZ9" s="114">
        <f t="shared" si="31"/>
        <v>0</v>
      </c>
      <c r="BA9" s="114">
        <f t="shared" si="32"/>
        <v>0</v>
      </c>
      <c r="BB9" s="114">
        <f t="shared" si="33"/>
        <v>0</v>
      </c>
      <c r="BC9" s="114">
        <f t="shared" si="34"/>
        <v>0</v>
      </c>
      <c r="BD9" s="114">
        <f t="shared" si="35"/>
        <v>0</v>
      </c>
      <c r="BE9" s="114">
        <f t="shared" si="36"/>
        <v>0</v>
      </c>
      <c r="BF9" s="125"/>
      <c r="BG9" s="114">
        <f t="shared" si="37"/>
        <v>0</v>
      </c>
      <c r="BH9" s="114">
        <f t="shared" si="38"/>
        <v>0</v>
      </c>
      <c r="BI9" s="114">
        <f t="shared" si="39"/>
        <v>0</v>
      </c>
      <c r="BJ9" s="114">
        <f t="shared" si="40"/>
        <v>0</v>
      </c>
      <c r="BK9" s="114">
        <f t="shared" si="41"/>
        <v>0</v>
      </c>
      <c r="BL9" s="114">
        <f t="shared" si="42"/>
        <v>0</v>
      </c>
      <c r="BM9" s="114">
        <f t="shared" si="43"/>
        <v>0</v>
      </c>
      <c r="BN9" s="114">
        <f t="shared" si="44"/>
        <v>0</v>
      </c>
      <c r="BO9" s="125"/>
      <c r="BP9" s="114">
        <f t="shared" si="45"/>
        <v>0</v>
      </c>
      <c r="BQ9" s="114">
        <f t="shared" si="46"/>
        <v>0</v>
      </c>
      <c r="BR9" s="114">
        <f t="shared" si="47"/>
        <v>0</v>
      </c>
      <c r="BS9" s="114">
        <f t="shared" si="48"/>
        <v>0</v>
      </c>
      <c r="BT9" s="125"/>
      <c r="BU9" s="125"/>
      <c r="BV9" s="125"/>
      <c r="BW9" s="125"/>
      <c r="BX9" s="89">
        <f>IF(Z9=1,0,AC9*'Kosten kengetallen'!$B$42)</f>
        <v>0</v>
      </c>
      <c r="BY9" s="89">
        <f>'Kosten kengetallen'!$B$43*AH9</f>
        <v>0</v>
      </c>
      <c r="BZ9" s="89">
        <f>'Kosten kengetallen'!$B$44*AG9</f>
        <v>0</v>
      </c>
      <c r="CA9" s="89">
        <f t="shared" si="49"/>
        <v>0</v>
      </c>
      <c r="CB9" s="89">
        <f t="shared" si="50"/>
        <v>0</v>
      </c>
      <c r="CC9" s="89">
        <v>0</v>
      </c>
      <c r="CE9" s="89">
        <f t="shared" si="51"/>
        <v>0</v>
      </c>
      <c r="CH9" s="89">
        <f t="shared" si="52"/>
        <v>0</v>
      </c>
      <c r="CI9" s="89">
        <f t="shared" si="53"/>
        <v>0</v>
      </c>
      <c r="CJ9" s="89">
        <f t="shared" si="54"/>
        <v>0</v>
      </c>
      <c r="CK9" s="89">
        <f t="shared" si="55"/>
        <v>0</v>
      </c>
    </row>
    <row r="10" spans="1:89" s="89" customFormat="1" x14ac:dyDescent="0.2">
      <c r="A10" s="124">
        <f>'Invoer verlichting'!A9</f>
        <v>0</v>
      </c>
      <c r="B10" s="123">
        <v>1</v>
      </c>
      <c r="C10" s="125">
        <v>1</v>
      </c>
      <c r="D10" s="125">
        <v>1</v>
      </c>
      <c r="E10" s="125">
        <v>1</v>
      </c>
      <c r="F10" s="125">
        <v>1</v>
      </c>
      <c r="G10" s="125">
        <f>'Invoer verlichting'!G9</f>
        <v>0</v>
      </c>
      <c r="H10" s="125">
        <f t="shared" si="0"/>
        <v>0</v>
      </c>
      <c r="I10" s="125">
        <f>'Invoer verlichting'!H9</f>
        <v>0</v>
      </c>
      <c r="J10" s="125">
        <v>1</v>
      </c>
      <c r="K10" s="125">
        <f t="shared" si="2"/>
        <v>0</v>
      </c>
      <c r="L10" s="125">
        <f t="shared" si="3"/>
        <v>0</v>
      </c>
      <c r="M10" s="125">
        <f t="shared" si="4"/>
        <v>1</v>
      </c>
      <c r="N10" s="125">
        <f t="shared" si="5"/>
        <v>1</v>
      </c>
      <c r="O10" s="125">
        <f>IF(B10=2,'Invoer Algemeen'!$D$16,IF(B10=3,'Invoer Algemeen'!$D$17,IF(B10=4,'Invoer Algemeen'!$D$18,IF(B10=5,'Invoer Algemeen'!$D$19,0))))</f>
        <v>0</v>
      </c>
      <c r="P10" s="125">
        <f t="shared" si="6"/>
        <v>0</v>
      </c>
      <c r="Q10" s="114">
        <f t="shared" si="7"/>
        <v>0</v>
      </c>
      <c r="R10" s="125">
        <f t="shared" si="8"/>
        <v>0</v>
      </c>
      <c r="S10" s="125">
        <f t="shared" si="9"/>
        <v>0</v>
      </c>
      <c r="T10" s="195">
        <f t="shared" si="10"/>
        <v>0</v>
      </c>
      <c r="U10" s="114">
        <f t="shared" si="11"/>
        <v>0</v>
      </c>
      <c r="V10" s="114">
        <f t="shared" si="12"/>
        <v>0</v>
      </c>
      <c r="W10" s="114">
        <f t="shared" si="13"/>
        <v>0</v>
      </c>
      <c r="X10" s="114">
        <f t="shared" si="14"/>
        <v>0</v>
      </c>
      <c r="Y10" s="245"/>
      <c r="Z10" s="126">
        <v>1</v>
      </c>
      <c r="AA10" s="126">
        <v>1</v>
      </c>
      <c r="AB10" s="126">
        <f t="shared" si="15"/>
        <v>1</v>
      </c>
      <c r="AC10" s="125">
        <f>IF(Z10=1,G10,'Invoer verlichting'!N9)</f>
        <v>0</v>
      </c>
      <c r="AD10" s="125">
        <f t="shared" si="1"/>
        <v>0</v>
      </c>
      <c r="AE10" s="125">
        <f>'Invoer verlichting'!O9</f>
        <v>0</v>
      </c>
      <c r="AF10" s="126">
        <v>1</v>
      </c>
      <c r="AG10" s="126">
        <f>'Invoer verlichting'!P9</f>
        <v>0</v>
      </c>
      <c r="AH10" s="126">
        <f>'Invoer verlichting'!Q9</f>
        <v>0</v>
      </c>
      <c r="AI10" s="125">
        <f t="shared" si="16"/>
        <v>0</v>
      </c>
      <c r="AJ10" s="125">
        <f t="shared" si="17"/>
        <v>0</v>
      </c>
      <c r="AK10" s="125">
        <f t="shared" si="18"/>
        <v>1</v>
      </c>
      <c r="AL10" s="125">
        <f t="shared" si="19"/>
        <v>1</v>
      </c>
      <c r="AM10" s="125">
        <f>IF(B10=2,'Invoer Algemeen'!$D$16,IF(B10=3,'Invoer Algemeen'!$D$17,IF(B10=4,'Invoer Algemeen'!$D$18,IF(B10=5,'Invoer Algemeen'!$D$19,0))))</f>
        <v>0</v>
      </c>
      <c r="AN10" s="125">
        <f t="shared" si="20"/>
        <v>0</v>
      </c>
      <c r="AO10" s="114">
        <f t="shared" si="21"/>
        <v>0</v>
      </c>
      <c r="AP10" s="114">
        <f t="shared" si="22"/>
        <v>0</v>
      </c>
      <c r="AQ10" s="114">
        <f t="shared" si="23"/>
        <v>0</v>
      </c>
      <c r="AR10" s="114">
        <f t="shared" si="24"/>
        <v>0</v>
      </c>
      <c r="AS10" s="114">
        <f t="shared" si="25"/>
        <v>0</v>
      </c>
      <c r="AT10" s="114">
        <f t="shared" si="26"/>
        <v>0</v>
      </c>
      <c r="AU10" s="114">
        <f t="shared" si="27"/>
        <v>0</v>
      </c>
      <c r="AV10" s="114">
        <f t="shared" si="28"/>
        <v>0</v>
      </c>
      <c r="AW10" s="125"/>
      <c r="AX10" s="114">
        <f t="shared" si="29"/>
        <v>0</v>
      </c>
      <c r="AY10" s="114">
        <f t="shared" si="30"/>
        <v>0</v>
      </c>
      <c r="AZ10" s="114">
        <f t="shared" si="31"/>
        <v>0</v>
      </c>
      <c r="BA10" s="114">
        <f t="shared" si="32"/>
        <v>0</v>
      </c>
      <c r="BB10" s="114">
        <f t="shared" si="33"/>
        <v>0</v>
      </c>
      <c r="BC10" s="114">
        <f t="shared" si="34"/>
        <v>0</v>
      </c>
      <c r="BD10" s="114">
        <f t="shared" si="35"/>
        <v>0</v>
      </c>
      <c r="BE10" s="114">
        <f t="shared" si="36"/>
        <v>0</v>
      </c>
      <c r="BF10" s="125"/>
      <c r="BG10" s="114">
        <f t="shared" si="37"/>
        <v>0</v>
      </c>
      <c r="BH10" s="114">
        <f t="shared" si="38"/>
        <v>0</v>
      </c>
      <c r="BI10" s="114">
        <f t="shared" si="39"/>
        <v>0</v>
      </c>
      <c r="BJ10" s="114">
        <f t="shared" si="40"/>
        <v>0</v>
      </c>
      <c r="BK10" s="114">
        <f t="shared" si="41"/>
        <v>0</v>
      </c>
      <c r="BL10" s="114">
        <f t="shared" si="42"/>
        <v>0</v>
      </c>
      <c r="BM10" s="114">
        <f t="shared" si="43"/>
        <v>0</v>
      </c>
      <c r="BN10" s="114">
        <f t="shared" si="44"/>
        <v>0</v>
      </c>
      <c r="BO10" s="125"/>
      <c r="BP10" s="114">
        <f t="shared" si="45"/>
        <v>0</v>
      </c>
      <c r="BQ10" s="114">
        <f t="shared" si="46"/>
        <v>0</v>
      </c>
      <c r="BR10" s="114">
        <f t="shared" si="47"/>
        <v>0</v>
      </c>
      <c r="BS10" s="114">
        <f t="shared" si="48"/>
        <v>0</v>
      </c>
      <c r="BT10" s="125"/>
      <c r="BU10" s="125"/>
      <c r="BV10" s="125"/>
      <c r="BW10" s="125"/>
      <c r="BX10" s="89">
        <f>IF(Z10=1,0,AC10*'Kosten kengetallen'!$B$42)</f>
        <v>0</v>
      </c>
      <c r="BY10" s="89">
        <f>'Kosten kengetallen'!$B$43*AH10</f>
        <v>0</v>
      </c>
      <c r="BZ10" s="89">
        <f>'Kosten kengetallen'!$B$44*AG10</f>
        <v>0</v>
      </c>
      <c r="CA10" s="89">
        <f t="shared" si="49"/>
        <v>0</v>
      </c>
      <c r="CB10" s="89">
        <f t="shared" si="50"/>
        <v>0</v>
      </c>
      <c r="CC10" s="89">
        <v>0</v>
      </c>
      <c r="CE10" s="89">
        <f t="shared" si="51"/>
        <v>0</v>
      </c>
      <c r="CH10" s="89">
        <f t="shared" si="52"/>
        <v>0</v>
      </c>
      <c r="CI10" s="89">
        <f t="shared" si="53"/>
        <v>0</v>
      </c>
      <c r="CJ10" s="89">
        <f t="shared" si="54"/>
        <v>0</v>
      </c>
      <c r="CK10" s="89">
        <f t="shared" si="55"/>
        <v>0</v>
      </c>
    </row>
    <row r="11" spans="1:89" s="89" customFormat="1" x14ac:dyDescent="0.2">
      <c r="A11" s="124">
        <f>'Invoer verlichting'!A10</f>
        <v>0</v>
      </c>
      <c r="B11" s="123">
        <v>1</v>
      </c>
      <c r="C11" s="125">
        <v>1</v>
      </c>
      <c r="D11" s="125">
        <v>1</v>
      </c>
      <c r="E11" s="125">
        <v>1</v>
      </c>
      <c r="F11" s="125">
        <v>1</v>
      </c>
      <c r="G11" s="125">
        <f>'Invoer verlichting'!G10</f>
        <v>0</v>
      </c>
      <c r="H11" s="125">
        <f t="shared" si="0"/>
        <v>0</v>
      </c>
      <c r="I11" s="125">
        <f>'Invoer verlichting'!H10</f>
        <v>0</v>
      </c>
      <c r="J11" s="125">
        <v>1</v>
      </c>
      <c r="K11" s="125">
        <f t="shared" si="2"/>
        <v>0</v>
      </c>
      <c r="L11" s="125">
        <f t="shared" si="3"/>
        <v>0</v>
      </c>
      <c r="M11" s="125">
        <f t="shared" si="4"/>
        <v>1</v>
      </c>
      <c r="N11" s="125">
        <f t="shared" si="5"/>
        <v>1</v>
      </c>
      <c r="O11" s="125">
        <f>IF(B11=2,'Invoer Algemeen'!$D$16,IF(B11=3,'Invoer Algemeen'!$D$17,IF(B11=4,'Invoer Algemeen'!$D$18,IF(B11=5,'Invoer Algemeen'!$D$19,0))))</f>
        <v>0</v>
      </c>
      <c r="P11" s="125">
        <f t="shared" si="6"/>
        <v>0</v>
      </c>
      <c r="Q11" s="114">
        <f t="shared" si="7"/>
        <v>0</v>
      </c>
      <c r="R11" s="125">
        <f t="shared" si="8"/>
        <v>0</v>
      </c>
      <c r="S11" s="125">
        <f t="shared" si="9"/>
        <v>0</v>
      </c>
      <c r="T11" s="195">
        <f t="shared" si="10"/>
        <v>0</v>
      </c>
      <c r="U11" s="114">
        <f t="shared" si="11"/>
        <v>0</v>
      </c>
      <c r="V11" s="114">
        <f t="shared" si="12"/>
        <v>0</v>
      </c>
      <c r="W11" s="114">
        <f t="shared" si="13"/>
        <v>0</v>
      </c>
      <c r="X11" s="114">
        <f t="shared" si="14"/>
        <v>0</v>
      </c>
      <c r="Y11" s="245"/>
      <c r="Z11" s="126">
        <v>1</v>
      </c>
      <c r="AA11" s="126">
        <v>1</v>
      </c>
      <c r="AB11" s="126">
        <f t="shared" si="15"/>
        <v>1</v>
      </c>
      <c r="AC11" s="125">
        <f>IF(Z11=1,G11,'Invoer verlichting'!N10)</f>
        <v>0</v>
      </c>
      <c r="AD11" s="125">
        <f t="shared" si="1"/>
        <v>0</v>
      </c>
      <c r="AE11" s="125">
        <f>'Invoer verlichting'!O10</f>
        <v>0</v>
      </c>
      <c r="AF11" s="126">
        <v>1</v>
      </c>
      <c r="AG11" s="126">
        <f>'Invoer verlichting'!P10</f>
        <v>0</v>
      </c>
      <c r="AH11" s="126">
        <f>'Invoer verlichting'!Q10</f>
        <v>0</v>
      </c>
      <c r="AI11" s="125">
        <f t="shared" si="16"/>
        <v>0</v>
      </c>
      <c r="AJ11" s="125">
        <f t="shared" si="17"/>
        <v>0</v>
      </c>
      <c r="AK11" s="125">
        <f t="shared" si="18"/>
        <v>1</v>
      </c>
      <c r="AL11" s="125">
        <f t="shared" si="19"/>
        <v>1</v>
      </c>
      <c r="AM11" s="125">
        <f>IF(B11=2,'Invoer Algemeen'!$D$16,IF(B11=3,'Invoer Algemeen'!$D$17,IF(B11=4,'Invoer Algemeen'!$D$18,IF(B11=5,'Invoer Algemeen'!$D$19,0))))</f>
        <v>0</v>
      </c>
      <c r="AN11" s="125">
        <f t="shared" si="20"/>
        <v>0</v>
      </c>
      <c r="AO11" s="114">
        <f t="shared" si="21"/>
        <v>0</v>
      </c>
      <c r="AP11" s="114">
        <f t="shared" si="22"/>
        <v>0</v>
      </c>
      <c r="AQ11" s="114">
        <f t="shared" si="23"/>
        <v>0</v>
      </c>
      <c r="AR11" s="114">
        <f t="shared" si="24"/>
        <v>0</v>
      </c>
      <c r="AS11" s="114">
        <f t="shared" si="25"/>
        <v>0</v>
      </c>
      <c r="AT11" s="114">
        <f t="shared" si="26"/>
        <v>0</v>
      </c>
      <c r="AU11" s="114">
        <f t="shared" si="27"/>
        <v>0</v>
      </c>
      <c r="AV11" s="114">
        <f t="shared" si="28"/>
        <v>0</v>
      </c>
      <c r="AW11" s="125"/>
      <c r="AX11" s="114">
        <f t="shared" si="29"/>
        <v>0</v>
      </c>
      <c r="AY11" s="114">
        <f t="shared" si="30"/>
        <v>0</v>
      </c>
      <c r="AZ11" s="114">
        <f t="shared" si="31"/>
        <v>0</v>
      </c>
      <c r="BA11" s="114">
        <f t="shared" si="32"/>
        <v>0</v>
      </c>
      <c r="BB11" s="114">
        <f t="shared" si="33"/>
        <v>0</v>
      </c>
      <c r="BC11" s="114">
        <f t="shared" si="34"/>
        <v>0</v>
      </c>
      <c r="BD11" s="114">
        <f t="shared" si="35"/>
        <v>0</v>
      </c>
      <c r="BE11" s="114">
        <f t="shared" si="36"/>
        <v>0</v>
      </c>
      <c r="BF11" s="125"/>
      <c r="BG11" s="114">
        <f t="shared" si="37"/>
        <v>0</v>
      </c>
      <c r="BH11" s="114">
        <f t="shared" si="38"/>
        <v>0</v>
      </c>
      <c r="BI11" s="114">
        <f t="shared" si="39"/>
        <v>0</v>
      </c>
      <c r="BJ11" s="114">
        <f t="shared" si="40"/>
        <v>0</v>
      </c>
      <c r="BK11" s="114">
        <f t="shared" si="41"/>
        <v>0</v>
      </c>
      <c r="BL11" s="114">
        <f t="shared" si="42"/>
        <v>0</v>
      </c>
      <c r="BM11" s="114">
        <f t="shared" si="43"/>
        <v>0</v>
      </c>
      <c r="BN11" s="114">
        <f t="shared" si="44"/>
        <v>0</v>
      </c>
      <c r="BO11" s="125"/>
      <c r="BP11" s="114">
        <f t="shared" si="45"/>
        <v>0</v>
      </c>
      <c r="BQ11" s="114">
        <f t="shared" si="46"/>
        <v>0</v>
      </c>
      <c r="BR11" s="114">
        <f t="shared" si="47"/>
        <v>0</v>
      </c>
      <c r="BS11" s="114">
        <f t="shared" si="48"/>
        <v>0</v>
      </c>
      <c r="BT11" s="125"/>
      <c r="BU11" s="125"/>
      <c r="BV11" s="125"/>
      <c r="BW11" s="125"/>
      <c r="BX11" s="89">
        <f>IF(Z11=1,0,AC11*'Kosten kengetallen'!$B$42)</f>
        <v>0</v>
      </c>
      <c r="BY11" s="89">
        <f>'Kosten kengetallen'!$B$43*AH11</f>
        <v>0</v>
      </c>
      <c r="BZ11" s="89">
        <f>'Kosten kengetallen'!$B$44*AG11</f>
        <v>0</v>
      </c>
      <c r="CA11" s="89">
        <f t="shared" si="49"/>
        <v>0</v>
      </c>
      <c r="CB11" s="89">
        <f t="shared" si="50"/>
        <v>0</v>
      </c>
      <c r="CC11" s="89">
        <v>0</v>
      </c>
      <c r="CE11" s="89">
        <f t="shared" si="51"/>
        <v>0</v>
      </c>
      <c r="CH11" s="89">
        <f t="shared" si="52"/>
        <v>0</v>
      </c>
      <c r="CI11" s="89">
        <f t="shared" si="53"/>
        <v>0</v>
      </c>
      <c r="CJ11" s="89">
        <f t="shared" si="54"/>
        <v>0</v>
      </c>
      <c r="CK11" s="89">
        <f t="shared" si="55"/>
        <v>0</v>
      </c>
    </row>
    <row r="12" spans="1:89" s="89" customFormat="1" x14ac:dyDescent="0.2">
      <c r="A12" s="124">
        <f>'Invoer verlichting'!A11</f>
        <v>0</v>
      </c>
      <c r="B12" s="123">
        <v>1</v>
      </c>
      <c r="C12" s="125">
        <v>1</v>
      </c>
      <c r="D12" s="125">
        <v>1</v>
      </c>
      <c r="E12" s="125">
        <v>1</v>
      </c>
      <c r="F12" s="125">
        <v>1</v>
      </c>
      <c r="G12" s="125">
        <f>'Invoer verlichting'!G11</f>
        <v>0</v>
      </c>
      <c r="H12" s="125">
        <f t="shared" si="0"/>
        <v>0</v>
      </c>
      <c r="I12" s="125">
        <f>'Invoer verlichting'!H11</f>
        <v>0</v>
      </c>
      <c r="J12" s="125">
        <v>1</v>
      </c>
      <c r="K12" s="125">
        <f t="shared" si="2"/>
        <v>0</v>
      </c>
      <c r="L12" s="125">
        <f t="shared" si="3"/>
        <v>0</v>
      </c>
      <c r="M12" s="125">
        <f t="shared" si="4"/>
        <v>1</v>
      </c>
      <c r="N12" s="125">
        <f t="shared" si="5"/>
        <v>1</v>
      </c>
      <c r="O12" s="125">
        <f>IF(B12=2,'Invoer Algemeen'!$D$16,IF(B12=3,'Invoer Algemeen'!$D$17,IF(B12=4,'Invoer Algemeen'!$D$18,IF(B12=5,'Invoer Algemeen'!$D$19,0))))</f>
        <v>0</v>
      </c>
      <c r="P12" s="125">
        <f t="shared" si="6"/>
        <v>0</v>
      </c>
      <c r="Q12" s="114">
        <f t="shared" si="7"/>
        <v>0</v>
      </c>
      <c r="R12" s="125">
        <f t="shared" si="8"/>
        <v>0</v>
      </c>
      <c r="S12" s="125">
        <f t="shared" si="9"/>
        <v>0</v>
      </c>
      <c r="T12" s="195">
        <f t="shared" si="10"/>
        <v>0</v>
      </c>
      <c r="U12" s="114">
        <f t="shared" si="11"/>
        <v>0</v>
      </c>
      <c r="V12" s="114">
        <f t="shared" si="12"/>
        <v>0</v>
      </c>
      <c r="W12" s="114">
        <f t="shared" si="13"/>
        <v>0</v>
      </c>
      <c r="X12" s="114">
        <f t="shared" si="14"/>
        <v>0</v>
      </c>
      <c r="Y12" s="245"/>
      <c r="Z12" s="126">
        <v>1</v>
      </c>
      <c r="AA12" s="126">
        <v>1</v>
      </c>
      <c r="AB12" s="126">
        <f t="shared" si="15"/>
        <v>1</v>
      </c>
      <c r="AC12" s="125">
        <f>IF(Z12=1,G12,'Invoer verlichting'!N11)</f>
        <v>0</v>
      </c>
      <c r="AD12" s="125">
        <f t="shared" si="1"/>
        <v>0</v>
      </c>
      <c r="AE12" s="125">
        <f>'Invoer verlichting'!O11</f>
        <v>0</v>
      </c>
      <c r="AF12" s="126">
        <v>1</v>
      </c>
      <c r="AG12" s="126">
        <f>'Invoer verlichting'!P11</f>
        <v>0</v>
      </c>
      <c r="AH12" s="126">
        <f>'Invoer verlichting'!Q11</f>
        <v>0</v>
      </c>
      <c r="AI12" s="125">
        <f t="shared" si="16"/>
        <v>0</v>
      </c>
      <c r="AJ12" s="125">
        <f t="shared" si="17"/>
        <v>0</v>
      </c>
      <c r="AK12" s="125">
        <f t="shared" si="18"/>
        <v>1</v>
      </c>
      <c r="AL12" s="125">
        <f t="shared" si="19"/>
        <v>1</v>
      </c>
      <c r="AM12" s="125">
        <f>IF(B12=2,'Invoer Algemeen'!$D$16,IF(B12=3,'Invoer Algemeen'!$D$17,IF(B12=4,'Invoer Algemeen'!$D$18,IF(B12=5,'Invoer Algemeen'!$D$19,0))))</f>
        <v>0</v>
      </c>
      <c r="AN12" s="125">
        <f t="shared" si="20"/>
        <v>0</v>
      </c>
      <c r="AO12" s="114">
        <f t="shared" si="21"/>
        <v>0</v>
      </c>
      <c r="AP12" s="114">
        <f t="shared" si="22"/>
        <v>0</v>
      </c>
      <c r="AQ12" s="114">
        <f t="shared" si="23"/>
        <v>0</v>
      </c>
      <c r="AR12" s="114">
        <f t="shared" si="24"/>
        <v>0</v>
      </c>
      <c r="AS12" s="114">
        <f t="shared" si="25"/>
        <v>0</v>
      </c>
      <c r="AT12" s="114">
        <f t="shared" si="26"/>
        <v>0</v>
      </c>
      <c r="AU12" s="114">
        <f t="shared" si="27"/>
        <v>0</v>
      </c>
      <c r="AV12" s="114">
        <f t="shared" si="28"/>
        <v>0</v>
      </c>
      <c r="AW12" s="125"/>
      <c r="AX12" s="114">
        <f t="shared" si="29"/>
        <v>0</v>
      </c>
      <c r="AY12" s="114">
        <f t="shared" si="30"/>
        <v>0</v>
      </c>
      <c r="AZ12" s="114">
        <f t="shared" si="31"/>
        <v>0</v>
      </c>
      <c r="BA12" s="114">
        <f t="shared" si="32"/>
        <v>0</v>
      </c>
      <c r="BB12" s="114">
        <f t="shared" si="33"/>
        <v>0</v>
      </c>
      <c r="BC12" s="114">
        <f t="shared" si="34"/>
        <v>0</v>
      </c>
      <c r="BD12" s="114">
        <f t="shared" si="35"/>
        <v>0</v>
      </c>
      <c r="BE12" s="114">
        <f t="shared" si="36"/>
        <v>0</v>
      </c>
      <c r="BF12" s="125"/>
      <c r="BG12" s="114">
        <f t="shared" si="37"/>
        <v>0</v>
      </c>
      <c r="BH12" s="114">
        <f t="shared" si="38"/>
        <v>0</v>
      </c>
      <c r="BI12" s="114">
        <f t="shared" si="39"/>
        <v>0</v>
      </c>
      <c r="BJ12" s="114">
        <f t="shared" si="40"/>
        <v>0</v>
      </c>
      <c r="BK12" s="114">
        <f t="shared" si="41"/>
        <v>0</v>
      </c>
      <c r="BL12" s="114">
        <f t="shared" si="42"/>
        <v>0</v>
      </c>
      <c r="BM12" s="114">
        <f t="shared" si="43"/>
        <v>0</v>
      </c>
      <c r="BN12" s="114">
        <f t="shared" si="44"/>
        <v>0</v>
      </c>
      <c r="BO12" s="125"/>
      <c r="BP12" s="114">
        <f t="shared" si="45"/>
        <v>0</v>
      </c>
      <c r="BQ12" s="114">
        <f t="shared" si="46"/>
        <v>0</v>
      </c>
      <c r="BR12" s="114">
        <f t="shared" si="47"/>
        <v>0</v>
      </c>
      <c r="BS12" s="114">
        <f t="shared" si="48"/>
        <v>0</v>
      </c>
      <c r="BT12" s="125"/>
      <c r="BU12" s="125"/>
      <c r="BV12" s="125"/>
      <c r="BW12" s="125"/>
      <c r="BX12" s="89">
        <f>IF(Z12=1,0,AC12*'Kosten kengetallen'!$B$42)</f>
        <v>0</v>
      </c>
      <c r="BY12" s="89">
        <f>'Kosten kengetallen'!$B$43*AH12</f>
        <v>0</v>
      </c>
      <c r="BZ12" s="89">
        <f>'Kosten kengetallen'!$B$44*AG12</f>
        <v>0</v>
      </c>
      <c r="CA12" s="89">
        <f t="shared" si="49"/>
        <v>0</v>
      </c>
      <c r="CB12" s="89">
        <f t="shared" si="50"/>
        <v>0</v>
      </c>
      <c r="CC12" s="89">
        <v>0</v>
      </c>
      <c r="CE12" s="89">
        <f t="shared" si="51"/>
        <v>0</v>
      </c>
      <c r="CH12" s="89">
        <f t="shared" si="52"/>
        <v>0</v>
      </c>
      <c r="CI12" s="89">
        <f t="shared" si="53"/>
        <v>0</v>
      </c>
      <c r="CJ12" s="89">
        <f t="shared" si="54"/>
        <v>0</v>
      </c>
      <c r="CK12" s="89">
        <f t="shared" si="55"/>
        <v>0</v>
      </c>
    </row>
    <row r="13" spans="1:89" s="89" customFormat="1" x14ac:dyDescent="0.2">
      <c r="A13" s="124">
        <f>'Invoer verlichting'!A12</f>
        <v>0</v>
      </c>
      <c r="B13" s="123">
        <v>1</v>
      </c>
      <c r="C13" s="125">
        <v>1</v>
      </c>
      <c r="D13" s="125">
        <v>1</v>
      </c>
      <c r="E13" s="125">
        <v>1</v>
      </c>
      <c r="F13" s="125">
        <v>1</v>
      </c>
      <c r="G13" s="125">
        <f>'Invoer verlichting'!G12</f>
        <v>0</v>
      </c>
      <c r="H13" s="125">
        <f t="shared" si="0"/>
        <v>0</v>
      </c>
      <c r="I13" s="125">
        <f>'Invoer verlichting'!H12</f>
        <v>0</v>
      </c>
      <c r="J13" s="125">
        <v>1</v>
      </c>
      <c r="K13" s="125">
        <f t="shared" si="2"/>
        <v>0</v>
      </c>
      <c r="L13" s="125">
        <f t="shared" si="3"/>
        <v>0</v>
      </c>
      <c r="M13" s="125">
        <f t="shared" si="4"/>
        <v>1</v>
      </c>
      <c r="N13" s="125">
        <f t="shared" si="5"/>
        <v>1</v>
      </c>
      <c r="O13" s="125">
        <f>IF(B13=2,'Invoer Algemeen'!$D$16,IF(B13=3,'Invoer Algemeen'!$D$17,IF(B13=4,'Invoer Algemeen'!$D$18,IF(B13=5,'Invoer Algemeen'!$D$19,0))))</f>
        <v>0</v>
      </c>
      <c r="P13" s="125">
        <f t="shared" si="6"/>
        <v>0</v>
      </c>
      <c r="Q13" s="114">
        <f t="shared" si="7"/>
        <v>0</v>
      </c>
      <c r="R13" s="125">
        <f t="shared" si="8"/>
        <v>0</v>
      </c>
      <c r="S13" s="125">
        <f t="shared" si="9"/>
        <v>0</v>
      </c>
      <c r="T13" s="195">
        <f t="shared" si="10"/>
        <v>0</v>
      </c>
      <c r="U13" s="114">
        <f t="shared" si="11"/>
        <v>0</v>
      </c>
      <c r="V13" s="114">
        <f t="shared" si="12"/>
        <v>0</v>
      </c>
      <c r="W13" s="114">
        <f t="shared" si="13"/>
        <v>0</v>
      </c>
      <c r="X13" s="114">
        <f t="shared" si="14"/>
        <v>0</v>
      </c>
      <c r="Y13" s="245"/>
      <c r="Z13" s="126">
        <v>1</v>
      </c>
      <c r="AA13" s="126">
        <v>1</v>
      </c>
      <c r="AB13" s="126">
        <f t="shared" si="15"/>
        <v>1</v>
      </c>
      <c r="AC13" s="125">
        <f>IF(Z13=1,G13,'Invoer verlichting'!N12)</f>
        <v>0</v>
      </c>
      <c r="AD13" s="125">
        <f t="shared" si="1"/>
        <v>0</v>
      </c>
      <c r="AE13" s="125">
        <f>'Invoer verlichting'!O12</f>
        <v>0</v>
      </c>
      <c r="AF13" s="126">
        <v>1</v>
      </c>
      <c r="AG13" s="126">
        <f>'Invoer verlichting'!P12</f>
        <v>0</v>
      </c>
      <c r="AH13" s="126">
        <f>'Invoer verlichting'!Q12</f>
        <v>0</v>
      </c>
      <c r="AI13" s="125">
        <f t="shared" si="16"/>
        <v>0</v>
      </c>
      <c r="AJ13" s="125">
        <f t="shared" si="17"/>
        <v>0</v>
      </c>
      <c r="AK13" s="125">
        <f t="shared" si="18"/>
        <v>1</v>
      </c>
      <c r="AL13" s="125">
        <f t="shared" si="19"/>
        <v>1</v>
      </c>
      <c r="AM13" s="125">
        <f>IF(B13=2,'Invoer Algemeen'!$D$16,IF(B13=3,'Invoer Algemeen'!$D$17,IF(B13=4,'Invoer Algemeen'!$D$18,IF(B13=5,'Invoer Algemeen'!$D$19,0))))</f>
        <v>0</v>
      </c>
      <c r="AN13" s="125">
        <f t="shared" si="20"/>
        <v>0</v>
      </c>
      <c r="AO13" s="114">
        <f t="shared" si="21"/>
        <v>0</v>
      </c>
      <c r="AP13" s="114">
        <f t="shared" si="22"/>
        <v>0</v>
      </c>
      <c r="AQ13" s="114">
        <f t="shared" si="23"/>
        <v>0</v>
      </c>
      <c r="AR13" s="114">
        <f t="shared" si="24"/>
        <v>0</v>
      </c>
      <c r="AS13" s="114">
        <f t="shared" si="25"/>
        <v>0</v>
      </c>
      <c r="AT13" s="114">
        <f t="shared" si="26"/>
        <v>0</v>
      </c>
      <c r="AU13" s="114">
        <f t="shared" si="27"/>
        <v>0</v>
      </c>
      <c r="AV13" s="114">
        <f t="shared" si="28"/>
        <v>0</v>
      </c>
      <c r="AW13" s="125"/>
      <c r="AX13" s="114">
        <f t="shared" si="29"/>
        <v>0</v>
      </c>
      <c r="AY13" s="114">
        <f t="shared" si="30"/>
        <v>0</v>
      </c>
      <c r="AZ13" s="114">
        <f t="shared" si="31"/>
        <v>0</v>
      </c>
      <c r="BA13" s="114">
        <f t="shared" si="32"/>
        <v>0</v>
      </c>
      <c r="BB13" s="114">
        <f t="shared" si="33"/>
        <v>0</v>
      </c>
      <c r="BC13" s="114">
        <f t="shared" si="34"/>
        <v>0</v>
      </c>
      <c r="BD13" s="114">
        <f t="shared" si="35"/>
        <v>0</v>
      </c>
      <c r="BE13" s="114">
        <f t="shared" si="36"/>
        <v>0</v>
      </c>
      <c r="BF13" s="125"/>
      <c r="BG13" s="114">
        <f t="shared" si="37"/>
        <v>0</v>
      </c>
      <c r="BH13" s="114">
        <f t="shared" si="38"/>
        <v>0</v>
      </c>
      <c r="BI13" s="114">
        <f t="shared" si="39"/>
        <v>0</v>
      </c>
      <c r="BJ13" s="114">
        <f t="shared" si="40"/>
        <v>0</v>
      </c>
      <c r="BK13" s="114">
        <f t="shared" si="41"/>
        <v>0</v>
      </c>
      <c r="BL13" s="114">
        <f t="shared" si="42"/>
        <v>0</v>
      </c>
      <c r="BM13" s="114">
        <f t="shared" si="43"/>
        <v>0</v>
      </c>
      <c r="BN13" s="114">
        <f t="shared" si="44"/>
        <v>0</v>
      </c>
      <c r="BO13" s="125"/>
      <c r="BP13" s="114">
        <f t="shared" si="45"/>
        <v>0</v>
      </c>
      <c r="BQ13" s="114">
        <f t="shared" si="46"/>
        <v>0</v>
      </c>
      <c r="BR13" s="114">
        <f t="shared" si="47"/>
        <v>0</v>
      </c>
      <c r="BS13" s="114">
        <f t="shared" si="48"/>
        <v>0</v>
      </c>
      <c r="BT13" s="125"/>
      <c r="BU13" s="125"/>
      <c r="BV13" s="125"/>
      <c r="BW13" s="125"/>
      <c r="BX13" s="89">
        <f>IF(Z13=1,0,AC13*'Kosten kengetallen'!$B$42)</f>
        <v>0</v>
      </c>
      <c r="BY13" s="89">
        <f>'Kosten kengetallen'!$B$43*AH13</f>
        <v>0</v>
      </c>
      <c r="BZ13" s="89">
        <f>'Kosten kengetallen'!$B$44*AG13</f>
        <v>0</v>
      </c>
      <c r="CA13" s="89">
        <f t="shared" si="49"/>
        <v>0</v>
      </c>
      <c r="CB13" s="89">
        <f t="shared" si="50"/>
        <v>0</v>
      </c>
      <c r="CC13" s="89">
        <v>0</v>
      </c>
      <c r="CE13" s="89">
        <f t="shared" si="51"/>
        <v>0</v>
      </c>
      <c r="CH13" s="89">
        <f t="shared" si="52"/>
        <v>0</v>
      </c>
      <c r="CI13" s="89">
        <f t="shared" si="53"/>
        <v>0</v>
      </c>
      <c r="CJ13" s="89">
        <f t="shared" si="54"/>
        <v>0</v>
      </c>
      <c r="CK13" s="89">
        <f t="shared" si="55"/>
        <v>0</v>
      </c>
    </row>
    <row r="14" spans="1:89" s="89" customFormat="1" x14ac:dyDescent="0.2">
      <c r="A14" s="124">
        <f>'Invoer verlichting'!A13</f>
        <v>0</v>
      </c>
      <c r="B14" s="123">
        <v>1</v>
      </c>
      <c r="C14" s="125">
        <v>1</v>
      </c>
      <c r="D14" s="125">
        <v>1</v>
      </c>
      <c r="E14" s="125">
        <v>1</v>
      </c>
      <c r="F14" s="125">
        <v>1</v>
      </c>
      <c r="G14" s="125">
        <f>'Invoer verlichting'!G13</f>
        <v>0</v>
      </c>
      <c r="H14" s="125">
        <f t="shared" si="0"/>
        <v>0</v>
      </c>
      <c r="I14" s="125">
        <f>'Invoer verlichting'!H13</f>
        <v>0</v>
      </c>
      <c r="J14" s="125">
        <v>1</v>
      </c>
      <c r="K14" s="125">
        <f t="shared" si="2"/>
        <v>0</v>
      </c>
      <c r="L14" s="125">
        <f t="shared" si="3"/>
        <v>0</v>
      </c>
      <c r="M14" s="125">
        <f t="shared" si="4"/>
        <v>1</v>
      </c>
      <c r="N14" s="125">
        <f t="shared" si="5"/>
        <v>1</v>
      </c>
      <c r="O14" s="125">
        <f>IF(B14=2,'Invoer Algemeen'!$D$16,IF(B14=3,'Invoer Algemeen'!$D$17,IF(B14=4,'Invoer Algemeen'!$D$18,IF(B14=5,'Invoer Algemeen'!$D$19,0))))</f>
        <v>0</v>
      </c>
      <c r="P14" s="125">
        <f t="shared" si="6"/>
        <v>0</v>
      </c>
      <c r="Q14" s="114">
        <f t="shared" si="7"/>
        <v>0</v>
      </c>
      <c r="R14" s="125">
        <f t="shared" si="8"/>
        <v>0</v>
      </c>
      <c r="S14" s="125">
        <f t="shared" si="9"/>
        <v>0</v>
      </c>
      <c r="T14" s="195">
        <f t="shared" si="10"/>
        <v>0</v>
      </c>
      <c r="U14" s="114">
        <f t="shared" si="11"/>
        <v>0</v>
      </c>
      <c r="V14" s="114">
        <f t="shared" si="12"/>
        <v>0</v>
      </c>
      <c r="W14" s="114">
        <f t="shared" si="13"/>
        <v>0</v>
      </c>
      <c r="X14" s="114">
        <f t="shared" si="14"/>
        <v>0</v>
      </c>
      <c r="Y14" s="245"/>
      <c r="Z14" s="126">
        <v>1</v>
      </c>
      <c r="AA14" s="126">
        <v>1</v>
      </c>
      <c r="AB14" s="126">
        <f t="shared" si="15"/>
        <v>1</v>
      </c>
      <c r="AC14" s="125">
        <f>IF(Z14=1,G14,'Invoer verlichting'!N13)</f>
        <v>0</v>
      </c>
      <c r="AD14" s="125">
        <f t="shared" si="1"/>
        <v>0</v>
      </c>
      <c r="AE14" s="125">
        <f>'Invoer verlichting'!O13</f>
        <v>0</v>
      </c>
      <c r="AF14" s="126">
        <v>1</v>
      </c>
      <c r="AG14" s="126">
        <f>'Invoer verlichting'!P13</f>
        <v>0</v>
      </c>
      <c r="AH14" s="126">
        <f>'Invoer verlichting'!Q13</f>
        <v>0</v>
      </c>
      <c r="AI14" s="125">
        <f t="shared" si="16"/>
        <v>0</v>
      </c>
      <c r="AJ14" s="125">
        <f t="shared" si="17"/>
        <v>0</v>
      </c>
      <c r="AK14" s="125">
        <f t="shared" si="18"/>
        <v>1</v>
      </c>
      <c r="AL14" s="125">
        <f t="shared" si="19"/>
        <v>1</v>
      </c>
      <c r="AM14" s="125">
        <f>IF(B14=2,'Invoer Algemeen'!$D$16,IF(B14=3,'Invoer Algemeen'!$D$17,IF(B14=4,'Invoer Algemeen'!$D$18,IF(B14=5,'Invoer Algemeen'!$D$19,0))))</f>
        <v>0</v>
      </c>
      <c r="AN14" s="125">
        <f t="shared" si="20"/>
        <v>0</v>
      </c>
      <c r="AO14" s="114">
        <f t="shared" si="21"/>
        <v>0</v>
      </c>
      <c r="AP14" s="114">
        <f t="shared" si="22"/>
        <v>0</v>
      </c>
      <c r="AQ14" s="114">
        <f t="shared" si="23"/>
        <v>0</v>
      </c>
      <c r="AR14" s="114">
        <f t="shared" si="24"/>
        <v>0</v>
      </c>
      <c r="AS14" s="114">
        <f t="shared" si="25"/>
        <v>0</v>
      </c>
      <c r="AT14" s="114">
        <f t="shared" si="26"/>
        <v>0</v>
      </c>
      <c r="AU14" s="114">
        <f t="shared" si="27"/>
        <v>0</v>
      </c>
      <c r="AV14" s="114">
        <f t="shared" si="28"/>
        <v>0</v>
      </c>
      <c r="AW14" s="125"/>
      <c r="AX14" s="114">
        <f t="shared" si="29"/>
        <v>0</v>
      </c>
      <c r="AY14" s="114">
        <f t="shared" si="30"/>
        <v>0</v>
      </c>
      <c r="AZ14" s="114">
        <f t="shared" si="31"/>
        <v>0</v>
      </c>
      <c r="BA14" s="114">
        <f t="shared" si="32"/>
        <v>0</v>
      </c>
      <c r="BB14" s="114">
        <f t="shared" si="33"/>
        <v>0</v>
      </c>
      <c r="BC14" s="114">
        <f t="shared" si="34"/>
        <v>0</v>
      </c>
      <c r="BD14" s="114">
        <f t="shared" si="35"/>
        <v>0</v>
      </c>
      <c r="BE14" s="114">
        <f t="shared" si="36"/>
        <v>0</v>
      </c>
      <c r="BF14" s="125"/>
      <c r="BG14" s="114">
        <f t="shared" si="37"/>
        <v>0</v>
      </c>
      <c r="BH14" s="114">
        <f t="shared" si="38"/>
        <v>0</v>
      </c>
      <c r="BI14" s="114">
        <f t="shared" si="39"/>
        <v>0</v>
      </c>
      <c r="BJ14" s="114">
        <f t="shared" si="40"/>
        <v>0</v>
      </c>
      <c r="BK14" s="114">
        <f t="shared" si="41"/>
        <v>0</v>
      </c>
      <c r="BL14" s="114">
        <f t="shared" si="42"/>
        <v>0</v>
      </c>
      <c r="BM14" s="114">
        <f t="shared" si="43"/>
        <v>0</v>
      </c>
      <c r="BN14" s="114">
        <f t="shared" si="44"/>
        <v>0</v>
      </c>
      <c r="BO14" s="125"/>
      <c r="BP14" s="114">
        <f t="shared" si="45"/>
        <v>0</v>
      </c>
      <c r="BQ14" s="114">
        <f t="shared" si="46"/>
        <v>0</v>
      </c>
      <c r="BR14" s="114">
        <f t="shared" si="47"/>
        <v>0</v>
      </c>
      <c r="BS14" s="114">
        <f t="shared" si="48"/>
        <v>0</v>
      </c>
      <c r="BT14" s="125"/>
      <c r="BU14" s="125"/>
      <c r="BV14" s="125"/>
      <c r="BW14" s="125"/>
      <c r="BX14" s="89">
        <f>IF(Z14=1,0,AC14*'Kosten kengetallen'!$B$42)</f>
        <v>0</v>
      </c>
      <c r="BY14" s="89">
        <f>'Kosten kengetallen'!$B$43*AH14</f>
        <v>0</v>
      </c>
      <c r="BZ14" s="89">
        <f>'Kosten kengetallen'!$B$44*AG14</f>
        <v>0</v>
      </c>
      <c r="CA14" s="89">
        <f t="shared" si="49"/>
        <v>0</v>
      </c>
      <c r="CB14" s="89">
        <f t="shared" si="50"/>
        <v>0</v>
      </c>
      <c r="CC14" s="89">
        <v>0</v>
      </c>
      <c r="CE14" s="89">
        <f t="shared" si="51"/>
        <v>0</v>
      </c>
      <c r="CH14" s="89">
        <f t="shared" si="52"/>
        <v>0</v>
      </c>
      <c r="CI14" s="89">
        <f t="shared" si="53"/>
        <v>0</v>
      </c>
      <c r="CJ14" s="89">
        <f t="shared" si="54"/>
        <v>0</v>
      </c>
      <c r="CK14" s="89">
        <f t="shared" si="55"/>
        <v>0</v>
      </c>
    </row>
    <row r="15" spans="1:89" s="89" customFormat="1" x14ac:dyDescent="0.2">
      <c r="A15" s="124">
        <f>'Invoer verlichting'!A14</f>
        <v>0</v>
      </c>
      <c r="B15" s="123">
        <v>1</v>
      </c>
      <c r="C15" s="125">
        <v>1</v>
      </c>
      <c r="D15" s="125">
        <v>1</v>
      </c>
      <c r="E15" s="125">
        <v>1</v>
      </c>
      <c r="F15" s="125">
        <v>1</v>
      </c>
      <c r="G15" s="125">
        <f>'Invoer verlichting'!G14</f>
        <v>0</v>
      </c>
      <c r="H15" s="125">
        <f t="shared" si="0"/>
        <v>0</v>
      </c>
      <c r="I15" s="125">
        <f>'Invoer verlichting'!H14</f>
        <v>0</v>
      </c>
      <c r="J15" s="125">
        <v>1</v>
      </c>
      <c r="K15" s="125">
        <f t="shared" si="2"/>
        <v>0</v>
      </c>
      <c r="L15" s="125">
        <f t="shared" si="3"/>
        <v>0</v>
      </c>
      <c r="M15" s="125">
        <f t="shared" si="4"/>
        <v>1</v>
      </c>
      <c r="N15" s="125">
        <f t="shared" si="5"/>
        <v>1</v>
      </c>
      <c r="O15" s="125">
        <f>IF(B15=2,'Invoer Algemeen'!$D$16,IF(B15=3,'Invoer Algemeen'!$D$17,IF(B15=4,'Invoer Algemeen'!$D$18,IF(B15=5,'Invoer Algemeen'!$D$19,0))))</f>
        <v>0</v>
      </c>
      <c r="P15" s="125">
        <f t="shared" si="6"/>
        <v>0</v>
      </c>
      <c r="Q15" s="114">
        <f t="shared" si="7"/>
        <v>0</v>
      </c>
      <c r="R15" s="125">
        <f t="shared" si="8"/>
        <v>0</v>
      </c>
      <c r="S15" s="125">
        <f t="shared" si="9"/>
        <v>0</v>
      </c>
      <c r="T15" s="195">
        <f t="shared" si="10"/>
        <v>0</v>
      </c>
      <c r="U15" s="114">
        <f t="shared" si="11"/>
        <v>0</v>
      </c>
      <c r="V15" s="114">
        <f t="shared" si="12"/>
        <v>0</v>
      </c>
      <c r="W15" s="114">
        <f t="shared" si="13"/>
        <v>0</v>
      </c>
      <c r="X15" s="114">
        <f t="shared" si="14"/>
        <v>0</v>
      </c>
      <c r="Y15" s="245"/>
      <c r="Z15" s="126">
        <v>1</v>
      </c>
      <c r="AA15" s="126">
        <v>1</v>
      </c>
      <c r="AB15" s="126">
        <f t="shared" si="15"/>
        <v>1</v>
      </c>
      <c r="AC15" s="125">
        <f>IF(Z15=1,G15,'Invoer verlichting'!N14)</f>
        <v>0</v>
      </c>
      <c r="AD15" s="125">
        <f t="shared" si="1"/>
        <v>0</v>
      </c>
      <c r="AE15" s="125">
        <f>'Invoer verlichting'!O14</f>
        <v>0</v>
      </c>
      <c r="AF15" s="126">
        <v>1</v>
      </c>
      <c r="AG15" s="126">
        <f>'Invoer verlichting'!P14</f>
        <v>0</v>
      </c>
      <c r="AH15" s="126">
        <f>'Invoer verlichting'!Q14</f>
        <v>0</v>
      </c>
      <c r="AI15" s="125">
        <f t="shared" si="16"/>
        <v>0</v>
      </c>
      <c r="AJ15" s="125">
        <f t="shared" si="17"/>
        <v>0</v>
      </c>
      <c r="AK15" s="125">
        <f t="shared" si="18"/>
        <v>1</v>
      </c>
      <c r="AL15" s="125">
        <f t="shared" si="19"/>
        <v>1</v>
      </c>
      <c r="AM15" s="125">
        <f>IF(B15=2,'Invoer Algemeen'!$D$16,IF(B15=3,'Invoer Algemeen'!$D$17,IF(B15=4,'Invoer Algemeen'!$D$18,IF(B15=5,'Invoer Algemeen'!$D$19,0))))</f>
        <v>0</v>
      </c>
      <c r="AN15" s="125">
        <f t="shared" si="20"/>
        <v>0</v>
      </c>
      <c r="AO15" s="114">
        <f t="shared" si="21"/>
        <v>0</v>
      </c>
      <c r="AP15" s="114">
        <f t="shared" si="22"/>
        <v>0</v>
      </c>
      <c r="AQ15" s="114">
        <f t="shared" si="23"/>
        <v>0</v>
      </c>
      <c r="AR15" s="114">
        <f t="shared" si="24"/>
        <v>0</v>
      </c>
      <c r="AS15" s="114">
        <f t="shared" si="25"/>
        <v>0</v>
      </c>
      <c r="AT15" s="114">
        <f t="shared" si="26"/>
        <v>0</v>
      </c>
      <c r="AU15" s="114">
        <f t="shared" si="27"/>
        <v>0</v>
      </c>
      <c r="AV15" s="114">
        <f t="shared" si="28"/>
        <v>0</v>
      </c>
      <c r="AW15" s="125"/>
      <c r="AX15" s="114">
        <f t="shared" si="29"/>
        <v>0</v>
      </c>
      <c r="AY15" s="114">
        <f t="shared" si="30"/>
        <v>0</v>
      </c>
      <c r="AZ15" s="114">
        <f t="shared" si="31"/>
        <v>0</v>
      </c>
      <c r="BA15" s="114">
        <f t="shared" si="32"/>
        <v>0</v>
      </c>
      <c r="BB15" s="114">
        <f t="shared" si="33"/>
        <v>0</v>
      </c>
      <c r="BC15" s="114">
        <f t="shared" si="34"/>
        <v>0</v>
      </c>
      <c r="BD15" s="114">
        <f t="shared" si="35"/>
        <v>0</v>
      </c>
      <c r="BE15" s="114">
        <f t="shared" si="36"/>
        <v>0</v>
      </c>
      <c r="BF15" s="125"/>
      <c r="BG15" s="114">
        <f t="shared" si="37"/>
        <v>0</v>
      </c>
      <c r="BH15" s="114">
        <f t="shared" si="38"/>
        <v>0</v>
      </c>
      <c r="BI15" s="114">
        <f t="shared" si="39"/>
        <v>0</v>
      </c>
      <c r="BJ15" s="114">
        <f t="shared" si="40"/>
        <v>0</v>
      </c>
      <c r="BK15" s="114">
        <f t="shared" si="41"/>
        <v>0</v>
      </c>
      <c r="BL15" s="114">
        <f t="shared" si="42"/>
        <v>0</v>
      </c>
      <c r="BM15" s="114">
        <f t="shared" si="43"/>
        <v>0</v>
      </c>
      <c r="BN15" s="114">
        <f t="shared" si="44"/>
        <v>0</v>
      </c>
      <c r="BO15" s="125"/>
      <c r="BP15" s="114">
        <f t="shared" si="45"/>
        <v>0</v>
      </c>
      <c r="BQ15" s="114">
        <f t="shared" si="46"/>
        <v>0</v>
      </c>
      <c r="BR15" s="114">
        <f t="shared" si="47"/>
        <v>0</v>
      </c>
      <c r="BS15" s="114">
        <f t="shared" si="48"/>
        <v>0</v>
      </c>
      <c r="BT15" s="125"/>
      <c r="BU15" s="125"/>
      <c r="BV15" s="125"/>
      <c r="BW15" s="125"/>
      <c r="BX15" s="89">
        <f>IF(Z15=1,0,AC15*'Kosten kengetallen'!$B$42)</f>
        <v>0</v>
      </c>
      <c r="BY15" s="89">
        <f>'Kosten kengetallen'!$B$43*AH15</f>
        <v>0</v>
      </c>
      <c r="BZ15" s="89">
        <f>'Kosten kengetallen'!$B$44*AG15</f>
        <v>0</v>
      </c>
      <c r="CA15" s="89">
        <f t="shared" si="49"/>
        <v>0</v>
      </c>
      <c r="CB15" s="89">
        <f t="shared" si="50"/>
        <v>0</v>
      </c>
      <c r="CC15" s="89">
        <v>0</v>
      </c>
      <c r="CE15" s="89">
        <f t="shared" si="51"/>
        <v>0</v>
      </c>
      <c r="CH15" s="89">
        <f t="shared" si="52"/>
        <v>0</v>
      </c>
      <c r="CI15" s="89">
        <f t="shared" si="53"/>
        <v>0</v>
      </c>
      <c r="CJ15" s="89">
        <f t="shared" si="54"/>
        <v>0</v>
      </c>
      <c r="CK15" s="89">
        <f t="shared" si="55"/>
        <v>0</v>
      </c>
    </row>
    <row r="16" spans="1:89" s="89" customFormat="1" x14ac:dyDescent="0.2">
      <c r="A16" s="124">
        <f>'Invoer verlichting'!A15</f>
        <v>0</v>
      </c>
      <c r="B16" s="123">
        <v>1</v>
      </c>
      <c r="C16" s="125">
        <v>1</v>
      </c>
      <c r="D16" s="125">
        <v>1</v>
      </c>
      <c r="E16" s="125">
        <v>1</v>
      </c>
      <c r="F16" s="125">
        <v>1</v>
      </c>
      <c r="G16" s="125">
        <f>'Invoer verlichting'!G15</f>
        <v>0</v>
      </c>
      <c r="H16" s="125">
        <f t="shared" si="0"/>
        <v>0</v>
      </c>
      <c r="I16" s="125">
        <f>'Invoer verlichting'!H15</f>
        <v>0</v>
      </c>
      <c r="J16" s="125">
        <v>1</v>
      </c>
      <c r="K16" s="125">
        <f t="shared" si="2"/>
        <v>0</v>
      </c>
      <c r="L16" s="125">
        <f t="shared" si="3"/>
        <v>0</v>
      </c>
      <c r="M16" s="125">
        <f t="shared" si="4"/>
        <v>1</v>
      </c>
      <c r="N16" s="125">
        <f t="shared" si="5"/>
        <v>1</v>
      </c>
      <c r="O16" s="125">
        <f>IF(B16=2,'Invoer Algemeen'!$D$16,IF(B16=3,'Invoer Algemeen'!$D$17,IF(B16=4,'Invoer Algemeen'!$D$18,IF(B16=5,'Invoer Algemeen'!$D$19,0))))</f>
        <v>0</v>
      </c>
      <c r="P16" s="125">
        <f t="shared" si="6"/>
        <v>0</v>
      </c>
      <c r="Q16" s="114">
        <f t="shared" si="7"/>
        <v>0</v>
      </c>
      <c r="R16" s="125">
        <f t="shared" si="8"/>
        <v>0</v>
      </c>
      <c r="S16" s="125">
        <f t="shared" si="9"/>
        <v>0</v>
      </c>
      <c r="T16" s="195">
        <f t="shared" si="10"/>
        <v>0</v>
      </c>
      <c r="U16" s="114">
        <f t="shared" si="11"/>
        <v>0</v>
      </c>
      <c r="V16" s="114">
        <f t="shared" si="12"/>
        <v>0</v>
      </c>
      <c r="W16" s="114">
        <f t="shared" si="13"/>
        <v>0</v>
      </c>
      <c r="X16" s="114">
        <f t="shared" si="14"/>
        <v>0</v>
      </c>
      <c r="Y16" s="245"/>
      <c r="Z16" s="126">
        <v>1</v>
      </c>
      <c r="AA16" s="126">
        <v>1</v>
      </c>
      <c r="AB16" s="126">
        <f t="shared" si="15"/>
        <v>1</v>
      </c>
      <c r="AC16" s="125">
        <f>IF(Z16=1,G16,'Invoer verlichting'!N15)</f>
        <v>0</v>
      </c>
      <c r="AD16" s="125">
        <f t="shared" si="1"/>
        <v>0</v>
      </c>
      <c r="AE16" s="125">
        <f>'Invoer verlichting'!O15</f>
        <v>0</v>
      </c>
      <c r="AF16" s="126">
        <v>1</v>
      </c>
      <c r="AG16" s="126">
        <f>'Invoer verlichting'!P15</f>
        <v>0</v>
      </c>
      <c r="AH16" s="126">
        <f>'Invoer verlichting'!Q15</f>
        <v>0</v>
      </c>
      <c r="AI16" s="125">
        <f t="shared" si="16"/>
        <v>0</v>
      </c>
      <c r="AJ16" s="125">
        <f t="shared" si="17"/>
        <v>0</v>
      </c>
      <c r="AK16" s="125">
        <f t="shared" si="18"/>
        <v>1</v>
      </c>
      <c r="AL16" s="125">
        <f t="shared" si="19"/>
        <v>1</v>
      </c>
      <c r="AM16" s="125">
        <f>IF(B16=2,'Invoer Algemeen'!$D$16,IF(B16=3,'Invoer Algemeen'!$D$17,IF(B16=4,'Invoer Algemeen'!$D$18,IF(B16=5,'Invoer Algemeen'!$D$19,0))))</f>
        <v>0</v>
      </c>
      <c r="AN16" s="125">
        <f t="shared" si="20"/>
        <v>0</v>
      </c>
      <c r="AO16" s="114">
        <f t="shared" si="21"/>
        <v>0</v>
      </c>
      <c r="AP16" s="114">
        <f t="shared" si="22"/>
        <v>0</v>
      </c>
      <c r="AQ16" s="114">
        <f t="shared" si="23"/>
        <v>0</v>
      </c>
      <c r="AR16" s="114">
        <f t="shared" si="24"/>
        <v>0</v>
      </c>
      <c r="AS16" s="114">
        <f t="shared" si="25"/>
        <v>0</v>
      </c>
      <c r="AT16" s="114">
        <f t="shared" si="26"/>
        <v>0</v>
      </c>
      <c r="AU16" s="114">
        <f t="shared" si="27"/>
        <v>0</v>
      </c>
      <c r="AV16" s="114">
        <f t="shared" si="28"/>
        <v>0</v>
      </c>
      <c r="AW16" s="125"/>
      <c r="AX16" s="114">
        <f t="shared" si="29"/>
        <v>0</v>
      </c>
      <c r="AY16" s="114">
        <f t="shared" si="30"/>
        <v>0</v>
      </c>
      <c r="AZ16" s="114">
        <f t="shared" si="31"/>
        <v>0</v>
      </c>
      <c r="BA16" s="114">
        <f t="shared" si="32"/>
        <v>0</v>
      </c>
      <c r="BB16" s="114">
        <f t="shared" si="33"/>
        <v>0</v>
      </c>
      <c r="BC16" s="114">
        <f t="shared" si="34"/>
        <v>0</v>
      </c>
      <c r="BD16" s="114">
        <f t="shared" si="35"/>
        <v>0</v>
      </c>
      <c r="BE16" s="114">
        <f t="shared" si="36"/>
        <v>0</v>
      </c>
      <c r="BF16" s="125"/>
      <c r="BG16" s="114">
        <f t="shared" si="37"/>
        <v>0</v>
      </c>
      <c r="BH16" s="114">
        <f t="shared" si="38"/>
        <v>0</v>
      </c>
      <c r="BI16" s="114">
        <f t="shared" si="39"/>
        <v>0</v>
      </c>
      <c r="BJ16" s="114">
        <f t="shared" si="40"/>
        <v>0</v>
      </c>
      <c r="BK16" s="114">
        <f t="shared" si="41"/>
        <v>0</v>
      </c>
      <c r="BL16" s="114">
        <f t="shared" si="42"/>
        <v>0</v>
      </c>
      <c r="BM16" s="114">
        <f t="shared" si="43"/>
        <v>0</v>
      </c>
      <c r="BN16" s="114">
        <f t="shared" si="44"/>
        <v>0</v>
      </c>
      <c r="BO16" s="125"/>
      <c r="BP16" s="114">
        <f t="shared" si="45"/>
        <v>0</v>
      </c>
      <c r="BQ16" s="114">
        <f t="shared" si="46"/>
        <v>0</v>
      </c>
      <c r="BR16" s="114">
        <f t="shared" si="47"/>
        <v>0</v>
      </c>
      <c r="BS16" s="114">
        <f t="shared" si="48"/>
        <v>0</v>
      </c>
      <c r="BT16" s="125"/>
      <c r="BU16" s="125"/>
      <c r="BV16" s="125"/>
      <c r="BW16" s="125"/>
      <c r="BX16" s="89">
        <f>IF(Z16=1,0,AC16*'Kosten kengetallen'!$B$42)</f>
        <v>0</v>
      </c>
      <c r="BY16" s="89">
        <f>'Kosten kengetallen'!$B$43*AH16</f>
        <v>0</v>
      </c>
      <c r="BZ16" s="89">
        <f>'Kosten kengetallen'!$B$44*AG16</f>
        <v>0</v>
      </c>
      <c r="CA16" s="89">
        <f t="shared" si="49"/>
        <v>0</v>
      </c>
      <c r="CB16" s="89">
        <f t="shared" si="50"/>
        <v>0</v>
      </c>
      <c r="CC16" s="89">
        <v>0</v>
      </c>
      <c r="CE16" s="89">
        <f t="shared" si="51"/>
        <v>0</v>
      </c>
      <c r="CH16" s="89">
        <f t="shared" si="52"/>
        <v>0</v>
      </c>
      <c r="CI16" s="89">
        <f t="shared" si="53"/>
        <v>0</v>
      </c>
      <c r="CJ16" s="89">
        <f t="shared" si="54"/>
        <v>0</v>
      </c>
      <c r="CK16" s="89">
        <f t="shared" si="55"/>
        <v>0</v>
      </c>
    </row>
    <row r="17" spans="1:89" x14ac:dyDescent="0.2">
      <c r="A17" s="124">
        <f>'Invoer verlichting'!A16</f>
        <v>0</v>
      </c>
      <c r="B17" s="1">
        <v>1</v>
      </c>
      <c r="C17" s="1">
        <v>1</v>
      </c>
      <c r="D17" s="1">
        <v>1</v>
      </c>
      <c r="E17" s="1">
        <v>1</v>
      </c>
      <c r="F17" s="1">
        <v>1</v>
      </c>
      <c r="G17" s="125">
        <f>'Invoer verlichting'!G16</f>
        <v>0</v>
      </c>
      <c r="H17" s="125">
        <f t="shared" si="0"/>
        <v>0</v>
      </c>
      <c r="I17" s="125">
        <f>'Invoer verlichting'!H16</f>
        <v>0</v>
      </c>
      <c r="J17" s="1">
        <v>1</v>
      </c>
      <c r="K17" s="125">
        <f t="shared" si="2"/>
        <v>0</v>
      </c>
      <c r="L17" s="125">
        <f t="shared" si="3"/>
        <v>0</v>
      </c>
      <c r="M17" s="125">
        <f t="shared" si="4"/>
        <v>1</v>
      </c>
      <c r="N17" s="125">
        <f t="shared" si="5"/>
        <v>1</v>
      </c>
      <c r="O17" s="125">
        <f>IF(B17=2,'Invoer Algemeen'!$D$16,IF(B17=3,'Invoer Algemeen'!$D$17,IF(B17=4,'Invoer Algemeen'!$D$18,IF(B17=5,'Invoer Algemeen'!$D$19,0))))</f>
        <v>0</v>
      </c>
      <c r="P17" s="125">
        <f t="shared" si="6"/>
        <v>0</v>
      </c>
      <c r="Q17" s="114">
        <f t="shared" si="7"/>
        <v>0</v>
      </c>
      <c r="R17" s="125">
        <f t="shared" si="8"/>
        <v>0</v>
      </c>
      <c r="S17" s="125">
        <f t="shared" si="9"/>
        <v>0</v>
      </c>
      <c r="T17" s="195">
        <f t="shared" si="10"/>
        <v>0</v>
      </c>
      <c r="U17" s="114">
        <f t="shared" si="11"/>
        <v>0</v>
      </c>
      <c r="V17" s="114">
        <f t="shared" si="12"/>
        <v>0</v>
      </c>
      <c r="W17" s="114">
        <f t="shared" si="13"/>
        <v>0</v>
      </c>
      <c r="X17" s="114">
        <f t="shared" si="14"/>
        <v>0</v>
      </c>
      <c r="Y17" s="285"/>
      <c r="Z17" s="1">
        <v>1</v>
      </c>
      <c r="AA17" s="1">
        <v>1</v>
      </c>
      <c r="AB17" s="126">
        <f t="shared" si="15"/>
        <v>1</v>
      </c>
      <c r="AC17" s="125">
        <f>IF(Z17=1,G17,'Invoer verlichting'!N16)</f>
        <v>0</v>
      </c>
      <c r="AD17" s="125">
        <f t="shared" si="1"/>
        <v>0</v>
      </c>
      <c r="AE17" s="125">
        <f>'Invoer verlichting'!O16</f>
        <v>0</v>
      </c>
      <c r="AF17" s="1">
        <v>1</v>
      </c>
      <c r="AG17" s="126">
        <f>'Invoer verlichting'!P16</f>
        <v>0</v>
      </c>
      <c r="AH17" s="126">
        <f>'Invoer verlichting'!Q16</f>
        <v>0</v>
      </c>
      <c r="AI17" s="125">
        <f t="shared" si="16"/>
        <v>0</v>
      </c>
      <c r="AJ17" s="125">
        <f t="shared" si="17"/>
        <v>0</v>
      </c>
      <c r="AK17" s="125">
        <f t="shared" si="18"/>
        <v>1</v>
      </c>
      <c r="AL17" s="125">
        <f t="shared" si="19"/>
        <v>1</v>
      </c>
      <c r="AM17" s="125">
        <f>IF(B17=2,'Invoer Algemeen'!$D$16,IF(B17=3,'Invoer Algemeen'!$D$17,IF(B17=4,'Invoer Algemeen'!$D$18,IF(B17=5,'Invoer Algemeen'!$D$19,0))))</f>
        <v>0</v>
      </c>
      <c r="AN17" s="125">
        <f t="shared" si="20"/>
        <v>0</v>
      </c>
      <c r="AO17" s="114">
        <f t="shared" si="21"/>
        <v>0</v>
      </c>
      <c r="AP17" s="114">
        <f t="shared" si="22"/>
        <v>0</v>
      </c>
      <c r="AQ17" s="114">
        <f t="shared" si="23"/>
        <v>0</v>
      </c>
      <c r="AR17" s="114">
        <f t="shared" si="24"/>
        <v>0</v>
      </c>
      <c r="AS17" s="114">
        <f t="shared" si="25"/>
        <v>0</v>
      </c>
      <c r="AT17" s="114">
        <f t="shared" si="26"/>
        <v>0</v>
      </c>
      <c r="AU17" s="114">
        <f t="shared" si="27"/>
        <v>0</v>
      </c>
      <c r="AV17" s="114">
        <f t="shared" si="28"/>
        <v>0</v>
      </c>
      <c r="AW17" s="125"/>
      <c r="AX17" s="114">
        <f t="shared" si="29"/>
        <v>0</v>
      </c>
      <c r="AY17" s="114">
        <f t="shared" si="30"/>
        <v>0</v>
      </c>
      <c r="AZ17" s="114">
        <f t="shared" si="31"/>
        <v>0</v>
      </c>
      <c r="BA17" s="114">
        <f t="shared" si="32"/>
        <v>0</v>
      </c>
      <c r="BB17" s="114">
        <f t="shared" si="33"/>
        <v>0</v>
      </c>
      <c r="BC17" s="114">
        <f t="shared" si="34"/>
        <v>0</v>
      </c>
      <c r="BD17" s="114">
        <f t="shared" si="35"/>
        <v>0</v>
      </c>
      <c r="BE17" s="114">
        <f t="shared" si="36"/>
        <v>0</v>
      </c>
      <c r="BF17" s="125"/>
      <c r="BG17" s="114">
        <f t="shared" si="37"/>
        <v>0</v>
      </c>
      <c r="BH17" s="114">
        <f t="shared" si="38"/>
        <v>0</v>
      </c>
      <c r="BI17" s="114">
        <f t="shared" si="39"/>
        <v>0</v>
      </c>
      <c r="BJ17" s="114">
        <f t="shared" si="40"/>
        <v>0</v>
      </c>
      <c r="BK17" s="114">
        <f t="shared" si="41"/>
        <v>0</v>
      </c>
      <c r="BL17" s="114">
        <f t="shared" si="42"/>
        <v>0</v>
      </c>
      <c r="BM17" s="114">
        <f t="shared" si="43"/>
        <v>0</v>
      </c>
      <c r="BN17" s="114">
        <f t="shared" si="44"/>
        <v>0</v>
      </c>
      <c r="BO17" s="125"/>
      <c r="BP17" s="114">
        <f t="shared" si="45"/>
        <v>0</v>
      </c>
      <c r="BQ17" s="114">
        <f t="shared" si="46"/>
        <v>0</v>
      </c>
      <c r="BR17" s="114">
        <f t="shared" si="47"/>
        <v>0</v>
      </c>
      <c r="BS17" s="114">
        <f t="shared" si="48"/>
        <v>0</v>
      </c>
      <c r="BT17" s="125"/>
      <c r="BU17" s="125"/>
      <c r="BV17" s="125"/>
      <c r="BW17" s="125"/>
      <c r="BX17" s="89">
        <f>IF(Z17=1,0,AC17*'Kosten kengetallen'!$B$42)</f>
        <v>0</v>
      </c>
      <c r="BY17" s="89">
        <f>'Kosten kengetallen'!$B$43*AH17</f>
        <v>0</v>
      </c>
      <c r="BZ17" s="89">
        <f>'Kosten kengetallen'!$B$44*AG17</f>
        <v>0</v>
      </c>
      <c r="CA17" s="89">
        <f t="shared" si="49"/>
        <v>0</v>
      </c>
      <c r="CB17" s="89">
        <f t="shared" si="50"/>
        <v>0</v>
      </c>
      <c r="CC17" s="89">
        <v>0</v>
      </c>
      <c r="CE17" s="89">
        <f t="shared" si="51"/>
        <v>0</v>
      </c>
      <c r="CH17" s="89">
        <f t="shared" si="52"/>
        <v>0</v>
      </c>
      <c r="CI17" s="89">
        <f t="shared" si="53"/>
        <v>0</v>
      </c>
      <c r="CJ17" s="89">
        <f t="shared" si="54"/>
        <v>0</v>
      </c>
      <c r="CK17" s="89">
        <f t="shared" si="55"/>
        <v>0</v>
      </c>
    </row>
    <row r="18" spans="1:89" x14ac:dyDescent="0.2">
      <c r="A18" s="124">
        <f>'Invoer verlichting'!A17</f>
        <v>0</v>
      </c>
      <c r="B18" s="1">
        <v>1</v>
      </c>
      <c r="C18" s="1">
        <v>1</v>
      </c>
      <c r="D18" s="1">
        <v>1</v>
      </c>
      <c r="E18" s="1">
        <v>1</v>
      </c>
      <c r="F18" s="1">
        <v>1</v>
      </c>
      <c r="G18" s="125">
        <f>'Invoer verlichting'!G17</f>
        <v>0</v>
      </c>
      <c r="H18" s="125">
        <f t="shared" si="0"/>
        <v>0</v>
      </c>
      <c r="I18" s="125">
        <f>'Invoer verlichting'!H17</f>
        <v>0</v>
      </c>
      <c r="J18" s="1">
        <v>1</v>
      </c>
      <c r="K18" s="125">
        <f t="shared" si="2"/>
        <v>0</v>
      </c>
      <c r="L18" s="125">
        <f t="shared" si="3"/>
        <v>0</v>
      </c>
      <c r="M18" s="125">
        <f t="shared" si="4"/>
        <v>1</v>
      </c>
      <c r="N18" s="125">
        <f t="shared" si="5"/>
        <v>1</v>
      </c>
      <c r="O18" s="125">
        <f>IF(B18=2,'Invoer Algemeen'!$D$16,IF(B18=3,'Invoer Algemeen'!$D$17,IF(B18=4,'Invoer Algemeen'!$D$18,IF(B18=5,'Invoer Algemeen'!$D$19,0))))</f>
        <v>0</v>
      </c>
      <c r="P18" s="125">
        <f t="shared" si="6"/>
        <v>0</v>
      </c>
      <c r="Q18" s="114">
        <f t="shared" si="7"/>
        <v>0</v>
      </c>
      <c r="R18" s="125">
        <f t="shared" si="8"/>
        <v>0</v>
      </c>
      <c r="S18" s="125">
        <f t="shared" si="9"/>
        <v>0</v>
      </c>
      <c r="T18" s="195">
        <f t="shared" si="10"/>
        <v>0</v>
      </c>
      <c r="U18" s="114">
        <f t="shared" si="11"/>
        <v>0</v>
      </c>
      <c r="V18" s="114">
        <f t="shared" si="12"/>
        <v>0</v>
      </c>
      <c r="W18" s="114">
        <f t="shared" si="13"/>
        <v>0</v>
      </c>
      <c r="X18" s="114">
        <f t="shared" si="14"/>
        <v>0</v>
      </c>
      <c r="Y18" s="285"/>
      <c r="Z18" s="1">
        <v>1</v>
      </c>
      <c r="AA18" s="1">
        <v>1</v>
      </c>
      <c r="AB18" s="126">
        <f t="shared" si="15"/>
        <v>1</v>
      </c>
      <c r="AC18" s="125">
        <f>IF(Z18=1,G18,'Invoer verlichting'!N17)</f>
        <v>0</v>
      </c>
      <c r="AD18" s="125">
        <f t="shared" si="1"/>
        <v>0</v>
      </c>
      <c r="AE18" s="125">
        <f>'Invoer verlichting'!O17</f>
        <v>0</v>
      </c>
      <c r="AF18" s="1">
        <v>1</v>
      </c>
      <c r="AG18" s="126">
        <f>'Invoer verlichting'!P17</f>
        <v>0</v>
      </c>
      <c r="AH18" s="126">
        <f>'Invoer verlichting'!Q17</f>
        <v>0</v>
      </c>
      <c r="AI18" s="125">
        <f t="shared" si="16"/>
        <v>0</v>
      </c>
      <c r="AJ18" s="125">
        <f t="shared" si="17"/>
        <v>0</v>
      </c>
      <c r="AK18" s="125">
        <f t="shared" si="18"/>
        <v>1</v>
      </c>
      <c r="AL18" s="125">
        <f t="shared" si="19"/>
        <v>1</v>
      </c>
      <c r="AM18" s="125">
        <f>IF(B18=2,'Invoer Algemeen'!$D$16,IF(B18=3,'Invoer Algemeen'!$D$17,IF(B18=4,'Invoer Algemeen'!$D$18,IF(B18=5,'Invoer Algemeen'!$D$19,0))))</f>
        <v>0</v>
      </c>
      <c r="AN18" s="125">
        <f t="shared" si="20"/>
        <v>0</v>
      </c>
      <c r="AO18" s="114">
        <f t="shared" si="21"/>
        <v>0</v>
      </c>
      <c r="AP18" s="114">
        <f t="shared" si="22"/>
        <v>0</v>
      </c>
      <c r="AQ18" s="114">
        <f t="shared" si="23"/>
        <v>0</v>
      </c>
      <c r="AR18" s="114">
        <f t="shared" si="24"/>
        <v>0</v>
      </c>
      <c r="AS18" s="114">
        <f t="shared" si="25"/>
        <v>0</v>
      </c>
      <c r="AT18" s="114">
        <f t="shared" si="26"/>
        <v>0</v>
      </c>
      <c r="AU18" s="114">
        <f t="shared" si="27"/>
        <v>0</v>
      </c>
      <c r="AV18" s="114">
        <f t="shared" si="28"/>
        <v>0</v>
      </c>
      <c r="AW18" s="125"/>
      <c r="AX18" s="114">
        <f t="shared" si="29"/>
        <v>0</v>
      </c>
      <c r="AY18" s="114">
        <f t="shared" si="30"/>
        <v>0</v>
      </c>
      <c r="AZ18" s="114">
        <f t="shared" si="31"/>
        <v>0</v>
      </c>
      <c r="BA18" s="114">
        <f t="shared" si="32"/>
        <v>0</v>
      </c>
      <c r="BB18" s="114">
        <f t="shared" si="33"/>
        <v>0</v>
      </c>
      <c r="BC18" s="114">
        <f t="shared" si="34"/>
        <v>0</v>
      </c>
      <c r="BD18" s="114">
        <f t="shared" si="35"/>
        <v>0</v>
      </c>
      <c r="BE18" s="114">
        <f t="shared" si="36"/>
        <v>0</v>
      </c>
      <c r="BF18" s="125"/>
      <c r="BG18" s="114">
        <f t="shared" si="37"/>
        <v>0</v>
      </c>
      <c r="BH18" s="114">
        <f t="shared" si="38"/>
        <v>0</v>
      </c>
      <c r="BI18" s="114">
        <f t="shared" si="39"/>
        <v>0</v>
      </c>
      <c r="BJ18" s="114">
        <f t="shared" si="40"/>
        <v>0</v>
      </c>
      <c r="BK18" s="114">
        <f t="shared" si="41"/>
        <v>0</v>
      </c>
      <c r="BL18" s="114">
        <f t="shared" si="42"/>
        <v>0</v>
      </c>
      <c r="BM18" s="114">
        <f t="shared" si="43"/>
        <v>0</v>
      </c>
      <c r="BN18" s="114">
        <f t="shared" si="44"/>
        <v>0</v>
      </c>
      <c r="BO18" s="125"/>
      <c r="BP18" s="114">
        <f t="shared" si="45"/>
        <v>0</v>
      </c>
      <c r="BQ18" s="114">
        <f t="shared" si="46"/>
        <v>0</v>
      </c>
      <c r="BR18" s="114">
        <f t="shared" si="47"/>
        <v>0</v>
      </c>
      <c r="BS18" s="114">
        <f t="shared" si="48"/>
        <v>0</v>
      </c>
      <c r="BT18" s="125"/>
      <c r="BU18" s="125"/>
      <c r="BV18" s="125"/>
      <c r="BW18" s="125"/>
      <c r="BX18" s="89">
        <f>IF(Z18=1,0,AC18*'Kosten kengetallen'!$B$42)</f>
        <v>0</v>
      </c>
      <c r="BY18" s="89">
        <f>'Kosten kengetallen'!$B$43*AH18</f>
        <v>0</v>
      </c>
      <c r="BZ18" s="89">
        <f>'Kosten kengetallen'!$B$44*AG18</f>
        <v>0</v>
      </c>
      <c r="CA18" s="89">
        <f t="shared" si="49"/>
        <v>0</v>
      </c>
      <c r="CB18" s="89">
        <f t="shared" si="50"/>
        <v>0</v>
      </c>
      <c r="CC18" s="89">
        <v>0</v>
      </c>
      <c r="CE18" s="89">
        <f t="shared" si="51"/>
        <v>0</v>
      </c>
      <c r="CH18" s="89">
        <f t="shared" si="52"/>
        <v>0</v>
      </c>
      <c r="CI18" s="89">
        <f t="shared" si="53"/>
        <v>0</v>
      </c>
      <c r="CJ18" s="89">
        <f t="shared" si="54"/>
        <v>0</v>
      </c>
      <c r="CK18" s="89">
        <f t="shared" si="55"/>
        <v>0</v>
      </c>
    </row>
    <row r="19" spans="1:89" x14ac:dyDescent="0.2">
      <c r="A19" s="124">
        <f>'Invoer verlichting'!A18</f>
        <v>0</v>
      </c>
      <c r="B19" s="1">
        <v>1</v>
      </c>
      <c r="C19" s="1">
        <v>1</v>
      </c>
      <c r="D19" s="1">
        <v>1</v>
      </c>
      <c r="E19" s="1">
        <v>1</v>
      </c>
      <c r="F19" s="1">
        <v>1</v>
      </c>
      <c r="G19" s="125">
        <f>'Invoer verlichting'!G18</f>
        <v>0</v>
      </c>
      <c r="H19" s="125">
        <f t="shared" si="0"/>
        <v>0</v>
      </c>
      <c r="I19" s="125">
        <f>'Invoer verlichting'!H18</f>
        <v>0</v>
      </c>
      <c r="J19" s="1">
        <v>1</v>
      </c>
      <c r="K19" s="125">
        <f t="shared" si="2"/>
        <v>0</v>
      </c>
      <c r="L19" s="125">
        <f t="shared" si="3"/>
        <v>0</v>
      </c>
      <c r="M19" s="125">
        <f t="shared" si="4"/>
        <v>1</v>
      </c>
      <c r="N19" s="125">
        <f t="shared" si="5"/>
        <v>1</v>
      </c>
      <c r="O19" s="125">
        <f>IF(B19=2,'Invoer Algemeen'!$D$16,IF(B19=3,'Invoer Algemeen'!$D$17,IF(B19=4,'Invoer Algemeen'!$D$18,IF(B19=5,'Invoer Algemeen'!$D$19,0))))</f>
        <v>0</v>
      </c>
      <c r="P19" s="125">
        <f t="shared" si="6"/>
        <v>0</v>
      </c>
      <c r="Q19" s="114">
        <f t="shared" si="7"/>
        <v>0</v>
      </c>
      <c r="R19" s="125">
        <f t="shared" si="8"/>
        <v>0</v>
      </c>
      <c r="S19" s="125">
        <f t="shared" si="9"/>
        <v>0</v>
      </c>
      <c r="T19" s="195">
        <f t="shared" si="10"/>
        <v>0</v>
      </c>
      <c r="U19" s="114">
        <f t="shared" si="11"/>
        <v>0</v>
      </c>
      <c r="V19" s="114">
        <f t="shared" si="12"/>
        <v>0</v>
      </c>
      <c r="W19" s="114">
        <f t="shared" si="13"/>
        <v>0</v>
      </c>
      <c r="X19" s="114">
        <f t="shared" si="14"/>
        <v>0</v>
      </c>
      <c r="Y19" s="285"/>
      <c r="Z19" s="1">
        <v>1</v>
      </c>
      <c r="AA19" s="1">
        <v>1</v>
      </c>
      <c r="AB19" s="126">
        <f t="shared" si="15"/>
        <v>1</v>
      </c>
      <c r="AC19" s="125">
        <f>IF(Z19=1,G19,'Invoer verlichting'!N18)</f>
        <v>0</v>
      </c>
      <c r="AD19" s="125">
        <f t="shared" si="1"/>
        <v>0</v>
      </c>
      <c r="AE19" s="125">
        <f>'Invoer verlichting'!O18</f>
        <v>0</v>
      </c>
      <c r="AF19" s="1">
        <v>1</v>
      </c>
      <c r="AG19" s="126">
        <f>'Invoer verlichting'!P18</f>
        <v>0</v>
      </c>
      <c r="AH19" s="126">
        <f>'Invoer verlichting'!Q18</f>
        <v>0</v>
      </c>
      <c r="AI19" s="125">
        <f t="shared" si="16"/>
        <v>0</v>
      </c>
      <c r="AJ19" s="125">
        <f t="shared" si="17"/>
        <v>0</v>
      </c>
      <c r="AK19" s="125">
        <f t="shared" si="18"/>
        <v>1</v>
      </c>
      <c r="AL19" s="125">
        <f t="shared" si="19"/>
        <v>1</v>
      </c>
      <c r="AM19" s="125">
        <f>IF(B19=2,'Invoer Algemeen'!$D$16,IF(B19=3,'Invoer Algemeen'!$D$17,IF(B19=4,'Invoer Algemeen'!$D$18,IF(B19=5,'Invoer Algemeen'!$D$19,0))))</f>
        <v>0</v>
      </c>
      <c r="AN19" s="125">
        <f t="shared" si="20"/>
        <v>0</v>
      </c>
      <c r="AO19" s="114">
        <f t="shared" si="21"/>
        <v>0</v>
      </c>
      <c r="AP19" s="114">
        <f t="shared" si="22"/>
        <v>0</v>
      </c>
      <c r="AQ19" s="114">
        <f t="shared" si="23"/>
        <v>0</v>
      </c>
      <c r="AR19" s="114">
        <f t="shared" si="24"/>
        <v>0</v>
      </c>
      <c r="AS19" s="114">
        <f t="shared" si="25"/>
        <v>0</v>
      </c>
      <c r="AT19" s="114">
        <f t="shared" si="26"/>
        <v>0</v>
      </c>
      <c r="AU19" s="114">
        <f t="shared" si="27"/>
        <v>0</v>
      </c>
      <c r="AV19" s="114">
        <f t="shared" si="28"/>
        <v>0</v>
      </c>
      <c r="AW19" s="125"/>
      <c r="AX19" s="114">
        <f t="shared" si="29"/>
        <v>0</v>
      </c>
      <c r="AY19" s="114">
        <f t="shared" si="30"/>
        <v>0</v>
      </c>
      <c r="AZ19" s="114">
        <f t="shared" si="31"/>
        <v>0</v>
      </c>
      <c r="BA19" s="114">
        <f t="shared" si="32"/>
        <v>0</v>
      </c>
      <c r="BB19" s="114">
        <f t="shared" si="33"/>
        <v>0</v>
      </c>
      <c r="BC19" s="114">
        <f t="shared" si="34"/>
        <v>0</v>
      </c>
      <c r="BD19" s="114">
        <f t="shared" si="35"/>
        <v>0</v>
      </c>
      <c r="BE19" s="114">
        <f t="shared" si="36"/>
        <v>0</v>
      </c>
      <c r="BF19" s="125"/>
      <c r="BG19" s="114">
        <f t="shared" si="37"/>
        <v>0</v>
      </c>
      <c r="BH19" s="114">
        <f t="shared" si="38"/>
        <v>0</v>
      </c>
      <c r="BI19" s="114">
        <f t="shared" si="39"/>
        <v>0</v>
      </c>
      <c r="BJ19" s="114">
        <f t="shared" si="40"/>
        <v>0</v>
      </c>
      <c r="BK19" s="114">
        <f t="shared" si="41"/>
        <v>0</v>
      </c>
      <c r="BL19" s="114">
        <f t="shared" si="42"/>
        <v>0</v>
      </c>
      <c r="BM19" s="114">
        <f t="shared" si="43"/>
        <v>0</v>
      </c>
      <c r="BN19" s="114">
        <f t="shared" si="44"/>
        <v>0</v>
      </c>
      <c r="BO19" s="125"/>
      <c r="BP19" s="114">
        <f t="shared" si="45"/>
        <v>0</v>
      </c>
      <c r="BQ19" s="114">
        <f t="shared" si="46"/>
        <v>0</v>
      </c>
      <c r="BR19" s="114">
        <f t="shared" si="47"/>
        <v>0</v>
      </c>
      <c r="BS19" s="114">
        <f t="shared" si="48"/>
        <v>0</v>
      </c>
      <c r="BT19" s="125"/>
      <c r="BU19" s="125"/>
      <c r="BV19" s="125"/>
      <c r="BW19" s="125"/>
      <c r="BX19" s="89">
        <f>IF(Z19=1,0,AC19*'Kosten kengetallen'!$B$42)</f>
        <v>0</v>
      </c>
      <c r="BY19" s="89">
        <f>'Kosten kengetallen'!$B$43*AH19</f>
        <v>0</v>
      </c>
      <c r="BZ19" s="89">
        <f>'Kosten kengetallen'!$B$44*AG19</f>
        <v>0</v>
      </c>
      <c r="CA19" s="89">
        <f t="shared" si="49"/>
        <v>0</v>
      </c>
      <c r="CB19" s="89">
        <f t="shared" si="50"/>
        <v>0</v>
      </c>
      <c r="CC19" s="89">
        <v>0</v>
      </c>
      <c r="CE19" s="89">
        <f t="shared" si="51"/>
        <v>0</v>
      </c>
      <c r="CH19" s="89">
        <f t="shared" si="52"/>
        <v>0</v>
      </c>
      <c r="CI19" s="89">
        <f t="shared" si="53"/>
        <v>0</v>
      </c>
      <c r="CJ19" s="89">
        <f t="shared" si="54"/>
        <v>0</v>
      </c>
      <c r="CK19" s="89">
        <f t="shared" si="55"/>
        <v>0</v>
      </c>
    </row>
    <row r="20" spans="1:89" x14ac:dyDescent="0.2">
      <c r="A20" s="124">
        <f>'Invoer verlichting'!A19</f>
        <v>0</v>
      </c>
      <c r="B20" s="1">
        <v>1</v>
      </c>
      <c r="C20" s="1">
        <v>1</v>
      </c>
      <c r="D20" s="1">
        <v>1</v>
      </c>
      <c r="E20" s="1">
        <v>1</v>
      </c>
      <c r="F20" s="1">
        <v>1</v>
      </c>
      <c r="G20" s="125">
        <f>'Invoer verlichting'!G19</f>
        <v>0</v>
      </c>
      <c r="H20" s="125">
        <f t="shared" si="0"/>
        <v>0</v>
      </c>
      <c r="I20" s="125">
        <f>'Invoer verlichting'!H19</f>
        <v>0</v>
      </c>
      <c r="J20" s="1">
        <v>1</v>
      </c>
      <c r="K20" s="125">
        <f t="shared" si="2"/>
        <v>0</v>
      </c>
      <c r="L20" s="125">
        <f t="shared" si="3"/>
        <v>0</v>
      </c>
      <c r="M20" s="125">
        <f t="shared" si="4"/>
        <v>1</v>
      </c>
      <c r="N20" s="125">
        <f t="shared" si="5"/>
        <v>1</v>
      </c>
      <c r="O20" s="125">
        <f>IF(B20=2,'Invoer Algemeen'!$D$16,IF(B20=3,'Invoer Algemeen'!$D$17,IF(B20=4,'Invoer Algemeen'!$D$18,IF(B20=5,'Invoer Algemeen'!$D$19,0))))</f>
        <v>0</v>
      </c>
      <c r="P20" s="125">
        <f t="shared" si="6"/>
        <v>0</v>
      </c>
      <c r="Q20" s="114">
        <f t="shared" si="7"/>
        <v>0</v>
      </c>
      <c r="R20" s="125">
        <f t="shared" si="8"/>
        <v>0</v>
      </c>
      <c r="S20" s="125">
        <f t="shared" si="9"/>
        <v>0</v>
      </c>
      <c r="T20" s="195">
        <f t="shared" si="10"/>
        <v>0</v>
      </c>
      <c r="U20" s="114">
        <f t="shared" si="11"/>
        <v>0</v>
      </c>
      <c r="V20" s="114">
        <f t="shared" si="12"/>
        <v>0</v>
      </c>
      <c r="W20" s="114">
        <f t="shared" si="13"/>
        <v>0</v>
      </c>
      <c r="X20" s="114">
        <f t="shared" si="14"/>
        <v>0</v>
      </c>
      <c r="Y20" s="285"/>
      <c r="Z20" s="1">
        <v>1</v>
      </c>
      <c r="AA20" s="1">
        <v>1</v>
      </c>
      <c r="AB20" s="126">
        <f t="shared" si="15"/>
        <v>1</v>
      </c>
      <c r="AC20" s="125">
        <f>IF(Z20=1,G20,'Invoer verlichting'!N19)</f>
        <v>0</v>
      </c>
      <c r="AD20" s="125">
        <f t="shared" si="1"/>
        <v>0</v>
      </c>
      <c r="AE20" s="125">
        <f>'Invoer verlichting'!O19</f>
        <v>0</v>
      </c>
      <c r="AF20" s="1">
        <v>1</v>
      </c>
      <c r="AG20" s="126">
        <f>'Invoer verlichting'!P19</f>
        <v>0</v>
      </c>
      <c r="AH20" s="126">
        <f>'Invoer verlichting'!Q19</f>
        <v>0</v>
      </c>
      <c r="AI20" s="125">
        <f t="shared" si="16"/>
        <v>0</v>
      </c>
      <c r="AJ20" s="125">
        <f t="shared" si="17"/>
        <v>0</v>
      </c>
      <c r="AK20" s="125">
        <f t="shared" si="18"/>
        <v>1</v>
      </c>
      <c r="AL20" s="125">
        <f t="shared" si="19"/>
        <v>1</v>
      </c>
      <c r="AM20" s="125">
        <f>IF(B20=2,'Invoer Algemeen'!$D$16,IF(B20=3,'Invoer Algemeen'!$D$17,IF(B20=4,'Invoer Algemeen'!$D$18,IF(B20=5,'Invoer Algemeen'!$D$19,0))))</f>
        <v>0</v>
      </c>
      <c r="AN20" s="125">
        <f t="shared" si="20"/>
        <v>0</v>
      </c>
      <c r="AO20" s="114">
        <f t="shared" si="21"/>
        <v>0</v>
      </c>
      <c r="AP20" s="114">
        <f t="shared" si="22"/>
        <v>0</v>
      </c>
      <c r="AQ20" s="114">
        <f t="shared" si="23"/>
        <v>0</v>
      </c>
      <c r="AR20" s="114">
        <f t="shared" si="24"/>
        <v>0</v>
      </c>
      <c r="AS20" s="114">
        <f t="shared" si="25"/>
        <v>0</v>
      </c>
      <c r="AT20" s="114">
        <f t="shared" si="26"/>
        <v>0</v>
      </c>
      <c r="AU20" s="114">
        <f t="shared" si="27"/>
        <v>0</v>
      </c>
      <c r="AV20" s="114">
        <f t="shared" si="28"/>
        <v>0</v>
      </c>
      <c r="AW20" s="125"/>
      <c r="AX20" s="114">
        <f t="shared" si="29"/>
        <v>0</v>
      </c>
      <c r="AY20" s="114">
        <f t="shared" si="30"/>
        <v>0</v>
      </c>
      <c r="AZ20" s="114">
        <f t="shared" si="31"/>
        <v>0</v>
      </c>
      <c r="BA20" s="114">
        <f t="shared" si="32"/>
        <v>0</v>
      </c>
      <c r="BB20" s="114">
        <f t="shared" si="33"/>
        <v>0</v>
      </c>
      <c r="BC20" s="114">
        <f t="shared" si="34"/>
        <v>0</v>
      </c>
      <c r="BD20" s="114">
        <f t="shared" si="35"/>
        <v>0</v>
      </c>
      <c r="BE20" s="114">
        <f t="shared" si="36"/>
        <v>0</v>
      </c>
      <c r="BF20" s="125"/>
      <c r="BG20" s="114">
        <f t="shared" si="37"/>
        <v>0</v>
      </c>
      <c r="BH20" s="114">
        <f t="shared" si="38"/>
        <v>0</v>
      </c>
      <c r="BI20" s="114">
        <f t="shared" si="39"/>
        <v>0</v>
      </c>
      <c r="BJ20" s="114">
        <f t="shared" si="40"/>
        <v>0</v>
      </c>
      <c r="BK20" s="114">
        <f t="shared" si="41"/>
        <v>0</v>
      </c>
      <c r="BL20" s="114">
        <f t="shared" si="42"/>
        <v>0</v>
      </c>
      <c r="BM20" s="114">
        <f t="shared" si="43"/>
        <v>0</v>
      </c>
      <c r="BN20" s="114">
        <f t="shared" si="44"/>
        <v>0</v>
      </c>
      <c r="BO20" s="125"/>
      <c r="BP20" s="114">
        <f t="shared" si="45"/>
        <v>0</v>
      </c>
      <c r="BQ20" s="114">
        <f t="shared" si="46"/>
        <v>0</v>
      </c>
      <c r="BR20" s="114">
        <f t="shared" si="47"/>
        <v>0</v>
      </c>
      <c r="BS20" s="114">
        <f t="shared" si="48"/>
        <v>0</v>
      </c>
      <c r="BT20" s="125"/>
      <c r="BU20" s="125"/>
      <c r="BV20" s="125"/>
      <c r="BW20" s="125"/>
      <c r="BX20" s="89">
        <f>IF(Z20=1,0,AC20*'Kosten kengetallen'!$B$42)</f>
        <v>0</v>
      </c>
      <c r="BY20" s="89">
        <f>'Kosten kengetallen'!$B$43*AH20</f>
        <v>0</v>
      </c>
      <c r="BZ20" s="89">
        <f>'Kosten kengetallen'!$B$44*AG20</f>
        <v>0</v>
      </c>
      <c r="CA20" s="89">
        <f t="shared" si="49"/>
        <v>0</v>
      </c>
      <c r="CB20" s="89">
        <f t="shared" si="50"/>
        <v>0</v>
      </c>
      <c r="CC20" s="89">
        <v>0</v>
      </c>
      <c r="CE20" s="89">
        <f t="shared" si="51"/>
        <v>0</v>
      </c>
      <c r="CH20" s="89">
        <f t="shared" si="52"/>
        <v>0</v>
      </c>
      <c r="CI20" s="89">
        <f t="shared" si="53"/>
        <v>0</v>
      </c>
      <c r="CJ20" s="89">
        <f t="shared" si="54"/>
        <v>0</v>
      </c>
      <c r="CK20" s="89">
        <f t="shared" si="55"/>
        <v>0</v>
      </c>
    </row>
    <row r="21" spans="1:89" x14ac:dyDescent="0.2">
      <c r="A21" s="124">
        <f>'Invoer verlichting'!A20</f>
        <v>0</v>
      </c>
      <c r="B21" s="1">
        <v>1</v>
      </c>
      <c r="C21" s="1">
        <v>1</v>
      </c>
      <c r="D21" s="1">
        <v>1</v>
      </c>
      <c r="E21" s="1">
        <v>1</v>
      </c>
      <c r="F21" s="1">
        <v>1</v>
      </c>
      <c r="G21" s="125">
        <f>'Invoer verlichting'!G20</f>
        <v>0</v>
      </c>
      <c r="H21" s="125">
        <f t="shared" si="0"/>
        <v>0</v>
      </c>
      <c r="I21" s="125">
        <f>'Invoer verlichting'!H20</f>
        <v>0</v>
      </c>
      <c r="J21" s="1">
        <v>1</v>
      </c>
      <c r="K21" s="125">
        <f t="shared" si="2"/>
        <v>0</v>
      </c>
      <c r="L21" s="125">
        <f t="shared" si="3"/>
        <v>0</v>
      </c>
      <c r="M21" s="125">
        <f t="shared" si="4"/>
        <v>1</v>
      </c>
      <c r="N21" s="125">
        <f t="shared" si="5"/>
        <v>1</v>
      </c>
      <c r="O21" s="125">
        <f>IF(B21=2,'Invoer Algemeen'!$D$16,IF(B21=3,'Invoer Algemeen'!$D$17,IF(B21=4,'Invoer Algemeen'!$D$18,IF(B21=5,'Invoer Algemeen'!$D$19,0))))</f>
        <v>0</v>
      </c>
      <c r="P21" s="125">
        <f t="shared" si="6"/>
        <v>0</v>
      </c>
      <c r="Q21" s="114">
        <f t="shared" si="7"/>
        <v>0</v>
      </c>
      <c r="R21" s="125">
        <f t="shared" si="8"/>
        <v>0</v>
      </c>
      <c r="S21" s="125">
        <f t="shared" si="9"/>
        <v>0</v>
      </c>
      <c r="T21" s="195">
        <f t="shared" si="10"/>
        <v>0</v>
      </c>
      <c r="U21" s="114">
        <f t="shared" si="11"/>
        <v>0</v>
      </c>
      <c r="V21" s="114">
        <f t="shared" si="12"/>
        <v>0</v>
      </c>
      <c r="W21" s="114">
        <f t="shared" si="13"/>
        <v>0</v>
      </c>
      <c r="X21" s="114">
        <f t="shared" si="14"/>
        <v>0</v>
      </c>
      <c r="Y21" s="285"/>
      <c r="Z21" s="1">
        <v>1</v>
      </c>
      <c r="AA21" s="1">
        <v>1</v>
      </c>
      <c r="AB21" s="126">
        <f t="shared" si="15"/>
        <v>1</v>
      </c>
      <c r="AC21" s="125">
        <f>IF(Z21=1,G21,'Invoer verlichting'!N20)</f>
        <v>0</v>
      </c>
      <c r="AD21" s="125">
        <f t="shared" si="1"/>
        <v>0</v>
      </c>
      <c r="AE21" s="125">
        <f>'Invoer verlichting'!O20</f>
        <v>0</v>
      </c>
      <c r="AF21" s="1">
        <v>1</v>
      </c>
      <c r="AG21" s="126">
        <f>'Invoer verlichting'!P20</f>
        <v>0</v>
      </c>
      <c r="AH21" s="126">
        <f>'Invoer verlichting'!Q20</f>
        <v>0</v>
      </c>
      <c r="AI21" s="125">
        <f t="shared" si="16"/>
        <v>0</v>
      </c>
      <c r="AJ21" s="125">
        <f t="shared" si="17"/>
        <v>0</v>
      </c>
      <c r="AK21" s="125">
        <f t="shared" si="18"/>
        <v>1</v>
      </c>
      <c r="AL21" s="125">
        <f t="shared" si="19"/>
        <v>1</v>
      </c>
      <c r="AM21" s="125">
        <f>IF(B21=2,'Invoer Algemeen'!$D$16,IF(B21=3,'Invoer Algemeen'!$D$17,IF(B21=4,'Invoer Algemeen'!$D$18,IF(B21=5,'Invoer Algemeen'!$D$19,0))))</f>
        <v>0</v>
      </c>
      <c r="AN21" s="125">
        <f t="shared" si="20"/>
        <v>0</v>
      </c>
      <c r="AO21" s="114">
        <f t="shared" si="21"/>
        <v>0</v>
      </c>
      <c r="AP21" s="114">
        <f t="shared" si="22"/>
        <v>0</v>
      </c>
      <c r="AQ21" s="114">
        <f t="shared" si="23"/>
        <v>0</v>
      </c>
      <c r="AR21" s="114">
        <f t="shared" si="24"/>
        <v>0</v>
      </c>
      <c r="AS21" s="114">
        <f t="shared" si="25"/>
        <v>0</v>
      </c>
      <c r="AT21" s="114">
        <f t="shared" si="26"/>
        <v>0</v>
      </c>
      <c r="AU21" s="114">
        <f t="shared" si="27"/>
        <v>0</v>
      </c>
      <c r="AV21" s="114">
        <f t="shared" si="28"/>
        <v>0</v>
      </c>
      <c r="AW21" s="125"/>
      <c r="AX21" s="114">
        <f t="shared" si="29"/>
        <v>0</v>
      </c>
      <c r="AY21" s="114">
        <f t="shared" si="30"/>
        <v>0</v>
      </c>
      <c r="AZ21" s="114">
        <f t="shared" si="31"/>
        <v>0</v>
      </c>
      <c r="BA21" s="114">
        <f t="shared" si="32"/>
        <v>0</v>
      </c>
      <c r="BB21" s="114">
        <f t="shared" si="33"/>
        <v>0</v>
      </c>
      <c r="BC21" s="114">
        <f t="shared" si="34"/>
        <v>0</v>
      </c>
      <c r="BD21" s="114">
        <f t="shared" si="35"/>
        <v>0</v>
      </c>
      <c r="BE21" s="114">
        <f t="shared" si="36"/>
        <v>0</v>
      </c>
      <c r="BF21" s="125"/>
      <c r="BG21" s="114">
        <f t="shared" si="37"/>
        <v>0</v>
      </c>
      <c r="BH21" s="114">
        <f t="shared" si="38"/>
        <v>0</v>
      </c>
      <c r="BI21" s="114">
        <f t="shared" si="39"/>
        <v>0</v>
      </c>
      <c r="BJ21" s="114">
        <f t="shared" si="40"/>
        <v>0</v>
      </c>
      <c r="BK21" s="114">
        <f t="shared" si="41"/>
        <v>0</v>
      </c>
      <c r="BL21" s="114">
        <f t="shared" si="42"/>
        <v>0</v>
      </c>
      <c r="BM21" s="114">
        <f t="shared" si="43"/>
        <v>0</v>
      </c>
      <c r="BN21" s="114">
        <f t="shared" si="44"/>
        <v>0</v>
      </c>
      <c r="BO21" s="125"/>
      <c r="BP21" s="114">
        <f t="shared" si="45"/>
        <v>0</v>
      </c>
      <c r="BQ21" s="114">
        <f t="shared" si="46"/>
        <v>0</v>
      </c>
      <c r="BR21" s="114">
        <f t="shared" si="47"/>
        <v>0</v>
      </c>
      <c r="BS21" s="114">
        <f t="shared" si="48"/>
        <v>0</v>
      </c>
      <c r="BT21" s="125"/>
      <c r="BU21" s="125"/>
      <c r="BV21" s="125"/>
      <c r="BW21" s="125"/>
      <c r="BX21" s="89">
        <f>IF(Z21=1,0,AC21*'Kosten kengetallen'!$B$42)</f>
        <v>0</v>
      </c>
      <c r="BY21" s="89">
        <f>'Kosten kengetallen'!$B$43*AH21</f>
        <v>0</v>
      </c>
      <c r="BZ21" s="89">
        <f>'Kosten kengetallen'!$B$44*AG21</f>
        <v>0</v>
      </c>
      <c r="CA21" s="89">
        <f t="shared" si="49"/>
        <v>0</v>
      </c>
      <c r="CB21" s="89">
        <f t="shared" si="50"/>
        <v>0</v>
      </c>
      <c r="CC21" s="89">
        <v>0</v>
      </c>
      <c r="CE21" s="89">
        <f t="shared" si="51"/>
        <v>0</v>
      </c>
      <c r="CH21" s="89">
        <f t="shared" si="52"/>
        <v>0</v>
      </c>
      <c r="CI21" s="89">
        <f t="shared" si="53"/>
        <v>0</v>
      </c>
      <c r="CJ21" s="89">
        <f t="shared" si="54"/>
        <v>0</v>
      </c>
      <c r="CK21" s="89">
        <f t="shared" si="55"/>
        <v>0</v>
      </c>
    </row>
    <row r="22" spans="1:89" x14ac:dyDescent="0.2">
      <c r="A22" s="124">
        <f>'Invoer verlichting'!A21</f>
        <v>0</v>
      </c>
      <c r="B22" s="1">
        <v>1</v>
      </c>
      <c r="C22" s="1">
        <v>1</v>
      </c>
      <c r="D22" s="1">
        <v>1</v>
      </c>
      <c r="E22" s="1">
        <v>1</v>
      </c>
      <c r="F22" s="1">
        <v>1</v>
      </c>
      <c r="G22" s="125">
        <f>'Invoer verlichting'!G21</f>
        <v>0</v>
      </c>
      <c r="H22" s="125">
        <f t="shared" si="0"/>
        <v>0</v>
      </c>
      <c r="I22" s="125">
        <f>'Invoer verlichting'!H21</f>
        <v>0</v>
      </c>
      <c r="J22" s="1">
        <v>1</v>
      </c>
      <c r="K22" s="125">
        <f t="shared" si="2"/>
        <v>0</v>
      </c>
      <c r="L22" s="125">
        <f t="shared" si="3"/>
        <v>0</v>
      </c>
      <c r="M22" s="125">
        <f t="shared" si="4"/>
        <v>1</v>
      </c>
      <c r="N22" s="125">
        <f t="shared" si="5"/>
        <v>1</v>
      </c>
      <c r="O22" s="125">
        <f>IF(B22=2,'Invoer Algemeen'!$D$16,IF(B22=3,'Invoer Algemeen'!$D$17,IF(B22=4,'Invoer Algemeen'!$D$18,IF(B22=5,'Invoer Algemeen'!$D$19,0))))</f>
        <v>0</v>
      </c>
      <c r="P22" s="125">
        <f t="shared" si="6"/>
        <v>0</v>
      </c>
      <c r="Q22" s="114">
        <f t="shared" si="7"/>
        <v>0</v>
      </c>
      <c r="R22" s="125">
        <f t="shared" si="8"/>
        <v>0</v>
      </c>
      <c r="S22" s="125">
        <f t="shared" si="9"/>
        <v>0</v>
      </c>
      <c r="T22" s="195">
        <f t="shared" si="10"/>
        <v>0</v>
      </c>
      <c r="U22" s="114">
        <f t="shared" si="11"/>
        <v>0</v>
      </c>
      <c r="V22" s="114">
        <f t="shared" si="12"/>
        <v>0</v>
      </c>
      <c r="W22" s="114">
        <f t="shared" si="13"/>
        <v>0</v>
      </c>
      <c r="X22" s="114">
        <f t="shared" si="14"/>
        <v>0</v>
      </c>
      <c r="Y22" s="285"/>
      <c r="Z22" s="1">
        <v>1</v>
      </c>
      <c r="AA22" s="1">
        <v>1</v>
      </c>
      <c r="AB22" s="126">
        <f t="shared" si="15"/>
        <v>1</v>
      </c>
      <c r="AC22" s="125">
        <f>IF(Z22=1,G22,'Invoer verlichting'!N21)</f>
        <v>0</v>
      </c>
      <c r="AD22" s="125">
        <f t="shared" si="1"/>
        <v>0</v>
      </c>
      <c r="AE22" s="125">
        <f>'Invoer verlichting'!O21</f>
        <v>0</v>
      </c>
      <c r="AF22" s="1">
        <v>1</v>
      </c>
      <c r="AG22" s="126">
        <f>'Invoer verlichting'!P21</f>
        <v>0</v>
      </c>
      <c r="AH22" s="126">
        <f>'Invoer verlichting'!Q21</f>
        <v>0</v>
      </c>
      <c r="AI22" s="125">
        <f t="shared" si="16"/>
        <v>0</v>
      </c>
      <c r="AJ22" s="125">
        <f t="shared" si="17"/>
        <v>0</v>
      </c>
      <c r="AK22" s="125">
        <f t="shared" si="18"/>
        <v>1</v>
      </c>
      <c r="AL22" s="125">
        <f t="shared" si="19"/>
        <v>1</v>
      </c>
      <c r="AM22" s="125">
        <f>IF(B22=2,'Invoer Algemeen'!$D$16,IF(B22=3,'Invoer Algemeen'!$D$17,IF(B22=4,'Invoer Algemeen'!$D$18,IF(B22=5,'Invoer Algemeen'!$D$19,0))))</f>
        <v>0</v>
      </c>
      <c r="AN22" s="125">
        <f t="shared" si="20"/>
        <v>0</v>
      </c>
      <c r="AO22" s="114">
        <f t="shared" si="21"/>
        <v>0</v>
      </c>
      <c r="AP22" s="114">
        <f t="shared" si="22"/>
        <v>0</v>
      </c>
      <c r="AQ22" s="114">
        <f t="shared" si="23"/>
        <v>0</v>
      </c>
      <c r="AR22" s="114">
        <f t="shared" si="24"/>
        <v>0</v>
      </c>
      <c r="AS22" s="114">
        <f t="shared" si="25"/>
        <v>0</v>
      </c>
      <c r="AT22" s="114">
        <f t="shared" si="26"/>
        <v>0</v>
      </c>
      <c r="AU22" s="114">
        <f t="shared" si="27"/>
        <v>0</v>
      </c>
      <c r="AV22" s="114">
        <f t="shared" si="28"/>
        <v>0</v>
      </c>
      <c r="AW22" s="125"/>
      <c r="AX22" s="114">
        <f t="shared" si="29"/>
        <v>0</v>
      </c>
      <c r="AY22" s="114">
        <f t="shared" si="30"/>
        <v>0</v>
      </c>
      <c r="AZ22" s="114">
        <f t="shared" si="31"/>
        <v>0</v>
      </c>
      <c r="BA22" s="114">
        <f t="shared" si="32"/>
        <v>0</v>
      </c>
      <c r="BB22" s="114">
        <f t="shared" si="33"/>
        <v>0</v>
      </c>
      <c r="BC22" s="114">
        <f t="shared" si="34"/>
        <v>0</v>
      </c>
      <c r="BD22" s="114">
        <f t="shared" si="35"/>
        <v>0</v>
      </c>
      <c r="BE22" s="114">
        <f t="shared" si="36"/>
        <v>0</v>
      </c>
      <c r="BF22" s="125"/>
      <c r="BG22" s="114">
        <f t="shared" si="37"/>
        <v>0</v>
      </c>
      <c r="BH22" s="114">
        <f t="shared" si="38"/>
        <v>0</v>
      </c>
      <c r="BI22" s="114">
        <f t="shared" si="39"/>
        <v>0</v>
      </c>
      <c r="BJ22" s="114">
        <f t="shared" si="40"/>
        <v>0</v>
      </c>
      <c r="BK22" s="114">
        <f t="shared" si="41"/>
        <v>0</v>
      </c>
      <c r="BL22" s="114">
        <f t="shared" si="42"/>
        <v>0</v>
      </c>
      <c r="BM22" s="114">
        <f t="shared" si="43"/>
        <v>0</v>
      </c>
      <c r="BN22" s="114">
        <f t="shared" si="44"/>
        <v>0</v>
      </c>
      <c r="BO22" s="125"/>
      <c r="BP22" s="114">
        <f t="shared" si="45"/>
        <v>0</v>
      </c>
      <c r="BQ22" s="114">
        <f t="shared" si="46"/>
        <v>0</v>
      </c>
      <c r="BR22" s="114">
        <f t="shared" si="47"/>
        <v>0</v>
      </c>
      <c r="BS22" s="114">
        <f t="shared" si="48"/>
        <v>0</v>
      </c>
      <c r="BT22" s="125"/>
      <c r="BU22" s="125"/>
      <c r="BV22" s="125"/>
      <c r="BW22" s="125"/>
      <c r="BX22" s="89">
        <f>IF(Z22=1,0,AC22*'Kosten kengetallen'!$B$42)</f>
        <v>0</v>
      </c>
      <c r="BY22" s="89">
        <f>'Kosten kengetallen'!$B$43*AH22</f>
        <v>0</v>
      </c>
      <c r="BZ22" s="89">
        <f>'Kosten kengetallen'!$B$44*AG22</f>
        <v>0</v>
      </c>
      <c r="CA22" s="89">
        <f t="shared" si="49"/>
        <v>0</v>
      </c>
      <c r="CB22" s="89">
        <f t="shared" si="50"/>
        <v>0</v>
      </c>
      <c r="CC22" s="89">
        <v>0</v>
      </c>
      <c r="CE22" s="89">
        <f t="shared" si="51"/>
        <v>0</v>
      </c>
      <c r="CH22" s="89">
        <f t="shared" si="52"/>
        <v>0</v>
      </c>
      <c r="CI22" s="89">
        <f t="shared" si="53"/>
        <v>0</v>
      </c>
      <c r="CJ22" s="89">
        <f t="shared" si="54"/>
        <v>0</v>
      </c>
      <c r="CK22" s="89">
        <f t="shared" si="55"/>
        <v>0</v>
      </c>
    </row>
    <row r="23" spans="1:89" x14ac:dyDescent="0.2">
      <c r="A23" s="124">
        <f>'Invoer verlichting'!A22</f>
        <v>0</v>
      </c>
      <c r="B23" s="1">
        <v>1</v>
      </c>
      <c r="C23" s="1">
        <v>1</v>
      </c>
      <c r="D23" s="1">
        <v>1</v>
      </c>
      <c r="E23" s="1">
        <v>1</v>
      </c>
      <c r="F23" s="1">
        <v>1</v>
      </c>
      <c r="G23" s="125">
        <f>'Invoer verlichting'!G22</f>
        <v>0</v>
      </c>
      <c r="H23" s="125">
        <f t="shared" si="0"/>
        <v>0</v>
      </c>
      <c r="I23" s="125">
        <f>'Invoer verlichting'!H22</f>
        <v>0</v>
      </c>
      <c r="J23" s="1">
        <v>1</v>
      </c>
      <c r="K23" s="125">
        <f t="shared" si="2"/>
        <v>0</v>
      </c>
      <c r="L23" s="125">
        <f t="shared" si="3"/>
        <v>0</v>
      </c>
      <c r="M23" s="125">
        <f t="shared" si="4"/>
        <v>1</v>
      </c>
      <c r="N23" s="125">
        <f t="shared" si="5"/>
        <v>1</v>
      </c>
      <c r="O23" s="125">
        <f>IF(B23=2,'Invoer Algemeen'!$D$16,IF(B23=3,'Invoer Algemeen'!$D$17,IF(B23=4,'Invoer Algemeen'!$D$18,IF(B23=5,'Invoer Algemeen'!$D$19,0))))</f>
        <v>0</v>
      </c>
      <c r="P23" s="125">
        <f t="shared" si="6"/>
        <v>0</v>
      </c>
      <c r="Q23" s="114">
        <f t="shared" si="7"/>
        <v>0</v>
      </c>
      <c r="R23" s="125">
        <f t="shared" si="8"/>
        <v>0</v>
      </c>
      <c r="S23" s="125">
        <f t="shared" si="9"/>
        <v>0</v>
      </c>
      <c r="T23" s="195">
        <f t="shared" si="10"/>
        <v>0</v>
      </c>
      <c r="U23" s="114">
        <f t="shared" si="11"/>
        <v>0</v>
      </c>
      <c r="V23" s="114">
        <f t="shared" si="12"/>
        <v>0</v>
      </c>
      <c r="W23" s="114">
        <f t="shared" si="13"/>
        <v>0</v>
      </c>
      <c r="X23" s="114">
        <f t="shared" si="14"/>
        <v>0</v>
      </c>
      <c r="Y23" s="285"/>
      <c r="Z23" s="1">
        <v>1</v>
      </c>
      <c r="AA23" s="1">
        <v>1</v>
      </c>
      <c r="AB23" s="126">
        <f t="shared" si="15"/>
        <v>1</v>
      </c>
      <c r="AC23" s="125">
        <f>IF(Z23=1,G23,'Invoer verlichting'!N22)</f>
        <v>0</v>
      </c>
      <c r="AD23" s="125">
        <f t="shared" si="1"/>
        <v>0</v>
      </c>
      <c r="AE23" s="125">
        <f>'Invoer verlichting'!O22</f>
        <v>0</v>
      </c>
      <c r="AF23" s="1">
        <v>1</v>
      </c>
      <c r="AG23" s="126">
        <f>'Invoer verlichting'!P22</f>
        <v>0</v>
      </c>
      <c r="AH23" s="126">
        <f>'Invoer verlichting'!Q22</f>
        <v>0</v>
      </c>
      <c r="AI23" s="125">
        <f t="shared" si="16"/>
        <v>0</v>
      </c>
      <c r="AJ23" s="125">
        <f t="shared" si="17"/>
        <v>0</v>
      </c>
      <c r="AK23" s="125">
        <f t="shared" si="18"/>
        <v>1</v>
      </c>
      <c r="AL23" s="125">
        <f t="shared" si="19"/>
        <v>1</v>
      </c>
      <c r="AM23" s="125">
        <f>IF(B23=2,'Invoer Algemeen'!$D$16,IF(B23=3,'Invoer Algemeen'!$D$17,IF(B23=4,'Invoer Algemeen'!$D$18,IF(B23=5,'Invoer Algemeen'!$D$19,0))))</f>
        <v>0</v>
      </c>
      <c r="AN23" s="125">
        <f t="shared" si="20"/>
        <v>0</v>
      </c>
      <c r="AO23" s="114">
        <f t="shared" si="21"/>
        <v>0</v>
      </c>
      <c r="AP23" s="114">
        <f t="shared" si="22"/>
        <v>0</v>
      </c>
      <c r="AQ23" s="114">
        <f t="shared" si="23"/>
        <v>0</v>
      </c>
      <c r="AR23" s="114">
        <f t="shared" si="24"/>
        <v>0</v>
      </c>
      <c r="AS23" s="114">
        <f t="shared" si="25"/>
        <v>0</v>
      </c>
      <c r="AT23" s="114">
        <f t="shared" si="26"/>
        <v>0</v>
      </c>
      <c r="AU23" s="114">
        <f t="shared" si="27"/>
        <v>0</v>
      </c>
      <c r="AV23" s="114">
        <f t="shared" si="28"/>
        <v>0</v>
      </c>
      <c r="AW23" s="125"/>
      <c r="AX23" s="114">
        <f t="shared" si="29"/>
        <v>0</v>
      </c>
      <c r="AY23" s="114">
        <f t="shared" si="30"/>
        <v>0</v>
      </c>
      <c r="AZ23" s="114">
        <f t="shared" si="31"/>
        <v>0</v>
      </c>
      <c r="BA23" s="114">
        <f t="shared" si="32"/>
        <v>0</v>
      </c>
      <c r="BB23" s="114">
        <f t="shared" si="33"/>
        <v>0</v>
      </c>
      <c r="BC23" s="114">
        <f t="shared" si="34"/>
        <v>0</v>
      </c>
      <c r="BD23" s="114">
        <f t="shared" si="35"/>
        <v>0</v>
      </c>
      <c r="BE23" s="114">
        <f t="shared" si="36"/>
        <v>0</v>
      </c>
      <c r="BF23" s="125"/>
      <c r="BG23" s="114">
        <f t="shared" si="37"/>
        <v>0</v>
      </c>
      <c r="BH23" s="114">
        <f t="shared" si="38"/>
        <v>0</v>
      </c>
      <c r="BI23" s="114">
        <f t="shared" si="39"/>
        <v>0</v>
      </c>
      <c r="BJ23" s="114">
        <f t="shared" si="40"/>
        <v>0</v>
      </c>
      <c r="BK23" s="114">
        <f t="shared" si="41"/>
        <v>0</v>
      </c>
      <c r="BL23" s="114">
        <f t="shared" si="42"/>
        <v>0</v>
      </c>
      <c r="BM23" s="114">
        <f t="shared" si="43"/>
        <v>0</v>
      </c>
      <c r="BN23" s="114">
        <f t="shared" si="44"/>
        <v>0</v>
      </c>
      <c r="BO23" s="125"/>
      <c r="BP23" s="114">
        <f t="shared" si="45"/>
        <v>0</v>
      </c>
      <c r="BQ23" s="114">
        <f t="shared" si="46"/>
        <v>0</v>
      </c>
      <c r="BR23" s="114">
        <f t="shared" si="47"/>
        <v>0</v>
      </c>
      <c r="BS23" s="114">
        <f t="shared" si="48"/>
        <v>0</v>
      </c>
      <c r="BT23" s="125"/>
      <c r="BU23" s="125"/>
      <c r="BV23" s="125"/>
      <c r="BW23" s="125"/>
      <c r="BX23" s="89">
        <f>IF(Z23=1,0,AC23*'Kosten kengetallen'!$B$42)</f>
        <v>0</v>
      </c>
      <c r="BY23" s="89">
        <f>'Kosten kengetallen'!$B$43*AH23</f>
        <v>0</v>
      </c>
      <c r="BZ23" s="89">
        <f>'Kosten kengetallen'!$B$44*AG23</f>
        <v>0</v>
      </c>
      <c r="CA23" s="89">
        <f t="shared" si="49"/>
        <v>0</v>
      </c>
      <c r="CB23" s="89">
        <f t="shared" si="50"/>
        <v>0</v>
      </c>
      <c r="CC23" s="89">
        <v>0</v>
      </c>
      <c r="CE23" s="89">
        <f t="shared" si="51"/>
        <v>0</v>
      </c>
      <c r="CH23" s="89">
        <f t="shared" si="52"/>
        <v>0</v>
      </c>
      <c r="CI23" s="89">
        <f t="shared" si="53"/>
        <v>0</v>
      </c>
      <c r="CJ23" s="89">
        <f t="shared" si="54"/>
        <v>0</v>
      </c>
      <c r="CK23" s="89">
        <f t="shared" si="55"/>
        <v>0</v>
      </c>
    </row>
    <row r="24" spans="1:89" x14ac:dyDescent="0.2">
      <c r="A24" s="124">
        <f>'Invoer verlichting'!A23</f>
        <v>0</v>
      </c>
      <c r="B24" s="1">
        <v>1</v>
      </c>
      <c r="C24" s="1">
        <v>1</v>
      </c>
      <c r="D24" s="1">
        <v>1</v>
      </c>
      <c r="E24" s="1">
        <v>1</v>
      </c>
      <c r="F24" s="1">
        <v>1</v>
      </c>
      <c r="G24" s="125">
        <f>'Invoer verlichting'!G23</f>
        <v>0</v>
      </c>
      <c r="H24" s="125">
        <f t="shared" si="0"/>
        <v>0</v>
      </c>
      <c r="I24" s="125">
        <f>'Invoer verlichting'!H23</f>
        <v>0</v>
      </c>
      <c r="J24" s="1">
        <v>1</v>
      </c>
      <c r="K24" s="125">
        <f t="shared" si="2"/>
        <v>0</v>
      </c>
      <c r="L24" s="125">
        <f t="shared" si="3"/>
        <v>0</v>
      </c>
      <c r="M24" s="125">
        <f t="shared" si="4"/>
        <v>1</v>
      </c>
      <c r="N24" s="125">
        <f t="shared" si="5"/>
        <v>1</v>
      </c>
      <c r="O24" s="125">
        <f>IF(B24=2,'Invoer Algemeen'!$D$16,IF(B24=3,'Invoer Algemeen'!$D$17,IF(B24=4,'Invoer Algemeen'!$D$18,IF(B24=5,'Invoer Algemeen'!$D$19,0))))</f>
        <v>0</v>
      </c>
      <c r="P24" s="125">
        <f t="shared" si="6"/>
        <v>0</v>
      </c>
      <c r="Q24" s="114">
        <f t="shared" si="7"/>
        <v>0</v>
      </c>
      <c r="R24" s="125">
        <f t="shared" si="8"/>
        <v>0</v>
      </c>
      <c r="S24" s="125">
        <f t="shared" si="9"/>
        <v>0</v>
      </c>
      <c r="T24" s="195">
        <f t="shared" si="10"/>
        <v>0</v>
      </c>
      <c r="U24" s="114">
        <f t="shared" si="11"/>
        <v>0</v>
      </c>
      <c r="V24" s="114">
        <f t="shared" si="12"/>
        <v>0</v>
      </c>
      <c r="W24" s="114">
        <f t="shared" si="13"/>
        <v>0</v>
      </c>
      <c r="X24" s="114">
        <f t="shared" si="14"/>
        <v>0</v>
      </c>
      <c r="Y24" s="285"/>
      <c r="Z24" s="1">
        <v>1</v>
      </c>
      <c r="AA24" s="1">
        <v>1</v>
      </c>
      <c r="AB24" s="126">
        <f t="shared" si="15"/>
        <v>1</v>
      </c>
      <c r="AC24" s="125">
        <f>IF(Z24=1,G24,'Invoer verlichting'!N23)</f>
        <v>0</v>
      </c>
      <c r="AD24" s="125">
        <f t="shared" si="1"/>
        <v>0</v>
      </c>
      <c r="AE24" s="125">
        <f>'Invoer verlichting'!O23</f>
        <v>0</v>
      </c>
      <c r="AF24" s="1">
        <v>1</v>
      </c>
      <c r="AG24" s="126">
        <f>'Invoer verlichting'!P23</f>
        <v>0</v>
      </c>
      <c r="AH24" s="126">
        <f>'Invoer verlichting'!Q23</f>
        <v>0</v>
      </c>
      <c r="AI24" s="125">
        <f t="shared" si="16"/>
        <v>0</v>
      </c>
      <c r="AJ24" s="125">
        <f t="shared" si="17"/>
        <v>0</v>
      </c>
      <c r="AK24" s="125">
        <f t="shared" si="18"/>
        <v>1</v>
      </c>
      <c r="AL24" s="125">
        <f t="shared" si="19"/>
        <v>1</v>
      </c>
      <c r="AM24" s="125">
        <f>IF(B24=2,'Invoer Algemeen'!$D$16,IF(B24=3,'Invoer Algemeen'!$D$17,IF(B24=4,'Invoer Algemeen'!$D$18,IF(B24=5,'Invoer Algemeen'!$D$19,0))))</f>
        <v>0</v>
      </c>
      <c r="AN24" s="125">
        <f t="shared" si="20"/>
        <v>0</v>
      </c>
      <c r="AO24" s="114">
        <f t="shared" si="21"/>
        <v>0</v>
      </c>
      <c r="AP24" s="114">
        <f t="shared" si="22"/>
        <v>0</v>
      </c>
      <c r="AQ24" s="114">
        <f t="shared" si="23"/>
        <v>0</v>
      </c>
      <c r="AR24" s="114">
        <f t="shared" si="24"/>
        <v>0</v>
      </c>
      <c r="AS24" s="114">
        <f t="shared" si="25"/>
        <v>0</v>
      </c>
      <c r="AT24" s="114">
        <f t="shared" si="26"/>
        <v>0</v>
      </c>
      <c r="AU24" s="114">
        <f t="shared" si="27"/>
        <v>0</v>
      </c>
      <c r="AV24" s="114">
        <f t="shared" si="28"/>
        <v>0</v>
      </c>
      <c r="AW24" s="125"/>
      <c r="AX24" s="114">
        <f t="shared" si="29"/>
        <v>0</v>
      </c>
      <c r="AY24" s="114">
        <f t="shared" si="30"/>
        <v>0</v>
      </c>
      <c r="AZ24" s="114">
        <f t="shared" si="31"/>
        <v>0</v>
      </c>
      <c r="BA24" s="114">
        <f t="shared" si="32"/>
        <v>0</v>
      </c>
      <c r="BB24" s="114">
        <f t="shared" si="33"/>
        <v>0</v>
      </c>
      <c r="BC24" s="114">
        <f t="shared" si="34"/>
        <v>0</v>
      </c>
      <c r="BD24" s="114">
        <f t="shared" si="35"/>
        <v>0</v>
      </c>
      <c r="BE24" s="114">
        <f t="shared" si="36"/>
        <v>0</v>
      </c>
      <c r="BF24" s="125"/>
      <c r="BG24" s="114">
        <f t="shared" si="37"/>
        <v>0</v>
      </c>
      <c r="BH24" s="114">
        <f t="shared" si="38"/>
        <v>0</v>
      </c>
      <c r="BI24" s="114">
        <f t="shared" si="39"/>
        <v>0</v>
      </c>
      <c r="BJ24" s="114">
        <f t="shared" si="40"/>
        <v>0</v>
      </c>
      <c r="BK24" s="114">
        <f t="shared" si="41"/>
        <v>0</v>
      </c>
      <c r="BL24" s="114">
        <f t="shared" si="42"/>
        <v>0</v>
      </c>
      <c r="BM24" s="114">
        <f t="shared" si="43"/>
        <v>0</v>
      </c>
      <c r="BN24" s="114">
        <f t="shared" si="44"/>
        <v>0</v>
      </c>
      <c r="BO24" s="125"/>
      <c r="BP24" s="114">
        <f t="shared" si="45"/>
        <v>0</v>
      </c>
      <c r="BQ24" s="114">
        <f t="shared" si="46"/>
        <v>0</v>
      </c>
      <c r="BR24" s="114">
        <f t="shared" si="47"/>
        <v>0</v>
      </c>
      <c r="BS24" s="114">
        <f t="shared" si="48"/>
        <v>0</v>
      </c>
      <c r="BT24" s="125"/>
      <c r="BU24" s="125"/>
      <c r="BV24" s="125"/>
      <c r="BW24" s="125"/>
      <c r="BX24" s="89">
        <f>IF(Z24=1,0,AC24*'Kosten kengetallen'!$B$42)</f>
        <v>0</v>
      </c>
      <c r="BY24" s="89">
        <f>'Kosten kengetallen'!$B$43*AH24</f>
        <v>0</v>
      </c>
      <c r="BZ24" s="89">
        <f>'Kosten kengetallen'!$B$44*AG24</f>
        <v>0</v>
      </c>
      <c r="CA24" s="89">
        <f t="shared" si="49"/>
        <v>0</v>
      </c>
      <c r="CB24" s="89">
        <f t="shared" si="50"/>
        <v>0</v>
      </c>
      <c r="CC24" s="89">
        <v>0</v>
      </c>
      <c r="CE24" s="89">
        <f t="shared" si="51"/>
        <v>0</v>
      </c>
      <c r="CH24" s="89">
        <f t="shared" si="52"/>
        <v>0</v>
      </c>
      <c r="CI24" s="89">
        <f t="shared" si="53"/>
        <v>0</v>
      </c>
      <c r="CJ24" s="89">
        <f t="shared" si="54"/>
        <v>0</v>
      </c>
      <c r="CK24" s="89">
        <f t="shared" si="55"/>
        <v>0</v>
      </c>
    </row>
    <row r="25" spans="1:89" x14ac:dyDescent="0.2">
      <c r="A25" s="124">
        <f>'Invoer verlichting'!A24</f>
        <v>0</v>
      </c>
      <c r="B25" s="1">
        <v>1</v>
      </c>
      <c r="C25" s="1">
        <v>1</v>
      </c>
      <c r="D25" s="1">
        <v>1</v>
      </c>
      <c r="E25" s="1">
        <v>1</v>
      </c>
      <c r="F25" s="1">
        <v>1</v>
      </c>
      <c r="G25" s="125">
        <f>'Invoer verlichting'!G24</f>
        <v>0</v>
      </c>
      <c r="H25" s="125">
        <f t="shared" si="0"/>
        <v>0</v>
      </c>
      <c r="I25" s="125">
        <f>'Invoer verlichting'!H24</f>
        <v>0</v>
      </c>
      <c r="J25" s="1">
        <v>1</v>
      </c>
      <c r="K25" s="125">
        <f t="shared" si="2"/>
        <v>0</v>
      </c>
      <c r="L25" s="125">
        <f t="shared" si="3"/>
        <v>0</v>
      </c>
      <c r="M25" s="125">
        <f t="shared" si="4"/>
        <v>1</v>
      </c>
      <c r="N25" s="125">
        <f t="shared" si="5"/>
        <v>1</v>
      </c>
      <c r="O25" s="125">
        <f>IF(B25=2,'Invoer Algemeen'!$D$16,IF(B25=3,'Invoer Algemeen'!$D$17,IF(B25=4,'Invoer Algemeen'!$D$18,IF(B25=5,'Invoer Algemeen'!$D$19,0))))</f>
        <v>0</v>
      </c>
      <c r="P25" s="125">
        <f t="shared" si="6"/>
        <v>0</v>
      </c>
      <c r="Q25" s="114">
        <f t="shared" si="7"/>
        <v>0</v>
      </c>
      <c r="R25" s="125">
        <f t="shared" si="8"/>
        <v>0</v>
      </c>
      <c r="S25" s="125">
        <f t="shared" si="9"/>
        <v>0</v>
      </c>
      <c r="T25" s="195">
        <f t="shared" si="10"/>
        <v>0</v>
      </c>
      <c r="U25" s="114">
        <f t="shared" si="11"/>
        <v>0</v>
      </c>
      <c r="V25" s="114">
        <f t="shared" si="12"/>
        <v>0</v>
      </c>
      <c r="W25" s="114">
        <f t="shared" si="13"/>
        <v>0</v>
      </c>
      <c r="X25" s="114">
        <f t="shared" si="14"/>
        <v>0</v>
      </c>
      <c r="Y25" s="285"/>
      <c r="Z25" s="1">
        <v>1</v>
      </c>
      <c r="AA25" s="1">
        <v>1</v>
      </c>
      <c r="AB25" s="126">
        <f t="shared" si="15"/>
        <v>1</v>
      </c>
      <c r="AC25" s="125">
        <f>IF(Z25=1,G25,'Invoer verlichting'!N24)</f>
        <v>0</v>
      </c>
      <c r="AD25" s="125">
        <f t="shared" si="1"/>
        <v>0</v>
      </c>
      <c r="AE25" s="125">
        <f>'Invoer verlichting'!O24</f>
        <v>0</v>
      </c>
      <c r="AF25" s="1">
        <v>1</v>
      </c>
      <c r="AG25" s="126">
        <f>'Invoer verlichting'!P24</f>
        <v>0</v>
      </c>
      <c r="AH25" s="126">
        <f>'Invoer verlichting'!Q24</f>
        <v>0</v>
      </c>
      <c r="AI25" s="125">
        <f t="shared" si="16"/>
        <v>0</v>
      </c>
      <c r="AJ25" s="125">
        <f t="shared" si="17"/>
        <v>0</v>
      </c>
      <c r="AK25" s="125">
        <f t="shared" si="18"/>
        <v>1</v>
      </c>
      <c r="AL25" s="125">
        <f t="shared" si="19"/>
        <v>1</v>
      </c>
      <c r="AM25" s="125">
        <f>IF(B25=2,'Invoer Algemeen'!$D$16,IF(B25=3,'Invoer Algemeen'!$D$17,IF(B25=4,'Invoer Algemeen'!$D$18,IF(B25=5,'Invoer Algemeen'!$D$19,0))))</f>
        <v>0</v>
      </c>
      <c r="AN25" s="125">
        <f t="shared" si="20"/>
        <v>0</v>
      </c>
      <c r="AO25" s="114">
        <f t="shared" si="21"/>
        <v>0</v>
      </c>
      <c r="AP25" s="114">
        <f t="shared" si="22"/>
        <v>0</v>
      </c>
      <c r="AQ25" s="114">
        <f t="shared" si="23"/>
        <v>0</v>
      </c>
      <c r="AR25" s="114">
        <f t="shared" si="24"/>
        <v>0</v>
      </c>
      <c r="AS25" s="114">
        <f t="shared" si="25"/>
        <v>0</v>
      </c>
      <c r="AT25" s="114">
        <f t="shared" si="26"/>
        <v>0</v>
      </c>
      <c r="AU25" s="114">
        <f t="shared" si="27"/>
        <v>0</v>
      </c>
      <c r="AV25" s="114">
        <f t="shared" si="28"/>
        <v>0</v>
      </c>
      <c r="AW25" s="125"/>
      <c r="AX25" s="114">
        <f t="shared" si="29"/>
        <v>0</v>
      </c>
      <c r="AY25" s="114">
        <f t="shared" si="30"/>
        <v>0</v>
      </c>
      <c r="AZ25" s="114">
        <f t="shared" si="31"/>
        <v>0</v>
      </c>
      <c r="BA25" s="114">
        <f t="shared" si="32"/>
        <v>0</v>
      </c>
      <c r="BB25" s="114">
        <f t="shared" si="33"/>
        <v>0</v>
      </c>
      <c r="BC25" s="114">
        <f t="shared" si="34"/>
        <v>0</v>
      </c>
      <c r="BD25" s="114">
        <f t="shared" si="35"/>
        <v>0</v>
      </c>
      <c r="BE25" s="114">
        <f t="shared" si="36"/>
        <v>0</v>
      </c>
      <c r="BF25" s="125"/>
      <c r="BG25" s="114">
        <f t="shared" si="37"/>
        <v>0</v>
      </c>
      <c r="BH25" s="114">
        <f t="shared" si="38"/>
        <v>0</v>
      </c>
      <c r="BI25" s="114">
        <f t="shared" si="39"/>
        <v>0</v>
      </c>
      <c r="BJ25" s="114">
        <f t="shared" si="40"/>
        <v>0</v>
      </c>
      <c r="BK25" s="114">
        <f t="shared" si="41"/>
        <v>0</v>
      </c>
      <c r="BL25" s="114">
        <f t="shared" si="42"/>
        <v>0</v>
      </c>
      <c r="BM25" s="114">
        <f t="shared" si="43"/>
        <v>0</v>
      </c>
      <c r="BN25" s="114">
        <f t="shared" si="44"/>
        <v>0</v>
      </c>
      <c r="BO25" s="125"/>
      <c r="BP25" s="114">
        <f t="shared" si="45"/>
        <v>0</v>
      </c>
      <c r="BQ25" s="114">
        <f t="shared" si="46"/>
        <v>0</v>
      </c>
      <c r="BR25" s="114">
        <f t="shared" si="47"/>
        <v>0</v>
      </c>
      <c r="BS25" s="114">
        <f t="shared" si="48"/>
        <v>0</v>
      </c>
      <c r="BT25" s="125"/>
      <c r="BU25" s="125"/>
      <c r="BV25" s="125"/>
      <c r="BW25" s="125"/>
      <c r="BX25" s="89">
        <f>IF(Z25=1,0,AC25*'Kosten kengetallen'!$B$42)</f>
        <v>0</v>
      </c>
      <c r="BY25" s="89">
        <f>'Kosten kengetallen'!$B$43*AH25</f>
        <v>0</v>
      </c>
      <c r="BZ25" s="89">
        <f>'Kosten kengetallen'!$B$44*AG25</f>
        <v>0</v>
      </c>
      <c r="CA25" s="89">
        <f t="shared" si="49"/>
        <v>0</v>
      </c>
      <c r="CB25" s="89">
        <f t="shared" si="50"/>
        <v>0</v>
      </c>
      <c r="CC25" s="89">
        <v>0</v>
      </c>
      <c r="CE25" s="89">
        <f t="shared" si="51"/>
        <v>0</v>
      </c>
      <c r="CH25" s="89">
        <f t="shared" si="52"/>
        <v>0</v>
      </c>
      <c r="CI25" s="89">
        <f t="shared" si="53"/>
        <v>0</v>
      </c>
      <c r="CJ25" s="89">
        <f t="shared" si="54"/>
        <v>0</v>
      </c>
      <c r="CK25" s="89">
        <f t="shared" si="55"/>
        <v>0</v>
      </c>
    </row>
    <row r="26" spans="1:89" x14ac:dyDescent="0.2">
      <c r="A26" s="124">
        <f>'Invoer verlichting'!A25</f>
        <v>0</v>
      </c>
      <c r="B26" s="1">
        <v>1</v>
      </c>
      <c r="C26" s="1">
        <v>1</v>
      </c>
      <c r="D26" s="1">
        <v>1</v>
      </c>
      <c r="E26" s="1">
        <v>1</v>
      </c>
      <c r="F26" s="1">
        <v>1</v>
      </c>
      <c r="G26" s="125">
        <f>'Invoer verlichting'!G25</f>
        <v>0</v>
      </c>
      <c r="H26" s="125">
        <f t="shared" si="0"/>
        <v>0</v>
      </c>
      <c r="I26" s="125">
        <f>'Invoer verlichting'!H25</f>
        <v>0</v>
      </c>
      <c r="J26" s="1">
        <v>1</v>
      </c>
      <c r="K26" s="125">
        <f t="shared" si="2"/>
        <v>0</v>
      </c>
      <c r="L26" s="125">
        <f t="shared" si="3"/>
        <v>0</v>
      </c>
      <c r="M26" s="125">
        <f t="shared" si="4"/>
        <v>1</v>
      </c>
      <c r="N26" s="125">
        <f t="shared" si="5"/>
        <v>1</v>
      </c>
      <c r="O26" s="125">
        <f>IF(B26=2,'Invoer Algemeen'!$D$16,IF(B26=3,'Invoer Algemeen'!$D$17,IF(B26=4,'Invoer Algemeen'!$D$18,IF(B26=5,'Invoer Algemeen'!$D$19,0))))</f>
        <v>0</v>
      </c>
      <c r="P26" s="125">
        <f t="shared" si="6"/>
        <v>0</v>
      </c>
      <c r="Q26" s="114">
        <f t="shared" si="7"/>
        <v>0</v>
      </c>
      <c r="R26" s="125">
        <f t="shared" si="8"/>
        <v>0</v>
      </c>
      <c r="S26" s="125">
        <f t="shared" si="9"/>
        <v>0</v>
      </c>
      <c r="T26" s="195">
        <f t="shared" si="10"/>
        <v>0</v>
      </c>
      <c r="U26" s="114">
        <f t="shared" si="11"/>
        <v>0</v>
      </c>
      <c r="V26" s="114">
        <f t="shared" si="12"/>
        <v>0</v>
      </c>
      <c r="W26" s="114">
        <f t="shared" si="13"/>
        <v>0</v>
      </c>
      <c r="X26" s="114">
        <f t="shared" si="14"/>
        <v>0</v>
      </c>
      <c r="Y26" s="285"/>
      <c r="Z26" s="1">
        <v>1</v>
      </c>
      <c r="AA26" s="1">
        <v>1</v>
      </c>
      <c r="AB26" s="126">
        <f t="shared" si="15"/>
        <v>1</v>
      </c>
      <c r="AC26" s="125">
        <f>IF(Z26=1,G26,'Invoer verlichting'!N25)</f>
        <v>0</v>
      </c>
      <c r="AD26" s="125">
        <f t="shared" si="1"/>
        <v>0</v>
      </c>
      <c r="AE26" s="125">
        <f>'Invoer verlichting'!O25</f>
        <v>0</v>
      </c>
      <c r="AF26" s="1">
        <v>1</v>
      </c>
      <c r="AG26" s="126">
        <f>'Invoer verlichting'!P25</f>
        <v>0</v>
      </c>
      <c r="AH26" s="126">
        <f>'Invoer verlichting'!Q25</f>
        <v>0</v>
      </c>
      <c r="AI26" s="125">
        <f t="shared" si="16"/>
        <v>0</v>
      </c>
      <c r="AJ26" s="125">
        <f t="shared" si="17"/>
        <v>0</v>
      </c>
      <c r="AK26" s="125">
        <f t="shared" si="18"/>
        <v>1</v>
      </c>
      <c r="AL26" s="125">
        <f t="shared" si="19"/>
        <v>1</v>
      </c>
      <c r="AM26" s="125">
        <f>IF(B26=2,'Invoer Algemeen'!$D$16,IF(B26=3,'Invoer Algemeen'!$D$17,IF(B26=4,'Invoer Algemeen'!$D$18,IF(B26=5,'Invoer Algemeen'!$D$19,0))))</f>
        <v>0</v>
      </c>
      <c r="AN26" s="125">
        <f t="shared" si="20"/>
        <v>0</v>
      </c>
      <c r="AO26" s="114">
        <f t="shared" si="21"/>
        <v>0</v>
      </c>
      <c r="AP26" s="114">
        <f t="shared" si="22"/>
        <v>0</v>
      </c>
      <c r="AQ26" s="114">
        <f t="shared" si="23"/>
        <v>0</v>
      </c>
      <c r="AR26" s="114">
        <f t="shared" si="24"/>
        <v>0</v>
      </c>
      <c r="AS26" s="114">
        <f t="shared" si="25"/>
        <v>0</v>
      </c>
      <c r="AT26" s="114">
        <f t="shared" si="26"/>
        <v>0</v>
      </c>
      <c r="AU26" s="114">
        <f t="shared" si="27"/>
        <v>0</v>
      </c>
      <c r="AV26" s="114">
        <f t="shared" si="28"/>
        <v>0</v>
      </c>
      <c r="AW26" s="125"/>
      <c r="AX26" s="114">
        <f t="shared" si="29"/>
        <v>0</v>
      </c>
      <c r="AY26" s="114">
        <f t="shared" si="30"/>
        <v>0</v>
      </c>
      <c r="AZ26" s="114">
        <f t="shared" si="31"/>
        <v>0</v>
      </c>
      <c r="BA26" s="114">
        <f t="shared" si="32"/>
        <v>0</v>
      </c>
      <c r="BB26" s="114">
        <f t="shared" si="33"/>
        <v>0</v>
      </c>
      <c r="BC26" s="114">
        <f t="shared" si="34"/>
        <v>0</v>
      </c>
      <c r="BD26" s="114">
        <f t="shared" si="35"/>
        <v>0</v>
      </c>
      <c r="BE26" s="114">
        <f t="shared" si="36"/>
        <v>0</v>
      </c>
      <c r="BF26" s="125"/>
      <c r="BG26" s="114">
        <f t="shared" si="37"/>
        <v>0</v>
      </c>
      <c r="BH26" s="114">
        <f t="shared" si="38"/>
        <v>0</v>
      </c>
      <c r="BI26" s="114">
        <f t="shared" si="39"/>
        <v>0</v>
      </c>
      <c r="BJ26" s="114">
        <f t="shared" si="40"/>
        <v>0</v>
      </c>
      <c r="BK26" s="114">
        <f t="shared" si="41"/>
        <v>0</v>
      </c>
      <c r="BL26" s="114">
        <f t="shared" si="42"/>
        <v>0</v>
      </c>
      <c r="BM26" s="114">
        <f t="shared" si="43"/>
        <v>0</v>
      </c>
      <c r="BN26" s="114">
        <f t="shared" si="44"/>
        <v>0</v>
      </c>
      <c r="BO26" s="125"/>
      <c r="BP26" s="114">
        <f t="shared" si="45"/>
        <v>0</v>
      </c>
      <c r="BQ26" s="114">
        <f t="shared" si="46"/>
        <v>0</v>
      </c>
      <c r="BR26" s="114">
        <f t="shared" si="47"/>
        <v>0</v>
      </c>
      <c r="BS26" s="114">
        <f t="shared" si="48"/>
        <v>0</v>
      </c>
      <c r="BT26" s="125"/>
      <c r="BU26" s="125"/>
      <c r="BV26" s="125"/>
      <c r="BW26" s="125"/>
      <c r="BX26" s="89">
        <f>IF(Z26=1,0,AC26*'Kosten kengetallen'!$B$42)</f>
        <v>0</v>
      </c>
      <c r="BY26" s="89">
        <f>'Kosten kengetallen'!$B$43*AH26</f>
        <v>0</v>
      </c>
      <c r="BZ26" s="89">
        <f>'Kosten kengetallen'!$B$44*AG26</f>
        <v>0</v>
      </c>
      <c r="CA26" s="89">
        <f t="shared" si="49"/>
        <v>0</v>
      </c>
      <c r="CB26" s="89">
        <f t="shared" si="50"/>
        <v>0</v>
      </c>
      <c r="CC26" s="89">
        <v>0</v>
      </c>
      <c r="CE26" s="89">
        <f t="shared" si="51"/>
        <v>0</v>
      </c>
      <c r="CH26" s="89">
        <f t="shared" si="52"/>
        <v>0</v>
      </c>
      <c r="CI26" s="89">
        <f t="shared" si="53"/>
        <v>0</v>
      </c>
      <c r="CJ26" s="89">
        <f t="shared" si="54"/>
        <v>0</v>
      </c>
      <c r="CK26" s="89">
        <f t="shared" si="55"/>
        <v>0</v>
      </c>
    </row>
    <row r="27" spans="1:89" x14ac:dyDescent="0.2">
      <c r="A27" s="124">
        <f>'Invoer verlichting'!A26</f>
        <v>0</v>
      </c>
      <c r="B27" s="1">
        <v>1</v>
      </c>
      <c r="C27" s="1">
        <v>1</v>
      </c>
      <c r="D27" s="1">
        <v>1</v>
      </c>
      <c r="E27" s="1">
        <v>1</v>
      </c>
      <c r="F27" s="1">
        <v>1</v>
      </c>
      <c r="G27" s="125">
        <f>'Invoer verlichting'!G26</f>
        <v>0</v>
      </c>
      <c r="H27" s="125">
        <f t="shared" si="0"/>
        <v>0</v>
      </c>
      <c r="I27" s="125">
        <f>'Invoer verlichting'!H26</f>
        <v>0</v>
      </c>
      <c r="J27" s="1">
        <v>1</v>
      </c>
      <c r="K27" s="125">
        <f t="shared" si="2"/>
        <v>0</v>
      </c>
      <c r="L27" s="125">
        <f t="shared" si="3"/>
        <v>0</v>
      </c>
      <c r="M27" s="125">
        <f t="shared" si="4"/>
        <v>1</v>
      </c>
      <c r="N27" s="125">
        <f t="shared" si="5"/>
        <v>1</v>
      </c>
      <c r="O27" s="125">
        <f>IF(B27=2,'Invoer Algemeen'!$D$16,IF(B27=3,'Invoer Algemeen'!$D$17,IF(B27=4,'Invoer Algemeen'!$D$18,IF(B27=5,'Invoer Algemeen'!$D$19,0))))</f>
        <v>0</v>
      </c>
      <c r="P27" s="125">
        <f t="shared" si="6"/>
        <v>0</v>
      </c>
      <c r="Q27" s="114">
        <f t="shared" si="7"/>
        <v>0</v>
      </c>
      <c r="R27" s="125">
        <f t="shared" si="8"/>
        <v>0</v>
      </c>
      <c r="S27" s="125">
        <f t="shared" si="9"/>
        <v>0</v>
      </c>
      <c r="T27" s="195">
        <f t="shared" si="10"/>
        <v>0</v>
      </c>
      <c r="U27" s="114">
        <f t="shared" si="11"/>
        <v>0</v>
      </c>
      <c r="V27" s="114">
        <f t="shared" si="12"/>
        <v>0</v>
      </c>
      <c r="W27" s="114">
        <f t="shared" si="13"/>
        <v>0</v>
      </c>
      <c r="X27" s="114">
        <f t="shared" si="14"/>
        <v>0</v>
      </c>
      <c r="Y27" s="285"/>
      <c r="Z27" s="1">
        <v>1</v>
      </c>
      <c r="AA27" s="1">
        <v>1</v>
      </c>
      <c r="AB27" s="126">
        <f t="shared" si="15"/>
        <v>1</v>
      </c>
      <c r="AC27" s="125">
        <f>IF(Z27=1,G27,'Invoer verlichting'!N26)</f>
        <v>0</v>
      </c>
      <c r="AD27" s="125">
        <f t="shared" si="1"/>
        <v>0</v>
      </c>
      <c r="AE27" s="125">
        <f>'Invoer verlichting'!O26</f>
        <v>0</v>
      </c>
      <c r="AF27" s="1">
        <v>1</v>
      </c>
      <c r="AG27" s="126">
        <f>'Invoer verlichting'!P26</f>
        <v>0</v>
      </c>
      <c r="AH27" s="126">
        <f>'Invoer verlichting'!Q26</f>
        <v>0</v>
      </c>
      <c r="AI27" s="125">
        <f t="shared" si="16"/>
        <v>0</v>
      </c>
      <c r="AJ27" s="125">
        <f t="shared" si="17"/>
        <v>0</v>
      </c>
      <c r="AK27" s="125">
        <f t="shared" si="18"/>
        <v>1</v>
      </c>
      <c r="AL27" s="125">
        <f t="shared" si="19"/>
        <v>1</v>
      </c>
      <c r="AM27" s="125">
        <f>IF(B27=2,'Invoer Algemeen'!$D$16,IF(B27=3,'Invoer Algemeen'!$D$17,IF(B27=4,'Invoer Algemeen'!$D$18,IF(B27=5,'Invoer Algemeen'!$D$19,0))))</f>
        <v>0</v>
      </c>
      <c r="AN27" s="125">
        <f t="shared" si="20"/>
        <v>0</v>
      </c>
      <c r="AO27" s="114">
        <f t="shared" si="21"/>
        <v>0</v>
      </c>
      <c r="AP27" s="114">
        <f t="shared" si="22"/>
        <v>0</v>
      </c>
      <c r="AQ27" s="114">
        <f t="shared" si="23"/>
        <v>0</v>
      </c>
      <c r="AR27" s="114">
        <f t="shared" si="24"/>
        <v>0</v>
      </c>
      <c r="AS27" s="114">
        <f t="shared" si="25"/>
        <v>0</v>
      </c>
      <c r="AT27" s="114">
        <f t="shared" si="26"/>
        <v>0</v>
      </c>
      <c r="AU27" s="114">
        <f t="shared" si="27"/>
        <v>0</v>
      </c>
      <c r="AV27" s="114">
        <f t="shared" si="28"/>
        <v>0</v>
      </c>
      <c r="AW27" s="125"/>
      <c r="AX27" s="114">
        <f t="shared" si="29"/>
        <v>0</v>
      </c>
      <c r="AY27" s="114">
        <f t="shared" si="30"/>
        <v>0</v>
      </c>
      <c r="AZ27" s="114">
        <f t="shared" si="31"/>
        <v>0</v>
      </c>
      <c r="BA27" s="114">
        <f t="shared" si="32"/>
        <v>0</v>
      </c>
      <c r="BB27" s="114">
        <f t="shared" si="33"/>
        <v>0</v>
      </c>
      <c r="BC27" s="114">
        <f t="shared" si="34"/>
        <v>0</v>
      </c>
      <c r="BD27" s="114">
        <f t="shared" si="35"/>
        <v>0</v>
      </c>
      <c r="BE27" s="114">
        <f t="shared" si="36"/>
        <v>0</v>
      </c>
      <c r="BF27" s="125"/>
      <c r="BG27" s="114">
        <f t="shared" si="37"/>
        <v>0</v>
      </c>
      <c r="BH27" s="114">
        <f t="shared" si="38"/>
        <v>0</v>
      </c>
      <c r="BI27" s="114">
        <f t="shared" si="39"/>
        <v>0</v>
      </c>
      <c r="BJ27" s="114">
        <f t="shared" si="40"/>
        <v>0</v>
      </c>
      <c r="BK27" s="114">
        <f t="shared" si="41"/>
        <v>0</v>
      </c>
      <c r="BL27" s="114">
        <f t="shared" si="42"/>
        <v>0</v>
      </c>
      <c r="BM27" s="114">
        <f t="shared" si="43"/>
        <v>0</v>
      </c>
      <c r="BN27" s="114">
        <f t="shared" si="44"/>
        <v>0</v>
      </c>
      <c r="BO27" s="125"/>
      <c r="BP27" s="114">
        <f t="shared" si="45"/>
        <v>0</v>
      </c>
      <c r="BQ27" s="114">
        <f t="shared" si="46"/>
        <v>0</v>
      </c>
      <c r="BR27" s="114">
        <f t="shared" si="47"/>
        <v>0</v>
      </c>
      <c r="BS27" s="114">
        <f t="shared" si="48"/>
        <v>0</v>
      </c>
      <c r="BT27" s="125"/>
      <c r="BU27" s="125"/>
      <c r="BV27" s="125"/>
      <c r="BW27" s="125"/>
      <c r="BX27" s="89">
        <f>IF(Z27=1,0,AC27*'Kosten kengetallen'!$B$42)</f>
        <v>0</v>
      </c>
      <c r="BY27" s="89">
        <f>'Kosten kengetallen'!$B$43*AH27</f>
        <v>0</v>
      </c>
      <c r="BZ27" s="89">
        <f>'Kosten kengetallen'!$B$44*AG27</f>
        <v>0</v>
      </c>
      <c r="CA27" s="89">
        <f t="shared" si="49"/>
        <v>0</v>
      </c>
      <c r="CB27" s="89">
        <f t="shared" si="50"/>
        <v>0</v>
      </c>
      <c r="CC27" s="89">
        <v>0</v>
      </c>
      <c r="CE27" s="89">
        <f t="shared" si="51"/>
        <v>0</v>
      </c>
      <c r="CH27" s="89">
        <f t="shared" si="52"/>
        <v>0</v>
      </c>
      <c r="CI27" s="89">
        <f t="shared" si="53"/>
        <v>0</v>
      </c>
      <c r="CJ27" s="89">
        <f t="shared" si="54"/>
        <v>0</v>
      </c>
      <c r="CK27" s="89">
        <f t="shared" si="55"/>
        <v>0</v>
      </c>
    </row>
    <row r="28" spans="1:89" x14ac:dyDescent="0.2">
      <c r="A28" s="124">
        <f>'Invoer verlichting'!A27</f>
        <v>0</v>
      </c>
      <c r="B28" s="1">
        <v>1</v>
      </c>
      <c r="C28" s="1">
        <v>1</v>
      </c>
      <c r="D28" s="1">
        <v>1</v>
      </c>
      <c r="E28" s="1">
        <v>1</v>
      </c>
      <c r="F28" s="1">
        <v>1</v>
      </c>
      <c r="G28" s="125">
        <f>'Invoer verlichting'!G27</f>
        <v>0</v>
      </c>
      <c r="H28" s="125">
        <f t="shared" si="0"/>
        <v>0</v>
      </c>
      <c r="I28" s="125">
        <f>'Invoer verlichting'!H27</f>
        <v>0</v>
      </c>
      <c r="J28" s="1">
        <v>1</v>
      </c>
      <c r="K28" s="125">
        <f t="shared" si="2"/>
        <v>0</v>
      </c>
      <c r="L28" s="125">
        <f t="shared" si="3"/>
        <v>0</v>
      </c>
      <c r="M28" s="125">
        <f t="shared" si="4"/>
        <v>1</v>
      </c>
      <c r="N28" s="125">
        <f t="shared" si="5"/>
        <v>1</v>
      </c>
      <c r="O28" s="125">
        <f>IF(B28=2,'Invoer Algemeen'!$D$16,IF(B28=3,'Invoer Algemeen'!$D$17,IF(B28=4,'Invoer Algemeen'!$D$18,IF(B28=5,'Invoer Algemeen'!$D$19,0))))</f>
        <v>0</v>
      </c>
      <c r="P28" s="125">
        <f t="shared" si="6"/>
        <v>0</v>
      </c>
      <c r="Q28" s="114">
        <f t="shared" si="7"/>
        <v>0</v>
      </c>
      <c r="R28" s="125">
        <f t="shared" si="8"/>
        <v>0</v>
      </c>
      <c r="S28" s="125">
        <f t="shared" si="9"/>
        <v>0</v>
      </c>
      <c r="T28" s="195">
        <f t="shared" si="10"/>
        <v>0</v>
      </c>
      <c r="U28" s="114">
        <f t="shared" si="11"/>
        <v>0</v>
      </c>
      <c r="V28" s="114">
        <f t="shared" si="12"/>
        <v>0</v>
      </c>
      <c r="W28" s="114">
        <f t="shared" si="13"/>
        <v>0</v>
      </c>
      <c r="X28" s="114">
        <f t="shared" si="14"/>
        <v>0</v>
      </c>
      <c r="Y28" s="285"/>
      <c r="Z28" s="1">
        <v>1</v>
      </c>
      <c r="AA28" s="1">
        <v>1</v>
      </c>
      <c r="AB28" s="126">
        <f t="shared" si="15"/>
        <v>1</v>
      </c>
      <c r="AC28" s="125">
        <f>IF(Z28=1,G28,'Invoer verlichting'!N27)</f>
        <v>0</v>
      </c>
      <c r="AD28" s="125">
        <f t="shared" si="1"/>
        <v>0</v>
      </c>
      <c r="AE28" s="125">
        <f>'Invoer verlichting'!O27</f>
        <v>0</v>
      </c>
      <c r="AF28" s="1">
        <v>1</v>
      </c>
      <c r="AG28" s="126">
        <f>'Invoer verlichting'!P27</f>
        <v>0</v>
      </c>
      <c r="AH28" s="126">
        <f>'Invoer verlichting'!Q27</f>
        <v>0</v>
      </c>
      <c r="AI28" s="125">
        <f t="shared" si="16"/>
        <v>0</v>
      </c>
      <c r="AJ28" s="125">
        <f t="shared" si="17"/>
        <v>0</v>
      </c>
      <c r="AK28" s="125">
        <f t="shared" si="18"/>
        <v>1</v>
      </c>
      <c r="AL28" s="125">
        <f t="shared" si="19"/>
        <v>1</v>
      </c>
      <c r="AM28" s="125">
        <f>IF(B28=2,'Invoer Algemeen'!$D$16,IF(B28=3,'Invoer Algemeen'!$D$17,IF(B28=4,'Invoer Algemeen'!$D$18,IF(B28=5,'Invoer Algemeen'!$D$19,0))))</f>
        <v>0</v>
      </c>
      <c r="AN28" s="125">
        <f t="shared" si="20"/>
        <v>0</v>
      </c>
      <c r="AO28" s="114">
        <f t="shared" si="21"/>
        <v>0</v>
      </c>
      <c r="AP28" s="114">
        <f t="shared" si="22"/>
        <v>0</v>
      </c>
      <c r="AQ28" s="114">
        <f t="shared" si="23"/>
        <v>0</v>
      </c>
      <c r="AR28" s="114">
        <f t="shared" si="24"/>
        <v>0</v>
      </c>
      <c r="AS28" s="114">
        <f t="shared" si="25"/>
        <v>0</v>
      </c>
      <c r="AT28" s="114">
        <f t="shared" si="26"/>
        <v>0</v>
      </c>
      <c r="AU28" s="114">
        <f t="shared" si="27"/>
        <v>0</v>
      </c>
      <c r="AV28" s="114">
        <f t="shared" si="28"/>
        <v>0</v>
      </c>
      <c r="AW28" s="125"/>
      <c r="AX28" s="114">
        <f t="shared" si="29"/>
        <v>0</v>
      </c>
      <c r="AY28" s="114">
        <f t="shared" si="30"/>
        <v>0</v>
      </c>
      <c r="AZ28" s="114">
        <f t="shared" si="31"/>
        <v>0</v>
      </c>
      <c r="BA28" s="114">
        <f t="shared" si="32"/>
        <v>0</v>
      </c>
      <c r="BB28" s="114">
        <f t="shared" si="33"/>
        <v>0</v>
      </c>
      <c r="BC28" s="114">
        <f t="shared" si="34"/>
        <v>0</v>
      </c>
      <c r="BD28" s="114">
        <f t="shared" si="35"/>
        <v>0</v>
      </c>
      <c r="BE28" s="114">
        <f t="shared" si="36"/>
        <v>0</v>
      </c>
      <c r="BF28" s="125"/>
      <c r="BG28" s="114">
        <f t="shared" si="37"/>
        <v>0</v>
      </c>
      <c r="BH28" s="114">
        <f t="shared" si="38"/>
        <v>0</v>
      </c>
      <c r="BI28" s="114">
        <f t="shared" si="39"/>
        <v>0</v>
      </c>
      <c r="BJ28" s="114">
        <f t="shared" si="40"/>
        <v>0</v>
      </c>
      <c r="BK28" s="114">
        <f t="shared" si="41"/>
        <v>0</v>
      </c>
      <c r="BL28" s="114">
        <f t="shared" si="42"/>
        <v>0</v>
      </c>
      <c r="BM28" s="114">
        <f t="shared" si="43"/>
        <v>0</v>
      </c>
      <c r="BN28" s="114">
        <f t="shared" si="44"/>
        <v>0</v>
      </c>
      <c r="BO28" s="125"/>
      <c r="BP28" s="114">
        <f t="shared" si="45"/>
        <v>0</v>
      </c>
      <c r="BQ28" s="114">
        <f t="shared" si="46"/>
        <v>0</v>
      </c>
      <c r="BR28" s="114">
        <f t="shared" si="47"/>
        <v>0</v>
      </c>
      <c r="BS28" s="114">
        <f t="shared" si="48"/>
        <v>0</v>
      </c>
      <c r="BT28" s="125"/>
      <c r="BU28" s="125"/>
      <c r="BV28" s="125"/>
      <c r="BW28" s="125"/>
      <c r="BX28" s="89">
        <f>IF(Z28=1,0,AC28*'Kosten kengetallen'!$B$42)</f>
        <v>0</v>
      </c>
      <c r="BY28" s="89">
        <f>'Kosten kengetallen'!$B$43*AH28</f>
        <v>0</v>
      </c>
      <c r="BZ28" s="89">
        <f>'Kosten kengetallen'!$B$44*AG28</f>
        <v>0</v>
      </c>
      <c r="CA28" s="89">
        <f t="shared" si="49"/>
        <v>0</v>
      </c>
      <c r="CB28" s="89">
        <f t="shared" si="50"/>
        <v>0</v>
      </c>
      <c r="CC28" s="89">
        <v>0</v>
      </c>
      <c r="CE28" s="89">
        <f t="shared" si="51"/>
        <v>0</v>
      </c>
      <c r="CH28" s="89"/>
      <c r="CJ28" s="89">
        <f>SUM(CJ5:CJ27)</f>
        <v>0</v>
      </c>
      <c r="CK28" s="89">
        <f>SUM(CK5:CK27)</f>
        <v>0</v>
      </c>
    </row>
    <row r="29" spans="1:89" x14ac:dyDescent="0.2">
      <c r="Q29" s="196">
        <f t="shared" ref="Q29:X29" si="56">SUM(Q5:Q28)</f>
        <v>0</v>
      </c>
      <c r="R29" s="197">
        <f t="shared" si="56"/>
        <v>0</v>
      </c>
      <c r="S29" s="197">
        <f t="shared" si="56"/>
        <v>0</v>
      </c>
      <c r="T29" s="198">
        <f t="shared" si="56"/>
        <v>0</v>
      </c>
      <c r="U29" s="196">
        <f t="shared" si="56"/>
        <v>0</v>
      </c>
      <c r="V29" s="197">
        <f t="shared" si="56"/>
        <v>0</v>
      </c>
      <c r="W29" s="197">
        <f t="shared" si="56"/>
        <v>0</v>
      </c>
      <c r="X29" s="198">
        <f t="shared" si="56"/>
        <v>0</v>
      </c>
      <c r="AO29" s="196">
        <f t="shared" ref="AO29:AV29" si="57">SUM(AO5:AO28)</f>
        <v>0</v>
      </c>
      <c r="AP29" s="197">
        <f t="shared" si="57"/>
        <v>0</v>
      </c>
      <c r="AQ29" s="197">
        <f t="shared" si="57"/>
        <v>0</v>
      </c>
      <c r="AR29" s="198">
        <f t="shared" si="57"/>
        <v>0</v>
      </c>
      <c r="AS29" s="196">
        <f t="shared" si="57"/>
        <v>0</v>
      </c>
      <c r="AT29" s="197">
        <f t="shared" si="57"/>
        <v>0</v>
      </c>
      <c r="AU29" s="197">
        <f t="shared" si="57"/>
        <v>0</v>
      </c>
      <c r="AV29" s="121">
        <f t="shared" si="57"/>
        <v>0</v>
      </c>
      <c r="AW29" s="125"/>
      <c r="AX29" s="196">
        <f t="shared" ref="AX29:BE29" si="58">SUM(AX5:AX28)</f>
        <v>0</v>
      </c>
      <c r="AY29" s="197">
        <f t="shared" si="58"/>
        <v>0</v>
      </c>
      <c r="AZ29" s="197">
        <f t="shared" si="58"/>
        <v>0</v>
      </c>
      <c r="BA29" s="198">
        <f t="shared" si="58"/>
        <v>0</v>
      </c>
      <c r="BB29" s="196">
        <f t="shared" si="58"/>
        <v>0</v>
      </c>
      <c r="BC29" s="197">
        <f t="shared" si="58"/>
        <v>0</v>
      </c>
      <c r="BD29" s="197">
        <f t="shared" si="58"/>
        <v>0</v>
      </c>
      <c r="BE29" s="121">
        <f t="shared" si="58"/>
        <v>0</v>
      </c>
      <c r="BF29" s="125"/>
      <c r="BG29" s="196">
        <f t="shared" ref="BG29:BN29" si="59">SUM(BG5:BG28)</f>
        <v>0</v>
      </c>
      <c r="BH29" s="197">
        <f t="shared" si="59"/>
        <v>0</v>
      </c>
      <c r="BI29" s="197">
        <f t="shared" si="59"/>
        <v>0</v>
      </c>
      <c r="BJ29" s="198">
        <f t="shared" si="59"/>
        <v>0</v>
      </c>
      <c r="BK29" s="196">
        <f t="shared" si="59"/>
        <v>0</v>
      </c>
      <c r="BL29" s="197">
        <f t="shared" si="59"/>
        <v>0</v>
      </c>
      <c r="BM29" s="197">
        <f t="shared" si="59"/>
        <v>0</v>
      </c>
      <c r="BN29" s="121">
        <f t="shared" si="59"/>
        <v>0</v>
      </c>
      <c r="BO29" s="125"/>
      <c r="BP29" s="196">
        <f>SUM(BP5:BP28)</f>
        <v>0</v>
      </c>
      <c r="BQ29" s="197">
        <f>SUM(BQ5:BQ28)</f>
        <v>0</v>
      </c>
      <c r="BR29" s="197">
        <f>SUM(BR5:BR28)</f>
        <v>0</v>
      </c>
      <c r="BS29" s="198">
        <f>SUM(BS5:BS28)</f>
        <v>0</v>
      </c>
      <c r="BT29" s="125"/>
      <c r="BU29" s="125"/>
      <c r="BV29" s="125"/>
      <c r="BW29" s="125"/>
    </row>
    <row r="30" spans="1:89" x14ac:dyDescent="0.2">
      <c r="C30" s="187" t="s">
        <v>517</v>
      </c>
      <c r="D30" s="187" t="s">
        <v>518</v>
      </c>
      <c r="F30" s="118" t="s">
        <v>383</v>
      </c>
      <c r="G30" s="118" t="s">
        <v>384</v>
      </c>
      <c r="H30" s="118" t="s">
        <v>765</v>
      </c>
      <c r="J30" s="18" t="s">
        <v>322</v>
      </c>
      <c r="K30" s="125" t="s">
        <v>522</v>
      </c>
      <c r="M30" s="186"/>
    </row>
    <row r="31" spans="1:89" ht="13.5" customHeight="1" x14ac:dyDescent="0.2">
      <c r="C31" s="187"/>
      <c r="D31" s="187"/>
      <c r="M31" s="188"/>
    </row>
    <row r="32" spans="1:89" ht="12.75" customHeight="1" x14ac:dyDescent="0.2">
      <c r="B32" s="118" t="s">
        <v>759</v>
      </c>
      <c r="C32" s="189">
        <v>0.8</v>
      </c>
      <c r="D32" s="189">
        <v>0.95</v>
      </c>
      <c r="E32" s="118" t="s">
        <v>775</v>
      </c>
      <c r="F32" s="118" t="s">
        <v>964</v>
      </c>
      <c r="G32">
        <v>130</v>
      </c>
      <c r="H32" s="118" t="s">
        <v>37</v>
      </c>
      <c r="J32" s="118" t="s">
        <v>37</v>
      </c>
      <c r="K32" s="118" t="s">
        <v>37</v>
      </c>
      <c r="M32" s="188"/>
    </row>
    <row r="33" spans="2:15" ht="16.5" customHeight="1" x14ac:dyDescent="0.2">
      <c r="B33" s="118" t="s">
        <v>953</v>
      </c>
      <c r="C33" s="189">
        <v>1</v>
      </c>
      <c r="D33" s="189">
        <v>1</v>
      </c>
      <c r="E33" s="118" t="s">
        <v>775</v>
      </c>
      <c r="F33" s="118" t="s">
        <v>963</v>
      </c>
      <c r="G33">
        <v>65</v>
      </c>
      <c r="H33" s="118" t="s">
        <v>36</v>
      </c>
      <c r="J33" s="119" t="s">
        <v>36</v>
      </c>
      <c r="K33" s="119" t="s">
        <v>36</v>
      </c>
      <c r="M33" s="188"/>
    </row>
    <row r="34" spans="2:15" ht="16.5" customHeight="1" x14ac:dyDescent="0.2">
      <c r="B34" s="118" t="s">
        <v>954</v>
      </c>
      <c r="C34" s="189">
        <v>0.9</v>
      </c>
      <c r="D34" s="189">
        <v>0.9</v>
      </c>
      <c r="E34" s="118" t="s">
        <v>775</v>
      </c>
      <c r="F34" s="118" t="s">
        <v>962</v>
      </c>
      <c r="G34">
        <v>88</v>
      </c>
      <c r="J34" s="107"/>
      <c r="K34" s="107"/>
      <c r="M34" s="188"/>
    </row>
    <row r="35" spans="2:15" ht="38.25" customHeight="1" x14ac:dyDescent="0.2">
      <c r="B35" s="118" t="s">
        <v>780</v>
      </c>
      <c r="C35" s="189">
        <v>0.9</v>
      </c>
      <c r="D35" s="189">
        <v>0.9</v>
      </c>
      <c r="E35" s="118" t="s">
        <v>775</v>
      </c>
      <c r="F35" s="118" t="s">
        <v>961</v>
      </c>
      <c r="G35">
        <v>44</v>
      </c>
      <c r="J35" s="107"/>
      <c r="K35" s="107"/>
      <c r="M35" s="188"/>
      <c r="N35" s="189"/>
      <c r="O35" s="189"/>
    </row>
    <row r="36" spans="2:15" ht="16.5" customHeight="1" x14ac:dyDescent="0.2">
      <c r="B36" s="118" t="s">
        <v>955</v>
      </c>
      <c r="C36" s="118">
        <v>0.85</v>
      </c>
      <c r="D36" s="118">
        <v>0.95</v>
      </c>
      <c r="E36" s="118" t="s">
        <v>776</v>
      </c>
      <c r="F36" s="118" t="s">
        <v>960</v>
      </c>
      <c r="G36">
        <v>113</v>
      </c>
      <c r="M36" s="188"/>
      <c r="N36" s="189"/>
      <c r="O36" s="189" t="s">
        <v>516</v>
      </c>
    </row>
    <row r="37" spans="2:15" x14ac:dyDescent="0.2">
      <c r="B37" s="28"/>
      <c r="C37" s="28"/>
      <c r="D37" s="28"/>
      <c r="E37" s="118" t="s">
        <v>776</v>
      </c>
      <c r="F37" s="118" t="s">
        <v>959</v>
      </c>
      <c r="G37">
        <v>56</v>
      </c>
    </row>
    <row r="38" spans="2:15" x14ac:dyDescent="0.2">
      <c r="B38" s="28"/>
      <c r="C38" s="28"/>
      <c r="D38" s="28"/>
      <c r="E38" s="118" t="s">
        <v>776</v>
      </c>
      <c r="F38" s="118" t="s">
        <v>965</v>
      </c>
      <c r="G38">
        <v>74</v>
      </c>
    </row>
    <row r="39" spans="2:15" x14ac:dyDescent="0.2">
      <c r="B39" s="28"/>
      <c r="C39" s="28"/>
      <c r="D39" s="28"/>
      <c r="E39" s="118" t="s">
        <v>776</v>
      </c>
      <c r="F39" s="118" t="s">
        <v>966</v>
      </c>
      <c r="G39">
        <v>38</v>
      </c>
    </row>
    <row r="40" spans="2:15" x14ac:dyDescent="0.2">
      <c r="E40" s="118" t="s">
        <v>775</v>
      </c>
      <c r="F40" s="118" t="s">
        <v>967</v>
      </c>
      <c r="G40">
        <v>106</v>
      </c>
    </row>
    <row r="41" spans="2:15" x14ac:dyDescent="0.2">
      <c r="E41" s="118" t="s">
        <v>775</v>
      </c>
      <c r="F41" s="118" t="s">
        <v>969</v>
      </c>
      <c r="G41">
        <v>53</v>
      </c>
    </row>
    <row r="42" spans="2:15" x14ac:dyDescent="0.2">
      <c r="E42" s="118" t="s">
        <v>775</v>
      </c>
      <c r="F42" s="118" t="s">
        <v>968</v>
      </c>
      <c r="G42">
        <v>26.5</v>
      </c>
    </row>
    <row r="43" spans="2:15" x14ac:dyDescent="0.2">
      <c r="E43" s="118" t="s">
        <v>776</v>
      </c>
      <c r="F43" s="118" t="s">
        <v>970</v>
      </c>
      <c r="G43">
        <v>74</v>
      </c>
    </row>
    <row r="44" spans="2:15" x14ac:dyDescent="0.2">
      <c r="E44" s="118" t="s">
        <v>776</v>
      </c>
      <c r="F44" s="118" t="s">
        <v>971</v>
      </c>
      <c r="G44">
        <v>39</v>
      </c>
    </row>
    <row r="45" spans="2:15" x14ac:dyDescent="0.2">
      <c r="E45" s="118" t="s">
        <v>776</v>
      </c>
      <c r="F45" s="118" t="s">
        <v>972</v>
      </c>
      <c r="G45">
        <v>21</v>
      </c>
    </row>
    <row r="46" spans="2:15" x14ac:dyDescent="0.2">
      <c r="E46" s="118" t="s">
        <v>775</v>
      </c>
      <c r="F46" s="118" t="s">
        <v>973</v>
      </c>
      <c r="G46" s="360" t="str">
        <f>"invullen"</f>
        <v>invullen</v>
      </c>
    </row>
    <row r="47" spans="2:15" x14ac:dyDescent="0.2">
      <c r="E47" s="118" t="s">
        <v>776</v>
      </c>
      <c r="F47" s="118" t="s">
        <v>974</v>
      </c>
      <c r="G47" s="360" t="str">
        <f>"invullen"</f>
        <v>invullen</v>
      </c>
    </row>
    <row r="48" spans="2:15" x14ac:dyDescent="0.2">
      <c r="E48" s="118" t="s">
        <v>777</v>
      </c>
      <c r="F48" s="118" t="s">
        <v>377</v>
      </c>
      <c r="G48">
        <v>22</v>
      </c>
    </row>
    <row r="49" spans="3:21" x14ac:dyDescent="0.2">
      <c r="E49" s="118" t="s">
        <v>777</v>
      </c>
      <c r="F49" s="118" t="s">
        <v>378</v>
      </c>
      <c r="G49">
        <v>16</v>
      </c>
    </row>
    <row r="50" spans="3:21" x14ac:dyDescent="0.2">
      <c r="E50" s="118" t="s">
        <v>777</v>
      </c>
      <c r="F50" s="118" t="s">
        <v>379</v>
      </c>
      <c r="G50">
        <v>11</v>
      </c>
    </row>
    <row r="51" spans="3:21" x14ac:dyDescent="0.2">
      <c r="E51" s="118" t="s">
        <v>778</v>
      </c>
      <c r="F51" s="118" t="s">
        <v>380</v>
      </c>
      <c r="G51">
        <v>100</v>
      </c>
    </row>
    <row r="52" spans="3:21" x14ac:dyDescent="0.2">
      <c r="E52" s="118" t="s">
        <v>778</v>
      </c>
      <c r="F52" s="118" t="s">
        <v>381</v>
      </c>
      <c r="G52">
        <v>65</v>
      </c>
    </row>
    <row r="53" spans="3:21" x14ac:dyDescent="0.2">
      <c r="E53" s="118" t="s">
        <v>778</v>
      </c>
      <c r="F53" s="118" t="s">
        <v>382</v>
      </c>
      <c r="G53">
        <v>45</v>
      </c>
    </row>
    <row r="56" spans="3:21" x14ac:dyDescent="0.2">
      <c r="F56" s="118" t="s">
        <v>375</v>
      </c>
      <c r="J56" s="118" t="s">
        <v>1177</v>
      </c>
      <c r="N56" s="118" t="s">
        <v>1176</v>
      </c>
      <c r="R56" s="118" t="s">
        <v>312</v>
      </c>
    </row>
    <row r="57" spans="3:21" x14ac:dyDescent="0.2">
      <c r="C57" s="121" t="s">
        <v>956</v>
      </c>
      <c r="D57" s="121" t="s">
        <v>957</v>
      </c>
      <c r="E57" s="121" t="s">
        <v>33</v>
      </c>
      <c r="F57" s="125" t="s">
        <v>73</v>
      </c>
      <c r="G57" s="125" t="s">
        <v>769</v>
      </c>
      <c r="H57" s="125" t="s">
        <v>1174</v>
      </c>
      <c r="I57" s="125" t="s">
        <v>1175</v>
      </c>
      <c r="J57" s="125" t="s">
        <v>73</v>
      </c>
      <c r="K57" s="125" t="s">
        <v>769</v>
      </c>
      <c r="L57" s="125" t="s">
        <v>1174</v>
      </c>
      <c r="M57" s="125" t="s">
        <v>1175</v>
      </c>
      <c r="N57" s="125" t="s">
        <v>73</v>
      </c>
      <c r="O57" s="125" t="s">
        <v>769</v>
      </c>
      <c r="P57" s="125" t="s">
        <v>1174</v>
      </c>
      <c r="Q57" s="125" t="s">
        <v>1175</v>
      </c>
      <c r="R57" s="125" t="s">
        <v>73</v>
      </c>
      <c r="S57" s="125" t="s">
        <v>769</v>
      </c>
      <c r="T57" s="125" t="s">
        <v>1174</v>
      </c>
      <c r="U57" s="125" t="s">
        <v>1175</v>
      </c>
    </row>
    <row r="58" spans="3:21" x14ac:dyDescent="0.2">
      <c r="C58">
        <f>C5</f>
        <v>1</v>
      </c>
      <c r="D58">
        <f>D5</f>
        <v>1</v>
      </c>
      <c r="E58">
        <f>G5</f>
        <v>0</v>
      </c>
      <c r="F58">
        <f>IF(AND(C58=2,OR(D58=2,D58=3,D58=4,D58=5,D58=10,D58=11,D58=12,D58=16)),E58,0)</f>
        <v>0</v>
      </c>
      <c r="G58">
        <f>IF(AND(C58=2,OR(D58=6,D58=7,D58=8,D58=9,D58=13,D58=14,D58=15,D58=17)),E58,0)</f>
        <v>0</v>
      </c>
      <c r="H58">
        <f>IF(AND(C58=2,OR(D58=18,D58=19,D58=20)),E58,0)</f>
        <v>0</v>
      </c>
      <c r="I58">
        <f>IF(AND(C58=2,OR(D58=21,D58=22,D58=23)),E58,0)</f>
        <v>0</v>
      </c>
      <c r="J58">
        <f>IF(AND(C58=4,OR(D58=2,D58=3,D58=4,D58=5,D58=10,D58=11,D58=12,D58=16)),E58,0)</f>
        <v>0</v>
      </c>
      <c r="K58">
        <f>IF(AND(C58=4,OR(D58=6,D58=7,D58=8,D58=9,D58=13,D58=14,D58=15,D58=17)),E58,0)</f>
        <v>0</v>
      </c>
      <c r="L58">
        <f>IF(AND(C58=4,OR(D58=18,D58=19,D58=20)),E58,0)</f>
        <v>0</v>
      </c>
      <c r="M58">
        <f>IF(AND(C58=4,OR(D58=21,D58=22,D58=23)),E58,0)</f>
        <v>0</v>
      </c>
      <c r="N58">
        <f>IF(AND(C58=3,OR(D58=2,D58=3,D58=4,D58=5,D58=10,D58=11,D58=12,D58=16)),E58,0)</f>
        <v>0</v>
      </c>
      <c r="O58">
        <f>IF(AND(C58=3,OR(D58=6,D58=7,D58=8,D58=9,D58=13,D58=14,D58=15,D58=17)),E58,0)</f>
        <v>0</v>
      </c>
      <c r="P58">
        <f>IF(AND(C58=3,OR(D58=18,D58=19,D58=20)),E58,0)</f>
        <v>0</v>
      </c>
      <c r="Q58">
        <f>IF(AND(C58=3,OR(D58=21,D58=22,D58=23)),E58,0)</f>
        <v>0</v>
      </c>
      <c r="R58">
        <f>IF(AND(OR(C58=5,C58=6),OR(D58=2,D58=3,D58=4,D58=5,D58=10,D58=11,D58=12,D58=16)),E58,0)</f>
        <v>0</v>
      </c>
      <c r="S58">
        <f>IF(AND(OR(C58=5,C58=6),OR(D58=6,D58=7,D58=8,D58=9,D58=13,D58=14,D58=15,D58=17)),E58,0)</f>
        <v>0</v>
      </c>
      <c r="T58">
        <f>IF(AND(OR(C58=5,C58=6),OR(D58=18,D58=19,D58=20)),E58,0)</f>
        <v>0</v>
      </c>
      <c r="U58">
        <f>IF(AND(OR(C58=5,C58=6),OR(D58=21,D58=22,D58=23)),E58,0)</f>
        <v>0</v>
      </c>
    </row>
    <row r="59" spans="3:21" x14ac:dyDescent="0.2">
      <c r="C59">
        <f t="shared" ref="C59:D81" si="60">C6</f>
        <v>1</v>
      </c>
      <c r="D59">
        <f t="shared" si="60"/>
        <v>1</v>
      </c>
      <c r="E59">
        <f t="shared" ref="E59:E81" si="61">G6</f>
        <v>0</v>
      </c>
      <c r="F59">
        <f t="shared" ref="F59:F81" si="62">IF(AND(C59=2,OR(D59=2,D59=3,D59=4,D59=5,D59=10,D59=11,D59=12,D59=16)),E59,0)</f>
        <v>0</v>
      </c>
      <c r="G59">
        <f t="shared" ref="G59:G81" si="63">IF(AND(C59=2,OR(D59=6,D59=7,D59=8,D59=9,D59=13,D59=14,D59=15,D59=17)),E59,0)</f>
        <v>0</v>
      </c>
      <c r="H59">
        <f t="shared" ref="H59:H81" si="64">IF(AND(C59=2,OR(D59=18,D59=19,D59=20)),E59,0)</f>
        <v>0</v>
      </c>
      <c r="I59">
        <f t="shared" ref="I59:I81" si="65">IF(AND(C59=2,OR(D59=21,D59=22,D59=23)),E59,0)</f>
        <v>0</v>
      </c>
      <c r="J59">
        <f t="shared" ref="J59:J81" si="66">IF(AND(C59=4,OR(D59=2,D59=3,D59=4,D59=5,D59=10,D59=11,D59=12,D59=16)),E59,0)</f>
        <v>0</v>
      </c>
      <c r="K59">
        <f t="shared" ref="K59:K81" si="67">IF(AND(C59=4,OR(D59=6,D59=7,D59=8,D59=9,D59=13,D59=14,D59=15,D59=17)),E59,0)</f>
        <v>0</v>
      </c>
      <c r="L59">
        <f t="shared" ref="L59:L81" si="68">IF(AND(C59=4,OR(D59=18,D59=19,D59=20)),E59,0)</f>
        <v>0</v>
      </c>
      <c r="M59">
        <f t="shared" ref="M59:M81" si="69">IF(AND(C59=4,OR(D59=21,D59=22,D59=23)),E59,0)</f>
        <v>0</v>
      </c>
      <c r="N59">
        <f t="shared" ref="N59:N81" si="70">IF(AND(C59=3,OR(D59=2,D59=3,D59=4,D59=5,D59=10,D59=11,D59=12,D59=16)),E59,0)</f>
        <v>0</v>
      </c>
      <c r="O59">
        <f t="shared" ref="O59:O81" si="71">IF(AND(C59=3,OR(D59=6,D59=7,D59=8,D59=9,D59=13,D59=14,D59=15,D59=17)),E59,0)</f>
        <v>0</v>
      </c>
      <c r="P59">
        <f t="shared" ref="P59:P81" si="72">IF(AND(C59=3,OR(D59=18,D59=19,D59=20)),E59,0)</f>
        <v>0</v>
      </c>
      <c r="Q59">
        <f t="shared" ref="Q59:Q81" si="73">IF(AND(C59=3,OR(D59=21,D59=22,D59=23)),E59,0)</f>
        <v>0</v>
      </c>
      <c r="R59">
        <f t="shared" ref="R59:R81" si="74">IF(AND(OR(C59=5,C59=6),OR(D59=2,D59=3,D59=4,D59=5,D59=10,D59=11,D59=12,D59=16)),E59,0)</f>
        <v>0</v>
      </c>
      <c r="S59">
        <f t="shared" ref="S59:S81" si="75">IF(AND(OR(C59=5,C59=6),OR(D59=6,D59=7,D59=8,D59=9,D59=13,D59=14,D59=15,D59=17)),E59,0)</f>
        <v>0</v>
      </c>
      <c r="T59">
        <f t="shared" ref="T59:T81" si="76">IF(AND(OR(C59=5,C59=6),OR(D59=18,D59=19,D59=20)),E59,0)</f>
        <v>0</v>
      </c>
      <c r="U59">
        <f t="shared" ref="U59:U81" si="77">IF(AND(OR(C59=5,C59=6),OR(D59=21,D59=22,D59=23)),E59,0)</f>
        <v>0</v>
      </c>
    </row>
    <row r="60" spans="3:21" x14ac:dyDescent="0.2">
      <c r="C60">
        <f t="shared" si="60"/>
        <v>1</v>
      </c>
      <c r="D60">
        <f t="shared" si="60"/>
        <v>1</v>
      </c>
      <c r="E60">
        <f t="shared" si="61"/>
        <v>0</v>
      </c>
      <c r="F60">
        <f t="shared" si="62"/>
        <v>0</v>
      </c>
      <c r="G60">
        <f t="shared" si="63"/>
        <v>0</v>
      </c>
      <c r="H60">
        <f t="shared" si="64"/>
        <v>0</v>
      </c>
      <c r="I60">
        <f t="shared" si="65"/>
        <v>0</v>
      </c>
      <c r="J60">
        <f t="shared" si="66"/>
        <v>0</v>
      </c>
      <c r="K60">
        <f t="shared" si="67"/>
        <v>0</v>
      </c>
      <c r="L60">
        <f t="shared" si="68"/>
        <v>0</v>
      </c>
      <c r="M60">
        <f t="shared" si="69"/>
        <v>0</v>
      </c>
      <c r="N60">
        <f t="shared" si="70"/>
        <v>0</v>
      </c>
      <c r="O60">
        <f t="shared" si="71"/>
        <v>0</v>
      </c>
      <c r="P60">
        <f t="shared" si="72"/>
        <v>0</v>
      </c>
      <c r="Q60">
        <f t="shared" si="73"/>
        <v>0</v>
      </c>
      <c r="R60">
        <f t="shared" si="74"/>
        <v>0</v>
      </c>
      <c r="S60">
        <f t="shared" si="75"/>
        <v>0</v>
      </c>
      <c r="T60">
        <f t="shared" si="76"/>
        <v>0</v>
      </c>
      <c r="U60">
        <f t="shared" si="77"/>
        <v>0</v>
      </c>
    </row>
    <row r="61" spans="3:21" x14ac:dyDescent="0.2">
      <c r="C61">
        <f t="shared" si="60"/>
        <v>1</v>
      </c>
      <c r="D61">
        <f t="shared" si="60"/>
        <v>1</v>
      </c>
      <c r="E61">
        <f t="shared" si="61"/>
        <v>0</v>
      </c>
      <c r="F61">
        <f t="shared" si="62"/>
        <v>0</v>
      </c>
      <c r="G61">
        <f t="shared" si="63"/>
        <v>0</v>
      </c>
      <c r="H61">
        <f t="shared" si="64"/>
        <v>0</v>
      </c>
      <c r="I61">
        <f t="shared" si="65"/>
        <v>0</v>
      </c>
      <c r="J61">
        <f t="shared" si="66"/>
        <v>0</v>
      </c>
      <c r="K61">
        <f t="shared" si="67"/>
        <v>0</v>
      </c>
      <c r="L61">
        <f t="shared" si="68"/>
        <v>0</v>
      </c>
      <c r="M61">
        <f t="shared" si="69"/>
        <v>0</v>
      </c>
      <c r="N61">
        <f t="shared" si="70"/>
        <v>0</v>
      </c>
      <c r="O61">
        <f t="shared" si="71"/>
        <v>0</v>
      </c>
      <c r="P61">
        <f t="shared" si="72"/>
        <v>0</v>
      </c>
      <c r="Q61">
        <f t="shared" si="73"/>
        <v>0</v>
      </c>
      <c r="R61">
        <f t="shared" si="74"/>
        <v>0</v>
      </c>
      <c r="S61">
        <f t="shared" si="75"/>
        <v>0</v>
      </c>
      <c r="T61">
        <f t="shared" si="76"/>
        <v>0</v>
      </c>
      <c r="U61">
        <f t="shared" si="77"/>
        <v>0</v>
      </c>
    </row>
    <row r="62" spans="3:21" x14ac:dyDescent="0.2">
      <c r="C62">
        <f t="shared" si="60"/>
        <v>1</v>
      </c>
      <c r="D62">
        <f t="shared" si="60"/>
        <v>1</v>
      </c>
      <c r="E62">
        <f t="shared" si="61"/>
        <v>0</v>
      </c>
      <c r="F62">
        <f t="shared" si="62"/>
        <v>0</v>
      </c>
      <c r="G62">
        <f t="shared" si="63"/>
        <v>0</v>
      </c>
      <c r="H62">
        <f t="shared" si="64"/>
        <v>0</v>
      </c>
      <c r="I62">
        <f t="shared" si="65"/>
        <v>0</v>
      </c>
      <c r="J62">
        <f t="shared" si="66"/>
        <v>0</v>
      </c>
      <c r="K62">
        <f t="shared" si="67"/>
        <v>0</v>
      </c>
      <c r="L62">
        <f t="shared" si="68"/>
        <v>0</v>
      </c>
      <c r="M62">
        <f t="shared" si="69"/>
        <v>0</v>
      </c>
      <c r="N62">
        <f t="shared" si="70"/>
        <v>0</v>
      </c>
      <c r="O62">
        <f t="shared" si="71"/>
        <v>0</v>
      </c>
      <c r="P62">
        <f t="shared" si="72"/>
        <v>0</v>
      </c>
      <c r="Q62">
        <f t="shared" si="73"/>
        <v>0</v>
      </c>
      <c r="R62">
        <f t="shared" si="74"/>
        <v>0</v>
      </c>
      <c r="S62">
        <f t="shared" si="75"/>
        <v>0</v>
      </c>
      <c r="T62">
        <f t="shared" si="76"/>
        <v>0</v>
      </c>
      <c r="U62">
        <f t="shared" si="77"/>
        <v>0</v>
      </c>
    </row>
    <row r="63" spans="3:21" x14ac:dyDescent="0.2">
      <c r="C63">
        <f t="shared" si="60"/>
        <v>1</v>
      </c>
      <c r="D63">
        <f t="shared" si="60"/>
        <v>1</v>
      </c>
      <c r="E63">
        <f t="shared" si="61"/>
        <v>0</v>
      </c>
      <c r="F63">
        <f t="shared" si="62"/>
        <v>0</v>
      </c>
      <c r="G63">
        <f t="shared" si="63"/>
        <v>0</v>
      </c>
      <c r="H63">
        <f t="shared" si="64"/>
        <v>0</v>
      </c>
      <c r="I63">
        <f t="shared" si="65"/>
        <v>0</v>
      </c>
      <c r="J63">
        <f t="shared" si="66"/>
        <v>0</v>
      </c>
      <c r="K63">
        <f t="shared" si="67"/>
        <v>0</v>
      </c>
      <c r="L63">
        <f t="shared" si="68"/>
        <v>0</v>
      </c>
      <c r="M63">
        <f t="shared" si="69"/>
        <v>0</v>
      </c>
      <c r="N63">
        <f t="shared" si="70"/>
        <v>0</v>
      </c>
      <c r="O63">
        <f t="shared" si="71"/>
        <v>0</v>
      </c>
      <c r="P63">
        <f t="shared" si="72"/>
        <v>0</v>
      </c>
      <c r="Q63">
        <f t="shared" si="73"/>
        <v>0</v>
      </c>
      <c r="R63">
        <f t="shared" si="74"/>
        <v>0</v>
      </c>
      <c r="S63">
        <f t="shared" si="75"/>
        <v>0</v>
      </c>
      <c r="T63">
        <f t="shared" si="76"/>
        <v>0</v>
      </c>
      <c r="U63">
        <f t="shared" si="77"/>
        <v>0</v>
      </c>
    </row>
    <row r="64" spans="3:21" x14ac:dyDescent="0.2">
      <c r="C64">
        <f t="shared" si="60"/>
        <v>1</v>
      </c>
      <c r="D64">
        <f t="shared" si="60"/>
        <v>1</v>
      </c>
      <c r="E64">
        <f t="shared" si="61"/>
        <v>0</v>
      </c>
      <c r="F64">
        <f t="shared" si="62"/>
        <v>0</v>
      </c>
      <c r="G64">
        <f t="shared" si="63"/>
        <v>0</v>
      </c>
      <c r="H64">
        <f t="shared" si="64"/>
        <v>0</v>
      </c>
      <c r="I64">
        <f t="shared" si="65"/>
        <v>0</v>
      </c>
      <c r="J64">
        <f t="shared" si="66"/>
        <v>0</v>
      </c>
      <c r="K64">
        <f t="shared" si="67"/>
        <v>0</v>
      </c>
      <c r="L64">
        <f t="shared" si="68"/>
        <v>0</v>
      </c>
      <c r="M64">
        <f t="shared" si="69"/>
        <v>0</v>
      </c>
      <c r="N64">
        <f t="shared" si="70"/>
        <v>0</v>
      </c>
      <c r="O64">
        <f t="shared" si="71"/>
        <v>0</v>
      </c>
      <c r="P64">
        <f t="shared" si="72"/>
        <v>0</v>
      </c>
      <c r="Q64">
        <f t="shared" si="73"/>
        <v>0</v>
      </c>
      <c r="R64">
        <f t="shared" si="74"/>
        <v>0</v>
      </c>
      <c r="S64">
        <f t="shared" si="75"/>
        <v>0</v>
      </c>
      <c r="T64">
        <f t="shared" si="76"/>
        <v>0</v>
      </c>
      <c r="U64">
        <f t="shared" si="77"/>
        <v>0</v>
      </c>
    </row>
    <row r="65" spans="3:21" x14ac:dyDescent="0.2">
      <c r="C65">
        <f t="shared" si="60"/>
        <v>1</v>
      </c>
      <c r="D65">
        <f t="shared" si="60"/>
        <v>1</v>
      </c>
      <c r="E65">
        <f t="shared" si="61"/>
        <v>0</v>
      </c>
      <c r="F65">
        <f t="shared" si="62"/>
        <v>0</v>
      </c>
      <c r="G65">
        <f t="shared" si="63"/>
        <v>0</v>
      </c>
      <c r="H65">
        <f t="shared" si="64"/>
        <v>0</v>
      </c>
      <c r="I65">
        <f t="shared" si="65"/>
        <v>0</v>
      </c>
      <c r="J65">
        <f t="shared" si="66"/>
        <v>0</v>
      </c>
      <c r="K65">
        <f t="shared" si="67"/>
        <v>0</v>
      </c>
      <c r="L65">
        <f t="shared" si="68"/>
        <v>0</v>
      </c>
      <c r="M65">
        <f t="shared" si="69"/>
        <v>0</v>
      </c>
      <c r="N65">
        <f t="shared" si="70"/>
        <v>0</v>
      </c>
      <c r="O65">
        <f t="shared" si="71"/>
        <v>0</v>
      </c>
      <c r="P65">
        <f t="shared" si="72"/>
        <v>0</v>
      </c>
      <c r="Q65">
        <f t="shared" si="73"/>
        <v>0</v>
      </c>
      <c r="R65">
        <f t="shared" si="74"/>
        <v>0</v>
      </c>
      <c r="S65">
        <f t="shared" si="75"/>
        <v>0</v>
      </c>
      <c r="T65">
        <f t="shared" si="76"/>
        <v>0</v>
      </c>
      <c r="U65">
        <f t="shared" si="77"/>
        <v>0</v>
      </c>
    </row>
    <row r="66" spans="3:21" x14ac:dyDescent="0.2">
      <c r="C66">
        <f t="shared" si="60"/>
        <v>1</v>
      </c>
      <c r="D66">
        <f t="shared" si="60"/>
        <v>1</v>
      </c>
      <c r="E66">
        <f t="shared" si="61"/>
        <v>0</v>
      </c>
      <c r="F66">
        <f t="shared" si="62"/>
        <v>0</v>
      </c>
      <c r="G66">
        <f t="shared" si="63"/>
        <v>0</v>
      </c>
      <c r="H66">
        <f t="shared" si="64"/>
        <v>0</v>
      </c>
      <c r="I66">
        <f t="shared" si="65"/>
        <v>0</v>
      </c>
      <c r="J66">
        <f t="shared" si="66"/>
        <v>0</v>
      </c>
      <c r="K66">
        <f t="shared" si="67"/>
        <v>0</v>
      </c>
      <c r="L66">
        <f t="shared" si="68"/>
        <v>0</v>
      </c>
      <c r="M66">
        <f t="shared" si="69"/>
        <v>0</v>
      </c>
      <c r="N66">
        <f t="shared" si="70"/>
        <v>0</v>
      </c>
      <c r="O66">
        <f t="shared" si="71"/>
        <v>0</v>
      </c>
      <c r="P66">
        <f t="shared" si="72"/>
        <v>0</v>
      </c>
      <c r="Q66">
        <f t="shared" si="73"/>
        <v>0</v>
      </c>
      <c r="R66">
        <f t="shared" si="74"/>
        <v>0</v>
      </c>
      <c r="S66">
        <f t="shared" si="75"/>
        <v>0</v>
      </c>
      <c r="T66">
        <f t="shared" si="76"/>
        <v>0</v>
      </c>
      <c r="U66">
        <f t="shared" si="77"/>
        <v>0</v>
      </c>
    </row>
    <row r="67" spans="3:21" x14ac:dyDescent="0.2">
      <c r="C67">
        <f t="shared" si="60"/>
        <v>1</v>
      </c>
      <c r="D67">
        <f t="shared" si="60"/>
        <v>1</v>
      </c>
      <c r="E67">
        <f t="shared" si="61"/>
        <v>0</v>
      </c>
      <c r="F67">
        <f t="shared" si="62"/>
        <v>0</v>
      </c>
      <c r="G67">
        <f t="shared" si="63"/>
        <v>0</v>
      </c>
      <c r="H67">
        <f t="shared" si="64"/>
        <v>0</v>
      </c>
      <c r="I67">
        <f t="shared" si="65"/>
        <v>0</v>
      </c>
      <c r="J67">
        <f t="shared" si="66"/>
        <v>0</v>
      </c>
      <c r="K67">
        <f t="shared" si="67"/>
        <v>0</v>
      </c>
      <c r="L67">
        <f t="shared" si="68"/>
        <v>0</v>
      </c>
      <c r="M67">
        <f t="shared" si="69"/>
        <v>0</v>
      </c>
      <c r="N67">
        <f t="shared" si="70"/>
        <v>0</v>
      </c>
      <c r="O67">
        <f t="shared" si="71"/>
        <v>0</v>
      </c>
      <c r="P67">
        <f t="shared" si="72"/>
        <v>0</v>
      </c>
      <c r="Q67">
        <f t="shared" si="73"/>
        <v>0</v>
      </c>
      <c r="R67">
        <f t="shared" si="74"/>
        <v>0</v>
      </c>
      <c r="S67">
        <f t="shared" si="75"/>
        <v>0</v>
      </c>
      <c r="T67">
        <f t="shared" si="76"/>
        <v>0</v>
      </c>
      <c r="U67">
        <f t="shared" si="77"/>
        <v>0</v>
      </c>
    </row>
    <row r="68" spans="3:21" x14ac:dyDescent="0.2">
      <c r="C68">
        <f t="shared" si="60"/>
        <v>1</v>
      </c>
      <c r="D68">
        <f t="shared" si="60"/>
        <v>1</v>
      </c>
      <c r="E68">
        <f t="shared" si="61"/>
        <v>0</v>
      </c>
      <c r="F68">
        <f t="shared" si="62"/>
        <v>0</v>
      </c>
      <c r="G68">
        <f t="shared" si="63"/>
        <v>0</v>
      </c>
      <c r="H68">
        <f t="shared" si="64"/>
        <v>0</v>
      </c>
      <c r="I68">
        <f t="shared" si="65"/>
        <v>0</v>
      </c>
      <c r="J68">
        <f t="shared" si="66"/>
        <v>0</v>
      </c>
      <c r="K68">
        <f t="shared" si="67"/>
        <v>0</v>
      </c>
      <c r="L68">
        <f t="shared" si="68"/>
        <v>0</v>
      </c>
      <c r="M68">
        <f t="shared" si="69"/>
        <v>0</v>
      </c>
      <c r="N68">
        <f t="shared" si="70"/>
        <v>0</v>
      </c>
      <c r="O68">
        <f t="shared" si="71"/>
        <v>0</v>
      </c>
      <c r="P68">
        <f t="shared" si="72"/>
        <v>0</v>
      </c>
      <c r="Q68">
        <f t="shared" si="73"/>
        <v>0</v>
      </c>
      <c r="R68">
        <f t="shared" si="74"/>
        <v>0</v>
      </c>
      <c r="S68">
        <f t="shared" si="75"/>
        <v>0</v>
      </c>
      <c r="T68">
        <f t="shared" si="76"/>
        <v>0</v>
      </c>
      <c r="U68">
        <f t="shared" si="77"/>
        <v>0</v>
      </c>
    </row>
    <row r="69" spans="3:21" x14ac:dyDescent="0.2">
      <c r="C69">
        <f t="shared" si="60"/>
        <v>1</v>
      </c>
      <c r="D69">
        <f t="shared" si="60"/>
        <v>1</v>
      </c>
      <c r="E69">
        <f t="shared" si="61"/>
        <v>0</v>
      </c>
      <c r="F69">
        <f t="shared" si="62"/>
        <v>0</v>
      </c>
      <c r="G69">
        <f t="shared" si="63"/>
        <v>0</v>
      </c>
      <c r="H69">
        <f t="shared" si="64"/>
        <v>0</v>
      </c>
      <c r="I69">
        <f t="shared" si="65"/>
        <v>0</v>
      </c>
      <c r="J69">
        <f t="shared" si="66"/>
        <v>0</v>
      </c>
      <c r="K69">
        <f t="shared" si="67"/>
        <v>0</v>
      </c>
      <c r="L69">
        <f t="shared" si="68"/>
        <v>0</v>
      </c>
      <c r="M69">
        <f t="shared" si="69"/>
        <v>0</v>
      </c>
      <c r="N69">
        <f t="shared" si="70"/>
        <v>0</v>
      </c>
      <c r="O69">
        <f t="shared" si="71"/>
        <v>0</v>
      </c>
      <c r="P69">
        <f t="shared" si="72"/>
        <v>0</v>
      </c>
      <c r="Q69">
        <f t="shared" si="73"/>
        <v>0</v>
      </c>
      <c r="R69">
        <f t="shared" si="74"/>
        <v>0</v>
      </c>
      <c r="S69">
        <f t="shared" si="75"/>
        <v>0</v>
      </c>
      <c r="T69">
        <f t="shared" si="76"/>
        <v>0</v>
      </c>
      <c r="U69">
        <f t="shared" si="77"/>
        <v>0</v>
      </c>
    </row>
    <row r="70" spans="3:21" x14ac:dyDescent="0.2">
      <c r="C70">
        <f t="shared" si="60"/>
        <v>1</v>
      </c>
      <c r="D70">
        <f t="shared" si="60"/>
        <v>1</v>
      </c>
      <c r="E70">
        <f t="shared" si="61"/>
        <v>0</v>
      </c>
      <c r="F70">
        <f t="shared" si="62"/>
        <v>0</v>
      </c>
      <c r="G70">
        <f t="shared" si="63"/>
        <v>0</v>
      </c>
      <c r="H70">
        <f t="shared" si="64"/>
        <v>0</v>
      </c>
      <c r="I70">
        <f t="shared" si="65"/>
        <v>0</v>
      </c>
      <c r="J70">
        <f t="shared" si="66"/>
        <v>0</v>
      </c>
      <c r="K70">
        <f t="shared" si="67"/>
        <v>0</v>
      </c>
      <c r="L70">
        <f t="shared" si="68"/>
        <v>0</v>
      </c>
      <c r="M70">
        <f t="shared" si="69"/>
        <v>0</v>
      </c>
      <c r="N70">
        <f t="shared" si="70"/>
        <v>0</v>
      </c>
      <c r="O70">
        <f t="shared" si="71"/>
        <v>0</v>
      </c>
      <c r="P70">
        <f t="shared" si="72"/>
        <v>0</v>
      </c>
      <c r="Q70">
        <f t="shared" si="73"/>
        <v>0</v>
      </c>
      <c r="R70">
        <f t="shared" si="74"/>
        <v>0</v>
      </c>
      <c r="S70">
        <f t="shared" si="75"/>
        <v>0</v>
      </c>
      <c r="T70">
        <f t="shared" si="76"/>
        <v>0</v>
      </c>
      <c r="U70">
        <f t="shared" si="77"/>
        <v>0</v>
      </c>
    </row>
    <row r="71" spans="3:21" x14ac:dyDescent="0.2">
      <c r="C71">
        <f t="shared" si="60"/>
        <v>1</v>
      </c>
      <c r="D71">
        <f t="shared" si="60"/>
        <v>1</v>
      </c>
      <c r="E71">
        <f t="shared" si="61"/>
        <v>0</v>
      </c>
      <c r="F71">
        <f t="shared" si="62"/>
        <v>0</v>
      </c>
      <c r="G71">
        <f t="shared" si="63"/>
        <v>0</v>
      </c>
      <c r="H71">
        <f t="shared" si="64"/>
        <v>0</v>
      </c>
      <c r="I71">
        <f t="shared" si="65"/>
        <v>0</v>
      </c>
      <c r="J71">
        <f t="shared" si="66"/>
        <v>0</v>
      </c>
      <c r="K71">
        <f t="shared" si="67"/>
        <v>0</v>
      </c>
      <c r="L71">
        <f t="shared" si="68"/>
        <v>0</v>
      </c>
      <c r="M71">
        <f t="shared" si="69"/>
        <v>0</v>
      </c>
      <c r="N71">
        <f t="shared" si="70"/>
        <v>0</v>
      </c>
      <c r="O71">
        <f t="shared" si="71"/>
        <v>0</v>
      </c>
      <c r="P71">
        <f t="shared" si="72"/>
        <v>0</v>
      </c>
      <c r="Q71">
        <f t="shared" si="73"/>
        <v>0</v>
      </c>
      <c r="R71">
        <f t="shared" si="74"/>
        <v>0</v>
      </c>
      <c r="S71">
        <f t="shared" si="75"/>
        <v>0</v>
      </c>
      <c r="T71">
        <f t="shared" si="76"/>
        <v>0</v>
      </c>
      <c r="U71">
        <f t="shared" si="77"/>
        <v>0</v>
      </c>
    </row>
    <row r="72" spans="3:21" x14ac:dyDescent="0.2">
      <c r="C72">
        <f t="shared" si="60"/>
        <v>1</v>
      </c>
      <c r="D72">
        <f t="shared" si="60"/>
        <v>1</v>
      </c>
      <c r="E72">
        <f t="shared" si="61"/>
        <v>0</v>
      </c>
      <c r="F72">
        <f t="shared" si="62"/>
        <v>0</v>
      </c>
      <c r="G72">
        <f t="shared" si="63"/>
        <v>0</v>
      </c>
      <c r="H72">
        <f t="shared" si="64"/>
        <v>0</v>
      </c>
      <c r="I72">
        <f t="shared" si="65"/>
        <v>0</v>
      </c>
      <c r="J72">
        <f t="shared" si="66"/>
        <v>0</v>
      </c>
      <c r="K72">
        <f t="shared" si="67"/>
        <v>0</v>
      </c>
      <c r="L72">
        <f t="shared" si="68"/>
        <v>0</v>
      </c>
      <c r="M72">
        <f t="shared" si="69"/>
        <v>0</v>
      </c>
      <c r="N72">
        <f t="shared" si="70"/>
        <v>0</v>
      </c>
      <c r="O72">
        <f t="shared" si="71"/>
        <v>0</v>
      </c>
      <c r="P72">
        <f t="shared" si="72"/>
        <v>0</v>
      </c>
      <c r="Q72">
        <f t="shared" si="73"/>
        <v>0</v>
      </c>
      <c r="R72">
        <f t="shared" si="74"/>
        <v>0</v>
      </c>
      <c r="S72">
        <f t="shared" si="75"/>
        <v>0</v>
      </c>
      <c r="T72">
        <f t="shared" si="76"/>
        <v>0</v>
      </c>
      <c r="U72">
        <f t="shared" si="77"/>
        <v>0</v>
      </c>
    </row>
    <row r="73" spans="3:21" x14ac:dyDescent="0.2">
      <c r="C73">
        <f t="shared" si="60"/>
        <v>1</v>
      </c>
      <c r="D73">
        <f t="shared" si="60"/>
        <v>1</v>
      </c>
      <c r="E73">
        <f t="shared" si="61"/>
        <v>0</v>
      </c>
      <c r="F73">
        <f t="shared" si="62"/>
        <v>0</v>
      </c>
      <c r="G73">
        <f t="shared" si="63"/>
        <v>0</v>
      </c>
      <c r="H73">
        <f t="shared" si="64"/>
        <v>0</v>
      </c>
      <c r="I73">
        <f t="shared" si="65"/>
        <v>0</v>
      </c>
      <c r="J73">
        <f t="shared" si="66"/>
        <v>0</v>
      </c>
      <c r="K73">
        <f t="shared" si="67"/>
        <v>0</v>
      </c>
      <c r="L73">
        <f t="shared" si="68"/>
        <v>0</v>
      </c>
      <c r="M73">
        <f t="shared" si="69"/>
        <v>0</v>
      </c>
      <c r="N73">
        <f t="shared" si="70"/>
        <v>0</v>
      </c>
      <c r="O73">
        <f t="shared" si="71"/>
        <v>0</v>
      </c>
      <c r="P73">
        <f t="shared" si="72"/>
        <v>0</v>
      </c>
      <c r="Q73">
        <f t="shared" si="73"/>
        <v>0</v>
      </c>
      <c r="R73">
        <f t="shared" si="74"/>
        <v>0</v>
      </c>
      <c r="S73">
        <f t="shared" si="75"/>
        <v>0</v>
      </c>
      <c r="T73">
        <f t="shared" si="76"/>
        <v>0</v>
      </c>
      <c r="U73">
        <f t="shared" si="77"/>
        <v>0</v>
      </c>
    </row>
    <row r="74" spans="3:21" x14ac:dyDescent="0.2">
      <c r="C74">
        <f t="shared" si="60"/>
        <v>1</v>
      </c>
      <c r="D74">
        <f t="shared" si="60"/>
        <v>1</v>
      </c>
      <c r="E74">
        <f t="shared" si="61"/>
        <v>0</v>
      </c>
      <c r="F74">
        <f t="shared" si="62"/>
        <v>0</v>
      </c>
      <c r="G74">
        <f t="shared" si="63"/>
        <v>0</v>
      </c>
      <c r="H74">
        <f t="shared" si="64"/>
        <v>0</v>
      </c>
      <c r="I74">
        <f t="shared" si="65"/>
        <v>0</v>
      </c>
      <c r="J74">
        <f t="shared" si="66"/>
        <v>0</v>
      </c>
      <c r="K74">
        <f t="shared" si="67"/>
        <v>0</v>
      </c>
      <c r="L74">
        <f t="shared" si="68"/>
        <v>0</v>
      </c>
      <c r="M74">
        <f t="shared" si="69"/>
        <v>0</v>
      </c>
      <c r="N74">
        <f t="shared" si="70"/>
        <v>0</v>
      </c>
      <c r="O74">
        <f t="shared" si="71"/>
        <v>0</v>
      </c>
      <c r="P74">
        <f t="shared" si="72"/>
        <v>0</v>
      </c>
      <c r="Q74">
        <f t="shared" si="73"/>
        <v>0</v>
      </c>
      <c r="R74">
        <f t="shared" si="74"/>
        <v>0</v>
      </c>
      <c r="S74">
        <f t="shared" si="75"/>
        <v>0</v>
      </c>
      <c r="T74">
        <f t="shared" si="76"/>
        <v>0</v>
      </c>
      <c r="U74">
        <f t="shared" si="77"/>
        <v>0</v>
      </c>
    </row>
    <row r="75" spans="3:21" x14ac:dyDescent="0.2">
      <c r="C75">
        <f t="shared" si="60"/>
        <v>1</v>
      </c>
      <c r="D75">
        <f t="shared" si="60"/>
        <v>1</v>
      </c>
      <c r="E75">
        <f t="shared" si="61"/>
        <v>0</v>
      </c>
      <c r="F75">
        <f t="shared" si="62"/>
        <v>0</v>
      </c>
      <c r="G75">
        <f t="shared" si="63"/>
        <v>0</v>
      </c>
      <c r="H75">
        <f t="shared" si="64"/>
        <v>0</v>
      </c>
      <c r="I75">
        <f t="shared" si="65"/>
        <v>0</v>
      </c>
      <c r="J75">
        <f t="shared" si="66"/>
        <v>0</v>
      </c>
      <c r="K75">
        <f t="shared" si="67"/>
        <v>0</v>
      </c>
      <c r="L75">
        <f t="shared" si="68"/>
        <v>0</v>
      </c>
      <c r="M75">
        <f t="shared" si="69"/>
        <v>0</v>
      </c>
      <c r="N75">
        <f t="shared" si="70"/>
        <v>0</v>
      </c>
      <c r="O75">
        <f t="shared" si="71"/>
        <v>0</v>
      </c>
      <c r="P75">
        <f t="shared" si="72"/>
        <v>0</v>
      </c>
      <c r="Q75">
        <f t="shared" si="73"/>
        <v>0</v>
      </c>
      <c r="R75">
        <f t="shared" si="74"/>
        <v>0</v>
      </c>
      <c r="S75">
        <f t="shared" si="75"/>
        <v>0</v>
      </c>
      <c r="T75">
        <f t="shared" si="76"/>
        <v>0</v>
      </c>
      <c r="U75">
        <f t="shared" si="77"/>
        <v>0</v>
      </c>
    </row>
    <row r="76" spans="3:21" x14ac:dyDescent="0.2">
      <c r="C76">
        <f t="shared" si="60"/>
        <v>1</v>
      </c>
      <c r="D76">
        <f t="shared" si="60"/>
        <v>1</v>
      </c>
      <c r="E76">
        <f t="shared" si="61"/>
        <v>0</v>
      </c>
      <c r="F76">
        <f t="shared" si="62"/>
        <v>0</v>
      </c>
      <c r="G76">
        <f t="shared" si="63"/>
        <v>0</v>
      </c>
      <c r="H76">
        <f t="shared" si="64"/>
        <v>0</v>
      </c>
      <c r="I76">
        <f t="shared" si="65"/>
        <v>0</v>
      </c>
      <c r="J76">
        <f t="shared" si="66"/>
        <v>0</v>
      </c>
      <c r="K76">
        <f t="shared" si="67"/>
        <v>0</v>
      </c>
      <c r="L76">
        <f t="shared" si="68"/>
        <v>0</v>
      </c>
      <c r="M76">
        <f t="shared" si="69"/>
        <v>0</v>
      </c>
      <c r="N76">
        <f t="shared" si="70"/>
        <v>0</v>
      </c>
      <c r="O76">
        <f t="shared" si="71"/>
        <v>0</v>
      </c>
      <c r="P76">
        <f t="shared" si="72"/>
        <v>0</v>
      </c>
      <c r="Q76">
        <f t="shared" si="73"/>
        <v>0</v>
      </c>
      <c r="R76">
        <f t="shared" si="74"/>
        <v>0</v>
      </c>
      <c r="S76">
        <f t="shared" si="75"/>
        <v>0</v>
      </c>
      <c r="T76">
        <f t="shared" si="76"/>
        <v>0</v>
      </c>
      <c r="U76">
        <f t="shared" si="77"/>
        <v>0</v>
      </c>
    </row>
    <row r="77" spans="3:21" x14ac:dyDescent="0.2">
      <c r="C77">
        <f t="shared" si="60"/>
        <v>1</v>
      </c>
      <c r="D77">
        <f t="shared" si="60"/>
        <v>1</v>
      </c>
      <c r="E77">
        <f t="shared" si="61"/>
        <v>0</v>
      </c>
      <c r="F77">
        <f t="shared" si="62"/>
        <v>0</v>
      </c>
      <c r="G77">
        <f t="shared" si="63"/>
        <v>0</v>
      </c>
      <c r="H77">
        <f t="shared" si="64"/>
        <v>0</v>
      </c>
      <c r="I77">
        <f t="shared" si="65"/>
        <v>0</v>
      </c>
      <c r="J77">
        <f t="shared" si="66"/>
        <v>0</v>
      </c>
      <c r="K77">
        <f t="shared" si="67"/>
        <v>0</v>
      </c>
      <c r="L77">
        <f t="shared" si="68"/>
        <v>0</v>
      </c>
      <c r="M77">
        <f t="shared" si="69"/>
        <v>0</v>
      </c>
      <c r="N77">
        <f t="shared" si="70"/>
        <v>0</v>
      </c>
      <c r="O77">
        <f t="shared" si="71"/>
        <v>0</v>
      </c>
      <c r="P77">
        <f t="shared" si="72"/>
        <v>0</v>
      </c>
      <c r="Q77">
        <f t="shared" si="73"/>
        <v>0</v>
      </c>
      <c r="R77">
        <f t="shared" si="74"/>
        <v>0</v>
      </c>
      <c r="S77">
        <f t="shared" si="75"/>
        <v>0</v>
      </c>
      <c r="T77">
        <f t="shared" si="76"/>
        <v>0</v>
      </c>
      <c r="U77">
        <f t="shared" si="77"/>
        <v>0</v>
      </c>
    </row>
    <row r="78" spans="3:21" x14ac:dyDescent="0.2">
      <c r="C78">
        <f t="shared" si="60"/>
        <v>1</v>
      </c>
      <c r="D78">
        <f t="shared" si="60"/>
        <v>1</v>
      </c>
      <c r="E78">
        <f t="shared" si="61"/>
        <v>0</v>
      </c>
      <c r="F78">
        <f t="shared" si="62"/>
        <v>0</v>
      </c>
      <c r="G78">
        <f t="shared" si="63"/>
        <v>0</v>
      </c>
      <c r="H78">
        <f t="shared" si="64"/>
        <v>0</v>
      </c>
      <c r="I78">
        <f t="shared" si="65"/>
        <v>0</v>
      </c>
      <c r="J78">
        <f t="shared" si="66"/>
        <v>0</v>
      </c>
      <c r="K78">
        <f t="shared" si="67"/>
        <v>0</v>
      </c>
      <c r="L78">
        <f t="shared" si="68"/>
        <v>0</v>
      </c>
      <c r="M78">
        <f t="shared" si="69"/>
        <v>0</v>
      </c>
      <c r="N78">
        <f t="shared" si="70"/>
        <v>0</v>
      </c>
      <c r="O78">
        <f t="shared" si="71"/>
        <v>0</v>
      </c>
      <c r="P78">
        <f t="shared" si="72"/>
        <v>0</v>
      </c>
      <c r="Q78">
        <f t="shared" si="73"/>
        <v>0</v>
      </c>
      <c r="R78">
        <f t="shared" si="74"/>
        <v>0</v>
      </c>
      <c r="S78">
        <f t="shared" si="75"/>
        <v>0</v>
      </c>
      <c r="T78">
        <f t="shared" si="76"/>
        <v>0</v>
      </c>
      <c r="U78">
        <f t="shared" si="77"/>
        <v>0</v>
      </c>
    </row>
    <row r="79" spans="3:21" x14ac:dyDescent="0.2">
      <c r="C79">
        <f t="shared" si="60"/>
        <v>1</v>
      </c>
      <c r="D79">
        <f t="shared" si="60"/>
        <v>1</v>
      </c>
      <c r="E79">
        <f t="shared" si="61"/>
        <v>0</v>
      </c>
      <c r="F79">
        <f t="shared" si="62"/>
        <v>0</v>
      </c>
      <c r="G79">
        <f t="shared" si="63"/>
        <v>0</v>
      </c>
      <c r="H79">
        <f t="shared" si="64"/>
        <v>0</v>
      </c>
      <c r="I79">
        <f t="shared" si="65"/>
        <v>0</v>
      </c>
      <c r="J79">
        <f t="shared" si="66"/>
        <v>0</v>
      </c>
      <c r="K79">
        <f t="shared" si="67"/>
        <v>0</v>
      </c>
      <c r="L79">
        <f t="shared" si="68"/>
        <v>0</v>
      </c>
      <c r="M79">
        <f t="shared" si="69"/>
        <v>0</v>
      </c>
      <c r="N79">
        <f t="shared" si="70"/>
        <v>0</v>
      </c>
      <c r="O79">
        <f t="shared" si="71"/>
        <v>0</v>
      </c>
      <c r="P79">
        <f t="shared" si="72"/>
        <v>0</v>
      </c>
      <c r="Q79">
        <f t="shared" si="73"/>
        <v>0</v>
      </c>
      <c r="R79">
        <f t="shared" si="74"/>
        <v>0</v>
      </c>
      <c r="S79">
        <f t="shared" si="75"/>
        <v>0</v>
      </c>
      <c r="T79">
        <f t="shared" si="76"/>
        <v>0</v>
      </c>
      <c r="U79">
        <f t="shared" si="77"/>
        <v>0</v>
      </c>
    </row>
    <row r="80" spans="3:21" x14ac:dyDescent="0.2">
      <c r="C80">
        <f t="shared" si="60"/>
        <v>1</v>
      </c>
      <c r="D80">
        <f t="shared" si="60"/>
        <v>1</v>
      </c>
      <c r="E80">
        <f t="shared" si="61"/>
        <v>0</v>
      </c>
      <c r="F80">
        <f t="shared" si="62"/>
        <v>0</v>
      </c>
      <c r="G80">
        <f t="shared" si="63"/>
        <v>0</v>
      </c>
      <c r="H80">
        <f t="shared" si="64"/>
        <v>0</v>
      </c>
      <c r="I80">
        <f t="shared" si="65"/>
        <v>0</v>
      </c>
      <c r="J80">
        <f t="shared" si="66"/>
        <v>0</v>
      </c>
      <c r="K80">
        <f t="shared" si="67"/>
        <v>0</v>
      </c>
      <c r="L80">
        <f t="shared" si="68"/>
        <v>0</v>
      </c>
      <c r="M80">
        <f t="shared" si="69"/>
        <v>0</v>
      </c>
      <c r="N80">
        <f t="shared" si="70"/>
        <v>0</v>
      </c>
      <c r="O80">
        <f t="shared" si="71"/>
        <v>0</v>
      </c>
      <c r="P80">
        <f t="shared" si="72"/>
        <v>0</v>
      </c>
      <c r="Q80">
        <f t="shared" si="73"/>
        <v>0</v>
      </c>
      <c r="R80">
        <f t="shared" si="74"/>
        <v>0</v>
      </c>
      <c r="S80">
        <f t="shared" si="75"/>
        <v>0</v>
      </c>
      <c r="T80">
        <f t="shared" si="76"/>
        <v>0</v>
      </c>
      <c r="U80">
        <f t="shared" si="77"/>
        <v>0</v>
      </c>
    </row>
    <row r="81" spans="1:25" x14ac:dyDescent="0.2">
      <c r="C81">
        <f t="shared" si="60"/>
        <v>1</v>
      </c>
      <c r="D81">
        <f t="shared" si="60"/>
        <v>1</v>
      </c>
      <c r="E81">
        <f t="shared" si="61"/>
        <v>0</v>
      </c>
      <c r="F81" s="174">
        <f t="shared" si="62"/>
        <v>0</v>
      </c>
      <c r="G81" s="174">
        <f t="shared" si="63"/>
        <v>0</v>
      </c>
      <c r="H81" s="174">
        <f t="shared" si="64"/>
        <v>0</v>
      </c>
      <c r="I81" s="174">
        <f t="shared" si="65"/>
        <v>0</v>
      </c>
      <c r="J81" s="174">
        <f t="shared" si="66"/>
        <v>0</v>
      </c>
      <c r="K81" s="174">
        <f t="shared" si="67"/>
        <v>0</v>
      </c>
      <c r="L81" s="174">
        <f t="shared" si="68"/>
        <v>0</v>
      </c>
      <c r="M81" s="174">
        <f t="shared" si="69"/>
        <v>0</v>
      </c>
      <c r="N81" s="174">
        <f t="shared" si="70"/>
        <v>0</v>
      </c>
      <c r="O81" s="174">
        <f t="shared" si="71"/>
        <v>0</v>
      </c>
      <c r="P81" s="174">
        <f t="shared" si="72"/>
        <v>0</v>
      </c>
      <c r="Q81" s="174">
        <f t="shared" si="73"/>
        <v>0</v>
      </c>
      <c r="R81" s="174">
        <f t="shared" si="74"/>
        <v>0</v>
      </c>
      <c r="S81" s="174">
        <f t="shared" si="75"/>
        <v>0</v>
      </c>
      <c r="T81" s="174">
        <f t="shared" si="76"/>
        <v>0</v>
      </c>
      <c r="U81" s="174">
        <f t="shared" si="77"/>
        <v>0</v>
      </c>
    </row>
    <row r="82" spans="1:25" x14ac:dyDescent="0.2">
      <c r="F82">
        <f t="shared" ref="F82:U82" si="78">SUM(F58:F81)</f>
        <v>0</v>
      </c>
      <c r="G82">
        <f t="shared" si="78"/>
        <v>0</v>
      </c>
      <c r="H82">
        <f t="shared" si="78"/>
        <v>0</v>
      </c>
      <c r="I82">
        <f t="shared" si="78"/>
        <v>0</v>
      </c>
      <c r="J82">
        <f t="shared" si="78"/>
        <v>0</v>
      </c>
      <c r="K82">
        <f t="shared" si="78"/>
        <v>0</v>
      </c>
      <c r="L82">
        <f t="shared" si="78"/>
        <v>0</v>
      </c>
      <c r="M82">
        <f t="shared" si="78"/>
        <v>0</v>
      </c>
      <c r="N82">
        <f t="shared" si="78"/>
        <v>0</v>
      </c>
      <c r="O82">
        <f t="shared" si="78"/>
        <v>0</v>
      </c>
      <c r="P82">
        <f t="shared" si="78"/>
        <v>0</v>
      </c>
      <c r="Q82">
        <f t="shared" si="78"/>
        <v>0</v>
      </c>
      <c r="R82">
        <f t="shared" si="78"/>
        <v>0</v>
      </c>
      <c r="S82">
        <f t="shared" si="78"/>
        <v>0</v>
      </c>
      <c r="T82">
        <f t="shared" si="78"/>
        <v>0</v>
      </c>
      <c r="U82">
        <f t="shared" si="78"/>
        <v>0</v>
      </c>
    </row>
    <row r="83" spans="1:25" ht="13.5" thickBot="1" x14ac:dyDescent="0.25"/>
    <row r="84" spans="1:25" ht="39" thickBot="1" x14ac:dyDescent="0.25">
      <c r="A84" s="472" t="s">
        <v>763</v>
      </c>
      <c r="B84" s="473" t="s">
        <v>1162</v>
      </c>
      <c r="C84" s="474" t="s">
        <v>1163</v>
      </c>
      <c r="D84" s="474" t="s">
        <v>1164</v>
      </c>
      <c r="V84" s="244"/>
      <c r="Y84"/>
    </row>
    <row r="85" spans="1:25" ht="24.75" thickBot="1" x14ac:dyDescent="0.35">
      <c r="A85" s="623" t="s">
        <v>375</v>
      </c>
      <c r="B85" s="475" t="s">
        <v>1166</v>
      </c>
      <c r="C85" s="475">
        <f>F82</f>
        <v>0</v>
      </c>
      <c r="D85" s="479">
        <f>IF('Invoer Algemeen'!D20=0,0,SUM(I5:I28)/'Invoer Algemeen'!D20)</f>
        <v>0</v>
      </c>
      <c r="V85" s="244"/>
      <c r="Y85"/>
    </row>
    <row r="86" spans="1:25" ht="26.25" customHeight="1" thickBot="1" x14ac:dyDescent="0.35">
      <c r="A86" s="624"/>
      <c r="B86" s="475" t="s">
        <v>1169</v>
      </c>
      <c r="C86" s="475">
        <f>G82</f>
        <v>0</v>
      </c>
      <c r="D86" s="476" t="s">
        <v>1167</v>
      </c>
      <c r="V86" s="244"/>
      <c r="Y86"/>
    </row>
    <row r="87" spans="1:25" ht="13.5" thickBot="1" x14ac:dyDescent="0.25">
      <c r="A87" s="624"/>
      <c r="B87" s="475" t="s">
        <v>1170</v>
      </c>
      <c r="C87" s="475">
        <f>H82</f>
        <v>0</v>
      </c>
      <c r="D87" s="477"/>
      <c r="V87" s="244"/>
      <c r="Y87"/>
    </row>
    <row r="88" spans="1:25" ht="36.75" thickBot="1" x14ac:dyDescent="0.25">
      <c r="A88" s="625"/>
      <c r="B88" s="475" t="s">
        <v>1171</v>
      </c>
      <c r="C88" s="475">
        <f>I82</f>
        <v>0</v>
      </c>
      <c r="D88" s="477"/>
      <c r="V88" s="244"/>
      <c r="Y88"/>
    </row>
    <row r="89" spans="1:25" ht="24.75" thickBot="1" x14ac:dyDescent="0.25">
      <c r="A89" s="623" t="s">
        <v>1172</v>
      </c>
      <c r="B89" s="475" t="s">
        <v>1166</v>
      </c>
      <c r="C89" s="475">
        <f>J82</f>
        <v>0</v>
      </c>
      <c r="D89" s="477"/>
      <c r="V89" s="244"/>
      <c r="Y89"/>
    </row>
    <row r="90" spans="1:25" ht="27" customHeight="1" thickBot="1" x14ac:dyDescent="0.25">
      <c r="A90" s="624"/>
      <c r="B90" s="475" t="s">
        <v>1169</v>
      </c>
      <c r="C90" s="475">
        <f>K82</f>
        <v>0</v>
      </c>
      <c r="D90" s="477"/>
      <c r="V90" s="244"/>
      <c r="Y90"/>
    </row>
    <row r="91" spans="1:25" ht="13.5" thickBot="1" x14ac:dyDescent="0.25">
      <c r="A91" s="624"/>
      <c r="B91" s="475" t="s">
        <v>1170</v>
      </c>
      <c r="C91" s="475">
        <f>L82</f>
        <v>0</v>
      </c>
      <c r="D91" s="477"/>
      <c r="V91" s="244"/>
      <c r="Y91"/>
    </row>
    <row r="92" spans="1:25" ht="36.75" thickBot="1" x14ac:dyDescent="0.25">
      <c r="A92" s="625"/>
      <c r="B92" s="475" t="s">
        <v>1171</v>
      </c>
      <c r="C92" s="475">
        <f>M82</f>
        <v>0</v>
      </c>
      <c r="D92" s="477"/>
      <c r="V92" s="244"/>
      <c r="Y92"/>
    </row>
    <row r="93" spans="1:25" ht="24.75" thickBot="1" x14ac:dyDescent="0.25">
      <c r="A93" s="623" t="s">
        <v>1173</v>
      </c>
      <c r="B93" s="475" t="s">
        <v>1166</v>
      </c>
      <c r="C93" s="475">
        <f>N82</f>
        <v>0</v>
      </c>
      <c r="D93" s="477"/>
      <c r="V93" s="244"/>
      <c r="Y93"/>
    </row>
    <row r="94" spans="1:25" ht="25.5" customHeight="1" thickBot="1" x14ac:dyDescent="0.25">
      <c r="A94" s="624"/>
      <c r="B94" s="475" t="s">
        <v>1169</v>
      </c>
      <c r="C94" s="475">
        <f>O82</f>
        <v>0</v>
      </c>
      <c r="D94" s="477"/>
      <c r="V94" s="244"/>
      <c r="Y94"/>
    </row>
    <row r="95" spans="1:25" ht="13.5" thickBot="1" x14ac:dyDescent="0.25">
      <c r="A95" s="624"/>
      <c r="B95" s="475" t="s">
        <v>1170</v>
      </c>
      <c r="C95" s="475">
        <f>P82</f>
        <v>0</v>
      </c>
      <c r="D95" s="477"/>
      <c r="V95" s="244"/>
      <c r="Y95"/>
    </row>
    <row r="96" spans="1:25" ht="36.75" thickBot="1" x14ac:dyDescent="0.25">
      <c r="A96" s="625"/>
      <c r="B96" s="475" t="s">
        <v>1171</v>
      </c>
      <c r="C96" s="475">
        <f>Q82</f>
        <v>0</v>
      </c>
      <c r="D96" s="477"/>
      <c r="V96" s="244"/>
      <c r="Y96"/>
    </row>
    <row r="97" spans="1:25" ht="24.75" thickBot="1" x14ac:dyDescent="0.25">
      <c r="A97" s="623" t="s">
        <v>312</v>
      </c>
      <c r="B97" s="475" t="s">
        <v>1166</v>
      </c>
      <c r="C97" s="475">
        <f>R82</f>
        <v>0</v>
      </c>
      <c r="D97" s="477"/>
      <c r="V97" s="244"/>
      <c r="Y97"/>
    </row>
    <row r="98" spans="1:25" ht="27" customHeight="1" thickBot="1" x14ac:dyDescent="0.25">
      <c r="A98" s="624"/>
      <c r="B98" s="475" t="s">
        <v>1169</v>
      </c>
      <c r="C98" s="475">
        <f>S82</f>
        <v>0</v>
      </c>
      <c r="D98" s="477"/>
      <c r="V98" s="244"/>
      <c r="Y98"/>
    </row>
    <row r="99" spans="1:25" ht="13.5" thickBot="1" x14ac:dyDescent="0.25">
      <c r="A99" s="624"/>
      <c r="B99" s="475" t="s">
        <v>1170</v>
      </c>
      <c r="C99" s="475">
        <f>T82</f>
        <v>0</v>
      </c>
      <c r="D99" s="477"/>
      <c r="V99" s="244"/>
      <c r="Y99"/>
    </row>
    <row r="100" spans="1:25" ht="36.75" thickBot="1" x14ac:dyDescent="0.25">
      <c r="A100" s="625"/>
      <c r="B100" s="475" t="s">
        <v>1171</v>
      </c>
      <c r="C100" s="475">
        <f>U82</f>
        <v>0</v>
      </c>
      <c r="D100" s="478"/>
      <c r="V100" s="244"/>
      <c r="Y100"/>
    </row>
  </sheetData>
  <mergeCells count="16">
    <mergeCell ref="A97:A100"/>
    <mergeCell ref="A85:A88"/>
    <mergeCell ref="A89:A92"/>
    <mergeCell ref="A93:A96"/>
    <mergeCell ref="BP3:BS3"/>
    <mergeCell ref="AO3:AR3"/>
    <mergeCell ref="AS3:AV3"/>
    <mergeCell ref="A3:F3"/>
    <mergeCell ref="G3:H3"/>
    <mergeCell ref="Q3:T3"/>
    <mergeCell ref="U3:X3"/>
    <mergeCell ref="CJ3:CK3"/>
    <mergeCell ref="AX3:BA3"/>
    <mergeCell ref="BB3:BE3"/>
    <mergeCell ref="BG3:BJ3"/>
    <mergeCell ref="BK3:BN3"/>
  </mergeCells>
  <phoneticPr fontId="0" type="noConversion"/>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0"/>
  <sheetViews>
    <sheetView zoomScaleNormal="100" workbookViewId="0">
      <pane xSplit="1" topLeftCell="B1" activePane="topRight" state="frozen"/>
      <selection pane="topRight" activeCell="F35" sqref="F35"/>
    </sheetView>
  </sheetViews>
  <sheetFormatPr defaultRowHeight="14.25" x14ac:dyDescent="0.2"/>
  <cols>
    <col min="1" max="1" width="26.140625" style="484" customWidth="1"/>
    <col min="2" max="2" width="36.5703125" style="97" customWidth="1"/>
    <col min="3" max="3" width="4.85546875" style="97" customWidth="1"/>
    <col min="4" max="4" width="7.28515625" style="97" customWidth="1"/>
    <col min="5" max="5" width="9.28515625" style="97" customWidth="1"/>
    <col min="6" max="6" width="5.5703125" style="97" customWidth="1"/>
    <col min="7" max="7" width="4.140625" style="97" customWidth="1"/>
    <col min="8" max="8" width="4.28515625" style="97" customWidth="1"/>
    <col min="9" max="9" width="28.140625" style="97" customWidth="1"/>
    <col min="10" max="10" width="6.85546875" style="97" customWidth="1"/>
    <col min="11" max="11" width="36.5703125" style="97" customWidth="1"/>
    <col min="12" max="12" width="5" style="96" customWidth="1"/>
    <col min="13" max="13" width="4.85546875" style="96" customWidth="1"/>
    <col min="14" max="14" width="9" style="96" customWidth="1"/>
    <col min="15" max="15" width="5.42578125" style="96" customWidth="1"/>
    <col min="16" max="16" width="4.28515625" style="96" customWidth="1"/>
    <col min="17" max="17" width="5" style="96" customWidth="1"/>
    <col min="18" max="19" width="9.140625" style="96"/>
    <col min="20" max="20" width="13.28515625" style="96" customWidth="1"/>
    <col min="21" max="21" width="18.7109375" style="96" customWidth="1"/>
    <col min="22" max="22" width="9.140625" style="296"/>
    <col min="23" max="23" width="9.140625" style="96"/>
    <col min="24" max="24" width="13.28515625" style="96" customWidth="1"/>
    <col min="25" max="16384" width="9.140625" style="96"/>
  </cols>
  <sheetData>
    <row r="1" spans="1:25" ht="18" x14ac:dyDescent="0.25">
      <c r="A1" s="487" t="s">
        <v>94</v>
      </c>
      <c r="B1" s="94" t="s">
        <v>129</v>
      </c>
      <c r="C1" s="95"/>
      <c r="D1" s="95"/>
      <c r="E1" s="95"/>
      <c r="F1" s="95"/>
      <c r="G1" s="95"/>
      <c r="H1" s="95"/>
      <c r="I1" s="314" t="s">
        <v>128</v>
      </c>
      <c r="J1" s="315" t="s">
        <v>56</v>
      </c>
      <c r="K1" s="94" t="s">
        <v>127</v>
      </c>
      <c r="L1" s="322"/>
      <c r="M1" s="322"/>
      <c r="N1" s="322"/>
      <c r="O1" s="322"/>
      <c r="P1" s="322"/>
      <c r="Q1" s="322"/>
      <c r="S1" s="297"/>
      <c r="W1" s="297"/>
    </row>
    <row r="2" spans="1:25" x14ac:dyDescent="0.2">
      <c r="A2" s="495" t="s">
        <v>1181</v>
      </c>
      <c r="B2" s="101">
        <v>30</v>
      </c>
      <c r="C2" s="496" t="s">
        <v>1182</v>
      </c>
      <c r="D2" s="95"/>
      <c r="E2" s="95"/>
      <c r="F2" s="95"/>
      <c r="G2" s="95"/>
      <c r="H2" s="95"/>
      <c r="I2" s="316"/>
      <c r="J2" s="317"/>
      <c r="K2" s="94"/>
      <c r="L2" s="322"/>
      <c r="M2" s="322"/>
      <c r="N2" s="322"/>
      <c r="O2" s="322"/>
      <c r="P2" s="322"/>
      <c r="Q2" s="322"/>
    </row>
    <row r="3" spans="1:25" x14ac:dyDescent="0.2">
      <c r="A3" s="95" t="s">
        <v>95</v>
      </c>
      <c r="B3" s="95"/>
      <c r="C3" s="95"/>
      <c r="D3" s="95"/>
      <c r="E3" s="95"/>
      <c r="F3" s="95"/>
      <c r="G3" s="95"/>
      <c r="H3" s="95"/>
      <c r="I3" s="318"/>
      <c r="J3" s="319"/>
      <c r="K3" s="95"/>
      <c r="L3" s="322"/>
      <c r="M3" s="322"/>
      <c r="N3" s="322"/>
      <c r="O3" s="322"/>
      <c r="P3" s="322"/>
      <c r="Q3" s="322"/>
    </row>
    <row r="4" spans="1:25" ht="15" customHeight="1" x14ac:dyDescent="0.2">
      <c r="A4" s="95" t="s">
        <v>825</v>
      </c>
      <c r="B4" s="95"/>
      <c r="C4" s="95"/>
      <c r="D4" s="402" t="s">
        <v>1047</v>
      </c>
      <c r="E4" s="95"/>
      <c r="F4" s="95"/>
      <c r="G4" s="95"/>
      <c r="H4" s="95"/>
      <c r="I4" s="318"/>
      <c r="J4" s="319"/>
      <c r="K4" s="95"/>
      <c r="L4" s="406" t="s">
        <v>1027</v>
      </c>
      <c r="M4" s="322"/>
      <c r="N4" s="322"/>
      <c r="O4" s="322"/>
      <c r="P4" s="322"/>
      <c r="Q4" s="322"/>
    </row>
    <row r="5" spans="1:25" ht="15" customHeight="1" x14ac:dyDescent="0.2">
      <c r="A5" s="95" t="s">
        <v>976</v>
      </c>
      <c r="B5" s="95"/>
      <c r="C5" s="95"/>
      <c r="D5" s="402" t="s">
        <v>1048</v>
      </c>
      <c r="E5" s="95"/>
      <c r="F5" s="95"/>
      <c r="G5" s="95"/>
      <c r="H5" s="95"/>
      <c r="I5" s="318" t="str">
        <f>IF(AND('binnenklimaatlabel type 1'!B2&lt;4,'binnenklimaatlabel type 1'!B4&lt;2),"Spoiler of koof","geen")</f>
        <v>geen</v>
      </c>
      <c r="J5" s="456" t="s">
        <v>737</v>
      </c>
      <c r="K5" s="95"/>
      <c r="L5" s="406" t="s">
        <v>1028</v>
      </c>
      <c r="M5" s="322"/>
      <c r="N5" s="322"/>
      <c r="O5" s="322"/>
      <c r="P5" s="322"/>
      <c r="Q5" s="322"/>
    </row>
    <row r="6" spans="1:25" x14ac:dyDescent="0.2">
      <c r="A6" s="94" t="s">
        <v>699</v>
      </c>
      <c r="B6" s="95"/>
      <c r="C6" s="95" t="s">
        <v>120</v>
      </c>
      <c r="D6" s="95" t="s">
        <v>1046</v>
      </c>
      <c r="E6" s="95" t="s">
        <v>226</v>
      </c>
      <c r="F6" s="95" t="s">
        <v>50</v>
      </c>
      <c r="G6" s="95"/>
      <c r="H6" s="95"/>
      <c r="I6" s="318" t="s">
        <v>126</v>
      </c>
      <c r="J6" s="319"/>
      <c r="K6" s="95" t="s">
        <v>1026</v>
      </c>
      <c r="L6" s="95" t="s">
        <v>120</v>
      </c>
      <c r="M6" s="95" t="s">
        <v>119</v>
      </c>
      <c r="N6" s="95" t="s">
        <v>226</v>
      </c>
      <c r="O6" s="95" t="s">
        <v>50</v>
      </c>
      <c r="P6" s="324"/>
      <c r="Q6" s="95"/>
      <c r="T6"/>
      <c r="U6"/>
      <c r="X6"/>
      <c r="Y6"/>
    </row>
    <row r="7" spans="1:25" ht="15" customHeight="1" x14ac:dyDescent="0.2">
      <c r="A7" s="95" t="s">
        <v>125</v>
      </c>
      <c r="B7" s="95"/>
      <c r="C7" s="408"/>
      <c r="D7" s="408"/>
      <c r="E7" s="311"/>
      <c r="F7" s="98"/>
      <c r="G7" s="412" t="str">
        <f>IF(AND('binnenklimaatlabel type 1'!$B$2=1,'binnenklimaatlabel type 1'!K5=3),"fout zie rij 3","")</f>
        <v/>
      </c>
      <c r="H7" s="299"/>
      <c r="I7" s="318"/>
      <c r="J7" s="456">
        <f>IF('binnenklimaatlabel type 1'!F5=1,0,'Kosten kengetallen'!B47)</f>
        <v>0</v>
      </c>
      <c r="K7" s="95"/>
      <c r="L7" s="409"/>
      <c r="M7" s="409"/>
      <c r="N7" s="323"/>
      <c r="O7" s="369"/>
      <c r="P7" s="324"/>
      <c r="Q7" s="299"/>
      <c r="T7" s="11"/>
      <c r="X7" s="11"/>
      <c r="Y7"/>
    </row>
    <row r="8" spans="1:25" ht="15" customHeight="1" x14ac:dyDescent="0.2">
      <c r="A8" s="95" t="s">
        <v>124</v>
      </c>
      <c r="B8" s="95"/>
      <c r="C8" s="408"/>
      <c r="D8" s="408"/>
      <c r="E8" s="311"/>
      <c r="F8" s="98"/>
      <c r="G8" s="412" t="str">
        <f>IF(AND('binnenklimaatlabel type 1'!$B$2=1,'binnenklimaatlabel type 1'!K6=3),"fout zie rij 3","")</f>
        <v/>
      </c>
      <c r="H8" s="299"/>
      <c r="I8" s="318"/>
      <c r="J8" s="319"/>
      <c r="K8" s="95"/>
      <c r="L8" s="409"/>
      <c r="M8" s="409"/>
      <c r="N8" s="323"/>
      <c r="O8" s="369"/>
      <c r="P8" s="324"/>
      <c r="Q8" s="299"/>
      <c r="T8" s="11"/>
      <c r="X8" s="11"/>
      <c r="Y8"/>
    </row>
    <row r="9" spans="1:25" ht="15" customHeight="1" x14ac:dyDescent="0.2">
      <c r="A9" s="95" t="s">
        <v>123</v>
      </c>
      <c r="B9" s="95"/>
      <c r="C9" s="408"/>
      <c r="D9" s="408"/>
      <c r="E9" s="311"/>
      <c r="F9" s="98"/>
      <c r="G9" s="412" t="str">
        <f>IF(AND('binnenklimaatlabel type 1'!$B$2=1,'binnenklimaatlabel type 1'!K7=3),"fout zie rij 3","")</f>
        <v/>
      </c>
      <c r="H9" s="299"/>
      <c r="I9" s="318"/>
      <c r="J9" s="319"/>
      <c r="K9" s="95"/>
      <c r="L9" s="409"/>
      <c r="M9" s="409"/>
      <c r="N9" s="323"/>
      <c r="O9" s="369"/>
      <c r="P9" s="324"/>
      <c r="Q9" s="299"/>
      <c r="T9" s="11"/>
      <c r="X9" s="11"/>
      <c r="Y9"/>
    </row>
    <row r="10" spans="1:25" ht="15" customHeight="1" x14ac:dyDescent="0.2">
      <c r="A10" s="95" t="s">
        <v>690</v>
      </c>
      <c r="B10" s="95"/>
      <c r="C10" s="408"/>
      <c r="D10" s="408"/>
      <c r="E10" s="298"/>
      <c r="F10" s="98"/>
      <c r="G10" s="412" t="str">
        <f>IF(AND('binnenklimaatlabel type 1'!$B$2=1,'binnenklimaatlabel type 1'!K8=3),"fout zie rij 3","")</f>
        <v/>
      </c>
      <c r="H10" s="299"/>
      <c r="I10" s="318"/>
      <c r="J10" s="319"/>
      <c r="K10" s="95"/>
      <c r="L10" s="409"/>
      <c r="M10" s="409"/>
      <c r="N10" s="323"/>
      <c r="O10" s="369"/>
      <c r="P10" s="324" t="s">
        <v>756</v>
      </c>
      <c r="Q10" s="299"/>
      <c r="T10" s="11"/>
      <c r="X10" s="11"/>
      <c r="Y10"/>
    </row>
    <row r="11" spans="1:25" ht="16.5" customHeight="1" x14ac:dyDescent="0.2">
      <c r="A11" s="95" t="s">
        <v>691</v>
      </c>
      <c r="B11" s="95"/>
      <c r="C11" s="408"/>
      <c r="D11" s="408"/>
      <c r="E11" s="298"/>
      <c r="F11" s="98"/>
      <c r="G11" s="99">
        <f>'binnenklimaatlabel type 1'!R10</f>
        <v>0</v>
      </c>
      <c r="H11" s="313" t="s">
        <v>115</v>
      </c>
      <c r="I11" s="318"/>
      <c r="J11" s="319"/>
      <c r="K11" s="95"/>
      <c r="L11" s="409"/>
      <c r="M11" s="409"/>
      <c r="N11" s="323"/>
      <c r="O11" s="369"/>
      <c r="P11" s="99">
        <f>'binnenklimaatlabel type 1'!AD10</f>
        <v>0</v>
      </c>
      <c r="Q11" s="100" t="s">
        <v>115</v>
      </c>
      <c r="T11" s="11"/>
      <c r="X11" s="11"/>
      <c r="Y11"/>
    </row>
    <row r="12" spans="1:25" ht="15" customHeight="1" x14ac:dyDescent="0.2">
      <c r="A12" s="94" t="s">
        <v>122</v>
      </c>
      <c r="B12" s="95"/>
      <c r="C12" s="95" t="s">
        <v>120</v>
      </c>
      <c r="D12" s="95" t="s">
        <v>119</v>
      </c>
      <c r="E12" s="95" t="s">
        <v>226</v>
      </c>
      <c r="F12" s="95" t="s">
        <v>50</v>
      </c>
      <c r="G12" s="95"/>
      <c r="H12" s="95"/>
      <c r="I12" s="318" t="s">
        <v>121</v>
      </c>
      <c r="J12" s="319"/>
      <c r="K12" s="318" t="s">
        <v>1024</v>
      </c>
      <c r="L12" s="95" t="s">
        <v>120</v>
      </c>
      <c r="M12" s="95" t="s">
        <v>119</v>
      </c>
      <c r="N12" s="95" t="s">
        <v>226</v>
      </c>
      <c r="O12" s="95" t="s">
        <v>50</v>
      </c>
      <c r="P12" s="95"/>
      <c r="Q12" s="95"/>
    </row>
    <row r="13" spans="1:25" ht="15" customHeight="1" x14ac:dyDescent="0.2">
      <c r="A13" s="95" t="s">
        <v>118</v>
      </c>
      <c r="B13" s="95"/>
      <c r="C13" s="408"/>
      <c r="D13" s="408"/>
      <c r="E13" s="98"/>
      <c r="F13" s="98"/>
      <c r="G13" s="299"/>
      <c r="H13" s="299"/>
      <c r="I13" s="318"/>
      <c r="J13" s="456">
        <f>IF('binnenklimaatlabel type 1'!F6=1,0,IF('binnenklimaatlabel type 1'!F6=2,'Kosten kengetallen'!B48,'Kosten kengetallen'!B49))</f>
        <v>0</v>
      </c>
      <c r="K13" s="95"/>
      <c r="L13" s="409"/>
      <c r="M13" s="409"/>
      <c r="N13" s="323"/>
      <c r="O13" s="369"/>
      <c r="P13" s="299"/>
      <c r="Q13" s="299"/>
    </row>
    <row r="14" spans="1:25" ht="15" customHeight="1" x14ac:dyDescent="0.2">
      <c r="A14" s="95" t="s">
        <v>117</v>
      </c>
      <c r="B14" s="95"/>
      <c r="C14" s="408"/>
      <c r="D14" s="408"/>
      <c r="E14" s="98"/>
      <c r="F14" s="98"/>
      <c r="G14" s="299"/>
      <c r="H14" s="299"/>
      <c r="I14" s="318"/>
      <c r="J14" s="319"/>
      <c r="K14" s="95"/>
      <c r="L14" s="409"/>
      <c r="M14" s="409"/>
      <c r="N14" s="323"/>
      <c r="O14" s="369"/>
      <c r="P14" s="324" t="s">
        <v>782</v>
      </c>
      <c r="Q14" s="324"/>
    </row>
    <row r="15" spans="1:25" ht="15" customHeight="1" x14ac:dyDescent="0.2">
      <c r="A15" s="95" t="s">
        <v>116</v>
      </c>
      <c r="B15" s="95"/>
      <c r="C15" s="408"/>
      <c r="D15" s="408"/>
      <c r="E15" s="98"/>
      <c r="F15" s="311"/>
      <c r="G15" s="99">
        <f>'binnenklimaatlabel type 1'!AP10</f>
        <v>0</v>
      </c>
      <c r="H15" s="313" t="s">
        <v>115</v>
      </c>
      <c r="I15" s="318" t="s">
        <v>114</v>
      </c>
      <c r="J15" s="319"/>
      <c r="K15" s="95"/>
      <c r="L15" s="409"/>
      <c r="M15" s="409"/>
      <c r="N15" s="323"/>
      <c r="O15" s="369"/>
      <c r="P15" s="99">
        <f>'binnenklimaatlabel type 1'!BB10</f>
        <v>0</v>
      </c>
      <c r="Q15" s="100" t="s">
        <v>115</v>
      </c>
    </row>
    <row r="16" spans="1:25" x14ac:dyDescent="0.2">
      <c r="A16" s="94" t="s">
        <v>461</v>
      </c>
      <c r="B16" s="95"/>
      <c r="C16" s="95"/>
      <c r="D16" s="95"/>
      <c r="E16" s="95"/>
      <c r="F16" s="95"/>
      <c r="G16" s="95"/>
      <c r="H16" s="95"/>
      <c r="I16" s="318" t="s">
        <v>303</v>
      </c>
      <c r="J16" s="456" t="str">
        <f>IF(B2=0,0,IF(OR(G11&gt;10*B2,'binnenklimaatlabel type 1'!B2&gt;4),"n.v.t.",IF('binnenklimaatlabel type 1'!B13&gt;3,"n.v.t.",'Kosten kengetallen'!B50)))</f>
        <v>n.v.t.</v>
      </c>
      <c r="K16" s="95"/>
      <c r="L16" s="322"/>
      <c r="M16" s="322"/>
      <c r="N16" s="322"/>
      <c r="O16" s="322"/>
      <c r="P16" s="322"/>
      <c r="Q16" s="322"/>
    </row>
    <row r="17" spans="1:17" x14ac:dyDescent="0.2">
      <c r="A17" s="95" t="s">
        <v>975</v>
      </c>
      <c r="B17" s="95"/>
      <c r="C17" s="156" t="str">
        <f>IF(AND('binnenklimaatlabel type 1'!B2&gt;2,'binnenklimaatlabel type 1'!B13=1),"fout!!!",IF(AND('binnenklimaatlabel type 1'!B2&lt;3,'binnenklimaatlabel type 1'!B13&gt;1),"fout!!!"," "))</f>
        <v xml:space="preserve"> </v>
      </c>
      <c r="D17" s="95"/>
      <c r="E17" s="95"/>
      <c r="F17" s="95"/>
      <c r="G17" s="95"/>
      <c r="H17" s="95"/>
      <c r="I17" s="318" t="s">
        <v>683</v>
      </c>
      <c r="J17" s="456" t="str">
        <f>IF(B2=0,0,IF(AND('binnenklimaatlabel type 1'!B13=7,B18&lt;10*B2),'Kosten kengetallen'!B50,IF(AND('binnenklimaatlabel type 1'!B2&gt;2,'binnenklimaatlabel type 1'!B13&gt;3),"n.v.t.",IF('binnenklimaatlabel type 1'!B2=3,'Kosten kengetallen'!B51,IF('binnenklimaatlabel type 1'!B2&gt;4,'Kosten kengetallen'!B50,'Kosten kengetallen'!B54)))))</f>
        <v>n.v.t.</v>
      </c>
      <c r="K17" s="95"/>
      <c r="L17" s="322"/>
      <c r="M17" s="322"/>
      <c r="N17" s="322"/>
      <c r="O17" s="322"/>
      <c r="P17" s="322"/>
      <c r="Q17" s="322"/>
    </row>
    <row r="18" spans="1:17" x14ac:dyDescent="0.2">
      <c r="A18" s="485" t="s">
        <v>112</v>
      </c>
      <c r="B18" s="101">
        <v>1000</v>
      </c>
      <c r="C18" s="95"/>
      <c r="D18" s="95"/>
      <c r="E18" s="95"/>
      <c r="F18" s="95"/>
      <c r="G18" s="95"/>
      <c r="H18" s="95"/>
      <c r="I18" s="318" t="s">
        <v>300</v>
      </c>
      <c r="J18" s="456" t="str">
        <f>IF(B2=0,0,IF('binnenklimaatlabel type 1'!B2&gt;4,"n.v.t.",IF('binnenklimaatlabel type 1'!B2=3,'Kosten kengetallen'!B53,IF(AND('binnenklimaatlabel type 1'!B13=7,B18&gt;B2*10),"n.v.t.",IF('binnenklimaatlabel type 1'!B13&gt;3,"n.v.t.",'Kosten kengetallen'!B53)))))</f>
        <v>n.v.t.</v>
      </c>
      <c r="K18" s="405"/>
      <c r="L18" s="325" t="s">
        <v>112</v>
      </c>
      <c r="M18" s="322"/>
      <c r="N18" s="322"/>
      <c r="O18" s="322"/>
      <c r="P18" s="322"/>
      <c r="Q18" s="322"/>
    </row>
    <row r="19" spans="1:17" x14ac:dyDescent="0.2">
      <c r="A19" s="94" t="s">
        <v>111</v>
      </c>
      <c r="B19" s="95"/>
      <c r="C19" s="630" t="s">
        <v>110</v>
      </c>
      <c r="D19" s="630"/>
      <c r="E19" s="630"/>
      <c r="F19" s="630"/>
      <c r="G19" s="102"/>
      <c r="H19" s="102"/>
      <c r="I19" s="318" t="s">
        <v>301</v>
      </c>
      <c r="J19" s="456" t="str">
        <f>IF(B2=0,0,IF('binnenklimaatlabel type 1'!B2&gt;4,"n.v.t.",IF('binnenklimaatlabel type 1'!B2=3,'Kosten kengetallen'!B54,IF(AND('binnenklimaatlabel type 1'!B13=7,B18&gt;B2*15),"n.v.t.",IF('binnenklimaatlabel type 1'!B13&gt;3,"n.v.t.",'Kosten kengetallen'!B54)))))</f>
        <v>n.v.t.</v>
      </c>
      <c r="K19" s="95"/>
      <c r="L19" s="322"/>
      <c r="M19" s="322"/>
      <c r="N19" s="322"/>
      <c r="O19" s="322"/>
      <c r="P19" s="322"/>
      <c r="Q19" s="322"/>
    </row>
    <row r="20" spans="1:17" x14ac:dyDescent="0.2">
      <c r="A20" s="95" t="s">
        <v>827</v>
      </c>
      <c r="B20" s="95"/>
      <c r="C20" s="103"/>
      <c r="D20" s="95" t="s">
        <v>1011</v>
      </c>
      <c r="E20" s="103"/>
      <c r="F20" s="95" t="s">
        <v>108</v>
      </c>
      <c r="G20" s="95"/>
      <c r="H20" s="95"/>
      <c r="I20" s="318" t="s">
        <v>302</v>
      </c>
      <c r="J20" s="456" t="str">
        <f>IF(B2=0,0,IF('binnenklimaatlabel type 1'!B2&gt;4,"n.v.t.",IF('binnenklimaatlabel type 1'!B2=3,'Kosten kengetallen'!B55,IF(AND('binnenklimaatlabel type 1'!B13=7,B18&gt;B2*20),"n.v.t.",IF('binnenklimaatlabel type 1'!B13&gt;3,"n.v.t.",'Kosten kengetallen'!B55)))))</f>
        <v>n.v.t.</v>
      </c>
      <c r="K20" s="95"/>
      <c r="L20" s="322"/>
      <c r="M20" s="322"/>
      <c r="N20" s="322"/>
      <c r="O20" s="322"/>
      <c r="P20" s="322"/>
      <c r="Q20" s="322"/>
    </row>
    <row r="21" spans="1:17" x14ac:dyDescent="0.2">
      <c r="A21" s="94" t="s">
        <v>107</v>
      </c>
      <c r="B21" s="95"/>
      <c r="C21" s="630" t="s">
        <v>106</v>
      </c>
      <c r="D21" s="630"/>
      <c r="E21" s="630"/>
      <c r="F21" s="630"/>
      <c r="G21" s="630"/>
      <c r="H21" s="102"/>
      <c r="I21" s="318" t="str">
        <f>IF('binnenklimaatlabel type 1'!B14=1,"Therm.kranen alle radiatoren. Controle!",IF('binnenklimaatlabel type 1'!B14=2,"naregeling per vertrek",IF('binnenklimaatlabel type 1'!B14=3,"Therm.kranen alle radiatoren. Controlle!","geen")))</f>
        <v>Therm.kranen alle radiatoren. Controle!</v>
      </c>
      <c r="J21" s="456">
        <f>IF(OR('binnenklimaatlabel type 1'!B14=3,'binnenklimaatlabel type 1'!B14=1),('Kosten kengetallen'!B36*'Invoer Lokaal Type 1'!E20),IF('binnenklimaatlabel type 1'!B14=2,'Kosten kengetallen'!B38,"n.v.t."))</f>
        <v>0</v>
      </c>
      <c r="K21" s="95"/>
      <c r="L21" s="322"/>
      <c r="M21" s="322"/>
      <c r="N21" s="322"/>
      <c r="O21" s="322"/>
      <c r="P21" s="322"/>
      <c r="Q21" s="322"/>
    </row>
    <row r="22" spans="1:17" x14ac:dyDescent="0.2">
      <c r="A22" s="95" t="s">
        <v>282</v>
      </c>
      <c r="B22" s="95"/>
      <c r="C22" s="631"/>
      <c r="D22" s="631"/>
      <c r="E22" s="631"/>
      <c r="F22" s="95" t="s">
        <v>1019</v>
      </c>
      <c r="G22" s="95"/>
      <c r="H22" s="95"/>
      <c r="I22" s="318" t="str">
        <f>IF(OR('binnenklimaatlabel type 1'!B15&lt;3,AND('binnenklimaatlabel type 1'!B15=5,'binnenklimaatlabel type 1'!B16=1)),"Buitenzonwering","geen")</f>
        <v>Buitenzonwering</v>
      </c>
      <c r="J22" s="456">
        <f>IF(OR('binnenklimaatlabel type 1'!B15&lt;3,AND('binnenklimaatlabel type 1'!B15=5,'binnenklimaatlabel type 1'!B16=1)),'Invoer Lokaal Type 1'!C22*'Kosten kengetallen'!B27,"n.v.t.")</f>
        <v>0</v>
      </c>
      <c r="K22" s="95"/>
      <c r="L22" s="322"/>
      <c r="M22" s="322"/>
      <c r="N22" s="322"/>
      <c r="O22" s="322"/>
      <c r="P22" s="322"/>
      <c r="Q22" s="322"/>
    </row>
    <row r="23" spans="1:17" x14ac:dyDescent="0.2">
      <c r="A23" s="95" t="s">
        <v>883</v>
      </c>
      <c r="B23" s="95"/>
      <c r="C23" s="95"/>
      <c r="D23" s="95"/>
      <c r="E23" s="95"/>
      <c r="F23" s="95"/>
      <c r="G23" s="95"/>
      <c r="H23" s="95"/>
      <c r="I23" s="318"/>
      <c r="J23" s="319"/>
      <c r="K23" s="95"/>
      <c r="L23" s="322"/>
      <c r="M23" s="322"/>
      <c r="N23" s="322"/>
      <c r="O23" s="322"/>
      <c r="P23" s="322"/>
      <c r="Q23" s="322"/>
    </row>
    <row r="24" spans="1:17" x14ac:dyDescent="0.2">
      <c r="A24" s="95" t="s">
        <v>104</v>
      </c>
      <c r="B24" s="95"/>
      <c r="C24" s="95"/>
      <c r="D24" s="95"/>
      <c r="E24" s="402" t="s">
        <v>1010</v>
      </c>
      <c r="F24" s="95"/>
      <c r="G24" s="95"/>
      <c r="H24" s="95"/>
      <c r="I24" s="318" t="str">
        <f>IF('binnenklimaatlabel type 1'!B16=1,"geen",IF('binnenklimaatlabel type 1'!B16&lt;6,"Verbeteren dakisolatie",IF('binnenklimaatlabel type 1'!B16=8,"Isoleren zoldervloer","Geen")))</f>
        <v>geen</v>
      </c>
      <c r="J24" s="319" t="s">
        <v>704</v>
      </c>
      <c r="K24" s="95"/>
      <c r="L24" s="322"/>
      <c r="M24" s="322"/>
      <c r="N24" s="322"/>
      <c r="O24" s="322"/>
      <c r="P24" s="322"/>
      <c r="Q24" s="322"/>
    </row>
    <row r="25" spans="1:17" x14ac:dyDescent="0.2">
      <c r="A25" s="95" t="s">
        <v>103</v>
      </c>
      <c r="B25" s="95"/>
      <c r="C25" s="95"/>
      <c r="D25" s="95"/>
      <c r="E25" s="402" t="s">
        <v>1020</v>
      </c>
      <c r="F25" s="95"/>
      <c r="G25" s="95"/>
      <c r="H25" s="95"/>
      <c r="I25" s="318" t="str">
        <f>IF('binnenklimaatlabel type 1'!B18=1,"Koeling","geen")</f>
        <v>Koeling</v>
      </c>
      <c r="J25" s="456">
        <f>IF(B2=0,0,IF('binnenklimaatlabel type 1'!B18=1,'Kosten kengetallen'!B58,"n.v.t."))</f>
        <v>3500</v>
      </c>
      <c r="K25" s="95"/>
      <c r="L25" s="322"/>
      <c r="M25" s="322"/>
      <c r="N25" s="322"/>
      <c r="O25" s="322"/>
      <c r="P25" s="322"/>
      <c r="Q25" s="322"/>
    </row>
    <row r="26" spans="1:17" x14ac:dyDescent="0.2">
      <c r="A26" s="94" t="s">
        <v>102</v>
      </c>
      <c r="B26" s="95"/>
      <c r="C26" s="95"/>
      <c r="D26" s="95"/>
      <c r="E26" s="402" t="s">
        <v>1021</v>
      </c>
      <c r="F26" s="95"/>
      <c r="G26" s="95"/>
      <c r="H26" s="95"/>
      <c r="I26" s="318"/>
      <c r="J26" s="319"/>
      <c r="K26" s="95"/>
      <c r="L26" s="322"/>
      <c r="M26" s="322"/>
      <c r="N26" s="322"/>
      <c r="O26" s="322"/>
      <c r="P26" s="322"/>
      <c r="Q26" s="322"/>
    </row>
    <row r="27" spans="1:17" x14ac:dyDescent="0.2">
      <c r="A27" s="95" t="s">
        <v>101</v>
      </c>
      <c r="B27" s="95"/>
      <c r="C27" s="95"/>
      <c r="D27" s="95"/>
      <c r="E27" s="95"/>
      <c r="F27" s="95"/>
      <c r="G27" s="95"/>
      <c r="H27" s="95"/>
      <c r="I27" s="318"/>
      <c r="J27" s="319" t="s">
        <v>704</v>
      </c>
      <c r="K27" s="95"/>
      <c r="L27" s="322"/>
      <c r="M27" s="322"/>
      <c r="N27" s="322"/>
      <c r="O27" s="322"/>
      <c r="P27" s="322"/>
      <c r="Q27" s="322"/>
    </row>
    <row r="28" spans="1:17" x14ac:dyDescent="0.2">
      <c r="A28" s="95"/>
      <c r="B28" s="104" t="s">
        <v>100</v>
      </c>
      <c r="C28" s="95"/>
      <c r="D28" s="95"/>
      <c r="E28" s="95"/>
      <c r="F28" s="95"/>
      <c r="G28" s="95"/>
      <c r="H28" s="95"/>
      <c r="I28" s="318"/>
      <c r="J28" s="320"/>
      <c r="K28" s="95"/>
      <c r="L28" s="632" t="s">
        <v>99</v>
      </c>
      <c r="M28" s="632"/>
      <c r="N28" s="632"/>
      <c r="O28" s="632"/>
      <c r="P28" s="322"/>
      <c r="Q28" s="322"/>
    </row>
    <row r="29" spans="1:17" ht="15" x14ac:dyDescent="0.25">
      <c r="A29" s="95" t="s">
        <v>977</v>
      </c>
      <c r="B29" s="105" t="str">
        <f>'binnenklimaatlabel type 1'!B35</f>
        <v>C</v>
      </c>
      <c r="C29" s="95"/>
      <c r="D29" s="95"/>
      <c r="E29" s="95"/>
      <c r="F29" s="95"/>
      <c r="G29" s="95"/>
      <c r="H29" s="95"/>
      <c r="I29" s="318" t="s">
        <v>705</v>
      </c>
      <c r="J29" s="319"/>
      <c r="K29" s="95" t="s">
        <v>98</v>
      </c>
      <c r="L29" s="629" t="str">
        <f>'binnenklimaatlabel type 1'!P35</f>
        <v>D</v>
      </c>
      <c r="M29" s="629"/>
      <c r="N29" s="629"/>
      <c r="O29" s="629"/>
      <c r="P29" s="322"/>
      <c r="Q29" s="322"/>
    </row>
    <row r="30" spans="1:17" ht="15" x14ac:dyDescent="0.25">
      <c r="A30" s="95" t="s">
        <v>978</v>
      </c>
      <c r="B30" s="105" t="str">
        <f>'binnenklimaatlabel type 1'!B49</f>
        <v>B</v>
      </c>
      <c r="C30" s="95"/>
      <c r="D30" s="95"/>
      <c r="E30" s="95"/>
      <c r="F30" s="95"/>
      <c r="G30" s="95"/>
      <c r="H30" s="95"/>
      <c r="I30" s="318"/>
      <c r="J30" s="319"/>
      <c r="K30" s="95" t="s">
        <v>97</v>
      </c>
      <c r="L30" s="629" t="str">
        <f>'binnenklimaatlabel type 1'!P49</f>
        <v>D</v>
      </c>
      <c r="M30" s="629"/>
      <c r="N30" s="629"/>
      <c r="O30" s="629"/>
      <c r="P30" s="322"/>
      <c r="Q30" s="322"/>
    </row>
    <row r="31" spans="1:17" ht="15.75" thickBot="1" x14ac:dyDescent="0.3">
      <c r="A31" s="95" t="s">
        <v>873</v>
      </c>
      <c r="B31" s="105" t="str">
        <f>'binnenklimaatlabel type 1'!B52</f>
        <v>B</v>
      </c>
      <c r="C31" s="402"/>
      <c r="D31" s="95"/>
      <c r="E31" s="95"/>
      <c r="F31" s="95"/>
      <c r="G31" s="95"/>
      <c r="H31" s="95"/>
      <c r="I31" s="321"/>
      <c r="J31" s="326"/>
      <c r="K31" s="95" t="s">
        <v>96</v>
      </c>
      <c r="L31" s="629" t="str">
        <f>'binnenklimaatlabel type 1'!P52</f>
        <v>D</v>
      </c>
      <c r="M31" s="629"/>
      <c r="N31" s="629"/>
      <c r="O31" s="629"/>
      <c r="P31" s="322"/>
      <c r="Q31" s="322"/>
    </row>
    <row r="40" spans="9:9" x14ac:dyDescent="0.2">
      <c r="I40" s="497"/>
    </row>
  </sheetData>
  <mergeCells count="7">
    <mergeCell ref="L30:O30"/>
    <mergeCell ref="L31:O31"/>
    <mergeCell ref="C21:G21"/>
    <mergeCell ref="C19:F19"/>
    <mergeCell ref="C22:E22"/>
    <mergeCell ref="L28:O28"/>
    <mergeCell ref="L29:O29"/>
  </mergeCells>
  <phoneticPr fontId="0" type="noConversion"/>
  <pageMargins left="0.7" right="0.7" top="0.75" bottom="0.75" header="0.3" footer="0.3"/>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1265" r:id="rId3" name="Drop Down 1">
              <controlPr defaultSize="0" autoLine="0" autoPict="0">
                <anchor moveWithCells="1">
                  <from>
                    <xdr:col>1</xdr:col>
                    <xdr:colOff>0</xdr:colOff>
                    <xdr:row>2</xdr:row>
                    <xdr:rowOff>0</xdr:rowOff>
                  </from>
                  <to>
                    <xdr:col>1</xdr:col>
                    <xdr:colOff>2419350</xdr:colOff>
                    <xdr:row>3</xdr:row>
                    <xdr:rowOff>38100</xdr:rowOff>
                  </to>
                </anchor>
              </controlPr>
            </control>
          </mc:Choice>
        </mc:AlternateContent>
        <mc:AlternateContent xmlns:mc="http://schemas.openxmlformats.org/markup-compatibility/2006">
          <mc:Choice Requires="x14">
            <control shapeId="11266" r:id="rId4" name="Drop Down 2">
              <controlPr defaultSize="0" autoLine="0" autoPict="0">
                <anchor moveWithCells="1">
                  <from>
                    <xdr:col>1</xdr:col>
                    <xdr:colOff>19050</xdr:colOff>
                    <xdr:row>5</xdr:row>
                    <xdr:rowOff>161925</xdr:rowOff>
                  </from>
                  <to>
                    <xdr:col>2</xdr:col>
                    <xdr:colOff>0</xdr:colOff>
                    <xdr:row>7</xdr:row>
                    <xdr:rowOff>9525</xdr:rowOff>
                  </to>
                </anchor>
              </controlPr>
            </control>
          </mc:Choice>
        </mc:AlternateContent>
        <mc:AlternateContent xmlns:mc="http://schemas.openxmlformats.org/markup-compatibility/2006">
          <mc:Choice Requires="x14">
            <control shapeId="11267" r:id="rId5" name="Drop Down 3">
              <controlPr defaultSize="0" autoLine="0" autoPict="0">
                <anchor moveWithCells="1">
                  <from>
                    <xdr:col>1</xdr:col>
                    <xdr:colOff>9525</xdr:colOff>
                    <xdr:row>7</xdr:row>
                    <xdr:rowOff>0</xdr:rowOff>
                  </from>
                  <to>
                    <xdr:col>1</xdr:col>
                    <xdr:colOff>2428875</xdr:colOff>
                    <xdr:row>8</xdr:row>
                    <xdr:rowOff>28575</xdr:rowOff>
                  </to>
                </anchor>
              </controlPr>
            </control>
          </mc:Choice>
        </mc:AlternateContent>
        <mc:AlternateContent xmlns:mc="http://schemas.openxmlformats.org/markup-compatibility/2006">
          <mc:Choice Requires="x14">
            <control shapeId="11268" r:id="rId6" name="Drop Down 4">
              <controlPr defaultSize="0" autoLine="0" autoPict="0">
                <anchor moveWithCells="1">
                  <from>
                    <xdr:col>1</xdr:col>
                    <xdr:colOff>9525</xdr:colOff>
                    <xdr:row>8</xdr:row>
                    <xdr:rowOff>0</xdr:rowOff>
                  </from>
                  <to>
                    <xdr:col>1</xdr:col>
                    <xdr:colOff>2428875</xdr:colOff>
                    <xdr:row>9</xdr:row>
                    <xdr:rowOff>28575</xdr:rowOff>
                  </to>
                </anchor>
              </controlPr>
            </control>
          </mc:Choice>
        </mc:AlternateContent>
        <mc:AlternateContent xmlns:mc="http://schemas.openxmlformats.org/markup-compatibility/2006">
          <mc:Choice Requires="x14">
            <control shapeId="11269" r:id="rId7" name="Drop Down 5">
              <controlPr defaultSize="0" autoLine="0" autoPict="0">
                <anchor moveWithCells="1">
                  <from>
                    <xdr:col>1</xdr:col>
                    <xdr:colOff>0</xdr:colOff>
                    <xdr:row>12</xdr:row>
                    <xdr:rowOff>0</xdr:rowOff>
                  </from>
                  <to>
                    <xdr:col>1</xdr:col>
                    <xdr:colOff>2419350</xdr:colOff>
                    <xdr:row>13</xdr:row>
                    <xdr:rowOff>28575</xdr:rowOff>
                  </to>
                </anchor>
              </controlPr>
            </control>
          </mc:Choice>
        </mc:AlternateContent>
        <mc:AlternateContent xmlns:mc="http://schemas.openxmlformats.org/markup-compatibility/2006">
          <mc:Choice Requires="x14">
            <control shapeId="11270" r:id="rId8" name="Drop Down 6">
              <controlPr defaultSize="0" autoLine="0" autoPict="0">
                <anchor moveWithCells="1">
                  <from>
                    <xdr:col>1</xdr:col>
                    <xdr:colOff>9525</xdr:colOff>
                    <xdr:row>13</xdr:row>
                    <xdr:rowOff>28575</xdr:rowOff>
                  </from>
                  <to>
                    <xdr:col>1</xdr:col>
                    <xdr:colOff>2428875</xdr:colOff>
                    <xdr:row>14</xdr:row>
                    <xdr:rowOff>57150</xdr:rowOff>
                  </to>
                </anchor>
              </controlPr>
            </control>
          </mc:Choice>
        </mc:AlternateContent>
        <mc:AlternateContent xmlns:mc="http://schemas.openxmlformats.org/markup-compatibility/2006">
          <mc:Choice Requires="x14">
            <control shapeId="11271" r:id="rId9" name="Drop Down 7">
              <controlPr defaultSize="0" autoLine="0" autoPict="0">
                <anchor moveWithCells="1">
                  <from>
                    <xdr:col>1</xdr:col>
                    <xdr:colOff>9525</xdr:colOff>
                    <xdr:row>14</xdr:row>
                    <xdr:rowOff>57150</xdr:rowOff>
                  </from>
                  <to>
                    <xdr:col>1</xdr:col>
                    <xdr:colOff>2428875</xdr:colOff>
                    <xdr:row>15</xdr:row>
                    <xdr:rowOff>85725</xdr:rowOff>
                  </to>
                </anchor>
              </controlPr>
            </control>
          </mc:Choice>
        </mc:AlternateContent>
        <mc:AlternateContent xmlns:mc="http://schemas.openxmlformats.org/markup-compatibility/2006">
          <mc:Choice Requires="x14">
            <control shapeId="11272" r:id="rId10" name="Drop Down 8">
              <controlPr defaultSize="0" autoLine="0" autoPict="0">
                <anchor moveWithCells="1">
                  <from>
                    <xdr:col>1</xdr:col>
                    <xdr:colOff>0</xdr:colOff>
                    <xdr:row>19</xdr:row>
                    <xdr:rowOff>0</xdr:rowOff>
                  </from>
                  <to>
                    <xdr:col>1</xdr:col>
                    <xdr:colOff>2419350</xdr:colOff>
                    <xdr:row>20</xdr:row>
                    <xdr:rowOff>38100</xdr:rowOff>
                  </to>
                </anchor>
              </controlPr>
            </control>
          </mc:Choice>
        </mc:AlternateContent>
        <mc:AlternateContent xmlns:mc="http://schemas.openxmlformats.org/markup-compatibility/2006">
          <mc:Choice Requires="x14">
            <control shapeId="11273" r:id="rId11" name="Drop Down 9">
              <controlPr defaultSize="0" autoLine="0" autoPict="0">
                <anchor moveWithCells="1">
                  <from>
                    <xdr:col>1</xdr:col>
                    <xdr:colOff>9525</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11274" r:id="rId12" name="Drop Down 10">
              <controlPr defaultSize="0" autoLine="0" autoPict="0">
                <anchor moveWithCells="1">
                  <from>
                    <xdr:col>1</xdr:col>
                    <xdr:colOff>0</xdr:colOff>
                    <xdr:row>22</xdr:row>
                    <xdr:rowOff>0</xdr:rowOff>
                  </from>
                  <to>
                    <xdr:col>1</xdr:col>
                    <xdr:colOff>2419350</xdr:colOff>
                    <xdr:row>23</xdr:row>
                    <xdr:rowOff>38100</xdr:rowOff>
                  </to>
                </anchor>
              </controlPr>
            </control>
          </mc:Choice>
        </mc:AlternateContent>
        <mc:AlternateContent xmlns:mc="http://schemas.openxmlformats.org/markup-compatibility/2006">
          <mc:Choice Requires="x14">
            <control shapeId="11275" r:id="rId13" name="Drop Down 11">
              <controlPr defaultSize="0" autoLine="0" autoPict="0">
                <anchor moveWithCells="1">
                  <from>
                    <xdr:col>1</xdr:col>
                    <xdr:colOff>9525</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11276" r:id="rId14" name="Drop Down 12">
              <controlPr defaultSize="0" autoLine="0" autoPict="0">
                <anchor moveWithCells="1">
                  <from>
                    <xdr:col>1</xdr:col>
                    <xdr:colOff>9525</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11277" r:id="rId15" name="Drop Down 13">
              <controlPr defaultSize="0" autoLine="0" autoPict="0">
                <anchor moveWithCells="1">
                  <from>
                    <xdr:col>1</xdr:col>
                    <xdr:colOff>0</xdr:colOff>
                    <xdr:row>16</xdr:row>
                    <xdr:rowOff>0</xdr:rowOff>
                  </from>
                  <to>
                    <xdr:col>1</xdr:col>
                    <xdr:colOff>2419350</xdr:colOff>
                    <xdr:row>17</xdr:row>
                    <xdr:rowOff>38100</xdr:rowOff>
                  </to>
                </anchor>
              </controlPr>
            </control>
          </mc:Choice>
        </mc:AlternateContent>
        <mc:AlternateContent xmlns:mc="http://schemas.openxmlformats.org/markup-compatibility/2006">
          <mc:Choice Requires="x14">
            <control shapeId="11278" r:id="rId16" name="Drop Down 14">
              <controlPr defaultSize="0" autoLine="0" autoPict="0">
                <anchor moveWithCells="1">
                  <from>
                    <xdr:col>1</xdr:col>
                    <xdr:colOff>9525</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11279" r:id="rId17" name="Drop Down 15">
              <controlPr defaultSize="0" autoLine="0" autoPict="0">
                <anchor moveWithCells="1">
                  <from>
                    <xdr:col>10</xdr:col>
                    <xdr:colOff>0</xdr:colOff>
                    <xdr:row>2</xdr:row>
                    <xdr:rowOff>0</xdr:rowOff>
                  </from>
                  <to>
                    <xdr:col>10</xdr:col>
                    <xdr:colOff>2419350</xdr:colOff>
                    <xdr:row>3</xdr:row>
                    <xdr:rowOff>38100</xdr:rowOff>
                  </to>
                </anchor>
              </controlPr>
            </control>
          </mc:Choice>
        </mc:AlternateContent>
        <mc:AlternateContent xmlns:mc="http://schemas.openxmlformats.org/markup-compatibility/2006">
          <mc:Choice Requires="x14">
            <control shapeId="11280" r:id="rId18" name="Drop Down 16">
              <controlPr defaultSize="0" autoLine="0" autoPict="0">
                <anchor moveWithCells="1">
                  <from>
                    <xdr:col>10</xdr:col>
                    <xdr:colOff>9525</xdr:colOff>
                    <xdr:row>6</xdr:row>
                    <xdr:rowOff>0</xdr:rowOff>
                  </from>
                  <to>
                    <xdr:col>11</xdr:col>
                    <xdr:colOff>0</xdr:colOff>
                    <xdr:row>7</xdr:row>
                    <xdr:rowOff>28575</xdr:rowOff>
                  </to>
                </anchor>
              </controlPr>
            </control>
          </mc:Choice>
        </mc:AlternateContent>
        <mc:AlternateContent xmlns:mc="http://schemas.openxmlformats.org/markup-compatibility/2006">
          <mc:Choice Requires="x14">
            <control shapeId="11281" r:id="rId19" name="Drop Down 17">
              <controlPr defaultSize="0" autoLine="0" autoPict="0">
                <anchor moveWithCells="1">
                  <from>
                    <xdr:col>10</xdr:col>
                    <xdr:colOff>0</xdr:colOff>
                    <xdr:row>7</xdr:row>
                    <xdr:rowOff>0</xdr:rowOff>
                  </from>
                  <to>
                    <xdr:col>10</xdr:col>
                    <xdr:colOff>2419350</xdr:colOff>
                    <xdr:row>8</xdr:row>
                    <xdr:rowOff>28575</xdr:rowOff>
                  </to>
                </anchor>
              </controlPr>
            </control>
          </mc:Choice>
        </mc:AlternateContent>
        <mc:AlternateContent xmlns:mc="http://schemas.openxmlformats.org/markup-compatibility/2006">
          <mc:Choice Requires="x14">
            <control shapeId="11282" r:id="rId20" name="Drop Down 18">
              <controlPr defaultSize="0" autoLine="0" autoPict="0">
                <anchor moveWithCells="1">
                  <from>
                    <xdr:col>10</xdr:col>
                    <xdr:colOff>0</xdr:colOff>
                    <xdr:row>8</xdr:row>
                    <xdr:rowOff>0</xdr:rowOff>
                  </from>
                  <to>
                    <xdr:col>10</xdr:col>
                    <xdr:colOff>2419350</xdr:colOff>
                    <xdr:row>9</xdr:row>
                    <xdr:rowOff>28575</xdr:rowOff>
                  </to>
                </anchor>
              </controlPr>
            </control>
          </mc:Choice>
        </mc:AlternateContent>
        <mc:AlternateContent xmlns:mc="http://schemas.openxmlformats.org/markup-compatibility/2006">
          <mc:Choice Requires="x14">
            <control shapeId="11283" r:id="rId21" name="Drop Down 19">
              <controlPr defaultSize="0" autoLine="0" autoPict="0">
                <anchor moveWithCells="1">
                  <from>
                    <xdr:col>10</xdr:col>
                    <xdr:colOff>0</xdr:colOff>
                    <xdr:row>12</xdr:row>
                    <xdr:rowOff>0</xdr:rowOff>
                  </from>
                  <to>
                    <xdr:col>10</xdr:col>
                    <xdr:colOff>2419350</xdr:colOff>
                    <xdr:row>13</xdr:row>
                    <xdr:rowOff>28575</xdr:rowOff>
                  </to>
                </anchor>
              </controlPr>
            </control>
          </mc:Choice>
        </mc:AlternateContent>
        <mc:AlternateContent xmlns:mc="http://schemas.openxmlformats.org/markup-compatibility/2006">
          <mc:Choice Requires="x14">
            <control shapeId="11284" r:id="rId22" name="Drop Down 20">
              <controlPr defaultSize="0" autoLine="0" autoPict="0">
                <anchor moveWithCells="1">
                  <from>
                    <xdr:col>10</xdr:col>
                    <xdr:colOff>0</xdr:colOff>
                    <xdr:row>13</xdr:row>
                    <xdr:rowOff>0</xdr:rowOff>
                  </from>
                  <to>
                    <xdr:col>10</xdr:col>
                    <xdr:colOff>2419350</xdr:colOff>
                    <xdr:row>14</xdr:row>
                    <xdr:rowOff>28575</xdr:rowOff>
                  </to>
                </anchor>
              </controlPr>
            </control>
          </mc:Choice>
        </mc:AlternateContent>
        <mc:AlternateContent xmlns:mc="http://schemas.openxmlformats.org/markup-compatibility/2006">
          <mc:Choice Requires="x14">
            <control shapeId="11285" r:id="rId23" name="Drop Down 21">
              <controlPr defaultSize="0" autoLine="0" autoPict="0">
                <anchor moveWithCells="1">
                  <from>
                    <xdr:col>10</xdr:col>
                    <xdr:colOff>0</xdr:colOff>
                    <xdr:row>14</xdr:row>
                    <xdr:rowOff>0</xdr:rowOff>
                  </from>
                  <to>
                    <xdr:col>10</xdr:col>
                    <xdr:colOff>2419350</xdr:colOff>
                    <xdr:row>15</xdr:row>
                    <xdr:rowOff>28575</xdr:rowOff>
                  </to>
                </anchor>
              </controlPr>
            </control>
          </mc:Choice>
        </mc:AlternateContent>
        <mc:AlternateContent xmlns:mc="http://schemas.openxmlformats.org/markup-compatibility/2006">
          <mc:Choice Requires="x14">
            <control shapeId="11286" r:id="rId24" name="Drop Down 22">
              <controlPr defaultSize="0" autoLine="0" autoPict="0">
                <anchor moveWithCells="1">
                  <from>
                    <xdr:col>10</xdr:col>
                    <xdr:colOff>0</xdr:colOff>
                    <xdr:row>16</xdr:row>
                    <xdr:rowOff>0</xdr:rowOff>
                  </from>
                  <to>
                    <xdr:col>10</xdr:col>
                    <xdr:colOff>2419350</xdr:colOff>
                    <xdr:row>17</xdr:row>
                    <xdr:rowOff>38100</xdr:rowOff>
                  </to>
                </anchor>
              </controlPr>
            </control>
          </mc:Choice>
        </mc:AlternateContent>
        <mc:AlternateContent xmlns:mc="http://schemas.openxmlformats.org/markup-compatibility/2006">
          <mc:Choice Requires="x14">
            <control shapeId="11287" r:id="rId25" name="Drop Down 23">
              <controlPr defaultSize="0" autoLine="0" autoPict="0">
                <anchor moveWithCells="1">
                  <from>
                    <xdr:col>10</xdr:col>
                    <xdr:colOff>0</xdr:colOff>
                    <xdr:row>19</xdr:row>
                    <xdr:rowOff>0</xdr:rowOff>
                  </from>
                  <to>
                    <xdr:col>10</xdr:col>
                    <xdr:colOff>2419350</xdr:colOff>
                    <xdr:row>20</xdr:row>
                    <xdr:rowOff>38100</xdr:rowOff>
                  </to>
                </anchor>
              </controlPr>
            </control>
          </mc:Choice>
        </mc:AlternateContent>
        <mc:AlternateContent xmlns:mc="http://schemas.openxmlformats.org/markup-compatibility/2006">
          <mc:Choice Requires="x14">
            <control shapeId="11288" r:id="rId26" name="Drop Down 24">
              <controlPr defaultSize="0" autoLine="0" autoPict="0">
                <anchor moveWithCells="1">
                  <from>
                    <xdr:col>10</xdr:col>
                    <xdr:colOff>9525</xdr:colOff>
                    <xdr:row>21</xdr:row>
                    <xdr:rowOff>0</xdr:rowOff>
                  </from>
                  <to>
                    <xdr:col>11</xdr:col>
                    <xdr:colOff>0</xdr:colOff>
                    <xdr:row>22</xdr:row>
                    <xdr:rowOff>38100</xdr:rowOff>
                  </to>
                </anchor>
              </controlPr>
            </control>
          </mc:Choice>
        </mc:AlternateContent>
        <mc:AlternateContent xmlns:mc="http://schemas.openxmlformats.org/markup-compatibility/2006">
          <mc:Choice Requires="x14">
            <control shapeId="11289" r:id="rId27" name="Drop Down 25">
              <controlPr defaultSize="0" autoLine="0" autoPict="0">
                <anchor moveWithCells="1">
                  <from>
                    <xdr:col>10</xdr:col>
                    <xdr:colOff>0</xdr:colOff>
                    <xdr:row>22</xdr:row>
                    <xdr:rowOff>0</xdr:rowOff>
                  </from>
                  <to>
                    <xdr:col>10</xdr:col>
                    <xdr:colOff>2419350</xdr:colOff>
                    <xdr:row>23</xdr:row>
                    <xdr:rowOff>38100</xdr:rowOff>
                  </to>
                </anchor>
              </controlPr>
            </control>
          </mc:Choice>
        </mc:AlternateContent>
        <mc:AlternateContent xmlns:mc="http://schemas.openxmlformats.org/markup-compatibility/2006">
          <mc:Choice Requires="x14">
            <control shapeId="11290" r:id="rId28" name="Drop Down 26">
              <controlPr defaultSize="0" autoLine="0" autoPict="0">
                <anchor moveWithCells="1">
                  <from>
                    <xdr:col>10</xdr:col>
                    <xdr:colOff>9525</xdr:colOff>
                    <xdr:row>23</xdr:row>
                    <xdr:rowOff>0</xdr:rowOff>
                  </from>
                  <to>
                    <xdr:col>11</xdr:col>
                    <xdr:colOff>0</xdr:colOff>
                    <xdr:row>24</xdr:row>
                    <xdr:rowOff>38100</xdr:rowOff>
                  </to>
                </anchor>
              </controlPr>
            </control>
          </mc:Choice>
        </mc:AlternateContent>
        <mc:AlternateContent xmlns:mc="http://schemas.openxmlformats.org/markup-compatibility/2006">
          <mc:Choice Requires="x14">
            <control shapeId="11291" r:id="rId29" name="Drop Down 27">
              <controlPr defaultSize="0" autoLine="0" autoPict="0">
                <anchor moveWithCells="1">
                  <from>
                    <xdr:col>10</xdr:col>
                    <xdr:colOff>9525</xdr:colOff>
                    <xdr:row>24</xdr:row>
                    <xdr:rowOff>0</xdr:rowOff>
                  </from>
                  <to>
                    <xdr:col>11</xdr:col>
                    <xdr:colOff>0</xdr:colOff>
                    <xdr:row>25</xdr:row>
                    <xdr:rowOff>38100</xdr:rowOff>
                  </to>
                </anchor>
              </controlPr>
            </control>
          </mc:Choice>
        </mc:AlternateContent>
        <mc:AlternateContent xmlns:mc="http://schemas.openxmlformats.org/markup-compatibility/2006">
          <mc:Choice Requires="x14">
            <control shapeId="11292" r:id="rId30" name="Drop Down 28">
              <controlPr defaultSize="0" autoLine="0" autoPict="0">
                <anchor moveWithCells="1">
                  <from>
                    <xdr:col>10</xdr:col>
                    <xdr:colOff>9525</xdr:colOff>
                    <xdr:row>26</xdr:row>
                    <xdr:rowOff>0</xdr:rowOff>
                  </from>
                  <to>
                    <xdr:col>11</xdr:col>
                    <xdr:colOff>0</xdr:colOff>
                    <xdr:row>27</xdr:row>
                    <xdr:rowOff>38100</xdr:rowOff>
                  </to>
                </anchor>
              </controlPr>
            </control>
          </mc:Choice>
        </mc:AlternateContent>
        <mc:AlternateContent xmlns:mc="http://schemas.openxmlformats.org/markup-compatibility/2006">
          <mc:Choice Requires="x14">
            <control shapeId="11293" r:id="rId31" name="Drop Down 29">
              <controlPr defaultSize="0" autoLine="0" autoPict="0">
                <anchor moveWithCells="1">
                  <from>
                    <xdr:col>1</xdr:col>
                    <xdr:colOff>0</xdr:colOff>
                    <xdr:row>4</xdr:row>
                    <xdr:rowOff>0</xdr:rowOff>
                  </from>
                  <to>
                    <xdr:col>1</xdr:col>
                    <xdr:colOff>2419350</xdr:colOff>
                    <xdr:row>5</xdr:row>
                    <xdr:rowOff>19050</xdr:rowOff>
                  </to>
                </anchor>
              </controlPr>
            </control>
          </mc:Choice>
        </mc:AlternateContent>
        <mc:AlternateContent xmlns:mc="http://schemas.openxmlformats.org/markup-compatibility/2006">
          <mc:Choice Requires="x14">
            <control shapeId="11294" r:id="rId32" name="Drop Down 30">
              <controlPr defaultSize="0" autoLine="0" autoPict="0">
                <anchor moveWithCells="1">
                  <from>
                    <xdr:col>10</xdr:col>
                    <xdr:colOff>0</xdr:colOff>
                    <xdr:row>4</xdr:row>
                    <xdr:rowOff>0</xdr:rowOff>
                  </from>
                  <to>
                    <xdr:col>10</xdr:col>
                    <xdr:colOff>2419350</xdr:colOff>
                    <xdr:row>5</xdr:row>
                    <xdr:rowOff>19050</xdr:rowOff>
                  </to>
                </anchor>
              </controlPr>
            </control>
          </mc:Choice>
        </mc:AlternateContent>
        <mc:AlternateContent xmlns:mc="http://schemas.openxmlformats.org/markup-compatibility/2006">
          <mc:Choice Requires="x14">
            <control shapeId="11295" r:id="rId33" name="Drop Down 31">
              <controlPr defaultSize="0" autoLine="0" autoPict="0">
                <anchor moveWithCells="1">
                  <from>
                    <xdr:col>8</xdr:col>
                    <xdr:colOff>9525</xdr:colOff>
                    <xdr:row>6</xdr:row>
                    <xdr:rowOff>0</xdr:rowOff>
                  </from>
                  <to>
                    <xdr:col>8</xdr:col>
                    <xdr:colOff>1847850</xdr:colOff>
                    <xdr:row>7</xdr:row>
                    <xdr:rowOff>28575</xdr:rowOff>
                  </to>
                </anchor>
              </controlPr>
            </control>
          </mc:Choice>
        </mc:AlternateContent>
        <mc:AlternateContent xmlns:mc="http://schemas.openxmlformats.org/markup-compatibility/2006">
          <mc:Choice Requires="x14">
            <control shapeId="11296" r:id="rId34" name="Drop Down 32">
              <controlPr defaultSize="0" autoLine="0" autoPict="0">
                <anchor moveWithCells="1">
                  <from>
                    <xdr:col>8</xdr:col>
                    <xdr:colOff>9525</xdr:colOff>
                    <xdr:row>12</xdr:row>
                    <xdr:rowOff>9525</xdr:rowOff>
                  </from>
                  <to>
                    <xdr:col>8</xdr:col>
                    <xdr:colOff>1866900</xdr:colOff>
                    <xdr:row>13</xdr:row>
                    <xdr:rowOff>57150</xdr:rowOff>
                  </to>
                </anchor>
              </controlPr>
            </control>
          </mc:Choice>
        </mc:AlternateContent>
        <mc:AlternateContent xmlns:mc="http://schemas.openxmlformats.org/markup-compatibility/2006">
          <mc:Choice Requires="x14">
            <control shapeId="11297" r:id="rId35" name="Drop Down 33">
              <controlPr defaultSize="0" autoLine="0" autoPict="0">
                <anchor moveWithCells="1">
                  <from>
                    <xdr:col>8</xdr:col>
                    <xdr:colOff>9525</xdr:colOff>
                    <xdr:row>26</xdr:row>
                    <xdr:rowOff>0</xdr:rowOff>
                  </from>
                  <to>
                    <xdr:col>8</xdr:col>
                    <xdr:colOff>1866900</xdr:colOff>
                    <xdr:row>27</xdr:row>
                    <xdr:rowOff>28575</xdr:rowOff>
                  </to>
                </anchor>
              </controlPr>
            </control>
          </mc:Choice>
        </mc:AlternateContent>
        <mc:AlternateContent xmlns:mc="http://schemas.openxmlformats.org/markup-compatibility/2006">
          <mc:Choice Requires="x14">
            <control shapeId="11298" r:id="rId36" name="Drop Down 34">
              <controlPr defaultSize="0" autoLine="0" autoPict="0">
                <anchor moveWithCells="1">
                  <from>
                    <xdr:col>1</xdr:col>
                    <xdr:colOff>0</xdr:colOff>
                    <xdr:row>3</xdr:row>
                    <xdr:rowOff>0</xdr:rowOff>
                  </from>
                  <to>
                    <xdr:col>1</xdr:col>
                    <xdr:colOff>2419350</xdr:colOff>
                    <xdr:row>4</xdr:row>
                    <xdr:rowOff>28575</xdr:rowOff>
                  </to>
                </anchor>
              </controlPr>
            </control>
          </mc:Choice>
        </mc:AlternateContent>
        <mc:AlternateContent xmlns:mc="http://schemas.openxmlformats.org/markup-compatibility/2006">
          <mc:Choice Requires="x14">
            <control shapeId="11299" r:id="rId37" name="Drop Down 35">
              <controlPr defaultSize="0" autoLine="0" autoPict="0">
                <anchor moveWithCells="1">
                  <from>
                    <xdr:col>10</xdr:col>
                    <xdr:colOff>0</xdr:colOff>
                    <xdr:row>3</xdr:row>
                    <xdr:rowOff>0</xdr:rowOff>
                  </from>
                  <to>
                    <xdr:col>10</xdr:col>
                    <xdr:colOff>2419350</xdr:colOff>
                    <xdr:row>4</xdr:row>
                    <xdr:rowOff>28575</xdr:rowOff>
                  </to>
                </anchor>
              </controlPr>
            </control>
          </mc:Choice>
        </mc:AlternateContent>
        <mc:AlternateContent xmlns:mc="http://schemas.openxmlformats.org/markup-compatibility/2006">
          <mc:Choice Requires="x14">
            <control shapeId="11300" r:id="rId38" name="Drop Down 36">
              <controlPr defaultSize="0" autoLine="0" autoPict="0">
                <anchor moveWithCells="1">
                  <from>
                    <xdr:col>4</xdr:col>
                    <xdr:colOff>9525</xdr:colOff>
                    <xdr:row>6</xdr:row>
                    <xdr:rowOff>0</xdr:rowOff>
                  </from>
                  <to>
                    <xdr:col>4</xdr:col>
                    <xdr:colOff>609600</xdr:colOff>
                    <xdr:row>7</xdr:row>
                    <xdr:rowOff>28575</xdr:rowOff>
                  </to>
                </anchor>
              </controlPr>
            </control>
          </mc:Choice>
        </mc:AlternateContent>
        <mc:AlternateContent xmlns:mc="http://schemas.openxmlformats.org/markup-compatibility/2006">
          <mc:Choice Requires="x14">
            <control shapeId="11301" r:id="rId39" name="Drop Down 37">
              <controlPr defaultSize="0" autoLine="0" autoPict="0">
                <anchor moveWithCells="1">
                  <from>
                    <xdr:col>4</xdr:col>
                    <xdr:colOff>9525</xdr:colOff>
                    <xdr:row>7</xdr:row>
                    <xdr:rowOff>9525</xdr:rowOff>
                  </from>
                  <to>
                    <xdr:col>4</xdr:col>
                    <xdr:colOff>609600</xdr:colOff>
                    <xdr:row>8</xdr:row>
                    <xdr:rowOff>38100</xdr:rowOff>
                  </to>
                </anchor>
              </controlPr>
            </control>
          </mc:Choice>
        </mc:AlternateContent>
        <mc:AlternateContent xmlns:mc="http://schemas.openxmlformats.org/markup-compatibility/2006">
          <mc:Choice Requires="x14">
            <control shapeId="11303" r:id="rId40" name="Drop Down 39">
              <controlPr defaultSize="0" autoLine="0" autoPict="0">
                <anchor moveWithCells="1">
                  <from>
                    <xdr:col>4</xdr:col>
                    <xdr:colOff>9525</xdr:colOff>
                    <xdr:row>8</xdr:row>
                    <xdr:rowOff>0</xdr:rowOff>
                  </from>
                  <to>
                    <xdr:col>4</xdr:col>
                    <xdr:colOff>609600</xdr:colOff>
                    <xdr:row>9</xdr:row>
                    <xdr:rowOff>28575</xdr:rowOff>
                  </to>
                </anchor>
              </controlPr>
            </control>
          </mc:Choice>
        </mc:AlternateContent>
        <mc:AlternateContent xmlns:mc="http://schemas.openxmlformats.org/markup-compatibility/2006">
          <mc:Choice Requires="x14">
            <control shapeId="11304" r:id="rId41" name="Drop Down 40">
              <controlPr defaultSize="0" autoLine="0" autoPict="0">
                <anchor moveWithCells="1">
                  <from>
                    <xdr:col>4</xdr:col>
                    <xdr:colOff>9525</xdr:colOff>
                    <xdr:row>9</xdr:row>
                    <xdr:rowOff>0</xdr:rowOff>
                  </from>
                  <to>
                    <xdr:col>4</xdr:col>
                    <xdr:colOff>609600</xdr:colOff>
                    <xdr:row>10</xdr:row>
                    <xdr:rowOff>28575</xdr:rowOff>
                  </to>
                </anchor>
              </controlPr>
            </control>
          </mc:Choice>
        </mc:AlternateContent>
        <mc:AlternateContent xmlns:mc="http://schemas.openxmlformats.org/markup-compatibility/2006">
          <mc:Choice Requires="x14">
            <control shapeId="11305" r:id="rId42" name="Drop Down 41">
              <controlPr defaultSize="0" autoLine="0" autoPict="0">
                <anchor moveWithCells="1">
                  <from>
                    <xdr:col>4</xdr:col>
                    <xdr:colOff>0</xdr:colOff>
                    <xdr:row>10</xdr:row>
                    <xdr:rowOff>9525</xdr:rowOff>
                  </from>
                  <to>
                    <xdr:col>4</xdr:col>
                    <xdr:colOff>600075</xdr:colOff>
                    <xdr:row>11</xdr:row>
                    <xdr:rowOff>19050</xdr:rowOff>
                  </to>
                </anchor>
              </controlPr>
            </control>
          </mc:Choice>
        </mc:AlternateContent>
        <mc:AlternateContent xmlns:mc="http://schemas.openxmlformats.org/markup-compatibility/2006">
          <mc:Choice Requires="x14">
            <control shapeId="11307" r:id="rId43" name="Drop Down 43">
              <controlPr defaultSize="0" autoLine="0" autoPict="0">
                <anchor moveWithCells="1">
                  <from>
                    <xdr:col>1</xdr:col>
                    <xdr:colOff>9525</xdr:colOff>
                    <xdr:row>9</xdr:row>
                    <xdr:rowOff>0</xdr:rowOff>
                  </from>
                  <to>
                    <xdr:col>1</xdr:col>
                    <xdr:colOff>2428875</xdr:colOff>
                    <xdr:row>10</xdr:row>
                    <xdr:rowOff>28575</xdr:rowOff>
                  </to>
                </anchor>
              </controlPr>
            </control>
          </mc:Choice>
        </mc:AlternateContent>
        <mc:AlternateContent xmlns:mc="http://schemas.openxmlformats.org/markup-compatibility/2006">
          <mc:Choice Requires="x14">
            <control shapeId="11309" r:id="rId44" name="Drop Down 45">
              <controlPr defaultSize="0" autoLine="0" autoPict="0">
                <anchor moveWithCells="1">
                  <from>
                    <xdr:col>1</xdr:col>
                    <xdr:colOff>0</xdr:colOff>
                    <xdr:row>10</xdr:row>
                    <xdr:rowOff>0</xdr:rowOff>
                  </from>
                  <to>
                    <xdr:col>1</xdr:col>
                    <xdr:colOff>2419350</xdr:colOff>
                    <xdr:row>11</xdr:row>
                    <xdr:rowOff>9525</xdr:rowOff>
                  </to>
                </anchor>
              </controlPr>
            </control>
          </mc:Choice>
        </mc:AlternateContent>
        <mc:AlternateContent xmlns:mc="http://schemas.openxmlformats.org/markup-compatibility/2006">
          <mc:Choice Requires="x14">
            <control shapeId="11310" r:id="rId45" name="Drop Down 46">
              <controlPr defaultSize="0" autoLine="0" autoPict="0">
                <anchor moveWithCells="1">
                  <from>
                    <xdr:col>10</xdr:col>
                    <xdr:colOff>0</xdr:colOff>
                    <xdr:row>9</xdr:row>
                    <xdr:rowOff>0</xdr:rowOff>
                  </from>
                  <to>
                    <xdr:col>10</xdr:col>
                    <xdr:colOff>2419350</xdr:colOff>
                    <xdr:row>10</xdr:row>
                    <xdr:rowOff>28575</xdr:rowOff>
                  </to>
                </anchor>
              </controlPr>
            </control>
          </mc:Choice>
        </mc:AlternateContent>
        <mc:AlternateContent xmlns:mc="http://schemas.openxmlformats.org/markup-compatibility/2006">
          <mc:Choice Requires="x14">
            <control shapeId="11311" r:id="rId46" name="Drop Down 47">
              <controlPr defaultSize="0" autoLine="0" autoPict="0">
                <anchor moveWithCells="1">
                  <from>
                    <xdr:col>10</xdr:col>
                    <xdr:colOff>0</xdr:colOff>
                    <xdr:row>10</xdr:row>
                    <xdr:rowOff>0</xdr:rowOff>
                  </from>
                  <to>
                    <xdr:col>10</xdr:col>
                    <xdr:colOff>2419350</xdr:colOff>
                    <xdr:row>11</xdr:row>
                    <xdr:rowOff>9525</xdr:rowOff>
                  </to>
                </anchor>
              </controlPr>
            </control>
          </mc:Choice>
        </mc:AlternateContent>
        <mc:AlternateContent xmlns:mc="http://schemas.openxmlformats.org/markup-compatibility/2006">
          <mc:Choice Requires="x14">
            <control shapeId="11312" r:id="rId47" name="Drop Down 48">
              <controlPr defaultSize="0" autoLine="0" autoPict="0">
                <anchor moveWithCells="1">
                  <from>
                    <xdr:col>13</xdr:col>
                    <xdr:colOff>9525</xdr:colOff>
                    <xdr:row>6</xdr:row>
                    <xdr:rowOff>0</xdr:rowOff>
                  </from>
                  <to>
                    <xdr:col>14</xdr:col>
                    <xdr:colOff>9525</xdr:colOff>
                    <xdr:row>7</xdr:row>
                    <xdr:rowOff>28575</xdr:rowOff>
                  </to>
                </anchor>
              </controlPr>
            </control>
          </mc:Choice>
        </mc:AlternateContent>
        <mc:AlternateContent xmlns:mc="http://schemas.openxmlformats.org/markup-compatibility/2006">
          <mc:Choice Requires="x14">
            <control shapeId="11313" r:id="rId48" name="Drop Down 49">
              <controlPr defaultSize="0" autoLine="0" autoPict="0">
                <anchor moveWithCells="1">
                  <from>
                    <xdr:col>13</xdr:col>
                    <xdr:colOff>9525</xdr:colOff>
                    <xdr:row>7</xdr:row>
                    <xdr:rowOff>0</xdr:rowOff>
                  </from>
                  <to>
                    <xdr:col>14</xdr:col>
                    <xdr:colOff>9525</xdr:colOff>
                    <xdr:row>8</xdr:row>
                    <xdr:rowOff>28575</xdr:rowOff>
                  </to>
                </anchor>
              </controlPr>
            </control>
          </mc:Choice>
        </mc:AlternateContent>
        <mc:AlternateContent xmlns:mc="http://schemas.openxmlformats.org/markup-compatibility/2006">
          <mc:Choice Requires="x14">
            <control shapeId="11314" r:id="rId49" name="Drop Down 50">
              <controlPr defaultSize="0" autoLine="0" autoPict="0">
                <anchor moveWithCells="1">
                  <from>
                    <xdr:col>13</xdr:col>
                    <xdr:colOff>9525</xdr:colOff>
                    <xdr:row>8</xdr:row>
                    <xdr:rowOff>0</xdr:rowOff>
                  </from>
                  <to>
                    <xdr:col>14</xdr:col>
                    <xdr:colOff>9525</xdr:colOff>
                    <xdr:row>9</xdr:row>
                    <xdr:rowOff>28575</xdr:rowOff>
                  </to>
                </anchor>
              </controlPr>
            </control>
          </mc:Choice>
        </mc:AlternateContent>
        <mc:AlternateContent xmlns:mc="http://schemas.openxmlformats.org/markup-compatibility/2006">
          <mc:Choice Requires="x14">
            <control shapeId="11315" r:id="rId50" name="Drop Down 51">
              <controlPr defaultSize="0" autoLine="0" autoPict="0">
                <anchor moveWithCells="1">
                  <from>
                    <xdr:col>13</xdr:col>
                    <xdr:colOff>9525</xdr:colOff>
                    <xdr:row>9</xdr:row>
                    <xdr:rowOff>0</xdr:rowOff>
                  </from>
                  <to>
                    <xdr:col>14</xdr:col>
                    <xdr:colOff>9525</xdr:colOff>
                    <xdr:row>10</xdr:row>
                    <xdr:rowOff>28575</xdr:rowOff>
                  </to>
                </anchor>
              </controlPr>
            </control>
          </mc:Choice>
        </mc:AlternateContent>
        <mc:AlternateContent xmlns:mc="http://schemas.openxmlformats.org/markup-compatibility/2006">
          <mc:Choice Requires="x14">
            <control shapeId="11316" r:id="rId51" name="Drop Down 52">
              <controlPr defaultSize="0" autoLine="0" autoPict="0">
                <anchor moveWithCells="1">
                  <from>
                    <xdr:col>13</xdr:col>
                    <xdr:colOff>9525</xdr:colOff>
                    <xdr:row>10</xdr:row>
                    <xdr:rowOff>0</xdr:rowOff>
                  </from>
                  <to>
                    <xdr:col>14</xdr:col>
                    <xdr:colOff>9525</xdr:colOff>
                    <xdr:row>11</xdr:row>
                    <xdr:rowOff>9525</xdr:rowOff>
                  </to>
                </anchor>
              </controlPr>
            </control>
          </mc:Choice>
        </mc:AlternateContent>
        <mc:AlternateContent xmlns:mc="http://schemas.openxmlformats.org/markup-compatibility/2006">
          <mc:Choice Requires="x14">
            <control shapeId="11317" r:id="rId52" name="Drop Down 53">
              <controlPr defaultSize="0" autoLine="0" autoPict="0">
                <anchor moveWithCells="1">
                  <from>
                    <xdr:col>4</xdr:col>
                    <xdr:colOff>9525</xdr:colOff>
                    <xdr:row>12</xdr:row>
                    <xdr:rowOff>0</xdr:rowOff>
                  </from>
                  <to>
                    <xdr:col>5</xdr:col>
                    <xdr:colOff>0</xdr:colOff>
                    <xdr:row>13</xdr:row>
                    <xdr:rowOff>9525</xdr:rowOff>
                  </to>
                </anchor>
              </controlPr>
            </control>
          </mc:Choice>
        </mc:AlternateContent>
        <mc:AlternateContent xmlns:mc="http://schemas.openxmlformats.org/markup-compatibility/2006">
          <mc:Choice Requires="x14">
            <control shapeId="11318" r:id="rId53" name="Drop Down 54">
              <controlPr defaultSize="0" autoLine="0" autoPict="0">
                <anchor moveWithCells="1">
                  <from>
                    <xdr:col>4</xdr:col>
                    <xdr:colOff>9525</xdr:colOff>
                    <xdr:row>13</xdr:row>
                    <xdr:rowOff>0</xdr:rowOff>
                  </from>
                  <to>
                    <xdr:col>5</xdr:col>
                    <xdr:colOff>0</xdr:colOff>
                    <xdr:row>14</xdr:row>
                    <xdr:rowOff>9525</xdr:rowOff>
                  </to>
                </anchor>
              </controlPr>
            </control>
          </mc:Choice>
        </mc:AlternateContent>
        <mc:AlternateContent xmlns:mc="http://schemas.openxmlformats.org/markup-compatibility/2006">
          <mc:Choice Requires="x14">
            <control shapeId="11319" r:id="rId54" name="Drop Down 55">
              <controlPr defaultSize="0" autoLine="0" autoPict="0">
                <anchor moveWithCells="1">
                  <from>
                    <xdr:col>4</xdr:col>
                    <xdr:colOff>9525</xdr:colOff>
                    <xdr:row>14</xdr:row>
                    <xdr:rowOff>0</xdr:rowOff>
                  </from>
                  <to>
                    <xdr:col>5</xdr:col>
                    <xdr:colOff>0</xdr:colOff>
                    <xdr:row>15</xdr:row>
                    <xdr:rowOff>9525</xdr:rowOff>
                  </to>
                </anchor>
              </controlPr>
            </control>
          </mc:Choice>
        </mc:AlternateContent>
        <mc:AlternateContent xmlns:mc="http://schemas.openxmlformats.org/markup-compatibility/2006">
          <mc:Choice Requires="x14">
            <control shapeId="11320" r:id="rId55" name="Drop Down 56">
              <controlPr defaultSize="0" autoLine="0" autoPict="0">
                <anchor moveWithCells="1">
                  <from>
                    <xdr:col>13</xdr:col>
                    <xdr:colOff>9525</xdr:colOff>
                    <xdr:row>12</xdr:row>
                    <xdr:rowOff>0</xdr:rowOff>
                  </from>
                  <to>
                    <xdr:col>14</xdr:col>
                    <xdr:colOff>19050</xdr:colOff>
                    <xdr:row>13</xdr:row>
                    <xdr:rowOff>9525</xdr:rowOff>
                  </to>
                </anchor>
              </controlPr>
            </control>
          </mc:Choice>
        </mc:AlternateContent>
        <mc:AlternateContent xmlns:mc="http://schemas.openxmlformats.org/markup-compatibility/2006">
          <mc:Choice Requires="x14">
            <control shapeId="11321" r:id="rId56" name="Drop Down 57">
              <controlPr defaultSize="0" autoLine="0" autoPict="0">
                <anchor moveWithCells="1">
                  <from>
                    <xdr:col>13</xdr:col>
                    <xdr:colOff>9525</xdr:colOff>
                    <xdr:row>13</xdr:row>
                    <xdr:rowOff>0</xdr:rowOff>
                  </from>
                  <to>
                    <xdr:col>14</xdr:col>
                    <xdr:colOff>19050</xdr:colOff>
                    <xdr:row>14</xdr:row>
                    <xdr:rowOff>9525</xdr:rowOff>
                  </to>
                </anchor>
              </controlPr>
            </control>
          </mc:Choice>
        </mc:AlternateContent>
        <mc:AlternateContent xmlns:mc="http://schemas.openxmlformats.org/markup-compatibility/2006">
          <mc:Choice Requires="x14">
            <control shapeId="11322" r:id="rId57" name="Drop Down 58">
              <controlPr defaultSize="0" autoLine="0" autoPict="0">
                <anchor moveWithCells="1">
                  <from>
                    <xdr:col>13</xdr:col>
                    <xdr:colOff>9525</xdr:colOff>
                    <xdr:row>14</xdr:row>
                    <xdr:rowOff>0</xdr:rowOff>
                  </from>
                  <to>
                    <xdr:col>14</xdr:col>
                    <xdr:colOff>19050</xdr:colOff>
                    <xdr:row>15</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1"/>
  <sheetViews>
    <sheetView zoomScaleNormal="100" workbookViewId="0">
      <pane xSplit="1" topLeftCell="B1" activePane="topRight" state="frozen"/>
      <selection pane="topRight" activeCell="C2" sqref="C2"/>
    </sheetView>
  </sheetViews>
  <sheetFormatPr defaultRowHeight="14.25" x14ac:dyDescent="0.2"/>
  <cols>
    <col min="1" max="1" width="25.42578125" style="97" customWidth="1"/>
    <col min="2" max="2" width="36.5703125" style="97" customWidth="1"/>
    <col min="3" max="3" width="5.7109375" style="97" customWidth="1"/>
    <col min="4" max="4" width="7" style="97" customWidth="1"/>
    <col min="5" max="5" width="8.5703125" style="97" customWidth="1"/>
    <col min="6" max="6" width="5.5703125" style="97" customWidth="1"/>
    <col min="7" max="7" width="3.85546875" style="97" customWidth="1"/>
    <col min="8" max="8" width="4.28515625" style="97" customWidth="1"/>
    <col min="9" max="9" width="28.140625" style="97" customWidth="1"/>
    <col min="10" max="10" width="6.85546875" style="97" customWidth="1"/>
    <col min="11" max="11" width="36.5703125" style="97" customWidth="1"/>
    <col min="12" max="12" width="5" style="96" customWidth="1"/>
    <col min="13" max="13" width="4.85546875" style="96" customWidth="1"/>
    <col min="14" max="14" width="8.5703125" style="96" customWidth="1"/>
    <col min="15" max="15" width="5.42578125" style="96" customWidth="1"/>
    <col min="16" max="16" width="3.85546875" style="96" customWidth="1"/>
    <col min="17" max="17" width="3.7109375" style="96" customWidth="1"/>
    <col min="18" max="16384" width="9.140625" style="96"/>
  </cols>
  <sheetData>
    <row r="1" spans="1:21" ht="18" x14ac:dyDescent="0.25">
      <c r="A1" s="487" t="s">
        <v>323</v>
      </c>
      <c r="B1" s="94" t="s">
        <v>129</v>
      </c>
      <c r="C1" s="95"/>
      <c r="D1" s="95"/>
      <c r="E1" s="95"/>
      <c r="F1" s="95"/>
      <c r="G1" s="95"/>
      <c r="H1" s="95"/>
      <c r="I1" s="314" t="s">
        <v>128</v>
      </c>
      <c r="J1" s="315" t="s">
        <v>56</v>
      </c>
      <c r="K1" s="94" t="s">
        <v>127</v>
      </c>
      <c r="L1" s="322"/>
      <c r="M1" s="322"/>
      <c r="N1" s="322"/>
      <c r="O1" s="322"/>
      <c r="P1" s="322"/>
      <c r="Q1" s="322"/>
      <c r="S1" s="297"/>
    </row>
    <row r="2" spans="1:21" x14ac:dyDescent="0.2">
      <c r="A2" s="495" t="s">
        <v>1181</v>
      </c>
      <c r="B2" s="101">
        <v>30</v>
      </c>
      <c r="C2" s="499" t="s">
        <v>1182</v>
      </c>
      <c r="D2" s="95"/>
      <c r="E2" s="95"/>
      <c r="F2" s="95"/>
      <c r="G2" s="95"/>
      <c r="H2" s="95"/>
      <c r="I2" s="316"/>
      <c r="J2" s="317"/>
      <c r="K2" s="94"/>
      <c r="L2" s="322"/>
      <c r="M2" s="322"/>
      <c r="N2" s="322"/>
      <c r="O2" s="322"/>
      <c r="P2" s="322"/>
      <c r="Q2" s="322"/>
    </row>
    <row r="3" spans="1:21" x14ac:dyDescent="0.2">
      <c r="A3" s="95" t="s">
        <v>95</v>
      </c>
      <c r="B3" s="95"/>
      <c r="C3" s="95"/>
      <c r="D3" s="95"/>
      <c r="E3" s="95"/>
      <c r="F3" s="95"/>
      <c r="G3" s="95"/>
      <c r="H3" s="95"/>
      <c r="I3" s="318"/>
      <c r="J3" s="319"/>
      <c r="K3" s="95"/>
      <c r="L3" s="322"/>
      <c r="M3" s="322"/>
      <c r="N3" s="322"/>
      <c r="O3" s="322"/>
      <c r="P3" s="322"/>
      <c r="Q3" s="322"/>
    </row>
    <row r="4" spans="1:21" ht="15" customHeight="1" x14ac:dyDescent="0.2">
      <c r="A4" s="95" t="s">
        <v>825</v>
      </c>
      <c r="B4" s="95"/>
      <c r="C4" s="95"/>
      <c r="D4" s="95"/>
      <c r="E4" s="95"/>
      <c r="F4" s="95"/>
      <c r="G4" s="95"/>
      <c r="H4" s="95"/>
      <c r="I4" s="318"/>
      <c r="J4" s="319"/>
      <c r="K4" s="95"/>
      <c r="L4" s="406" t="s">
        <v>1027</v>
      </c>
      <c r="M4" s="322"/>
      <c r="N4" s="322"/>
      <c r="O4" s="322"/>
      <c r="P4" s="322"/>
      <c r="Q4" s="322"/>
    </row>
    <row r="5" spans="1:21" ht="15" customHeight="1" x14ac:dyDescent="0.2">
      <c r="A5" s="95" t="s">
        <v>976</v>
      </c>
      <c r="B5" s="95"/>
      <c r="C5" s="95"/>
      <c r="D5" s="95"/>
      <c r="E5" s="95"/>
      <c r="F5" s="95"/>
      <c r="G5" s="95"/>
      <c r="H5" s="95"/>
      <c r="I5" s="318" t="str">
        <f>IF(AND('binnenklimaatlabel type 1'!B2&lt;4,'binnenklimaatlabel type 1'!B4&lt;2),"Spoiler of koof","geen")</f>
        <v>geen</v>
      </c>
      <c r="J5" s="456" t="s">
        <v>737</v>
      </c>
      <c r="K5" s="95"/>
      <c r="L5" s="406" t="s">
        <v>1028</v>
      </c>
      <c r="M5" s="322"/>
      <c r="N5" s="322"/>
      <c r="O5" s="322"/>
      <c r="P5" s="322"/>
      <c r="Q5" s="322"/>
    </row>
    <row r="6" spans="1:21" x14ac:dyDescent="0.2">
      <c r="A6" s="94" t="s">
        <v>699</v>
      </c>
      <c r="B6" s="95"/>
      <c r="C6" s="95" t="s">
        <v>120</v>
      </c>
      <c r="D6" s="95" t="s">
        <v>119</v>
      </c>
      <c r="E6" s="95" t="s">
        <v>226</v>
      </c>
      <c r="F6" s="95" t="s">
        <v>50</v>
      </c>
      <c r="G6" s="95"/>
      <c r="H6" s="95"/>
      <c r="I6" s="318" t="s">
        <v>126</v>
      </c>
      <c r="J6" s="319"/>
      <c r="K6" s="95" t="s">
        <v>1023</v>
      </c>
      <c r="L6" s="95" t="s">
        <v>120</v>
      </c>
      <c r="M6" s="95" t="s">
        <v>119</v>
      </c>
      <c r="N6" s="95" t="s">
        <v>221</v>
      </c>
      <c r="O6" s="95" t="s">
        <v>50</v>
      </c>
      <c r="P6" s="95"/>
      <c r="Q6" s="95"/>
      <c r="T6"/>
      <c r="U6"/>
    </row>
    <row r="7" spans="1:21" ht="15" customHeight="1" x14ac:dyDescent="0.2">
      <c r="A7" s="95" t="s">
        <v>125</v>
      </c>
      <c r="B7" s="95"/>
      <c r="C7" s="408"/>
      <c r="D7" s="408"/>
      <c r="E7" s="98"/>
      <c r="F7" s="98"/>
      <c r="G7" s="412" t="str">
        <f>IF(AND('binnenklimaatlabel type 2'!$B$2=1,'binnenklimaatlabel type 2'!K5=3),"fout zie rij 3","")</f>
        <v/>
      </c>
      <c r="H7" s="299"/>
      <c r="I7" s="318"/>
      <c r="J7" s="456">
        <f>IF('binnenklimaatlabel type 2'!F5=1,0,'Kosten kengetallen'!B47)</f>
        <v>0</v>
      </c>
      <c r="K7" s="95"/>
      <c r="L7" s="409"/>
      <c r="M7" s="409"/>
      <c r="N7" s="323"/>
      <c r="O7" s="369"/>
      <c r="P7" s="299"/>
      <c r="Q7" s="299"/>
      <c r="T7" s="11"/>
    </row>
    <row r="8" spans="1:21" ht="15" customHeight="1" x14ac:dyDescent="0.2">
      <c r="A8" s="95" t="s">
        <v>124</v>
      </c>
      <c r="B8" s="95"/>
      <c r="C8" s="408"/>
      <c r="D8" s="408"/>
      <c r="E8" s="98"/>
      <c r="F8" s="98"/>
      <c r="G8" s="412" t="str">
        <f>IF(AND('binnenklimaatlabel type 2'!$B$2=1,'binnenklimaatlabel type 2'!K6=3),"fout zie rij 3","")</f>
        <v/>
      </c>
      <c r="H8" s="299"/>
      <c r="I8" s="318"/>
      <c r="J8" s="319"/>
      <c r="K8" s="95"/>
      <c r="L8" s="409"/>
      <c r="M8" s="409"/>
      <c r="N8" s="323"/>
      <c r="O8" s="369"/>
      <c r="P8" s="299"/>
      <c r="Q8" s="299"/>
      <c r="T8" s="11"/>
    </row>
    <row r="9" spans="1:21" ht="16.5" customHeight="1" x14ac:dyDescent="0.2">
      <c r="A9" s="95" t="s">
        <v>123</v>
      </c>
      <c r="B9" s="95"/>
      <c r="C9" s="408"/>
      <c r="D9" s="408"/>
      <c r="E9" s="98"/>
      <c r="F9" s="98"/>
      <c r="G9" s="412" t="str">
        <f>IF(AND('binnenklimaatlabel type 2'!$B$2=1,'binnenklimaatlabel type 2'!K7=3),"fout zie rij 3","")</f>
        <v/>
      </c>
      <c r="H9" s="299"/>
      <c r="I9" s="318"/>
      <c r="J9" s="319"/>
      <c r="K9" s="95"/>
      <c r="L9" s="409"/>
      <c r="M9" s="409"/>
      <c r="N9" s="323"/>
      <c r="O9" s="369"/>
      <c r="P9" s="299"/>
      <c r="Q9" s="299"/>
      <c r="T9" s="11"/>
    </row>
    <row r="10" spans="1:21" ht="18" customHeight="1" x14ac:dyDescent="0.2">
      <c r="A10" s="95" t="s">
        <v>690</v>
      </c>
      <c r="B10" s="95"/>
      <c r="C10" s="408"/>
      <c r="D10" s="408"/>
      <c r="E10" s="298"/>
      <c r="F10" s="98"/>
      <c r="G10" s="412" t="str">
        <f>IF(AND('binnenklimaatlabel type 2'!$B$2=1,'binnenklimaatlabel type 2'!K8=3),"fout zie rij 3","")</f>
        <v/>
      </c>
      <c r="H10" s="299"/>
      <c r="I10" s="318"/>
      <c r="J10" s="319"/>
      <c r="K10" s="95"/>
      <c r="L10" s="409"/>
      <c r="M10" s="409"/>
      <c r="N10" s="323"/>
      <c r="O10" s="369"/>
      <c r="P10" s="324" t="s">
        <v>682</v>
      </c>
      <c r="Q10" s="299"/>
      <c r="T10" s="11"/>
    </row>
    <row r="11" spans="1:21" ht="15" customHeight="1" x14ac:dyDescent="0.2">
      <c r="A11" s="95" t="s">
        <v>691</v>
      </c>
      <c r="B11" s="95"/>
      <c r="C11" s="408"/>
      <c r="D11" s="408"/>
      <c r="E11" s="298"/>
      <c r="F11" s="98"/>
      <c r="G11" s="99">
        <f>'binnenklimaatlabel type 2'!R10</f>
        <v>0</v>
      </c>
      <c r="H11" s="313" t="s">
        <v>115</v>
      </c>
      <c r="I11" s="318"/>
      <c r="J11" s="319"/>
      <c r="K11" s="95"/>
      <c r="L11" s="409"/>
      <c r="M11" s="409"/>
      <c r="N11" s="323"/>
      <c r="O11" s="369"/>
      <c r="P11" s="99">
        <f>'binnenklimaatlabel type 2'!AD10</f>
        <v>0</v>
      </c>
      <c r="Q11" s="100" t="s">
        <v>115</v>
      </c>
      <c r="T11" s="11"/>
    </row>
    <row r="12" spans="1:21" ht="15" customHeight="1" x14ac:dyDescent="0.2">
      <c r="A12" s="94" t="s">
        <v>122</v>
      </c>
      <c r="B12" s="95"/>
      <c r="C12" s="95" t="s">
        <v>120</v>
      </c>
      <c r="D12" s="95" t="s">
        <v>119</v>
      </c>
      <c r="E12" s="95" t="s">
        <v>226</v>
      </c>
      <c r="F12" s="95" t="s">
        <v>50</v>
      </c>
      <c r="G12" s="95"/>
      <c r="H12" s="95"/>
      <c r="I12" s="318" t="s">
        <v>121</v>
      </c>
      <c r="J12" s="319"/>
      <c r="K12" s="95" t="s">
        <v>1024</v>
      </c>
      <c r="L12" s="95" t="s">
        <v>120</v>
      </c>
      <c r="M12" s="95" t="s">
        <v>119</v>
      </c>
      <c r="N12" s="95" t="s">
        <v>226</v>
      </c>
      <c r="O12" s="95" t="s">
        <v>50</v>
      </c>
      <c r="P12" s="95"/>
      <c r="Q12" s="95"/>
    </row>
    <row r="13" spans="1:21" ht="15" customHeight="1" x14ac:dyDescent="0.2">
      <c r="A13" s="95" t="s">
        <v>118</v>
      </c>
      <c r="B13" s="95"/>
      <c r="C13" s="408"/>
      <c r="D13" s="408"/>
      <c r="E13" s="98"/>
      <c r="F13" s="98"/>
      <c r="G13" s="299"/>
      <c r="H13" s="299"/>
      <c r="I13" s="318"/>
      <c r="J13" s="456">
        <f>IF('binnenklimaatlabel type 2'!F6=1,0,IF('binnenklimaatlabel type 2'!F6=2,'Kosten kengetallen'!B48,'Kosten kengetallen'!B49))</f>
        <v>0</v>
      </c>
      <c r="K13" s="95"/>
      <c r="L13" s="409"/>
      <c r="M13" s="409"/>
      <c r="N13" s="323"/>
      <c r="O13" s="369"/>
      <c r="P13" s="299"/>
      <c r="Q13" s="299"/>
    </row>
    <row r="14" spans="1:21" ht="15" customHeight="1" x14ac:dyDescent="0.2">
      <c r="A14" s="95" t="s">
        <v>117</v>
      </c>
      <c r="B14" s="95"/>
      <c r="C14" s="408"/>
      <c r="D14" s="408"/>
      <c r="E14" s="98"/>
      <c r="F14" s="98"/>
      <c r="G14" s="299"/>
      <c r="H14" s="299"/>
      <c r="I14" s="318"/>
      <c r="J14" s="319"/>
      <c r="K14" s="95"/>
      <c r="L14" s="409"/>
      <c r="M14" s="409"/>
      <c r="N14" s="323"/>
      <c r="O14" s="369"/>
      <c r="P14" s="324" t="s">
        <v>782</v>
      </c>
      <c r="Q14" s="299"/>
    </row>
    <row r="15" spans="1:21" ht="15" customHeight="1" x14ac:dyDescent="0.2">
      <c r="A15" s="95" t="s">
        <v>116</v>
      </c>
      <c r="B15" s="95"/>
      <c r="C15" s="408"/>
      <c r="D15" s="408"/>
      <c r="E15" s="98"/>
      <c r="F15" s="311"/>
      <c r="G15" s="99">
        <f>'binnenklimaatlabel type 2'!AP10</f>
        <v>0</v>
      </c>
      <c r="H15" s="313" t="s">
        <v>115</v>
      </c>
      <c r="I15" s="318" t="s">
        <v>114</v>
      </c>
      <c r="J15" s="319"/>
      <c r="K15" s="95"/>
      <c r="L15" s="409"/>
      <c r="M15" s="409"/>
      <c r="N15" s="323"/>
      <c r="O15" s="369"/>
      <c r="P15" s="99">
        <f>'binnenklimaatlabel type 2'!BB10</f>
        <v>0</v>
      </c>
      <c r="Q15" s="100" t="s">
        <v>115</v>
      </c>
    </row>
    <row r="16" spans="1:21" x14ac:dyDescent="0.2">
      <c r="A16" s="94" t="s">
        <v>461</v>
      </c>
      <c r="B16" s="95"/>
      <c r="C16" s="95"/>
      <c r="D16" s="95"/>
      <c r="E16" s="95"/>
      <c r="F16" s="95"/>
      <c r="G16" s="95"/>
      <c r="H16" s="95"/>
      <c r="I16" s="318" t="s">
        <v>303</v>
      </c>
      <c r="J16" s="456">
        <f>IF(B2=0,0,IF(OR(G11&gt;10*B2,'binnenklimaatlabel type 2'!B2&gt;4),"n.v.t.",IF('binnenklimaatlabel type 2'!B13&gt;3,"n.v.t.",'Kosten kengetallen'!B50)))</f>
        <v>3000</v>
      </c>
      <c r="K16" s="95"/>
      <c r="L16" s="322"/>
      <c r="M16" s="322"/>
      <c r="N16" s="322"/>
      <c r="O16" s="322"/>
      <c r="P16" s="322"/>
      <c r="Q16" s="322"/>
    </row>
    <row r="17" spans="1:17" x14ac:dyDescent="0.2">
      <c r="A17" s="95" t="s">
        <v>975</v>
      </c>
      <c r="B17" s="95"/>
      <c r="C17" s="156" t="str">
        <f>IF(AND('binnenklimaatlabel type 2'!B2&gt;2,'binnenklimaatlabel type 2'!B13=1),"fout!!!",IF(AND('binnenklimaatlabel type 2'!B2&lt;3,'binnenklimaatlabel type 2'!B13&gt;1),"fout!!!"," "))</f>
        <v xml:space="preserve"> </v>
      </c>
      <c r="D17" s="95"/>
      <c r="E17" s="95"/>
      <c r="F17" s="95"/>
      <c r="G17" s="95"/>
      <c r="H17" s="95"/>
      <c r="I17" s="318" t="s">
        <v>683</v>
      </c>
      <c r="J17" s="456">
        <f>IF(B2=0,0,IF(AND('binnenklimaatlabel type 2'!B13=7,B18&lt;10*B2),'Kosten kengetallen'!B50,IF(AND('binnenklimaatlabel type 2'!B2&gt;2,'binnenklimaatlabel type 2'!B13&gt;3),"n.v.t.",IF('binnenklimaatlabel type 2'!B2=3,'Kosten kengetallen'!B51,IF('binnenklimaatlabel type 2'!B2&gt;4,'Kosten kengetallen'!B50,'Kosten kengetallen'!B54)))))</f>
        <v>10000</v>
      </c>
      <c r="K17" s="95"/>
      <c r="L17" s="322"/>
      <c r="M17" s="322"/>
      <c r="N17" s="322"/>
      <c r="O17" s="322"/>
      <c r="P17" s="322"/>
      <c r="Q17" s="322"/>
    </row>
    <row r="18" spans="1:17" x14ac:dyDescent="0.2">
      <c r="A18" s="485" t="s">
        <v>112</v>
      </c>
      <c r="B18" s="101"/>
      <c r="C18" s="95"/>
      <c r="D18" s="95"/>
      <c r="E18" s="95"/>
      <c r="F18" s="95"/>
      <c r="G18" s="95"/>
      <c r="H18" s="95"/>
      <c r="I18" s="318" t="s">
        <v>300</v>
      </c>
      <c r="J18" s="456">
        <f>IF(B2=0,0,IF('binnenklimaatlabel type 2'!B2&gt;4,"n.v.t.",IF('binnenklimaatlabel type 2'!B2=3,'Kosten kengetallen'!B53,IF(AND('binnenklimaatlabel type 2'!B13=7,B18&gt;B2*10),"n.v.t.",IF('binnenklimaatlabel type 2'!B13&gt;3,"n.v.t.",'Kosten kengetallen'!B53)))))</f>
        <v>9000</v>
      </c>
      <c r="K18" s="405"/>
      <c r="L18" s="325" t="s">
        <v>112</v>
      </c>
      <c r="M18" s="322"/>
      <c r="N18" s="322"/>
      <c r="O18" s="322"/>
      <c r="P18" s="322"/>
      <c r="Q18" s="322"/>
    </row>
    <row r="19" spans="1:17" x14ac:dyDescent="0.2">
      <c r="A19" s="94" t="s">
        <v>111</v>
      </c>
      <c r="B19" s="95"/>
      <c r="C19" s="630" t="s">
        <v>110</v>
      </c>
      <c r="D19" s="630"/>
      <c r="E19" s="630"/>
      <c r="F19" s="630"/>
      <c r="G19" s="102"/>
      <c r="H19" s="102"/>
      <c r="I19" s="318" t="s">
        <v>301</v>
      </c>
      <c r="J19" s="456">
        <f>IF(B2=0,0,IF('binnenklimaatlabel type 2'!B2&gt;4,"n.v.t.",IF('binnenklimaatlabel type 2'!B2=3,'Kosten kengetallen'!B54,IF(AND('binnenklimaatlabel type 2'!B13=7,B18&gt;B2*15),"n.v.t.",IF('binnenklimaatlabel type 2'!B13&gt;3,"n.v.t.",'Kosten kengetallen'!B54)))))</f>
        <v>10000</v>
      </c>
      <c r="K19" s="95"/>
      <c r="L19" s="322"/>
      <c r="M19" s="322"/>
      <c r="N19" s="322"/>
      <c r="O19" s="322"/>
      <c r="P19" s="322"/>
      <c r="Q19" s="322"/>
    </row>
    <row r="20" spans="1:17" x14ac:dyDescent="0.2">
      <c r="A20" s="95" t="s">
        <v>827</v>
      </c>
      <c r="B20" s="95"/>
      <c r="C20" s="103"/>
      <c r="D20" s="95" t="s">
        <v>1011</v>
      </c>
      <c r="E20" s="103"/>
      <c r="F20" s="95" t="s">
        <v>108</v>
      </c>
      <c r="G20" s="95"/>
      <c r="H20" s="95"/>
      <c r="I20" s="318" t="s">
        <v>302</v>
      </c>
      <c r="J20" s="456">
        <f>IF(B2=0,0,IF('binnenklimaatlabel type 2'!B2&gt;4,"n.v.t.",IF('binnenklimaatlabel type 2'!B2=3,'Kosten kengetallen'!B55,IF(AND('binnenklimaatlabel type 2'!B13=7,B18&gt;B2*20),"n.v.t.",IF('binnenklimaatlabel type 2'!B13&gt;3,"n.v.t.",'Kosten kengetallen'!B55)))))</f>
        <v>12000</v>
      </c>
      <c r="K20" s="95"/>
      <c r="L20" s="322"/>
      <c r="M20" s="322"/>
      <c r="N20" s="322"/>
      <c r="O20" s="322"/>
      <c r="P20" s="322"/>
      <c r="Q20" s="322"/>
    </row>
    <row r="21" spans="1:17" x14ac:dyDescent="0.2">
      <c r="A21" s="94" t="s">
        <v>107</v>
      </c>
      <c r="B21" s="95"/>
      <c r="C21" s="630" t="s">
        <v>106</v>
      </c>
      <c r="D21" s="630"/>
      <c r="E21" s="630"/>
      <c r="F21" s="630"/>
      <c r="G21" s="630"/>
      <c r="H21" s="102"/>
      <c r="I21" s="318" t="str">
        <f>IF('binnenklimaatlabel type 2'!B14=1,"Therm.kranen alle radiatoren. Controle!",IF('binnenklimaatlabel type 2'!B14=2,"naregeling per vertrek",IF('binnenklimaatlabel type 2'!B14=3,"Therm.kranen alle radiatoren. Controlle!","geen")))</f>
        <v>Therm.kranen alle radiatoren. Controle!</v>
      </c>
      <c r="J21" s="456">
        <f>IF(OR('binnenklimaatlabel type 2'!B14=3,'binnenklimaatlabel type 2'!B14=1),('Kosten kengetallen'!B36*'Invoer Lokaal Type 2'!E20),IF('binnenklimaatlabel type 2'!B14=2,'Kosten kengetallen'!B38,"n.v.t."))</f>
        <v>0</v>
      </c>
      <c r="K21" s="95"/>
      <c r="L21" s="322"/>
      <c r="M21" s="322"/>
      <c r="N21" s="322"/>
      <c r="O21" s="322"/>
      <c r="P21" s="322"/>
      <c r="Q21" s="322"/>
    </row>
    <row r="22" spans="1:17" x14ac:dyDescent="0.2">
      <c r="A22" s="95" t="s">
        <v>282</v>
      </c>
      <c r="B22" s="95"/>
      <c r="C22" s="631"/>
      <c r="D22" s="631"/>
      <c r="E22" s="631"/>
      <c r="F22" s="95" t="s">
        <v>1019</v>
      </c>
      <c r="G22" s="95"/>
      <c r="H22" s="95"/>
      <c r="I22" s="318" t="str">
        <f>IF(OR('binnenklimaatlabel type 2'!B15&lt;3,AND('binnenklimaatlabel type 2'!B15=5,'binnenklimaatlabel type 2'!B16=1)),"Buitenzonwering","geen")</f>
        <v>Buitenzonwering</v>
      </c>
      <c r="J22" s="456">
        <f>IF(OR('binnenklimaatlabel type 2'!B15&lt;3,AND('binnenklimaatlabel type 2'!B15=5,'binnenklimaatlabel type 2'!B16=1)),'Invoer Lokaal Type 2'!C22*'Kosten kengetallen'!B27,"n.v.t.")</f>
        <v>0</v>
      </c>
      <c r="K22" s="95"/>
      <c r="L22" s="322"/>
      <c r="M22" s="322"/>
      <c r="N22" s="322"/>
      <c r="O22" s="322"/>
      <c r="P22" s="322"/>
      <c r="Q22" s="322"/>
    </row>
    <row r="23" spans="1:17" ht="18" customHeight="1" x14ac:dyDescent="0.2">
      <c r="A23" s="95" t="s">
        <v>883</v>
      </c>
      <c r="B23" s="95"/>
      <c r="C23" s="95"/>
      <c r="D23" s="95"/>
      <c r="E23" s="95"/>
      <c r="F23" s="95"/>
      <c r="G23" s="95"/>
      <c r="H23" s="95"/>
      <c r="I23" s="318"/>
      <c r="J23" s="319"/>
      <c r="K23" s="95"/>
      <c r="L23" s="322"/>
      <c r="M23" s="322"/>
      <c r="N23" s="322"/>
      <c r="O23" s="322"/>
      <c r="P23" s="322"/>
      <c r="Q23" s="322"/>
    </row>
    <row r="24" spans="1:17" x14ac:dyDescent="0.2">
      <c r="A24" s="95" t="s">
        <v>104</v>
      </c>
      <c r="B24" s="95"/>
      <c r="C24" s="95"/>
      <c r="D24" s="95"/>
      <c r="E24" s="402" t="s">
        <v>1010</v>
      </c>
      <c r="F24" s="95"/>
      <c r="G24" s="95"/>
      <c r="H24" s="95"/>
      <c r="I24" s="318" t="str">
        <f>IF('binnenklimaatlabel type 1'!B17=1,"geen",IF('binnenklimaatlabel type 1'!B17&lt;6,"Verbeteren dakisolatie",IF('binnenklimaatlabel type 1'!B17=8,"Isoleren zoldervloer","Geen")))</f>
        <v>geen</v>
      </c>
      <c r="J24" s="319" t="s">
        <v>704</v>
      </c>
      <c r="K24" s="95"/>
      <c r="L24" s="322"/>
      <c r="M24" s="322"/>
      <c r="N24" s="322"/>
      <c r="O24" s="322"/>
      <c r="P24" s="322"/>
      <c r="Q24" s="322"/>
    </row>
    <row r="25" spans="1:17" x14ac:dyDescent="0.2">
      <c r="A25" s="95" t="s">
        <v>103</v>
      </c>
      <c r="B25" s="95"/>
      <c r="C25" s="95"/>
      <c r="D25" s="95"/>
      <c r="E25" s="402" t="s">
        <v>1020</v>
      </c>
      <c r="F25" s="95"/>
      <c r="G25" s="95"/>
      <c r="H25" s="95"/>
      <c r="I25" s="318" t="str">
        <f>IF('binnenklimaatlabel type 1'!B18=1,"Koeling","geen")</f>
        <v>Koeling</v>
      </c>
      <c r="J25" s="456">
        <f>IF(B2=0,0,IF('binnenklimaatlabel type 2'!B18=1,'Kosten kengetallen'!B58,0))</f>
        <v>3500</v>
      </c>
      <c r="K25" s="95"/>
      <c r="L25" s="322"/>
      <c r="M25" s="322"/>
      <c r="N25" s="322"/>
      <c r="O25" s="322"/>
      <c r="P25" s="322"/>
      <c r="Q25" s="322"/>
    </row>
    <row r="26" spans="1:17" x14ac:dyDescent="0.2">
      <c r="A26" s="94" t="s">
        <v>102</v>
      </c>
      <c r="B26" s="95"/>
      <c r="C26" s="95"/>
      <c r="D26" s="95"/>
      <c r="E26" s="402" t="s">
        <v>1021</v>
      </c>
      <c r="F26" s="95"/>
      <c r="G26" s="95"/>
      <c r="H26" s="95"/>
      <c r="I26" s="318"/>
      <c r="J26" s="319"/>
      <c r="K26" s="95"/>
      <c r="L26" s="322"/>
      <c r="M26" s="322"/>
      <c r="N26" s="322"/>
      <c r="O26" s="322"/>
      <c r="P26" s="322"/>
      <c r="Q26" s="322"/>
    </row>
    <row r="27" spans="1:17" x14ac:dyDescent="0.2">
      <c r="A27" s="95" t="s">
        <v>101</v>
      </c>
      <c r="B27" s="95"/>
      <c r="C27" s="95"/>
      <c r="D27" s="95"/>
      <c r="E27" s="95"/>
      <c r="F27" s="95"/>
      <c r="G27" s="95"/>
      <c r="H27" s="95"/>
      <c r="I27" s="318"/>
      <c r="J27" s="319" t="s">
        <v>704</v>
      </c>
      <c r="K27" s="95"/>
      <c r="L27" s="322"/>
      <c r="M27" s="322"/>
      <c r="N27" s="322"/>
      <c r="O27" s="322"/>
      <c r="P27" s="322"/>
      <c r="Q27" s="322"/>
    </row>
    <row r="28" spans="1:17" x14ac:dyDescent="0.2">
      <c r="A28" s="95"/>
      <c r="B28" s="104" t="s">
        <v>100</v>
      </c>
      <c r="C28" s="95"/>
      <c r="D28" s="95"/>
      <c r="E28" s="95"/>
      <c r="F28" s="95"/>
      <c r="G28" s="95"/>
      <c r="H28" s="95"/>
      <c r="I28" s="318"/>
      <c r="J28" s="320"/>
      <c r="K28" s="95"/>
      <c r="L28" s="632" t="s">
        <v>99</v>
      </c>
      <c r="M28" s="632"/>
      <c r="N28" s="632"/>
      <c r="O28" s="632"/>
      <c r="P28" s="322"/>
      <c r="Q28" s="322"/>
    </row>
    <row r="29" spans="1:17" ht="15" x14ac:dyDescent="0.25">
      <c r="A29" s="95" t="s">
        <v>977</v>
      </c>
      <c r="B29" s="105" t="str">
        <f>'binnenklimaatlabel type 2'!B35</f>
        <v>D</v>
      </c>
      <c r="C29" s="95"/>
      <c r="D29" s="95"/>
      <c r="E29" s="95"/>
      <c r="F29" s="95"/>
      <c r="G29" s="95"/>
      <c r="H29" s="95"/>
      <c r="I29" s="318" t="s">
        <v>705</v>
      </c>
      <c r="J29" s="319"/>
      <c r="K29" s="95" t="s">
        <v>98</v>
      </c>
      <c r="L29" s="629" t="str">
        <f>'binnenklimaatlabel type 2'!P35</f>
        <v>D</v>
      </c>
      <c r="M29" s="629"/>
      <c r="N29" s="629"/>
      <c r="O29" s="629"/>
      <c r="P29" s="322"/>
      <c r="Q29" s="322"/>
    </row>
    <row r="30" spans="1:17" ht="15" x14ac:dyDescent="0.25">
      <c r="A30" s="95" t="s">
        <v>978</v>
      </c>
      <c r="B30" s="105" t="str">
        <f>'binnenklimaatlabel type 2'!B49</f>
        <v>D</v>
      </c>
      <c r="C30" s="95"/>
      <c r="D30" s="95"/>
      <c r="E30" s="95"/>
      <c r="F30" s="95"/>
      <c r="G30" s="95"/>
      <c r="H30" s="95"/>
      <c r="I30" s="318"/>
      <c r="J30" s="319"/>
      <c r="K30" s="95" t="s">
        <v>97</v>
      </c>
      <c r="L30" s="629" t="str">
        <f>'binnenklimaatlabel type 2'!P49</f>
        <v>D</v>
      </c>
      <c r="M30" s="629"/>
      <c r="N30" s="629"/>
      <c r="O30" s="629"/>
      <c r="P30" s="322"/>
      <c r="Q30" s="322"/>
    </row>
    <row r="31" spans="1:17" ht="15.75" thickBot="1" x14ac:dyDescent="0.3">
      <c r="A31" s="95" t="s">
        <v>873</v>
      </c>
      <c r="B31" s="105" t="str">
        <f>'binnenklimaatlabel type 2'!B52</f>
        <v>D</v>
      </c>
      <c r="C31" s="402"/>
      <c r="D31" s="95"/>
      <c r="E31" s="95"/>
      <c r="F31" s="95"/>
      <c r="G31" s="95"/>
      <c r="H31" s="95"/>
      <c r="I31" s="321"/>
      <c r="J31" s="326"/>
      <c r="K31" s="95" t="s">
        <v>96</v>
      </c>
      <c r="L31" s="629" t="str">
        <f>'binnenklimaatlabel type 2'!P52</f>
        <v>D</v>
      </c>
      <c r="M31" s="629"/>
      <c r="N31" s="629"/>
      <c r="O31" s="629"/>
      <c r="P31" s="322"/>
      <c r="Q31" s="322"/>
    </row>
  </sheetData>
  <mergeCells count="7">
    <mergeCell ref="L31:O31"/>
    <mergeCell ref="C19:F19"/>
    <mergeCell ref="C21:G21"/>
    <mergeCell ref="C22:E22"/>
    <mergeCell ref="L28:O28"/>
    <mergeCell ref="L29:O29"/>
    <mergeCell ref="L30:O30"/>
  </mergeCells>
  <phoneticPr fontId="0" type="noConversion"/>
  <pageMargins left="0.7" right="0.7" top="0.75" bottom="0.75" header="0.3" footer="0.3"/>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9457" r:id="rId3" name="Drop Down 1">
              <controlPr defaultSize="0" autoLine="0" autoPict="0">
                <anchor moveWithCells="1">
                  <from>
                    <xdr:col>1</xdr:col>
                    <xdr:colOff>0</xdr:colOff>
                    <xdr:row>2</xdr:row>
                    <xdr:rowOff>0</xdr:rowOff>
                  </from>
                  <to>
                    <xdr:col>1</xdr:col>
                    <xdr:colOff>2419350</xdr:colOff>
                    <xdr:row>3</xdr:row>
                    <xdr:rowOff>38100</xdr:rowOff>
                  </to>
                </anchor>
              </controlPr>
            </control>
          </mc:Choice>
        </mc:AlternateContent>
        <mc:AlternateContent xmlns:mc="http://schemas.openxmlformats.org/markup-compatibility/2006">
          <mc:Choice Requires="x14">
            <control shapeId="19458" r:id="rId4" name="Drop Down 2">
              <controlPr defaultSize="0" autoLine="0" autoPict="0">
                <anchor moveWithCells="1">
                  <from>
                    <xdr:col>1</xdr:col>
                    <xdr:colOff>0</xdr:colOff>
                    <xdr:row>5</xdr:row>
                    <xdr:rowOff>142875</xdr:rowOff>
                  </from>
                  <to>
                    <xdr:col>1</xdr:col>
                    <xdr:colOff>2419350</xdr:colOff>
                    <xdr:row>6</xdr:row>
                    <xdr:rowOff>180975</xdr:rowOff>
                  </to>
                </anchor>
              </controlPr>
            </control>
          </mc:Choice>
        </mc:AlternateContent>
        <mc:AlternateContent xmlns:mc="http://schemas.openxmlformats.org/markup-compatibility/2006">
          <mc:Choice Requires="x14">
            <control shapeId="19459" r:id="rId5" name="Drop Down 3">
              <controlPr defaultSize="0" autoLine="0" autoPict="0">
                <anchor moveWithCells="1">
                  <from>
                    <xdr:col>1</xdr:col>
                    <xdr:colOff>9525</xdr:colOff>
                    <xdr:row>6</xdr:row>
                    <xdr:rowOff>180975</xdr:rowOff>
                  </from>
                  <to>
                    <xdr:col>1</xdr:col>
                    <xdr:colOff>2428875</xdr:colOff>
                    <xdr:row>8</xdr:row>
                    <xdr:rowOff>19050</xdr:rowOff>
                  </to>
                </anchor>
              </controlPr>
            </control>
          </mc:Choice>
        </mc:AlternateContent>
        <mc:AlternateContent xmlns:mc="http://schemas.openxmlformats.org/markup-compatibility/2006">
          <mc:Choice Requires="x14">
            <control shapeId="19460" r:id="rId6" name="Drop Down 4">
              <controlPr defaultSize="0" autoLine="0" autoPict="0">
                <anchor moveWithCells="1">
                  <from>
                    <xdr:col>1</xdr:col>
                    <xdr:colOff>19050</xdr:colOff>
                    <xdr:row>8</xdr:row>
                    <xdr:rowOff>9525</xdr:rowOff>
                  </from>
                  <to>
                    <xdr:col>2</xdr:col>
                    <xdr:colOff>0</xdr:colOff>
                    <xdr:row>9</xdr:row>
                    <xdr:rowOff>19050</xdr:rowOff>
                  </to>
                </anchor>
              </controlPr>
            </control>
          </mc:Choice>
        </mc:AlternateContent>
        <mc:AlternateContent xmlns:mc="http://schemas.openxmlformats.org/markup-compatibility/2006">
          <mc:Choice Requires="x14">
            <control shapeId="19461" r:id="rId7" name="Drop Down 5">
              <controlPr defaultSize="0" autoLine="0" autoPict="0">
                <anchor moveWithCells="1">
                  <from>
                    <xdr:col>0</xdr:col>
                    <xdr:colOff>3076575</xdr:colOff>
                    <xdr:row>12</xdr:row>
                    <xdr:rowOff>0</xdr:rowOff>
                  </from>
                  <to>
                    <xdr:col>1</xdr:col>
                    <xdr:colOff>2419350</xdr:colOff>
                    <xdr:row>13</xdr:row>
                    <xdr:rowOff>28575</xdr:rowOff>
                  </to>
                </anchor>
              </controlPr>
            </control>
          </mc:Choice>
        </mc:AlternateContent>
        <mc:AlternateContent xmlns:mc="http://schemas.openxmlformats.org/markup-compatibility/2006">
          <mc:Choice Requires="x14">
            <control shapeId="19462" r:id="rId8" name="Drop Down 6">
              <controlPr defaultSize="0" autoLine="0" autoPict="0">
                <anchor moveWithCells="1">
                  <from>
                    <xdr:col>1</xdr:col>
                    <xdr:colOff>9525</xdr:colOff>
                    <xdr:row>13</xdr:row>
                    <xdr:rowOff>0</xdr:rowOff>
                  </from>
                  <to>
                    <xdr:col>1</xdr:col>
                    <xdr:colOff>2428875</xdr:colOff>
                    <xdr:row>14</xdr:row>
                    <xdr:rowOff>28575</xdr:rowOff>
                  </to>
                </anchor>
              </controlPr>
            </control>
          </mc:Choice>
        </mc:AlternateContent>
        <mc:AlternateContent xmlns:mc="http://schemas.openxmlformats.org/markup-compatibility/2006">
          <mc:Choice Requires="x14">
            <control shapeId="19463" r:id="rId9" name="Drop Down 7">
              <controlPr defaultSize="0" autoLine="0" autoPict="0">
                <anchor moveWithCells="1">
                  <from>
                    <xdr:col>1</xdr:col>
                    <xdr:colOff>9525</xdr:colOff>
                    <xdr:row>14</xdr:row>
                    <xdr:rowOff>38100</xdr:rowOff>
                  </from>
                  <to>
                    <xdr:col>1</xdr:col>
                    <xdr:colOff>2428875</xdr:colOff>
                    <xdr:row>15</xdr:row>
                    <xdr:rowOff>66675</xdr:rowOff>
                  </to>
                </anchor>
              </controlPr>
            </control>
          </mc:Choice>
        </mc:AlternateContent>
        <mc:AlternateContent xmlns:mc="http://schemas.openxmlformats.org/markup-compatibility/2006">
          <mc:Choice Requires="x14">
            <control shapeId="19464" r:id="rId10" name="Drop Down 8">
              <controlPr defaultSize="0" autoLine="0" autoPict="0">
                <anchor moveWithCells="1">
                  <from>
                    <xdr:col>1</xdr:col>
                    <xdr:colOff>0</xdr:colOff>
                    <xdr:row>19</xdr:row>
                    <xdr:rowOff>0</xdr:rowOff>
                  </from>
                  <to>
                    <xdr:col>1</xdr:col>
                    <xdr:colOff>2419350</xdr:colOff>
                    <xdr:row>20</xdr:row>
                    <xdr:rowOff>38100</xdr:rowOff>
                  </to>
                </anchor>
              </controlPr>
            </control>
          </mc:Choice>
        </mc:AlternateContent>
        <mc:AlternateContent xmlns:mc="http://schemas.openxmlformats.org/markup-compatibility/2006">
          <mc:Choice Requires="x14">
            <control shapeId="19465" r:id="rId11" name="Drop Down 9">
              <controlPr defaultSize="0" autoLine="0" autoPict="0">
                <anchor moveWithCells="1">
                  <from>
                    <xdr:col>1</xdr:col>
                    <xdr:colOff>9525</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19466" r:id="rId12" name="Drop Down 10">
              <controlPr defaultSize="0" autoLine="0" autoPict="0">
                <anchor moveWithCells="1">
                  <from>
                    <xdr:col>1</xdr:col>
                    <xdr:colOff>0</xdr:colOff>
                    <xdr:row>22</xdr:row>
                    <xdr:rowOff>0</xdr:rowOff>
                  </from>
                  <to>
                    <xdr:col>2</xdr:col>
                    <xdr:colOff>0</xdr:colOff>
                    <xdr:row>22</xdr:row>
                    <xdr:rowOff>219075</xdr:rowOff>
                  </to>
                </anchor>
              </controlPr>
            </control>
          </mc:Choice>
        </mc:AlternateContent>
        <mc:AlternateContent xmlns:mc="http://schemas.openxmlformats.org/markup-compatibility/2006">
          <mc:Choice Requires="x14">
            <control shapeId="19467" r:id="rId13" name="Drop Down 11">
              <controlPr defaultSize="0" autoLine="0" autoPict="0">
                <anchor moveWithCells="1">
                  <from>
                    <xdr:col>1</xdr:col>
                    <xdr:colOff>9525</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19468" r:id="rId14" name="Drop Down 12">
              <controlPr defaultSize="0" autoLine="0" autoPict="0">
                <anchor moveWithCells="1">
                  <from>
                    <xdr:col>1</xdr:col>
                    <xdr:colOff>9525</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19469" r:id="rId15" name="Drop Down 13">
              <controlPr defaultSize="0" autoLine="0" autoPict="0">
                <anchor moveWithCells="1">
                  <from>
                    <xdr:col>1</xdr:col>
                    <xdr:colOff>0</xdr:colOff>
                    <xdr:row>16</xdr:row>
                    <xdr:rowOff>0</xdr:rowOff>
                  </from>
                  <to>
                    <xdr:col>1</xdr:col>
                    <xdr:colOff>2419350</xdr:colOff>
                    <xdr:row>17</xdr:row>
                    <xdr:rowOff>38100</xdr:rowOff>
                  </to>
                </anchor>
              </controlPr>
            </control>
          </mc:Choice>
        </mc:AlternateContent>
        <mc:AlternateContent xmlns:mc="http://schemas.openxmlformats.org/markup-compatibility/2006">
          <mc:Choice Requires="x14">
            <control shapeId="19470" r:id="rId16" name="Drop Down 14">
              <controlPr defaultSize="0" autoLine="0" autoPict="0">
                <anchor moveWithCells="1">
                  <from>
                    <xdr:col>1</xdr:col>
                    <xdr:colOff>9525</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19471" r:id="rId17" name="Drop Down 15">
              <controlPr defaultSize="0" autoLine="0" autoPict="0">
                <anchor moveWithCells="1">
                  <from>
                    <xdr:col>10</xdr:col>
                    <xdr:colOff>0</xdr:colOff>
                    <xdr:row>2</xdr:row>
                    <xdr:rowOff>0</xdr:rowOff>
                  </from>
                  <to>
                    <xdr:col>10</xdr:col>
                    <xdr:colOff>2419350</xdr:colOff>
                    <xdr:row>3</xdr:row>
                    <xdr:rowOff>38100</xdr:rowOff>
                  </to>
                </anchor>
              </controlPr>
            </control>
          </mc:Choice>
        </mc:AlternateContent>
        <mc:AlternateContent xmlns:mc="http://schemas.openxmlformats.org/markup-compatibility/2006">
          <mc:Choice Requires="x14">
            <control shapeId="19472" r:id="rId18" name="Drop Down 16">
              <controlPr defaultSize="0" autoLine="0" autoPict="0">
                <anchor moveWithCells="1">
                  <from>
                    <xdr:col>10</xdr:col>
                    <xdr:colOff>9525</xdr:colOff>
                    <xdr:row>6</xdr:row>
                    <xdr:rowOff>0</xdr:rowOff>
                  </from>
                  <to>
                    <xdr:col>11</xdr:col>
                    <xdr:colOff>0</xdr:colOff>
                    <xdr:row>7</xdr:row>
                    <xdr:rowOff>28575</xdr:rowOff>
                  </to>
                </anchor>
              </controlPr>
            </control>
          </mc:Choice>
        </mc:AlternateContent>
        <mc:AlternateContent xmlns:mc="http://schemas.openxmlformats.org/markup-compatibility/2006">
          <mc:Choice Requires="x14">
            <control shapeId="19473" r:id="rId19" name="Drop Down 17">
              <controlPr defaultSize="0" autoLine="0" autoPict="0">
                <anchor moveWithCells="1">
                  <from>
                    <xdr:col>10</xdr:col>
                    <xdr:colOff>0</xdr:colOff>
                    <xdr:row>7</xdr:row>
                    <xdr:rowOff>0</xdr:rowOff>
                  </from>
                  <to>
                    <xdr:col>10</xdr:col>
                    <xdr:colOff>2419350</xdr:colOff>
                    <xdr:row>8</xdr:row>
                    <xdr:rowOff>28575</xdr:rowOff>
                  </to>
                </anchor>
              </controlPr>
            </control>
          </mc:Choice>
        </mc:AlternateContent>
        <mc:AlternateContent xmlns:mc="http://schemas.openxmlformats.org/markup-compatibility/2006">
          <mc:Choice Requires="x14">
            <control shapeId="19474" r:id="rId20" name="Drop Down 18">
              <controlPr defaultSize="0" autoLine="0" autoPict="0">
                <anchor moveWithCells="1">
                  <from>
                    <xdr:col>10</xdr:col>
                    <xdr:colOff>0</xdr:colOff>
                    <xdr:row>8</xdr:row>
                    <xdr:rowOff>0</xdr:rowOff>
                  </from>
                  <to>
                    <xdr:col>10</xdr:col>
                    <xdr:colOff>2419350</xdr:colOff>
                    <xdr:row>9</xdr:row>
                    <xdr:rowOff>9525</xdr:rowOff>
                  </to>
                </anchor>
              </controlPr>
            </control>
          </mc:Choice>
        </mc:AlternateContent>
        <mc:AlternateContent xmlns:mc="http://schemas.openxmlformats.org/markup-compatibility/2006">
          <mc:Choice Requires="x14">
            <control shapeId="19475" r:id="rId21" name="Drop Down 19">
              <controlPr defaultSize="0" autoLine="0" autoPict="0">
                <anchor moveWithCells="1">
                  <from>
                    <xdr:col>10</xdr:col>
                    <xdr:colOff>0</xdr:colOff>
                    <xdr:row>12</xdr:row>
                    <xdr:rowOff>0</xdr:rowOff>
                  </from>
                  <to>
                    <xdr:col>10</xdr:col>
                    <xdr:colOff>2419350</xdr:colOff>
                    <xdr:row>13</xdr:row>
                    <xdr:rowOff>28575</xdr:rowOff>
                  </to>
                </anchor>
              </controlPr>
            </control>
          </mc:Choice>
        </mc:AlternateContent>
        <mc:AlternateContent xmlns:mc="http://schemas.openxmlformats.org/markup-compatibility/2006">
          <mc:Choice Requires="x14">
            <control shapeId="19476" r:id="rId22" name="Drop Down 20">
              <controlPr defaultSize="0" autoLine="0" autoPict="0">
                <anchor moveWithCells="1">
                  <from>
                    <xdr:col>10</xdr:col>
                    <xdr:colOff>0</xdr:colOff>
                    <xdr:row>13</xdr:row>
                    <xdr:rowOff>0</xdr:rowOff>
                  </from>
                  <to>
                    <xdr:col>10</xdr:col>
                    <xdr:colOff>2419350</xdr:colOff>
                    <xdr:row>14</xdr:row>
                    <xdr:rowOff>28575</xdr:rowOff>
                  </to>
                </anchor>
              </controlPr>
            </control>
          </mc:Choice>
        </mc:AlternateContent>
        <mc:AlternateContent xmlns:mc="http://schemas.openxmlformats.org/markup-compatibility/2006">
          <mc:Choice Requires="x14">
            <control shapeId="19477" r:id="rId23" name="Drop Down 21">
              <controlPr defaultSize="0" autoLine="0" autoPict="0">
                <anchor moveWithCells="1">
                  <from>
                    <xdr:col>10</xdr:col>
                    <xdr:colOff>0</xdr:colOff>
                    <xdr:row>14</xdr:row>
                    <xdr:rowOff>0</xdr:rowOff>
                  </from>
                  <to>
                    <xdr:col>10</xdr:col>
                    <xdr:colOff>2419350</xdr:colOff>
                    <xdr:row>15</xdr:row>
                    <xdr:rowOff>28575</xdr:rowOff>
                  </to>
                </anchor>
              </controlPr>
            </control>
          </mc:Choice>
        </mc:AlternateContent>
        <mc:AlternateContent xmlns:mc="http://schemas.openxmlformats.org/markup-compatibility/2006">
          <mc:Choice Requires="x14">
            <control shapeId="19478" r:id="rId24" name="Drop Down 22">
              <controlPr defaultSize="0" autoLine="0" autoPict="0">
                <anchor moveWithCells="1">
                  <from>
                    <xdr:col>10</xdr:col>
                    <xdr:colOff>0</xdr:colOff>
                    <xdr:row>16</xdr:row>
                    <xdr:rowOff>0</xdr:rowOff>
                  </from>
                  <to>
                    <xdr:col>10</xdr:col>
                    <xdr:colOff>2419350</xdr:colOff>
                    <xdr:row>17</xdr:row>
                    <xdr:rowOff>38100</xdr:rowOff>
                  </to>
                </anchor>
              </controlPr>
            </control>
          </mc:Choice>
        </mc:AlternateContent>
        <mc:AlternateContent xmlns:mc="http://schemas.openxmlformats.org/markup-compatibility/2006">
          <mc:Choice Requires="x14">
            <control shapeId="19479" r:id="rId25" name="Drop Down 23">
              <controlPr defaultSize="0" autoLine="0" autoPict="0">
                <anchor moveWithCells="1">
                  <from>
                    <xdr:col>10</xdr:col>
                    <xdr:colOff>0</xdr:colOff>
                    <xdr:row>19</xdr:row>
                    <xdr:rowOff>0</xdr:rowOff>
                  </from>
                  <to>
                    <xdr:col>10</xdr:col>
                    <xdr:colOff>2419350</xdr:colOff>
                    <xdr:row>20</xdr:row>
                    <xdr:rowOff>38100</xdr:rowOff>
                  </to>
                </anchor>
              </controlPr>
            </control>
          </mc:Choice>
        </mc:AlternateContent>
        <mc:AlternateContent xmlns:mc="http://schemas.openxmlformats.org/markup-compatibility/2006">
          <mc:Choice Requires="x14">
            <control shapeId="19480" r:id="rId26" name="Drop Down 24">
              <controlPr defaultSize="0" autoLine="0" autoPict="0">
                <anchor moveWithCells="1">
                  <from>
                    <xdr:col>10</xdr:col>
                    <xdr:colOff>9525</xdr:colOff>
                    <xdr:row>21</xdr:row>
                    <xdr:rowOff>0</xdr:rowOff>
                  </from>
                  <to>
                    <xdr:col>11</xdr:col>
                    <xdr:colOff>0</xdr:colOff>
                    <xdr:row>22</xdr:row>
                    <xdr:rowOff>38100</xdr:rowOff>
                  </to>
                </anchor>
              </controlPr>
            </control>
          </mc:Choice>
        </mc:AlternateContent>
        <mc:AlternateContent xmlns:mc="http://schemas.openxmlformats.org/markup-compatibility/2006">
          <mc:Choice Requires="x14">
            <control shapeId="19481" r:id="rId27" name="Drop Down 25">
              <controlPr defaultSize="0" autoLine="0" autoPict="0">
                <anchor moveWithCells="1">
                  <from>
                    <xdr:col>10</xdr:col>
                    <xdr:colOff>0</xdr:colOff>
                    <xdr:row>22</xdr:row>
                    <xdr:rowOff>28575</xdr:rowOff>
                  </from>
                  <to>
                    <xdr:col>10</xdr:col>
                    <xdr:colOff>2428875</xdr:colOff>
                    <xdr:row>23</xdr:row>
                    <xdr:rowOff>9525</xdr:rowOff>
                  </to>
                </anchor>
              </controlPr>
            </control>
          </mc:Choice>
        </mc:AlternateContent>
        <mc:AlternateContent xmlns:mc="http://schemas.openxmlformats.org/markup-compatibility/2006">
          <mc:Choice Requires="x14">
            <control shapeId="19482" r:id="rId28" name="Drop Down 26">
              <controlPr defaultSize="0" autoLine="0" autoPict="0">
                <anchor moveWithCells="1">
                  <from>
                    <xdr:col>10</xdr:col>
                    <xdr:colOff>9525</xdr:colOff>
                    <xdr:row>23</xdr:row>
                    <xdr:rowOff>0</xdr:rowOff>
                  </from>
                  <to>
                    <xdr:col>11</xdr:col>
                    <xdr:colOff>0</xdr:colOff>
                    <xdr:row>24</xdr:row>
                    <xdr:rowOff>38100</xdr:rowOff>
                  </to>
                </anchor>
              </controlPr>
            </control>
          </mc:Choice>
        </mc:AlternateContent>
        <mc:AlternateContent xmlns:mc="http://schemas.openxmlformats.org/markup-compatibility/2006">
          <mc:Choice Requires="x14">
            <control shapeId="19483" r:id="rId29" name="Drop Down 27">
              <controlPr defaultSize="0" autoLine="0" autoPict="0">
                <anchor moveWithCells="1">
                  <from>
                    <xdr:col>10</xdr:col>
                    <xdr:colOff>9525</xdr:colOff>
                    <xdr:row>24</xdr:row>
                    <xdr:rowOff>0</xdr:rowOff>
                  </from>
                  <to>
                    <xdr:col>11</xdr:col>
                    <xdr:colOff>0</xdr:colOff>
                    <xdr:row>25</xdr:row>
                    <xdr:rowOff>38100</xdr:rowOff>
                  </to>
                </anchor>
              </controlPr>
            </control>
          </mc:Choice>
        </mc:AlternateContent>
        <mc:AlternateContent xmlns:mc="http://schemas.openxmlformats.org/markup-compatibility/2006">
          <mc:Choice Requires="x14">
            <control shapeId="19484" r:id="rId30" name="Drop Down 28">
              <controlPr defaultSize="0" autoLine="0" autoPict="0">
                <anchor moveWithCells="1">
                  <from>
                    <xdr:col>10</xdr:col>
                    <xdr:colOff>9525</xdr:colOff>
                    <xdr:row>26</xdr:row>
                    <xdr:rowOff>0</xdr:rowOff>
                  </from>
                  <to>
                    <xdr:col>11</xdr:col>
                    <xdr:colOff>0</xdr:colOff>
                    <xdr:row>27</xdr:row>
                    <xdr:rowOff>38100</xdr:rowOff>
                  </to>
                </anchor>
              </controlPr>
            </control>
          </mc:Choice>
        </mc:AlternateContent>
        <mc:AlternateContent xmlns:mc="http://schemas.openxmlformats.org/markup-compatibility/2006">
          <mc:Choice Requires="x14">
            <control shapeId="19485" r:id="rId31" name="Drop Down 29">
              <controlPr defaultSize="0" autoLine="0" autoPict="0">
                <anchor moveWithCells="1">
                  <from>
                    <xdr:col>1</xdr:col>
                    <xdr:colOff>0</xdr:colOff>
                    <xdr:row>4</xdr:row>
                    <xdr:rowOff>0</xdr:rowOff>
                  </from>
                  <to>
                    <xdr:col>1</xdr:col>
                    <xdr:colOff>2419350</xdr:colOff>
                    <xdr:row>5</xdr:row>
                    <xdr:rowOff>19050</xdr:rowOff>
                  </to>
                </anchor>
              </controlPr>
            </control>
          </mc:Choice>
        </mc:AlternateContent>
        <mc:AlternateContent xmlns:mc="http://schemas.openxmlformats.org/markup-compatibility/2006">
          <mc:Choice Requires="x14">
            <control shapeId="19486" r:id="rId32" name="Drop Down 30">
              <controlPr defaultSize="0" autoLine="0" autoPict="0">
                <anchor moveWithCells="1">
                  <from>
                    <xdr:col>9</xdr:col>
                    <xdr:colOff>447675</xdr:colOff>
                    <xdr:row>4</xdr:row>
                    <xdr:rowOff>19050</xdr:rowOff>
                  </from>
                  <to>
                    <xdr:col>10</xdr:col>
                    <xdr:colOff>2409825</xdr:colOff>
                    <xdr:row>5</xdr:row>
                    <xdr:rowOff>38100</xdr:rowOff>
                  </to>
                </anchor>
              </controlPr>
            </control>
          </mc:Choice>
        </mc:AlternateContent>
        <mc:AlternateContent xmlns:mc="http://schemas.openxmlformats.org/markup-compatibility/2006">
          <mc:Choice Requires="x14">
            <control shapeId="19487" r:id="rId33" name="Drop Down 31">
              <controlPr defaultSize="0" autoLine="0" autoPict="0">
                <anchor moveWithCells="1">
                  <from>
                    <xdr:col>8</xdr:col>
                    <xdr:colOff>9525</xdr:colOff>
                    <xdr:row>5</xdr:row>
                    <xdr:rowOff>180975</xdr:rowOff>
                  </from>
                  <to>
                    <xdr:col>8</xdr:col>
                    <xdr:colOff>1847850</xdr:colOff>
                    <xdr:row>7</xdr:row>
                    <xdr:rowOff>28575</xdr:rowOff>
                  </to>
                </anchor>
              </controlPr>
            </control>
          </mc:Choice>
        </mc:AlternateContent>
        <mc:AlternateContent xmlns:mc="http://schemas.openxmlformats.org/markup-compatibility/2006">
          <mc:Choice Requires="x14">
            <control shapeId="19488" r:id="rId34" name="Drop Down 32">
              <controlPr defaultSize="0" autoLine="0" autoPict="0">
                <anchor moveWithCells="1">
                  <from>
                    <xdr:col>8</xdr:col>
                    <xdr:colOff>9525</xdr:colOff>
                    <xdr:row>12</xdr:row>
                    <xdr:rowOff>9525</xdr:rowOff>
                  </from>
                  <to>
                    <xdr:col>8</xdr:col>
                    <xdr:colOff>1866900</xdr:colOff>
                    <xdr:row>13</xdr:row>
                    <xdr:rowOff>57150</xdr:rowOff>
                  </to>
                </anchor>
              </controlPr>
            </control>
          </mc:Choice>
        </mc:AlternateContent>
        <mc:AlternateContent xmlns:mc="http://schemas.openxmlformats.org/markup-compatibility/2006">
          <mc:Choice Requires="x14">
            <control shapeId="19489" r:id="rId35" name="Drop Down 33">
              <controlPr defaultSize="0" autoLine="0" autoPict="0">
                <anchor moveWithCells="1">
                  <from>
                    <xdr:col>8</xdr:col>
                    <xdr:colOff>9525</xdr:colOff>
                    <xdr:row>26</xdr:row>
                    <xdr:rowOff>0</xdr:rowOff>
                  </from>
                  <to>
                    <xdr:col>8</xdr:col>
                    <xdr:colOff>1866900</xdr:colOff>
                    <xdr:row>27</xdr:row>
                    <xdr:rowOff>28575</xdr:rowOff>
                  </to>
                </anchor>
              </controlPr>
            </control>
          </mc:Choice>
        </mc:AlternateContent>
        <mc:AlternateContent xmlns:mc="http://schemas.openxmlformats.org/markup-compatibility/2006">
          <mc:Choice Requires="x14">
            <control shapeId="19490" r:id="rId36" name="Drop Down 34">
              <controlPr defaultSize="0" autoLine="0" autoPict="0">
                <anchor moveWithCells="1">
                  <from>
                    <xdr:col>1</xdr:col>
                    <xdr:colOff>0</xdr:colOff>
                    <xdr:row>3</xdr:row>
                    <xdr:rowOff>0</xdr:rowOff>
                  </from>
                  <to>
                    <xdr:col>1</xdr:col>
                    <xdr:colOff>2419350</xdr:colOff>
                    <xdr:row>4</xdr:row>
                    <xdr:rowOff>28575</xdr:rowOff>
                  </to>
                </anchor>
              </controlPr>
            </control>
          </mc:Choice>
        </mc:AlternateContent>
        <mc:AlternateContent xmlns:mc="http://schemas.openxmlformats.org/markup-compatibility/2006">
          <mc:Choice Requires="x14">
            <control shapeId="19491" r:id="rId37" name="Drop Down 35">
              <controlPr defaultSize="0" autoLine="0" autoPict="0">
                <anchor moveWithCells="1">
                  <from>
                    <xdr:col>10</xdr:col>
                    <xdr:colOff>0</xdr:colOff>
                    <xdr:row>3</xdr:row>
                    <xdr:rowOff>0</xdr:rowOff>
                  </from>
                  <to>
                    <xdr:col>10</xdr:col>
                    <xdr:colOff>2419350</xdr:colOff>
                    <xdr:row>4</xdr:row>
                    <xdr:rowOff>28575</xdr:rowOff>
                  </to>
                </anchor>
              </controlPr>
            </control>
          </mc:Choice>
        </mc:AlternateContent>
        <mc:AlternateContent xmlns:mc="http://schemas.openxmlformats.org/markup-compatibility/2006">
          <mc:Choice Requires="x14">
            <control shapeId="19492" r:id="rId38" name="Drop Down 36">
              <controlPr defaultSize="0" autoLine="0" autoPict="0">
                <anchor moveWithCells="1">
                  <from>
                    <xdr:col>4</xdr:col>
                    <xdr:colOff>0</xdr:colOff>
                    <xdr:row>6</xdr:row>
                    <xdr:rowOff>0</xdr:rowOff>
                  </from>
                  <to>
                    <xdr:col>5</xdr:col>
                    <xdr:colOff>0</xdr:colOff>
                    <xdr:row>7</xdr:row>
                    <xdr:rowOff>19050</xdr:rowOff>
                  </to>
                </anchor>
              </controlPr>
            </control>
          </mc:Choice>
        </mc:AlternateContent>
        <mc:AlternateContent xmlns:mc="http://schemas.openxmlformats.org/markup-compatibility/2006">
          <mc:Choice Requires="x14">
            <control shapeId="19494" r:id="rId39" name="Drop Down 38">
              <controlPr defaultSize="0" autoLine="0" autoPict="0">
                <anchor moveWithCells="1">
                  <from>
                    <xdr:col>1</xdr:col>
                    <xdr:colOff>19050</xdr:colOff>
                    <xdr:row>9</xdr:row>
                    <xdr:rowOff>0</xdr:rowOff>
                  </from>
                  <to>
                    <xdr:col>2</xdr:col>
                    <xdr:colOff>0</xdr:colOff>
                    <xdr:row>9</xdr:row>
                    <xdr:rowOff>219075</xdr:rowOff>
                  </to>
                </anchor>
              </controlPr>
            </control>
          </mc:Choice>
        </mc:AlternateContent>
        <mc:AlternateContent xmlns:mc="http://schemas.openxmlformats.org/markup-compatibility/2006">
          <mc:Choice Requires="x14">
            <control shapeId="19496" r:id="rId40" name="Drop Down 40">
              <controlPr defaultSize="0" autoLine="0" autoPict="0">
                <anchor moveWithCells="1">
                  <from>
                    <xdr:col>1</xdr:col>
                    <xdr:colOff>0</xdr:colOff>
                    <xdr:row>10</xdr:row>
                    <xdr:rowOff>0</xdr:rowOff>
                  </from>
                  <to>
                    <xdr:col>1</xdr:col>
                    <xdr:colOff>2419350</xdr:colOff>
                    <xdr:row>11</xdr:row>
                    <xdr:rowOff>28575</xdr:rowOff>
                  </to>
                </anchor>
              </controlPr>
            </control>
          </mc:Choice>
        </mc:AlternateContent>
        <mc:AlternateContent xmlns:mc="http://schemas.openxmlformats.org/markup-compatibility/2006">
          <mc:Choice Requires="x14">
            <control shapeId="19497" r:id="rId41" name="Drop Down 41">
              <controlPr defaultSize="0" autoLine="0" autoPict="0">
                <anchor moveWithCells="1">
                  <from>
                    <xdr:col>4</xdr:col>
                    <xdr:colOff>0</xdr:colOff>
                    <xdr:row>7</xdr:row>
                    <xdr:rowOff>0</xdr:rowOff>
                  </from>
                  <to>
                    <xdr:col>5</xdr:col>
                    <xdr:colOff>0</xdr:colOff>
                    <xdr:row>8</xdr:row>
                    <xdr:rowOff>19050</xdr:rowOff>
                  </to>
                </anchor>
              </controlPr>
            </control>
          </mc:Choice>
        </mc:AlternateContent>
        <mc:AlternateContent xmlns:mc="http://schemas.openxmlformats.org/markup-compatibility/2006">
          <mc:Choice Requires="x14">
            <control shapeId="19498" r:id="rId42" name="Drop Down 42">
              <controlPr defaultSize="0" autoLine="0" autoPict="0">
                <anchor moveWithCells="1">
                  <from>
                    <xdr:col>4</xdr:col>
                    <xdr:colOff>0</xdr:colOff>
                    <xdr:row>8</xdr:row>
                    <xdr:rowOff>0</xdr:rowOff>
                  </from>
                  <to>
                    <xdr:col>5</xdr:col>
                    <xdr:colOff>0</xdr:colOff>
                    <xdr:row>9</xdr:row>
                    <xdr:rowOff>0</xdr:rowOff>
                  </to>
                </anchor>
              </controlPr>
            </control>
          </mc:Choice>
        </mc:AlternateContent>
        <mc:AlternateContent xmlns:mc="http://schemas.openxmlformats.org/markup-compatibility/2006">
          <mc:Choice Requires="x14">
            <control shapeId="19499" r:id="rId43" name="Drop Down 43">
              <controlPr defaultSize="0" autoLine="0" autoPict="0">
                <anchor moveWithCells="1">
                  <from>
                    <xdr:col>4</xdr:col>
                    <xdr:colOff>0</xdr:colOff>
                    <xdr:row>9</xdr:row>
                    <xdr:rowOff>0</xdr:rowOff>
                  </from>
                  <to>
                    <xdr:col>5</xdr:col>
                    <xdr:colOff>0</xdr:colOff>
                    <xdr:row>9</xdr:row>
                    <xdr:rowOff>209550</xdr:rowOff>
                  </to>
                </anchor>
              </controlPr>
            </control>
          </mc:Choice>
        </mc:AlternateContent>
        <mc:AlternateContent xmlns:mc="http://schemas.openxmlformats.org/markup-compatibility/2006">
          <mc:Choice Requires="x14">
            <control shapeId="19500" r:id="rId44" name="Drop Down 44">
              <controlPr defaultSize="0" autoLine="0" autoPict="0">
                <anchor moveWithCells="1">
                  <from>
                    <xdr:col>4</xdr:col>
                    <xdr:colOff>0</xdr:colOff>
                    <xdr:row>10</xdr:row>
                    <xdr:rowOff>9525</xdr:rowOff>
                  </from>
                  <to>
                    <xdr:col>4</xdr:col>
                    <xdr:colOff>552450</xdr:colOff>
                    <xdr:row>11</xdr:row>
                    <xdr:rowOff>19050</xdr:rowOff>
                  </to>
                </anchor>
              </controlPr>
            </control>
          </mc:Choice>
        </mc:AlternateContent>
        <mc:AlternateContent xmlns:mc="http://schemas.openxmlformats.org/markup-compatibility/2006">
          <mc:Choice Requires="x14">
            <control shapeId="19501" r:id="rId45" name="Drop Down 45">
              <controlPr defaultSize="0" autoLine="0" autoPict="0">
                <anchor moveWithCells="1">
                  <from>
                    <xdr:col>10</xdr:col>
                    <xdr:colOff>0</xdr:colOff>
                    <xdr:row>9</xdr:row>
                    <xdr:rowOff>0</xdr:rowOff>
                  </from>
                  <to>
                    <xdr:col>10</xdr:col>
                    <xdr:colOff>2419350</xdr:colOff>
                    <xdr:row>9</xdr:row>
                    <xdr:rowOff>219075</xdr:rowOff>
                  </to>
                </anchor>
              </controlPr>
            </control>
          </mc:Choice>
        </mc:AlternateContent>
        <mc:AlternateContent xmlns:mc="http://schemas.openxmlformats.org/markup-compatibility/2006">
          <mc:Choice Requires="x14">
            <control shapeId="19502" r:id="rId46" name="Drop Down 46">
              <controlPr defaultSize="0" autoLine="0" autoPict="0">
                <anchor moveWithCells="1">
                  <from>
                    <xdr:col>10</xdr:col>
                    <xdr:colOff>0</xdr:colOff>
                    <xdr:row>10</xdr:row>
                    <xdr:rowOff>0</xdr:rowOff>
                  </from>
                  <to>
                    <xdr:col>10</xdr:col>
                    <xdr:colOff>2419350</xdr:colOff>
                    <xdr:row>11</xdr:row>
                    <xdr:rowOff>28575</xdr:rowOff>
                  </to>
                </anchor>
              </controlPr>
            </control>
          </mc:Choice>
        </mc:AlternateContent>
        <mc:AlternateContent xmlns:mc="http://schemas.openxmlformats.org/markup-compatibility/2006">
          <mc:Choice Requires="x14">
            <control shapeId="19503" r:id="rId47" name="Drop Down 47">
              <controlPr defaultSize="0" autoLine="0" autoPict="0">
                <anchor moveWithCells="1">
                  <from>
                    <xdr:col>13</xdr:col>
                    <xdr:colOff>0</xdr:colOff>
                    <xdr:row>6</xdr:row>
                    <xdr:rowOff>0</xdr:rowOff>
                  </from>
                  <to>
                    <xdr:col>14</xdr:col>
                    <xdr:colOff>0</xdr:colOff>
                    <xdr:row>7</xdr:row>
                    <xdr:rowOff>19050</xdr:rowOff>
                  </to>
                </anchor>
              </controlPr>
            </control>
          </mc:Choice>
        </mc:AlternateContent>
        <mc:AlternateContent xmlns:mc="http://schemas.openxmlformats.org/markup-compatibility/2006">
          <mc:Choice Requires="x14">
            <control shapeId="19504" r:id="rId48" name="Drop Down 48">
              <controlPr defaultSize="0" autoLine="0" autoPict="0">
                <anchor moveWithCells="1">
                  <from>
                    <xdr:col>13</xdr:col>
                    <xdr:colOff>0</xdr:colOff>
                    <xdr:row>7</xdr:row>
                    <xdr:rowOff>0</xdr:rowOff>
                  </from>
                  <to>
                    <xdr:col>14</xdr:col>
                    <xdr:colOff>0</xdr:colOff>
                    <xdr:row>8</xdr:row>
                    <xdr:rowOff>19050</xdr:rowOff>
                  </to>
                </anchor>
              </controlPr>
            </control>
          </mc:Choice>
        </mc:AlternateContent>
        <mc:AlternateContent xmlns:mc="http://schemas.openxmlformats.org/markup-compatibility/2006">
          <mc:Choice Requires="x14">
            <control shapeId="19505" r:id="rId49" name="Drop Down 49">
              <controlPr defaultSize="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19506" r:id="rId50" name="Drop Down 50">
              <controlPr defaultSize="0" autoLine="0" autoPict="0">
                <anchor moveWithCells="1">
                  <from>
                    <xdr:col>13</xdr:col>
                    <xdr:colOff>0</xdr:colOff>
                    <xdr:row>9</xdr:row>
                    <xdr:rowOff>0</xdr:rowOff>
                  </from>
                  <to>
                    <xdr:col>14</xdr:col>
                    <xdr:colOff>0</xdr:colOff>
                    <xdr:row>9</xdr:row>
                    <xdr:rowOff>209550</xdr:rowOff>
                  </to>
                </anchor>
              </controlPr>
            </control>
          </mc:Choice>
        </mc:AlternateContent>
        <mc:AlternateContent xmlns:mc="http://schemas.openxmlformats.org/markup-compatibility/2006">
          <mc:Choice Requires="x14">
            <control shapeId="19507" r:id="rId51" name="Drop Down 51">
              <controlPr defaultSize="0" autoLine="0" autoPict="0">
                <anchor moveWithCells="1">
                  <from>
                    <xdr:col>13</xdr:col>
                    <xdr:colOff>0</xdr:colOff>
                    <xdr:row>10</xdr:row>
                    <xdr:rowOff>9525</xdr:rowOff>
                  </from>
                  <to>
                    <xdr:col>14</xdr:col>
                    <xdr:colOff>0</xdr:colOff>
                    <xdr:row>11</xdr:row>
                    <xdr:rowOff>28575</xdr:rowOff>
                  </to>
                </anchor>
              </controlPr>
            </control>
          </mc:Choice>
        </mc:AlternateContent>
        <mc:AlternateContent xmlns:mc="http://schemas.openxmlformats.org/markup-compatibility/2006">
          <mc:Choice Requires="x14">
            <control shapeId="19513" r:id="rId52" name="Drop Down 57">
              <controlPr defaultSize="0" autoLine="0" autoPict="0">
                <anchor moveWithCells="1">
                  <from>
                    <xdr:col>4</xdr:col>
                    <xdr:colOff>0</xdr:colOff>
                    <xdr:row>11</xdr:row>
                    <xdr:rowOff>180975</xdr:rowOff>
                  </from>
                  <to>
                    <xdr:col>5</xdr:col>
                    <xdr:colOff>38100</xdr:colOff>
                    <xdr:row>13</xdr:row>
                    <xdr:rowOff>0</xdr:rowOff>
                  </to>
                </anchor>
              </controlPr>
            </control>
          </mc:Choice>
        </mc:AlternateContent>
        <mc:AlternateContent xmlns:mc="http://schemas.openxmlformats.org/markup-compatibility/2006">
          <mc:Choice Requires="x14">
            <control shapeId="19514" r:id="rId53" name="Drop Down 58">
              <controlPr defaultSize="0" autoLine="0" autoPict="0">
                <anchor moveWithCells="1">
                  <from>
                    <xdr:col>4</xdr:col>
                    <xdr:colOff>0</xdr:colOff>
                    <xdr:row>13</xdr:row>
                    <xdr:rowOff>180975</xdr:rowOff>
                  </from>
                  <to>
                    <xdr:col>5</xdr:col>
                    <xdr:colOff>38100</xdr:colOff>
                    <xdr:row>15</xdr:row>
                    <xdr:rowOff>0</xdr:rowOff>
                  </to>
                </anchor>
              </controlPr>
            </control>
          </mc:Choice>
        </mc:AlternateContent>
        <mc:AlternateContent xmlns:mc="http://schemas.openxmlformats.org/markup-compatibility/2006">
          <mc:Choice Requires="x14">
            <control shapeId="19515" r:id="rId54" name="Drop Down 59">
              <controlPr defaultSize="0" autoLine="0" autoPict="0">
                <anchor moveWithCells="1">
                  <from>
                    <xdr:col>4</xdr:col>
                    <xdr:colOff>0</xdr:colOff>
                    <xdr:row>12</xdr:row>
                    <xdr:rowOff>180975</xdr:rowOff>
                  </from>
                  <to>
                    <xdr:col>5</xdr:col>
                    <xdr:colOff>38100</xdr:colOff>
                    <xdr:row>14</xdr:row>
                    <xdr:rowOff>0</xdr:rowOff>
                  </to>
                </anchor>
              </controlPr>
            </control>
          </mc:Choice>
        </mc:AlternateContent>
        <mc:AlternateContent xmlns:mc="http://schemas.openxmlformats.org/markup-compatibility/2006">
          <mc:Choice Requires="x14">
            <control shapeId="19518" r:id="rId55" name="Drop Down 62">
              <controlPr defaultSize="0" autoLine="0" autoPict="0">
                <anchor moveWithCells="1">
                  <from>
                    <xdr:col>13</xdr:col>
                    <xdr:colOff>0</xdr:colOff>
                    <xdr:row>12</xdr:row>
                    <xdr:rowOff>0</xdr:rowOff>
                  </from>
                  <to>
                    <xdr:col>14</xdr:col>
                    <xdr:colOff>38100</xdr:colOff>
                    <xdr:row>13</xdr:row>
                    <xdr:rowOff>9525</xdr:rowOff>
                  </to>
                </anchor>
              </controlPr>
            </control>
          </mc:Choice>
        </mc:AlternateContent>
        <mc:AlternateContent xmlns:mc="http://schemas.openxmlformats.org/markup-compatibility/2006">
          <mc:Choice Requires="x14">
            <control shapeId="19519" r:id="rId56" name="Drop Down 63">
              <controlPr defaultSize="0" autoLine="0" autoPict="0">
                <anchor moveWithCells="1">
                  <from>
                    <xdr:col>13</xdr:col>
                    <xdr:colOff>0</xdr:colOff>
                    <xdr:row>12</xdr:row>
                    <xdr:rowOff>171450</xdr:rowOff>
                  </from>
                  <to>
                    <xdr:col>14</xdr:col>
                    <xdr:colOff>38100</xdr:colOff>
                    <xdr:row>13</xdr:row>
                    <xdr:rowOff>180975</xdr:rowOff>
                  </to>
                </anchor>
              </controlPr>
            </control>
          </mc:Choice>
        </mc:AlternateContent>
        <mc:AlternateContent xmlns:mc="http://schemas.openxmlformats.org/markup-compatibility/2006">
          <mc:Choice Requires="x14">
            <control shapeId="19520" r:id="rId57" name="Drop Down 64">
              <controlPr defaultSize="0" autoLine="0" autoPict="0">
                <anchor moveWithCells="1">
                  <from>
                    <xdr:col>13</xdr:col>
                    <xdr:colOff>9525</xdr:colOff>
                    <xdr:row>14</xdr:row>
                    <xdr:rowOff>0</xdr:rowOff>
                  </from>
                  <to>
                    <xdr:col>14</xdr:col>
                    <xdr:colOff>47625</xdr:colOff>
                    <xdr:row>15</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1"/>
  <sheetViews>
    <sheetView zoomScaleNormal="100" workbookViewId="0">
      <pane xSplit="1" topLeftCell="B1" activePane="topRight" state="frozen"/>
      <selection pane="topRight" activeCell="C2" sqref="C2"/>
    </sheetView>
  </sheetViews>
  <sheetFormatPr defaultRowHeight="14.25" x14ac:dyDescent="0.2"/>
  <cols>
    <col min="1" max="1" width="25.7109375" style="97" bestFit="1" customWidth="1"/>
    <col min="2" max="2" width="36" style="97" customWidth="1"/>
    <col min="3" max="3" width="4.85546875" style="97" customWidth="1"/>
    <col min="4" max="4" width="6.7109375" style="97" customWidth="1"/>
    <col min="5" max="5" width="9" style="97" customWidth="1"/>
    <col min="6" max="6" width="5.5703125" style="97" customWidth="1"/>
    <col min="7" max="7" width="3.85546875" style="97" customWidth="1"/>
    <col min="8" max="8" width="4.28515625" style="97" customWidth="1"/>
    <col min="9" max="9" width="28.140625" style="97" customWidth="1"/>
    <col min="10" max="10" width="6.85546875" style="97" customWidth="1"/>
    <col min="11" max="11" width="36.5703125" style="97" customWidth="1"/>
    <col min="12" max="12" width="5" style="96" customWidth="1"/>
    <col min="13" max="13" width="4.85546875" style="96" customWidth="1"/>
    <col min="14" max="14" width="8.7109375" style="96" customWidth="1"/>
    <col min="15" max="15" width="5.42578125" style="96" customWidth="1"/>
    <col min="16" max="16" width="3.85546875" style="96" customWidth="1"/>
    <col min="17" max="17" width="3.7109375" style="96" customWidth="1"/>
    <col min="18" max="16384" width="9.140625" style="96"/>
  </cols>
  <sheetData>
    <row r="1" spans="1:21" ht="18" x14ac:dyDescent="0.25">
      <c r="A1" s="487" t="s">
        <v>328</v>
      </c>
      <c r="B1" s="94" t="s">
        <v>129</v>
      </c>
      <c r="C1" s="95"/>
      <c r="D1" s="95"/>
      <c r="E1" s="95"/>
      <c r="F1" s="95"/>
      <c r="G1" s="95"/>
      <c r="H1" s="95"/>
      <c r="I1" s="314" t="s">
        <v>128</v>
      </c>
      <c r="J1" s="315" t="s">
        <v>56</v>
      </c>
      <c r="K1" s="94" t="s">
        <v>127</v>
      </c>
      <c r="L1" s="322"/>
      <c r="M1" s="322"/>
      <c r="N1" s="322"/>
      <c r="O1" s="322"/>
      <c r="P1" s="322"/>
      <c r="Q1" s="322"/>
      <c r="S1" s="297"/>
    </row>
    <row r="2" spans="1:21" x14ac:dyDescent="0.2">
      <c r="A2" s="495" t="s">
        <v>1181</v>
      </c>
      <c r="B2" s="101">
        <v>30</v>
      </c>
      <c r="C2" s="499" t="s">
        <v>1182</v>
      </c>
      <c r="D2" s="95"/>
      <c r="E2" s="95"/>
      <c r="F2" s="95"/>
      <c r="G2" s="95"/>
      <c r="H2" s="95"/>
      <c r="I2" s="316"/>
      <c r="J2" s="317"/>
      <c r="K2" s="94"/>
      <c r="L2" s="322"/>
      <c r="M2" s="322"/>
      <c r="N2" s="322"/>
      <c r="O2" s="322"/>
      <c r="P2" s="322"/>
      <c r="Q2" s="322"/>
    </row>
    <row r="3" spans="1:21" x14ac:dyDescent="0.2">
      <c r="A3" s="95" t="s">
        <v>95</v>
      </c>
      <c r="B3" s="95"/>
      <c r="C3" s="95"/>
      <c r="D3" s="95"/>
      <c r="E3" s="95"/>
      <c r="F3" s="95"/>
      <c r="G3" s="95"/>
      <c r="H3" s="95"/>
      <c r="I3" s="318"/>
      <c r="J3" s="319"/>
      <c r="K3" s="95"/>
      <c r="L3" s="322"/>
      <c r="M3" s="322"/>
      <c r="N3" s="322"/>
      <c r="O3" s="322"/>
      <c r="P3" s="322"/>
      <c r="Q3" s="322"/>
    </row>
    <row r="4" spans="1:21" ht="15" customHeight="1" x14ac:dyDescent="0.2">
      <c r="A4" s="95" t="s">
        <v>825</v>
      </c>
      <c r="B4" s="95"/>
      <c r="C4" s="95"/>
      <c r="D4" s="95"/>
      <c r="E4" s="95"/>
      <c r="F4" s="95"/>
      <c r="G4" s="95"/>
      <c r="H4" s="95"/>
      <c r="I4" s="318"/>
      <c r="J4" s="319"/>
      <c r="K4" s="95"/>
      <c r="L4" s="406" t="s">
        <v>1027</v>
      </c>
      <c r="M4" s="322"/>
      <c r="N4" s="322"/>
      <c r="O4" s="322"/>
      <c r="P4" s="322"/>
      <c r="Q4" s="322"/>
    </row>
    <row r="5" spans="1:21" ht="15" customHeight="1" x14ac:dyDescent="0.2">
      <c r="A5" s="95" t="s">
        <v>976</v>
      </c>
      <c r="B5" s="95"/>
      <c r="C5" s="95"/>
      <c r="D5" s="95"/>
      <c r="E5" s="95"/>
      <c r="F5" s="95"/>
      <c r="G5" s="95"/>
      <c r="H5" s="95"/>
      <c r="I5" s="318" t="str">
        <f>IF(AND('binnenklimaatlabel type 1'!B2&lt;4,'binnenklimaatlabel type 1'!B4&lt;2),"Spoiler of koof","geen")</f>
        <v>geen</v>
      </c>
      <c r="J5" s="456" t="s">
        <v>737</v>
      </c>
      <c r="K5" s="95"/>
      <c r="L5" s="406" t="s">
        <v>1028</v>
      </c>
      <c r="M5" s="322"/>
      <c r="N5" s="322"/>
      <c r="O5" s="322"/>
      <c r="P5" s="322"/>
      <c r="Q5" s="322"/>
    </row>
    <row r="6" spans="1:21" x14ac:dyDescent="0.2">
      <c r="A6" s="94" t="s">
        <v>699</v>
      </c>
      <c r="B6" s="95"/>
      <c r="C6" s="95" t="s">
        <v>120</v>
      </c>
      <c r="D6" s="95" t="s">
        <v>119</v>
      </c>
      <c r="E6" s="95" t="s">
        <v>221</v>
      </c>
      <c r="F6" s="95" t="s">
        <v>50</v>
      </c>
      <c r="G6" s="95"/>
      <c r="H6" s="95"/>
      <c r="I6" s="318" t="s">
        <v>126</v>
      </c>
      <c r="J6" s="319"/>
      <c r="K6" s="95" t="s">
        <v>1025</v>
      </c>
      <c r="L6" s="95" t="s">
        <v>120</v>
      </c>
      <c r="M6" s="95" t="s">
        <v>119</v>
      </c>
      <c r="N6" s="95" t="s">
        <v>221</v>
      </c>
      <c r="O6" s="95" t="s">
        <v>50</v>
      </c>
      <c r="P6" s="95"/>
      <c r="Q6" s="95"/>
      <c r="T6"/>
      <c r="U6"/>
    </row>
    <row r="7" spans="1:21" ht="15" customHeight="1" x14ac:dyDescent="0.2">
      <c r="A7" s="95" t="s">
        <v>125</v>
      </c>
      <c r="B7" s="95"/>
      <c r="C7" s="408"/>
      <c r="D7" s="408"/>
      <c r="E7" s="98"/>
      <c r="F7" s="98"/>
      <c r="G7" s="412" t="str">
        <f>IF(AND('binnenklimaatlabel type 3'!$B$2=1,'binnenklimaatlabel type 3'!K5=3),"fout zie rij 3","")</f>
        <v/>
      </c>
      <c r="H7" s="299"/>
      <c r="I7" s="318"/>
      <c r="J7" s="456">
        <f>IF('binnenklimaatlabel type 3'!F5=1,0,'Kosten kengetallen'!B47)</f>
        <v>0</v>
      </c>
      <c r="K7" s="95"/>
      <c r="L7" s="409"/>
      <c r="M7" s="409"/>
      <c r="N7" s="323"/>
      <c r="O7" s="369"/>
      <c r="P7" s="299"/>
      <c r="Q7" s="299"/>
      <c r="T7" s="11"/>
    </row>
    <row r="8" spans="1:21" ht="15" customHeight="1" x14ac:dyDescent="0.2">
      <c r="A8" s="95" t="s">
        <v>124</v>
      </c>
      <c r="B8" s="95"/>
      <c r="C8" s="408"/>
      <c r="D8" s="408"/>
      <c r="E8" s="98"/>
      <c r="F8" s="98"/>
      <c r="G8" s="412" t="str">
        <f>IF(AND('binnenklimaatlabel type 3'!$B$2=1,'binnenklimaatlabel type 3'!K6=3),"fout zie rij 3","")</f>
        <v/>
      </c>
      <c r="H8" s="299"/>
      <c r="I8" s="318"/>
      <c r="J8" s="319"/>
      <c r="K8" s="95"/>
      <c r="L8" s="409"/>
      <c r="M8" s="409"/>
      <c r="N8" s="323"/>
      <c r="O8" s="369"/>
      <c r="P8" s="299"/>
      <c r="Q8" s="299"/>
      <c r="T8" s="11"/>
    </row>
    <row r="9" spans="1:21" ht="15" customHeight="1" x14ac:dyDescent="0.2">
      <c r="A9" s="95" t="s">
        <v>123</v>
      </c>
      <c r="B9" s="95"/>
      <c r="C9" s="408"/>
      <c r="D9" s="408"/>
      <c r="E9" s="98"/>
      <c r="F9" s="98"/>
      <c r="G9" s="412" t="str">
        <f>IF(AND('binnenklimaatlabel type 3'!$B$2=1,'binnenklimaatlabel type 3'!K7=3),"fout zie rij 3","")</f>
        <v/>
      </c>
      <c r="H9" s="299"/>
      <c r="I9" s="318"/>
      <c r="J9" s="319"/>
      <c r="K9" s="95"/>
      <c r="L9" s="409"/>
      <c r="M9" s="409"/>
      <c r="N9" s="323"/>
      <c r="O9" s="369"/>
      <c r="P9" s="299"/>
      <c r="Q9" s="299"/>
      <c r="T9" s="11"/>
    </row>
    <row r="10" spans="1:21" ht="15" customHeight="1" x14ac:dyDescent="0.2">
      <c r="A10" s="95" t="s">
        <v>690</v>
      </c>
      <c r="B10" s="95"/>
      <c r="C10" s="408"/>
      <c r="D10" s="408"/>
      <c r="E10" s="98"/>
      <c r="F10" s="98"/>
      <c r="G10" s="412" t="str">
        <f>IF(AND('binnenklimaatlabel type 3'!$B$2=1,'binnenklimaatlabel type 3'!K8=3),"fout zie rij 3","")</f>
        <v/>
      </c>
      <c r="H10" s="299"/>
      <c r="I10" s="318"/>
      <c r="J10" s="319"/>
      <c r="K10" s="95"/>
      <c r="L10" s="409"/>
      <c r="M10" s="409"/>
      <c r="N10" s="323"/>
      <c r="O10" s="369"/>
      <c r="P10" s="324" t="s">
        <v>682</v>
      </c>
      <c r="Q10" s="299"/>
      <c r="T10" s="11"/>
    </row>
    <row r="11" spans="1:21" ht="15" customHeight="1" x14ac:dyDescent="0.2">
      <c r="A11" s="95" t="s">
        <v>691</v>
      </c>
      <c r="B11" s="95"/>
      <c r="C11" s="408"/>
      <c r="D11" s="408"/>
      <c r="E11" s="98"/>
      <c r="F11" s="98"/>
      <c r="G11" s="99">
        <f>'binnenklimaatlabel type 3'!R10</f>
        <v>0</v>
      </c>
      <c r="H11" s="313" t="s">
        <v>115</v>
      </c>
      <c r="I11" s="318"/>
      <c r="J11" s="319"/>
      <c r="K11" s="95"/>
      <c r="L11" s="409"/>
      <c r="M11" s="409"/>
      <c r="N11" s="323"/>
      <c r="O11" s="369"/>
      <c r="P11" s="99">
        <f>'binnenklimaatlabel type 3'!AD10</f>
        <v>0</v>
      </c>
      <c r="Q11" s="100" t="s">
        <v>115</v>
      </c>
      <c r="T11" s="11">
        <f>((P11-G11)*8*5*26*1.2*(20-9.7)/1000)/(35*0.9)</f>
        <v>0</v>
      </c>
    </row>
    <row r="12" spans="1:21" ht="15" customHeight="1" x14ac:dyDescent="0.2">
      <c r="A12" s="94" t="s">
        <v>122</v>
      </c>
      <c r="B12" s="95"/>
      <c r="C12" s="95" t="s">
        <v>120</v>
      </c>
      <c r="D12" s="95" t="s">
        <v>119</v>
      </c>
      <c r="E12" s="95" t="s">
        <v>226</v>
      </c>
      <c r="F12" s="95" t="s">
        <v>50</v>
      </c>
      <c r="G12" s="95"/>
      <c r="H12" s="95"/>
      <c r="I12" s="318" t="s">
        <v>121</v>
      </c>
      <c r="J12" s="319"/>
      <c r="K12" s="95" t="s">
        <v>1024</v>
      </c>
      <c r="L12" s="95" t="s">
        <v>120</v>
      </c>
      <c r="M12" s="95" t="s">
        <v>119</v>
      </c>
      <c r="N12" s="95" t="s">
        <v>226</v>
      </c>
      <c r="O12" s="95" t="s">
        <v>50</v>
      </c>
      <c r="P12" s="95"/>
      <c r="Q12" s="95"/>
    </row>
    <row r="13" spans="1:21" ht="15" customHeight="1" x14ac:dyDescent="0.2">
      <c r="A13" s="95" t="s">
        <v>118</v>
      </c>
      <c r="B13" s="95"/>
      <c r="C13" s="408"/>
      <c r="D13" s="408"/>
      <c r="E13" s="98"/>
      <c r="F13" s="98"/>
      <c r="G13" s="299"/>
      <c r="H13" s="299"/>
      <c r="I13" s="318"/>
      <c r="J13" s="456">
        <f>IF('binnenklimaatlabel type 3'!F6=1,0,IF('binnenklimaatlabel type 3'!F6=2,'Kosten kengetallen'!B48,'Kosten kengetallen'!B49))</f>
        <v>0</v>
      </c>
      <c r="K13" s="95"/>
      <c r="L13" s="409"/>
      <c r="M13" s="409"/>
      <c r="N13" s="323"/>
      <c r="O13" s="369"/>
      <c r="P13" s="299"/>
      <c r="Q13" s="299"/>
    </row>
    <row r="14" spans="1:21" ht="15" customHeight="1" x14ac:dyDescent="0.2">
      <c r="A14" s="95" t="s">
        <v>117</v>
      </c>
      <c r="B14" s="95"/>
      <c r="C14" s="408"/>
      <c r="D14" s="408"/>
      <c r="E14" s="98"/>
      <c r="F14" s="98"/>
      <c r="G14" s="299"/>
      <c r="H14" s="299"/>
      <c r="I14" s="318"/>
      <c r="J14" s="319"/>
      <c r="K14" s="95"/>
      <c r="L14" s="409"/>
      <c r="M14" s="409"/>
      <c r="N14" s="323"/>
      <c r="O14" s="369"/>
      <c r="P14" s="324" t="s">
        <v>782</v>
      </c>
      <c r="Q14" s="299"/>
    </row>
    <row r="15" spans="1:21" ht="15" customHeight="1" x14ac:dyDescent="0.2">
      <c r="A15" s="95" t="s">
        <v>116</v>
      </c>
      <c r="B15" s="95"/>
      <c r="C15" s="408"/>
      <c r="D15" s="408"/>
      <c r="E15" s="98"/>
      <c r="F15" s="311"/>
      <c r="G15" s="99">
        <f>'binnenklimaatlabel type 3'!AP10</f>
        <v>0</v>
      </c>
      <c r="H15" s="313" t="s">
        <v>115</v>
      </c>
      <c r="I15" s="318" t="s">
        <v>114</v>
      </c>
      <c r="J15" s="319"/>
      <c r="K15" s="95"/>
      <c r="L15" s="409"/>
      <c r="M15" s="409"/>
      <c r="N15" s="323"/>
      <c r="O15" s="369"/>
      <c r="P15" s="99">
        <f>'binnenklimaatlabel type 3'!BB10</f>
        <v>0</v>
      </c>
      <c r="Q15" s="100" t="s">
        <v>115</v>
      </c>
    </row>
    <row r="16" spans="1:21" x14ac:dyDescent="0.2">
      <c r="A16" s="94" t="s">
        <v>461</v>
      </c>
      <c r="B16" s="95"/>
      <c r="C16" s="95"/>
      <c r="D16" s="95"/>
      <c r="E16" s="95"/>
      <c r="F16" s="95"/>
      <c r="G16" s="95"/>
      <c r="H16" s="95"/>
      <c r="I16" s="318" t="s">
        <v>303</v>
      </c>
      <c r="J16" s="456">
        <f>IF(B2=0,0,IF(OR(G11&gt;10*B2,'binnenklimaatlabel type 3'!B2&gt;4),"n.v.t.",IF('binnenklimaatlabel type 3'!B13&gt;3,"n.v.t.",'Kosten kengetallen'!B50)))</f>
        <v>3000</v>
      </c>
      <c r="K16" s="95"/>
      <c r="L16" s="322"/>
      <c r="M16" s="322"/>
      <c r="N16" s="322"/>
      <c r="O16" s="322"/>
      <c r="P16" s="322"/>
      <c r="Q16" s="322"/>
    </row>
    <row r="17" spans="1:17" x14ac:dyDescent="0.2">
      <c r="A17" s="95" t="s">
        <v>975</v>
      </c>
      <c r="B17" s="95"/>
      <c r="C17" s="156" t="str">
        <f>IF(AND('binnenklimaatlabel type 3'!B2&gt;2,'binnenklimaatlabel type 3'!B13=1),"fout!!!",IF(AND('binnenklimaatlabel type 3'!B2&lt;3,'binnenklimaatlabel type 3'!B13&gt;1),"fout!!!"," "))</f>
        <v xml:space="preserve"> </v>
      </c>
      <c r="D17" s="95"/>
      <c r="E17" s="95"/>
      <c r="F17" s="95"/>
      <c r="G17" s="95"/>
      <c r="H17" s="95"/>
      <c r="I17" s="318" t="s">
        <v>683</v>
      </c>
      <c r="J17" s="456">
        <f>IF(B2=0,0,IF(AND('binnenklimaatlabel type 3'!B13=7,B18&lt;10*B2),'Kosten kengetallen'!B50,IF(AND('binnenklimaatlabel type 3'!B2&gt;2,'binnenklimaatlabel type 3'!B13&gt;3),"n.v.t.",IF('binnenklimaatlabel type 3'!B2=3,'Kosten kengetallen'!B51,IF('binnenklimaatlabel type 3'!B2&gt;4,'Kosten kengetallen'!B50,'Kosten kengetallen'!B54)))))</f>
        <v>10000</v>
      </c>
      <c r="K17" s="95"/>
      <c r="L17" s="322"/>
      <c r="M17" s="322"/>
      <c r="N17" s="322"/>
      <c r="O17" s="322"/>
      <c r="P17" s="322"/>
      <c r="Q17" s="322"/>
    </row>
    <row r="18" spans="1:17" x14ac:dyDescent="0.2">
      <c r="A18" s="485" t="s">
        <v>112</v>
      </c>
      <c r="B18" s="101"/>
      <c r="C18" s="95"/>
      <c r="D18" s="95"/>
      <c r="E18" s="95"/>
      <c r="F18" s="95"/>
      <c r="G18" s="95"/>
      <c r="H18" s="95"/>
      <c r="I18" s="318" t="s">
        <v>300</v>
      </c>
      <c r="J18" s="456">
        <f>IF(B2=0,0,IF('binnenklimaatlabel type 3'!B2&gt;4,"n.v.t.",IF('binnenklimaatlabel type 3'!B2=3,'Kosten kengetallen'!B53,IF(AND('binnenklimaatlabel type 3'!B13=7,B18&gt;B2*10),"n.v.t.",IF('binnenklimaatlabel type 3'!B13&gt;3,"n.v.t.",'Kosten kengetallen'!B53)))))</f>
        <v>9000</v>
      </c>
      <c r="K18" s="405"/>
      <c r="L18" s="325" t="s">
        <v>112</v>
      </c>
      <c r="M18" s="322"/>
      <c r="N18" s="322"/>
      <c r="O18" s="322"/>
      <c r="P18" s="322"/>
      <c r="Q18" s="322"/>
    </row>
    <row r="19" spans="1:17" x14ac:dyDescent="0.2">
      <c r="A19" s="94" t="s">
        <v>111</v>
      </c>
      <c r="B19" s="95"/>
      <c r="C19" s="630" t="s">
        <v>110</v>
      </c>
      <c r="D19" s="630"/>
      <c r="E19" s="630"/>
      <c r="F19" s="630"/>
      <c r="G19" s="102"/>
      <c r="H19" s="102"/>
      <c r="I19" s="318" t="s">
        <v>301</v>
      </c>
      <c r="J19" s="456">
        <f>IF(B2=0,0,IF('binnenklimaatlabel type 3'!B2&gt;4,"n.v.t.",IF('binnenklimaatlabel type 3'!B2=3,'Kosten kengetallen'!B54,IF(AND('binnenklimaatlabel type 3'!B13=7,B18&gt;B2*15),"n.v.t.",IF('binnenklimaatlabel type 3'!B13&gt;3,"n.v.t.",'Kosten kengetallen'!B54)))))</f>
        <v>10000</v>
      </c>
      <c r="K19" s="95"/>
      <c r="L19" s="322"/>
      <c r="M19" s="322"/>
      <c r="N19" s="322"/>
      <c r="O19" s="322"/>
      <c r="P19" s="322"/>
      <c r="Q19" s="322"/>
    </row>
    <row r="20" spans="1:17" x14ac:dyDescent="0.2">
      <c r="A20" s="95" t="s">
        <v>827</v>
      </c>
      <c r="B20" s="95"/>
      <c r="C20" s="103"/>
      <c r="D20" s="95" t="s">
        <v>109</v>
      </c>
      <c r="E20" s="103"/>
      <c r="F20" s="95" t="s">
        <v>108</v>
      </c>
      <c r="G20" s="95"/>
      <c r="H20" s="95"/>
      <c r="I20" s="318" t="s">
        <v>302</v>
      </c>
      <c r="J20" s="456">
        <f>IF(B2=0,0,IF('binnenklimaatlabel type 3'!B2&gt;4,"n.v.t.",IF('binnenklimaatlabel type 3'!B2=3,'Kosten kengetallen'!B55,IF(AND('binnenklimaatlabel type 3'!B13=7,B18&gt;B2*20),"n.v.t.",IF('binnenklimaatlabel type 3'!B13&gt;3,"n.v.t.",'Kosten kengetallen'!B55)))))</f>
        <v>12000</v>
      </c>
      <c r="K20" s="95"/>
      <c r="L20" s="322"/>
      <c r="M20" s="322"/>
      <c r="N20" s="322"/>
      <c r="O20" s="322"/>
      <c r="P20" s="322"/>
      <c r="Q20" s="322"/>
    </row>
    <row r="21" spans="1:17" x14ac:dyDescent="0.2">
      <c r="A21" s="94" t="s">
        <v>107</v>
      </c>
      <c r="B21" s="95"/>
      <c r="C21" s="630" t="s">
        <v>106</v>
      </c>
      <c r="D21" s="630"/>
      <c r="E21" s="630"/>
      <c r="F21" s="630"/>
      <c r="G21" s="630"/>
      <c r="H21" s="102"/>
      <c r="I21" s="318" t="str">
        <f>IF('binnenklimaatlabel type 3'!B14=1,"Therm.kranen alle radiatoren. Controle!",IF('binnenklimaatlabel type 3'!B14=2,"naregeling per vertrek",IF('binnenklimaatlabel type 3'!B14=3,"Therm.kranen alle radiatoren. Controlle!","geen")))</f>
        <v>Therm.kranen alle radiatoren. Controle!</v>
      </c>
      <c r="J21" s="456">
        <f>IF(OR('binnenklimaatlabel type 3'!B14=3,'binnenklimaatlabel type 3'!B14=1),('Kosten kengetallen'!B36*'Invoer Lokaal Type 3'!E20),IF('binnenklimaatlabel type 3'!B14=2,'Kosten kengetallen'!B38,"n.v.t."))</f>
        <v>0</v>
      </c>
      <c r="K21" s="95"/>
      <c r="L21" s="322"/>
      <c r="M21" s="322"/>
      <c r="N21" s="322"/>
      <c r="O21" s="322"/>
      <c r="P21" s="322"/>
      <c r="Q21" s="322"/>
    </row>
    <row r="22" spans="1:17" x14ac:dyDescent="0.2">
      <c r="A22" s="95" t="s">
        <v>282</v>
      </c>
      <c r="B22" s="95"/>
      <c r="C22" s="631"/>
      <c r="D22" s="631"/>
      <c r="E22" s="631"/>
      <c r="F22" s="95" t="s">
        <v>1019</v>
      </c>
      <c r="G22" s="95"/>
      <c r="H22" s="95"/>
      <c r="I22" s="318" t="str">
        <f>IF(OR('binnenklimaatlabel type 3'!B15&lt;3,AND('binnenklimaatlabel type 3'!B15=5,'binnenklimaatlabel type 3'!B16=1)),"Buitenzonwering","geen")</f>
        <v>Buitenzonwering</v>
      </c>
      <c r="J22" s="456">
        <f>IF(OR('binnenklimaatlabel type 3'!B15&lt;3,AND('binnenklimaatlabel type 3'!B15=5,'binnenklimaatlabel type 3'!B16=1)),'Invoer Lokaal Type 3'!C22*'Kosten kengetallen'!B27,"n.v.t.")</f>
        <v>0</v>
      </c>
      <c r="K22" s="95"/>
      <c r="L22" s="322"/>
      <c r="M22" s="322"/>
      <c r="N22" s="322"/>
      <c r="O22" s="322"/>
      <c r="P22" s="322"/>
      <c r="Q22" s="322"/>
    </row>
    <row r="23" spans="1:17" ht="16.5" customHeight="1" x14ac:dyDescent="0.2">
      <c r="A23" s="95" t="s">
        <v>883</v>
      </c>
      <c r="B23" s="95"/>
      <c r="C23" s="95"/>
      <c r="D23" s="95"/>
      <c r="E23" s="95"/>
      <c r="F23" s="95"/>
      <c r="G23" s="95"/>
      <c r="H23" s="95"/>
      <c r="I23" s="318"/>
      <c r="J23" s="319"/>
      <c r="K23" s="95"/>
      <c r="L23" s="322"/>
      <c r="M23" s="322"/>
      <c r="N23" s="322"/>
      <c r="O23" s="322"/>
      <c r="P23" s="322"/>
      <c r="Q23" s="322"/>
    </row>
    <row r="24" spans="1:17" x14ac:dyDescent="0.2">
      <c r="A24" s="95" t="s">
        <v>104</v>
      </c>
      <c r="B24" s="95"/>
      <c r="C24" s="95"/>
      <c r="D24" s="95"/>
      <c r="E24" s="402" t="s">
        <v>1010</v>
      </c>
      <c r="F24" s="95"/>
      <c r="G24" s="95"/>
      <c r="H24" s="95"/>
      <c r="I24" s="318" t="str">
        <f>IF('binnenklimaatlabel type 1'!B17=1,"geen",IF('binnenklimaatlabel type 1'!B17&lt;6,"Verbeteren dakisolatie",IF('binnenklimaatlabel type 1'!B17=8,"Isoleren zoldervloer","Geen")))</f>
        <v>geen</v>
      </c>
      <c r="J24" s="319" t="s">
        <v>704</v>
      </c>
      <c r="K24" s="95"/>
      <c r="L24" s="322"/>
      <c r="M24" s="322"/>
      <c r="N24" s="322"/>
      <c r="O24" s="322"/>
      <c r="P24" s="322"/>
      <c r="Q24" s="322"/>
    </row>
    <row r="25" spans="1:17" x14ac:dyDescent="0.2">
      <c r="A25" s="95" t="s">
        <v>103</v>
      </c>
      <c r="B25" s="95"/>
      <c r="C25" s="95"/>
      <c r="D25" s="95"/>
      <c r="E25" s="402" t="s">
        <v>1020</v>
      </c>
      <c r="F25" s="95"/>
      <c r="G25" s="95"/>
      <c r="H25" s="95"/>
      <c r="I25" s="318" t="str">
        <f>IF('binnenklimaatlabel type 1'!B18=1,"Koeling","geen")</f>
        <v>Koeling</v>
      </c>
      <c r="J25" s="456">
        <f>IF(B2=0,0,IF('binnenklimaatlabel type 3'!B18=1,'Kosten kengetallen'!B58,0))</f>
        <v>3500</v>
      </c>
      <c r="K25" s="95"/>
      <c r="L25" s="322"/>
      <c r="M25" s="322"/>
      <c r="N25" s="322"/>
      <c r="O25" s="322"/>
      <c r="P25" s="322"/>
      <c r="Q25" s="322"/>
    </row>
    <row r="26" spans="1:17" x14ac:dyDescent="0.2">
      <c r="A26" s="94" t="s">
        <v>102</v>
      </c>
      <c r="B26" s="95"/>
      <c r="C26" s="95"/>
      <c r="D26" s="95"/>
      <c r="E26" s="402" t="s">
        <v>1021</v>
      </c>
      <c r="F26" s="95"/>
      <c r="G26" s="95"/>
      <c r="H26" s="95"/>
      <c r="I26" s="318"/>
      <c r="J26" s="319"/>
      <c r="K26" s="95"/>
      <c r="L26" s="322"/>
      <c r="M26" s="322"/>
      <c r="N26" s="322"/>
      <c r="O26" s="322"/>
      <c r="P26" s="322"/>
      <c r="Q26" s="322"/>
    </row>
    <row r="27" spans="1:17" x14ac:dyDescent="0.2">
      <c r="A27" s="95" t="s">
        <v>101</v>
      </c>
      <c r="B27" s="95"/>
      <c r="C27" s="95"/>
      <c r="D27" s="95"/>
      <c r="E27" s="95"/>
      <c r="F27" s="95"/>
      <c r="G27" s="95"/>
      <c r="H27" s="95"/>
      <c r="I27" s="318"/>
      <c r="J27" s="319" t="s">
        <v>704</v>
      </c>
      <c r="K27" s="95"/>
      <c r="L27" s="322"/>
      <c r="M27" s="322"/>
      <c r="N27" s="322"/>
      <c r="O27" s="322"/>
      <c r="P27" s="322"/>
      <c r="Q27" s="322"/>
    </row>
    <row r="28" spans="1:17" x14ac:dyDescent="0.2">
      <c r="A28" s="95"/>
      <c r="B28" s="104" t="s">
        <v>100</v>
      </c>
      <c r="C28" s="95"/>
      <c r="D28" s="95"/>
      <c r="E28" s="95"/>
      <c r="F28" s="95"/>
      <c r="G28" s="95"/>
      <c r="H28" s="95"/>
      <c r="I28" s="318"/>
      <c r="J28" s="320"/>
      <c r="K28" s="95"/>
      <c r="L28" s="632" t="s">
        <v>99</v>
      </c>
      <c r="M28" s="632"/>
      <c r="N28" s="632"/>
      <c r="O28" s="632"/>
      <c r="P28" s="322"/>
      <c r="Q28" s="322"/>
    </row>
    <row r="29" spans="1:17" ht="15" x14ac:dyDescent="0.25">
      <c r="A29" s="95" t="s">
        <v>977</v>
      </c>
      <c r="B29" s="105" t="str">
        <f>'binnenklimaatlabel type 3'!B35</f>
        <v>D</v>
      </c>
      <c r="C29" s="95"/>
      <c r="D29" s="95"/>
      <c r="E29" s="95"/>
      <c r="F29" s="95"/>
      <c r="G29" s="95"/>
      <c r="H29" s="95"/>
      <c r="I29" s="318" t="s">
        <v>705</v>
      </c>
      <c r="J29" s="319"/>
      <c r="K29" s="95" t="s">
        <v>98</v>
      </c>
      <c r="L29" s="629" t="str">
        <f>'binnenklimaatlabel type 3'!P35</f>
        <v>D</v>
      </c>
      <c r="M29" s="629"/>
      <c r="N29" s="629"/>
      <c r="O29" s="629"/>
      <c r="P29" s="322"/>
      <c r="Q29" s="322"/>
    </row>
    <row r="30" spans="1:17" ht="15" x14ac:dyDescent="0.25">
      <c r="A30" s="95" t="s">
        <v>978</v>
      </c>
      <c r="B30" s="105" t="str">
        <f>'binnenklimaatlabel type 3'!B49</f>
        <v>D</v>
      </c>
      <c r="C30" s="95"/>
      <c r="D30" s="95"/>
      <c r="E30" s="95"/>
      <c r="F30" s="95"/>
      <c r="G30" s="95"/>
      <c r="H30" s="95"/>
      <c r="I30" s="318"/>
      <c r="J30" s="319"/>
      <c r="K30" s="95" t="s">
        <v>97</v>
      </c>
      <c r="L30" s="629" t="str">
        <f>'binnenklimaatlabel type 3'!P49</f>
        <v>D</v>
      </c>
      <c r="M30" s="629"/>
      <c r="N30" s="629"/>
      <c r="O30" s="629"/>
      <c r="P30" s="322"/>
      <c r="Q30" s="322"/>
    </row>
    <row r="31" spans="1:17" ht="15.75" thickBot="1" x14ac:dyDescent="0.3">
      <c r="A31" s="95" t="s">
        <v>873</v>
      </c>
      <c r="B31" s="105" t="str">
        <f>'binnenklimaatlabel type 3'!B52</f>
        <v>D</v>
      </c>
      <c r="C31" s="402"/>
      <c r="D31" s="95"/>
      <c r="E31" s="95"/>
      <c r="F31" s="95"/>
      <c r="G31" s="95"/>
      <c r="H31" s="95"/>
      <c r="I31" s="321"/>
      <c r="J31" s="326"/>
      <c r="K31" s="95" t="s">
        <v>96</v>
      </c>
      <c r="L31" s="629" t="str">
        <f>'binnenklimaatlabel type 3'!P52</f>
        <v>D</v>
      </c>
      <c r="M31" s="629"/>
      <c r="N31" s="629"/>
      <c r="O31" s="629"/>
      <c r="P31" s="322"/>
      <c r="Q31" s="322"/>
    </row>
  </sheetData>
  <mergeCells count="7">
    <mergeCell ref="L31:O31"/>
    <mergeCell ref="C19:F19"/>
    <mergeCell ref="C21:G21"/>
    <mergeCell ref="C22:E22"/>
    <mergeCell ref="L28:O28"/>
    <mergeCell ref="L29:O29"/>
    <mergeCell ref="L30:O30"/>
  </mergeCells>
  <phoneticPr fontId="0" type="noConversion"/>
  <pageMargins left="0.7" right="0.7" top="0.75" bottom="0.75" header="0.3" footer="0.3"/>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22529" r:id="rId3" name="Drop Down 1">
              <controlPr defaultSize="0" autoLine="0" autoPict="0">
                <anchor moveWithCells="1">
                  <from>
                    <xdr:col>1</xdr:col>
                    <xdr:colOff>0</xdr:colOff>
                    <xdr:row>2</xdr:row>
                    <xdr:rowOff>0</xdr:rowOff>
                  </from>
                  <to>
                    <xdr:col>2</xdr:col>
                    <xdr:colOff>19050</xdr:colOff>
                    <xdr:row>3</xdr:row>
                    <xdr:rowOff>38100</xdr:rowOff>
                  </to>
                </anchor>
              </controlPr>
            </control>
          </mc:Choice>
        </mc:AlternateContent>
        <mc:AlternateContent xmlns:mc="http://schemas.openxmlformats.org/markup-compatibility/2006">
          <mc:Choice Requires="x14">
            <control shapeId="22530" r:id="rId4" name="Drop Down 2">
              <controlPr defaultSize="0" autoLine="0" autoPict="0">
                <anchor moveWithCells="1">
                  <from>
                    <xdr:col>1</xdr:col>
                    <xdr:colOff>0</xdr:colOff>
                    <xdr:row>5</xdr:row>
                    <xdr:rowOff>161925</xdr:rowOff>
                  </from>
                  <to>
                    <xdr:col>2</xdr:col>
                    <xdr:colOff>19050</xdr:colOff>
                    <xdr:row>7</xdr:row>
                    <xdr:rowOff>9525</xdr:rowOff>
                  </to>
                </anchor>
              </controlPr>
            </control>
          </mc:Choice>
        </mc:AlternateContent>
        <mc:AlternateContent xmlns:mc="http://schemas.openxmlformats.org/markup-compatibility/2006">
          <mc:Choice Requires="x14">
            <control shapeId="22531" r:id="rId5" name="Drop Down 3">
              <controlPr defaultSize="0" autoLine="0" autoPict="0">
                <anchor moveWithCells="1">
                  <from>
                    <xdr:col>0</xdr:col>
                    <xdr:colOff>1704975</xdr:colOff>
                    <xdr:row>6</xdr:row>
                    <xdr:rowOff>171450</xdr:rowOff>
                  </from>
                  <to>
                    <xdr:col>2</xdr:col>
                    <xdr:colOff>9525</xdr:colOff>
                    <xdr:row>8</xdr:row>
                    <xdr:rowOff>9525</xdr:rowOff>
                  </to>
                </anchor>
              </controlPr>
            </control>
          </mc:Choice>
        </mc:AlternateContent>
        <mc:AlternateContent xmlns:mc="http://schemas.openxmlformats.org/markup-compatibility/2006">
          <mc:Choice Requires="x14">
            <control shapeId="22532" r:id="rId6" name="Drop Down 4">
              <controlPr defaultSize="0" autoLine="0" autoPict="0">
                <anchor moveWithCells="1">
                  <from>
                    <xdr:col>0</xdr:col>
                    <xdr:colOff>1704975</xdr:colOff>
                    <xdr:row>8</xdr:row>
                    <xdr:rowOff>0</xdr:rowOff>
                  </from>
                  <to>
                    <xdr:col>2</xdr:col>
                    <xdr:colOff>9525</xdr:colOff>
                    <xdr:row>9</xdr:row>
                    <xdr:rowOff>28575</xdr:rowOff>
                  </to>
                </anchor>
              </controlPr>
            </control>
          </mc:Choice>
        </mc:AlternateContent>
        <mc:AlternateContent xmlns:mc="http://schemas.openxmlformats.org/markup-compatibility/2006">
          <mc:Choice Requires="x14">
            <control shapeId="22533" r:id="rId7" name="Drop Down 5">
              <controlPr defaultSize="0" autoLine="0" autoPict="0">
                <anchor moveWithCells="1">
                  <from>
                    <xdr:col>0</xdr:col>
                    <xdr:colOff>1704975</xdr:colOff>
                    <xdr:row>12</xdr:row>
                    <xdr:rowOff>0</xdr:rowOff>
                  </from>
                  <to>
                    <xdr:col>2</xdr:col>
                    <xdr:colOff>9525</xdr:colOff>
                    <xdr:row>13</xdr:row>
                    <xdr:rowOff>28575</xdr:rowOff>
                  </to>
                </anchor>
              </controlPr>
            </control>
          </mc:Choice>
        </mc:AlternateContent>
        <mc:AlternateContent xmlns:mc="http://schemas.openxmlformats.org/markup-compatibility/2006">
          <mc:Choice Requires="x14">
            <control shapeId="22534" r:id="rId8" name="Drop Down 6">
              <controlPr defaultSize="0" autoLine="0" autoPict="0">
                <anchor moveWithCells="1">
                  <from>
                    <xdr:col>1</xdr:col>
                    <xdr:colOff>0</xdr:colOff>
                    <xdr:row>13</xdr:row>
                    <xdr:rowOff>9525</xdr:rowOff>
                  </from>
                  <to>
                    <xdr:col>2</xdr:col>
                    <xdr:colOff>19050</xdr:colOff>
                    <xdr:row>14</xdr:row>
                    <xdr:rowOff>38100</xdr:rowOff>
                  </to>
                </anchor>
              </controlPr>
            </control>
          </mc:Choice>
        </mc:AlternateContent>
        <mc:AlternateContent xmlns:mc="http://schemas.openxmlformats.org/markup-compatibility/2006">
          <mc:Choice Requires="x14">
            <control shapeId="22535" r:id="rId9" name="Drop Down 7">
              <controlPr defaultSize="0" autoLine="0" autoPict="0">
                <anchor moveWithCells="1">
                  <from>
                    <xdr:col>0</xdr:col>
                    <xdr:colOff>1695450</xdr:colOff>
                    <xdr:row>14</xdr:row>
                    <xdr:rowOff>0</xdr:rowOff>
                  </from>
                  <to>
                    <xdr:col>2</xdr:col>
                    <xdr:colOff>0</xdr:colOff>
                    <xdr:row>15</xdr:row>
                    <xdr:rowOff>28575</xdr:rowOff>
                  </to>
                </anchor>
              </controlPr>
            </control>
          </mc:Choice>
        </mc:AlternateContent>
        <mc:AlternateContent xmlns:mc="http://schemas.openxmlformats.org/markup-compatibility/2006">
          <mc:Choice Requires="x14">
            <control shapeId="22536" r:id="rId10" name="Drop Down 8">
              <controlPr defaultSize="0" autoLine="0" autoPict="0">
                <anchor moveWithCells="1">
                  <from>
                    <xdr:col>1</xdr:col>
                    <xdr:colOff>0</xdr:colOff>
                    <xdr:row>19</xdr:row>
                    <xdr:rowOff>0</xdr:rowOff>
                  </from>
                  <to>
                    <xdr:col>2</xdr:col>
                    <xdr:colOff>19050</xdr:colOff>
                    <xdr:row>20</xdr:row>
                    <xdr:rowOff>38100</xdr:rowOff>
                  </to>
                </anchor>
              </controlPr>
            </control>
          </mc:Choice>
        </mc:AlternateContent>
        <mc:AlternateContent xmlns:mc="http://schemas.openxmlformats.org/markup-compatibility/2006">
          <mc:Choice Requires="x14">
            <control shapeId="22537" r:id="rId11" name="Drop Down 9">
              <controlPr defaultSize="0" autoLine="0" autoPict="0">
                <anchor moveWithCells="1">
                  <from>
                    <xdr:col>1</xdr:col>
                    <xdr:colOff>9525</xdr:colOff>
                    <xdr:row>21</xdr:row>
                    <xdr:rowOff>0</xdr:rowOff>
                  </from>
                  <to>
                    <xdr:col>2</xdr:col>
                    <xdr:colOff>38100</xdr:colOff>
                    <xdr:row>22</xdr:row>
                    <xdr:rowOff>38100</xdr:rowOff>
                  </to>
                </anchor>
              </controlPr>
            </control>
          </mc:Choice>
        </mc:AlternateContent>
        <mc:AlternateContent xmlns:mc="http://schemas.openxmlformats.org/markup-compatibility/2006">
          <mc:Choice Requires="x14">
            <control shapeId="22538" r:id="rId12" name="Drop Down 10">
              <controlPr defaultSize="0" autoLine="0" autoPict="0">
                <anchor moveWithCells="1">
                  <from>
                    <xdr:col>1</xdr:col>
                    <xdr:colOff>0</xdr:colOff>
                    <xdr:row>22</xdr:row>
                    <xdr:rowOff>0</xdr:rowOff>
                  </from>
                  <to>
                    <xdr:col>2</xdr:col>
                    <xdr:colOff>19050</xdr:colOff>
                    <xdr:row>23</xdr:row>
                    <xdr:rowOff>9525</xdr:rowOff>
                  </to>
                </anchor>
              </controlPr>
            </control>
          </mc:Choice>
        </mc:AlternateContent>
        <mc:AlternateContent xmlns:mc="http://schemas.openxmlformats.org/markup-compatibility/2006">
          <mc:Choice Requires="x14">
            <control shapeId="22539" r:id="rId13" name="Drop Down 11">
              <controlPr defaultSize="0" autoLine="0" autoPict="0">
                <anchor moveWithCells="1">
                  <from>
                    <xdr:col>1</xdr:col>
                    <xdr:colOff>9525</xdr:colOff>
                    <xdr:row>23</xdr:row>
                    <xdr:rowOff>0</xdr:rowOff>
                  </from>
                  <to>
                    <xdr:col>2</xdr:col>
                    <xdr:colOff>38100</xdr:colOff>
                    <xdr:row>24</xdr:row>
                    <xdr:rowOff>38100</xdr:rowOff>
                  </to>
                </anchor>
              </controlPr>
            </control>
          </mc:Choice>
        </mc:AlternateContent>
        <mc:AlternateContent xmlns:mc="http://schemas.openxmlformats.org/markup-compatibility/2006">
          <mc:Choice Requires="x14">
            <control shapeId="22540" r:id="rId14" name="Drop Down 12">
              <controlPr defaultSize="0" autoLine="0" autoPict="0">
                <anchor moveWithCells="1">
                  <from>
                    <xdr:col>1</xdr:col>
                    <xdr:colOff>9525</xdr:colOff>
                    <xdr:row>24</xdr:row>
                    <xdr:rowOff>0</xdr:rowOff>
                  </from>
                  <to>
                    <xdr:col>2</xdr:col>
                    <xdr:colOff>38100</xdr:colOff>
                    <xdr:row>25</xdr:row>
                    <xdr:rowOff>38100</xdr:rowOff>
                  </to>
                </anchor>
              </controlPr>
            </control>
          </mc:Choice>
        </mc:AlternateContent>
        <mc:AlternateContent xmlns:mc="http://schemas.openxmlformats.org/markup-compatibility/2006">
          <mc:Choice Requires="x14">
            <control shapeId="22541" r:id="rId15" name="Drop Down 13">
              <controlPr defaultSize="0" autoLine="0" autoPict="0">
                <anchor moveWithCells="1">
                  <from>
                    <xdr:col>1</xdr:col>
                    <xdr:colOff>0</xdr:colOff>
                    <xdr:row>16</xdr:row>
                    <xdr:rowOff>0</xdr:rowOff>
                  </from>
                  <to>
                    <xdr:col>2</xdr:col>
                    <xdr:colOff>19050</xdr:colOff>
                    <xdr:row>17</xdr:row>
                    <xdr:rowOff>38100</xdr:rowOff>
                  </to>
                </anchor>
              </controlPr>
            </control>
          </mc:Choice>
        </mc:AlternateContent>
        <mc:AlternateContent xmlns:mc="http://schemas.openxmlformats.org/markup-compatibility/2006">
          <mc:Choice Requires="x14">
            <control shapeId="22542" r:id="rId16" name="Drop Down 14">
              <controlPr defaultSize="0" autoLine="0" autoPict="0">
                <anchor moveWithCells="1">
                  <from>
                    <xdr:col>1</xdr:col>
                    <xdr:colOff>9525</xdr:colOff>
                    <xdr:row>26</xdr:row>
                    <xdr:rowOff>0</xdr:rowOff>
                  </from>
                  <to>
                    <xdr:col>2</xdr:col>
                    <xdr:colOff>38100</xdr:colOff>
                    <xdr:row>27</xdr:row>
                    <xdr:rowOff>38100</xdr:rowOff>
                  </to>
                </anchor>
              </controlPr>
            </control>
          </mc:Choice>
        </mc:AlternateContent>
        <mc:AlternateContent xmlns:mc="http://schemas.openxmlformats.org/markup-compatibility/2006">
          <mc:Choice Requires="x14">
            <control shapeId="22543" r:id="rId17" name="Drop Down 15">
              <controlPr defaultSize="0" autoLine="0" autoPict="0">
                <anchor moveWithCells="1">
                  <from>
                    <xdr:col>10</xdr:col>
                    <xdr:colOff>0</xdr:colOff>
                    <xdr:row>2</xdr:row>
                    <xdr:rowOff>0</xdr:rowOff>
                  </from>
                  <to>
                    <xdr:col>10</xdr:col>
                    <xdr:colOff>2419350</xdr:colOff>
                    <xdr:row>3</xdr:row>
                    <xdr:rowOff>38100</xdr:rowOff>
                  </to>
                </anchor>
              </controlPr>
            </control>
          </mc:Choice>
        </mc:AlternateContent>
        <mc:AlternateContent xmlns:mc="http://schemas.openxmlformats.org/markup-compatibility/2006">
          <mc:Choice Requires="x14">
            <control shapeId="22544" r:id="rId18" name="Drop Down 16">
              <controlPr defaultSize="0" autoLine="0" autoPict="0">
                <anchor moveWithCells="1">
                  <from>
                    <xdr:col>10</xdr:col>
                    <xdr:colOff>9525</xdr:colOff>
                    <xdr:row>6</xdr:row>
                    <xdr:rowOff>0</xdr:rowOff>
                  </from>
                  <to>
                    <xdr:col>11</xdr:col>
                    <xdr:colOff>0</xdr:colOff>
                    <xdr:row>7</xdr:row>
                    <xdr:rowOff>28575</xdr:rowOff>
                  </to>
                </anchor>
              </controlPr>
            </control>
          </mc:Choice>
        </mc:AlternateContent>
        <mc:AlternateContent xmlns:mc="http://schemas.openxmlformats.org/markup-compatibility/2006">
          <mc:Choice Requires="x14">
            <control shapeId="22545" r:id="rId19" name="Drop Down 17">
              <controlPr defaultSize="0" autoLine="0" autoPict="0">
                <anchor moveWithCells="1">
                  <from>
                    <xdr:col>10</xdr:col>
                    <xdr:colOff>0</xdr:colOff>
                    <xdr:row>7</xdr:row>
                    <xdr:rowOff>0</xdr:rowOff>
                  </from>
                  <to>
                    <xdr:col>10</xdr:col>
                    <xdr:colOff>2419350</xdr:colOff>
                    <xdr:row>8</xdr:row>
                    <xdr:rowOff>28575</xdr:rowOff>
                  </to>
                </anchor>
              </controlPr>
            </control>
          </mc:Choice>
        </mc:AlternateContent>
        <mc:AlternateContent xmlns:mc="http://schemas.openxmlformats.org/markup-compatibility/2006">
          <mc:Choice Requires="x14">
            <control shapeId="22546" r:id="rId20" name="Drop Down 18">
              <controlPr defaultSize="0" autoLine="0" autoPict="0">
                <anchor moveWithCells="1">
                  <from>
                    <xdr:col>10</xdr:col>
                    <xdr:colOff>0</xdr:colOff>
                    <xdr:row>8</xdr:row>
                    <xdr:rowOff>0</xdr:rowOff>
                  </from>
                  <to>
                    <xdr:col>10</xdr:col>
                    <xdr:colOff>2419350</xdr:colOff>
                    <xdr:row>9</xdr:row>
                    <xdr:rowOff>28575</xdr:rowOff>
                  </to>
                </anchor>
              </controlPr>
            </control>
          </mc:Choice>
        </mc:AlternateContent>
        <mc:AlternateContent xmlns:mc="http://schemas.openxmlformats.org/markup-compatibility/2006">
          <mc:Choice Requires="x14">
            <control shapeId="22547" r:id="rId21" name="Drop Down 19">
              <controlPr defaultSize="0" autoLine="0" autoPict="0">
                <anchor moveWithCells="1">
                  <from>
                    <xdr:col>10</xdr:col>
                    <xdr:colOff>0</xdr:colOff>
                    <xdr:row>12</xdr:row>
                    <xdr:rowOff>0</xdr:rowOff>
                  </from>
                  <to>
                    <xdr:col>10</xdr:col>
                    <xdr:colOff>2419350</xdr:colOff>
                    <xdr:row>13</xdr:row>
                    <xdr:rowOff>28575</xdr:rowOff>
                  </to>
                </anchor>
              </controlPr>
            </control>
          </mc:Choice>
        </mc:AlternateContent>
        <mc:AlternateContent xmlns:mc="http://schemas.openxmlformats.org/markup-compatibility/2006">
          <mc:Choice Requires="x14">
            <control shapeId="22548" r:id="rId22" name="Drop Down 20">
              <controlPr defaultSize="0" autoLine="0" autoPict="0">
                <anchor moveWithCells="1">
                  <from>
                    <xdr:col>10</xdr:col>
                    <xdr:colOff>0</xdr:colOff>
                    <xdr:row>13</xdr:row>
                    <xdr:rowOff>0</xdr:rowOff>
                  </from>
                  <to>
                    <xdr:col>10</xdr:col>
                    <xdr:colOff>2419350</xdr:colOff>
                    <xdr:row>14</xdr:row>
                    <xdr:rowOff>28575</xdr:rowOff>
                  </to>
                </anchor>
              </controlPr>
            </control>
          </mc:Choice>
        </mc:AlternateContent>
        <mc:AlternateContent xmlns:mc="http://schemas.openxmlformats.org/markup-compatibility/2006">
          <mc:Choice Requires="x14">
            <control shapeId="22549" r:id="rId23" name="Drop Down 21">
              <controlPr defaultSize="0" autoLine="0" autoPict="0">
                <anchor moveWithCells="1">
                  <from>
                    <xdr:col>10</xdr:col>
                    <xdr:colOff>0</xdr:colOff>
                    <xdr:row>14</xdr:row>
                    <xdr:rowOff>0</xdr:rowOff>
                  </from>
                  <to>
                    <xdr:col>10</xdr:col>
                    <xdr:colOff>2419350</xdr:colOff>
                    <xdr:row>15</xdr:row>
                    <xdr:rowOff>28575</xdr:rowOff>
                  </to>
                </anchor>
              </controlPr>
            </control>
          </mc:Choice>
        </mc:AlternateContent>
        <mc:AlternateContent xmlns:mc="http://schemas.openxmlformats.org/markup-compatibility/2006">
          <mc:Choice Requires="x14">
            <control shapeId="22550" r:id="rId24" name="Drop Down 22">
              <controlPr defaultSize="0" autoLine="0" autoPict="0">
                <anchor moveWithCells="1">
                  <from>
                    <xdr:col>10</xdr:col>
                    <xdr:colOff>0</xdr:colOff>
                    <xdr:row>16</xdr:row>
                    <xdr:rowOff>0</xdr:rowOff>
                  </from>
                  <to>
                    <xdr:col>10</xdr:col>
                    <xdr:colOff>2419350</xdr:colOff>
                    <xdr:row>17</xdr:row>
                    <xdr:rowOff>38100</xdr:rowOff>
                  </to>
                </anchor>
              </controlPr>
            </control>
          </mc:Choice>
        </mc:AlternateContent>
        <mc:AlternateContent xmlns:mc="http://schemas.openxmlformats.org/markup-compatibility/2006">
          <mc:Choice Requires="x14">
            <control shapeId="22551" r:id="rId25" name="Drop Down 23">
              <controlPr defaultSize="0" autoLine="0" autoPict="0">
                <anchor moveWithCells="1">
                  <from>
                    <xdr:col>10</xdr:col>
                    <xdr:colOff>0</xdr:colOff>
                    <xdr:row>19</xdr:row>
                    <xdr:rowOff>0</xdr:rowOff>
                  </from>
                  <to>
                    <xdr:col>10</xdr:col>
                    <xdr:colOff>2419350</xdr:colOff>
                    <xdr:row>20</xdr:row>
                    <xdr:rowOff>38100</xdr:rowOff>
                  </to>
                </anchor>
              </controlPr>
            </control>
          </mc:Choice>
        </mc:AlternateContent>
        <mc:AlternateContent xmlns:mc="http://schemas.openxmlformats.org/markup-compatibility/2006">
          <mc:Choice Requires="x14">
            <control shapeId="22552" r:id="rId26" name="Drop Down 24">
              <controlPr defaultSize="0" autoLine="0" autoPict="0">
                <anchor moveWithCells="1">
                  <from>
                    <xdr:col>10</xdr:col>
                    <xdr:colOff>9525</xdr:colOff>
                    <xdr:row>21</xdr:row>
                    <xdr:rowOff>0</xdr:rowOff>
                  </from>
                  <to>
                    <xdr:col>11</xdr:col>
                    <xdr:colOff>0</xdr:colOff>
                    <xdr:row>22</xdr:row>
                    <xdr:rowOff>38100</xdr:rowOff>
                  </to>
                </anchor>
              </controlPr>
            </control>
          </mc:Choice>
        </mc:AlternateContent>
        <mc:AlternateContent xmlns:mc="http://schemas.openxmlformats.org/markup-compatibility/2006">
          <mc:Choice Requires="x14">
            <control shapeId="22553" r:id="rId27" name="Drop Down 25">
              <controlPr defaultSize="0" autoLine="0" autoPict="0">
                <anchor moveWithCells="1">
                  <from>
                    <xdr:col>10</xdr:col>
                    <xdr:colOff>0</xdr:colOff>
                    <xdr:row>22</xdr:row>
                    <xdr:rowOff>0</xdr:rowOff>
                  </from>
                  <to>
                    <xdr:col>10</xdr:col>
                    <xdr:colOff>2419350</xdr:colOff>
                    <xdr:row>23</xdr:row>
                    <xdr:rowOff>9525</xdr:rowOff>
                  </to>
                </anchor>
              </controlPr>
            </control>
          </mc:Choice>
        </mc:AlternateContent>
        <mc:AlternateContent xmlns:mc="http://schemas.openxmlformats.org/markup-compatibility/2006">
          <mc:Choice Requires="x14">
            <control shapeId="22554" r:id="rId28" name="Drop Down 26">
              <controlPr defaultSize="0" autoLine="0" autoPict="0">
                <anchor moveWithCells="1">
                  <from>
                    <xdr:col>10</xdr:col>
                    <xdr:colOff>9525</xdr:colOff>
                    <xdr:row>23</xdr:row>
                    <xdr:rowOff>0</xdr:rowOff>
                  </from>
                  <to>
                    <xdr:col>11</xdr:col>
                    <xdr:colOff>0</xdr:colOff>
                    <xdr:row>24</xdr:row>
                    <xdr:rowOff>38100</xdr:rowOff>
                  </to>
                </anchor>
              </controlPr>
            </control>
          </mc:Choice>
        </mc:AlternateContent>
        <mc:AlternateContent xmlns:mc="http://schemas.openxmlformats.org/markup-compatibility/2006">
          <mc:Choice Requires="x14">
            <control shapeId="22555" r:id="rId29" name="Drop Down 27">
              <controlPr defaultSize="0" autoLine="0" autoPict="0">
                <anchor moveWithCells="1">
                  <from>
                    <xdr:col>10</xdr:col>
                    <xdr:colOff>9525</xdr:colOff>
                    <xdr:row>24</xdr:row>
                    <xdr:rowOff>0</xdr:rowOff>
                  </from>
                  <to>
                    <xdr:col>11</xdr:col>
                    <xdr:colOff>0</xdr:colOff>
                    <xdr:row>25</xdr:row>
                    <xdr:rowOff>38100</xdr:rowOff>
                  </to>
                </anchor>
              </controlPr>
            </control>
          </mc:Choice>
        </mc:AlternateContent>
        <mc:AlternateContent xmlns:mc="http://schemas.openxmlformats.org/markup-compatibility/2006">
          <mc:Choice Requires="x14">
            <control shapeId="22556" r:id="rId30" name="Drop Down 28">
              <controlPr defaultSize="0" autoLine="0" autoPict="0">
                <anchor moveWithCells="1">
                  <from>
                    <xdr:col>10</xdr:col>
                    <xdr:colOff>9525</xdr:colOff>
                    <xdr:row>26</xdr:row>
                    <xdr:rowOff>0</xdr:rowOff>
                  </from>
                  <to>
                    <xdr:col>11</xdr:col>
                    <xdr:colOff>0</xdr:colOff>
                    <xdr:row>27</xdr:row>
                    <xdr:rowOff>38100</xdr:rowOff>
                  </to>
                </anchor>
              </controlPr>
            </control>
          </mc:Choice>
        </mc:AlternateContent>
        <mc:AlternateContent xmlns:mc="http://schemas.openxmlformats.org/markup-compatibility/2006">
          <mc:Choice Requires="x14">
            <control shapeId="22557" r:id="rId31" name="Drop Down 29">
              <controlPr defaultSize="0" autoLine="0" autoPict="0">
                <anchor moveWithCells="1">
                  <from>
                    <xdr:col>1</xdr:col>
                    <xdr:colOff>0</xdr:colOff>
                    <xdr:row>4</xdr:row>
                    <xdr:rowOff>0</xdr:rowOff>
                  </from>
                  <to>
                    <xdr:col>2</xdr:col>
                    <xdr:colOff>19050</xdr:colOff>
                    <xdr:row>5</xdr:row>
                    <xdr:rowOff>19050</xdr:rowOff>
                  </to>
                </anchor>
              </controlPr>
            </control>
          </mc:Choice>
        </mc:AlternateContent>
        <mc:AlternateContent xmlns:mc="http://schemas.openxmlformats.org/markup-compatibility/2006">
          <mc:Choice Requires="x14">
            <control shapeId="22558" r:id="rId32" name="Drop Down 30">
              <controlPr defaultSize="0" autoLine="0" autoPict="0">
                <anchor moveWithCells="1">
                  <from>
                    <xdr:col>10</xdr:col>
                    <xdr:colOff>0</xdr:colOff>
                    <xdr:row>4</xdr:row>
                    <xdr:rowOff>0</xdr:rowOff>
                  </from>
                  <to>
                    <xdr:col>10</xdr:col>
                    <xdr:colOff>2419350</xdr:colOff>
                    <xdr:row>5</xdr:row>
                    <xdr:rowOff>19050</xdr:rowOff>
                  </to>
                </anchor>
              </controlPr>
            </control>
          </mc:Choice>
        </mc:AlternateContent>
        <mc:AlternateContent xmlns:mc="http://schemas.openxmlformats.org/markup-compatibility/2006">
          <mc:Choice Requires="x14">
            <control shapeId="22559" r:id="rId33" name="Drop Down 31">
              <controlPr defaultSize="0" autoLine="0" autoPict="0">
                <anchor moveWithCells="1">
                  <from>
                    <xdr:col>8</xdr:col>
                    <xdr:colOff>9525</xdr:colOff>
                    <xdr:row>5</xdr:row>
                    <xdr:rowOff>180975</xdr:rowOff>
                  </from>
                  <to>
                    <xdr:col>8</xdr:col>
                    <xdr:colOff>1847850</xdr:colOff>
                    <xdr:row>7</xdr:row>
                    <xdr:rowOff>28575</xdr:rowOff>
                  </to>
                </anchor>
              </controlPr>
            </control>
          </mc:Choice>
        </mc:AlternateContent>
        <mc:AlternateContent xmlns:mc="http://schemas.openxmlformats.org/markup-compatibility/2006">
          <mc:Choice Requires="x14">
            <control shapeId="22560" r:id="rId34" name="Drop Down 32">
              <controlPr defaultSize="0" autoLine="0" autoPict="0">
                <anchor moveWithCells="1">
                  <from>
                    <xdr:col>8</xdr:col>
                    <xdr:colOff>9525</xdr:colOff>
                    <xdr:row>12</xdr:row>
                    <xdr:rowOff>9525</xdr:rowOff>
                  </from>
                  <to>
                    <xdr:col>8</xdr:col>
                    <xdr:colOff>1866900</xdr:colOff>
                    <xdr:row>13</xdr:row>
                    <xdr:rowOff>57150</xdr:rowOff>
                  </to>
                </anchor>
              </controlPr>
            </control>
          </mc:Choice>
        </mc:AlternateContent>
        <mc:AlternateContent xmlns:mc="http://schemas.openxmlformats.org/markup-compatibility/2006">
          <mc:Choice Requires="x14">
            <control shapeId="22561" r:id="rId35" name="Drop Down 33">
              <controlPr defaultSize="0" autoLine="0" autoPict="0">
                <anchor moveWithCells="1">
                  <from>
                    <xdr:col>8</xdr:col>
                    <xdr:colOff>9525</xdr:colOff>
                    <xdr:row>26</xdr:row>
                    <xdr:rowOff>0</xdr:rowOff>
                  </from>
                  <to>
                    <xdr:col>8</xdr:col>
                    <xdr:colOff>1866900</xdr:colOff>
                    <xdr:row>27</xdr:row>
                    <xdr:rowOff>28575</xdr:rowOff>
                  </to>
                </anchor>
              </controlPr>
            </control>
          </mc:Choice>
        </mc:AlternateContent>
        <mc:AlternateContent xmlns:mc="http://schemas.openxmlformats.org/markup-compatibility/2006">
          <mc:Choice Requires="x14">
            <control shapeId="22562" r:id="rId36" name="Drop Down 34">
              <controlPr defaultSize="0" autoLine="0" autoPict="0">
                <anchor moveWithCells="1">
                  <from>
                    <xdr:col>1</xdr:col>
                    <xdr:colOff>0</xdr:colOff>
                    <xdr:row>3</xdr:row>
                    <xdr:rowOff>0</xdr:rowOff>
                  </from>
                  <to>
                    <xdr:col>2</xdr:col>
                    <xdr:colOff>19050</xdr:colOff>
                    <xdr:row>4</xdr:row>
                    <xdr:rowOff>28575</xdr:rowOff>
                  </to>
                </anchor>
              </controlPr>
            </control>
          </mc:Choice>
        </mc:AlternateContent>
        <mc:AlternateContent xmlns:mc="http://schemas.openxmlformats.org/markup-compatibility/2006">
          <mc:Choice Requires="x14">
            <control shapeId="22563" r:id="rId37" name="Drop Down 35">
              <controlPr defaultSize="0" autoLine="0" autoPict="0">
                <anchor moveWithCells="1">
                  <from>
                    <xdr:col>10</xdr:col>
                    <xdr:colOff>0</xdr:colOff>
                    <xdr:row>3</xdr:row>
                    <xdr:rowOff>0</xdr:rowOff>
                  </from>
                  <to>
                    <xdr:col>10</xdr:col>
                    <xdr:colOff>2419350</xdr:colOff>
                    <xdr:row>4</xdr:row>
                    <xdr:rowOff>28575</xdr:rowOff>
                  </to>
                </anchor>
              </controlPr>
            </control>
          </mc:Choice>
        </mc:AlternateContent>
        <mc:AlternateContent xmlns:mc="http://schemas.openxmlformats.org/markup-compatibility/2006">
          <mc:Choice Requires="x14">
            <control shapeId="22570" r:id="rId38" name="Drop Down 42">
              <controlPr defaultSize="0" autoLine="0" autoPict="0">
                <anchor moveWithCells="1">
                  <from>
                    <xdr:col>0</xdr:col>
                    <xdr:colOff>3067050</xdr:colOff>
                    <xdr:row>9</xdr:row>
                    <xdr:rowOff>0</xdr:rowOff>
                  </from>
                  <to>
                    <xdr:col>2</xdr:col>
                    <xdr:colOff>19050</xdr:colOff>
                    <xdr:row>10</xdr:row>
                    <xdr:rowOff>28575</xdr:rowOff>
                  </to>
                </anchor>
              </controlPr>
            </control>
          </mc:Choice>
        </mc:AlternateContent>
        <mc:AlternateContent xmlns:mc="http://schemas.openxmlformats.org/markup-compatibility/2006">
          <mc:Choice Requires="x14">
            <control shapeId="22572" r:id="rId39" name="Drop Down 44">
              <controlPr defaultSize="0" autoLine="0" autoPict="0">
                <anchor moveWithCells="1">
                  <from>
                    <xdr:col>1</xdr:col>
                    <xdr:colOff>0</xdr:colOff>
                    <xdr:row>10</xdr:row>
                    <xdr:rowOff>9525</xdr:rowOff>
                  </from>
                  <to>
                    <xdr:col>2</xdr:col>
                    <xdr:colOff>19050</xdr:colOff>
                    <xdr:row>11</xdr:row>
                    <xdr:rowOff>38100</xdr:rowOff>
                  </to>
                </anchor>
              </controlPr>
            </control>
          </mc:Choice>
        </mc:AlternateContent>
        <mc:AlternateContent xmlns:mc="http://schemas.openxmlformats.org/markup-compatibility/2006">
          <mc:Choice Requires="x14">
            <control shapeId="22573" r:id="rId40" name="Drop Down 45">
              <controlPr defaultSize="0" autoLine="0" autoPict="0">
                <anchor moveWithCells="1">
                  <from>
                    <xdr:col>4</xdr:col>
                    <xdr:colOff>9525</xdr:colOff>
                    <xdr:row>6</xdr:row>
                    <xdr:rowOff>0</xdr:rowOff>
                  </from>
                  <to>
                    <xdr:col>4</xdr:col>
                    <xdr:colOff>581025</xdr:colOff>
                    <xdr:row>7</xdr:row>
                    <xdr:rowOff>19050</xdr:rowOff>
                  </to>
                </anchor>
              </controlPr>
            </control>
          </mc:Choice>
        </mc:AlternateContent>
        <mc:AlternateContent xmlns:mc="http://schemas.openxmlformats.org/markup-compatibility/2006">
          <mc:Choice Requires="x14">
            <control shapeId="22574" r:id="rId41" name="Drop Down 46">
              <controlPr defaultSize="0" autoLine="0" autoPict="0">
                <anchor moveWithCells="1">
                  <from>
                    <xdr:col>4</xdr:col>
                    <xdr:colOff>9525</xdr:colOff>
                    <xdr:row>7</xdr:row>
                    <xdr:rowOff>0</xdr:rowOff>
                  </from>
                  <to>
                    <xdr:col>4</xdr:col>
                    <xdr:colOff>581025</xdr:colOff>
                    <xdr:row>8</xdr:row>
                    <xdr:rowOff>19050</xdr:rowOff>
                  </to>
                </anchor>
              </controlPr>
            </control>
          </mc:Choice>
        </mc:AlternateContent>
        <mc:AlternateContent xmlns:mc="http://schemas.openxmlformats.org/markup-compatibility/2006">
          <mc:Choice Requires="x14">
            <control shapeId="22575" r:id="rId42" name="Drop Down 47">
              <controlPr defaultSize="0" autoLine="0" autoPict="0">
                <anchor moveWithCells="1">
                  <from>
                    <xdr:col>4</xdr:col>
                    <xdr:colOff>9525</xdr:colOff>
                    <xdr:row>8</xdr:row>
                    <xdr:rowOff>0</xdr:rowOff>
                  </from>
                  <to>
                    <xdr:col>4</xdr:col>
                    <xdr:colOff>581025</xdr:colOff>
                    <xdr:row>9</xdr:row>
                    <xdr:rowOff>19050</xdr:rowOff>
                  </to>
                </anchor>
              </controlPr>
            </control>
          </mc:Choice>
        </mc:AlternateContent>
        <mc:AlternateContent xmlns:mc="http://schemas.openxmlformats.org/markup-compatibility/2006">
          <mc:Choice Requires="x14">
            <control shapeId="22576" r:id="rId43" name="Drop Down 48">
              <controlPr defaultSize="0" autoLine="0" autoPict="0">
                <anchor moveWithCells="1">
                  <from>
                    <xdr:col>4</xdr:col>
                    <xdr:colOff>9525</xdr:colOff>
                    <xdr:row>9</xdr:row>
                    <xdr:rowOff>0</xdr:rowOff>
                  </from>
                  <to>
                    <xdr:col>4</xdr:col>
                    <xdr:colOff>581025</xdr:colOff>
                    <xdr:row>10</xdr:row>
                    <xdr:rowOff>19050</xdr:rowOff>
                  </to>
                </anchor>
              </controlPr>
            </control>
          </mc:Choice>
        </mc:AlternateContent>
        <mc:AlternateContent xmlns:mc="http://schemas.openxmlformats.org/markup-compatibility/2006">
          <mc:Choice Requires="x14">
            <control shapeId="22577" r:id="rId44" name="Drop Down 49">
              <controlPr defaultSize="0" autoLine="0" autoPict="0">
                <anchor moveWithCells="1">
                  <from>
                    <xdr:col>4</xdr:col>
                    <xdr:colOff>9525</xdr:colOff>
                    <xdr:row>10</xdr:row>
                    <xdr:rowOff>0</xdr:rowOff>
                  </from>
                  <to>
                    <xdr:col>4</xdr:col>
                    <xdr:colOff>581025</xdr:colOff>
                    <xdr:row>11</xdr:row>
                    <xdr:rowOff>19050</xdr:rowOff>
                  </to>
                </anchor>
              </controlPr>
            </control>
          </mc:Choice>
        </mc:AlternateContent>
        <mc:AlternateContent xmlns:mc="http://schemas.openxmlformats.org/markup-compatibility/2006">
          <mc:Choice Requires="x14">
            <control shapeId="22578" r:id="rId45" name="Drop Down 50">
              <controlPr defaultSize="0" autoLine="0" autoPict="0">
                <anchor moveWithCells="1">
                  <from>
                    <xdr:col>10</xdr:col>
                    <xdr:colOff>0</xdr:colOff>
                    <xdr:row>9</xdr:row>
                    <xdr:rowOff>0</xdr:rowOff>
                  </from>
                  <to>
                    <xdr:col>10</xdr:col>
                    <xdr:colOff>2419350</xdr:colOff>
                    <xdr:row>10</xdr:row>
                    <xdr:rowOff>28575</xdr:rowOff>
                  </to>
                </anchor>
              </controlPr>
            </control>
          </mc:Choice>
        </mc:AlternateContent>
        <mc:AlternateContent xmlns:mc="http://schemas.openxmlformats.org/markup-compatibility/2006">
          <mc:Choice Requires="x14">
            <control shapeId="22579" r:id="rId46" name="Drop Down 51">
              <controlPr defaultSize="0" autoLine="0" autoPict="0">
                <anchor moveWithCells="1">
                  <from>
                    <xdr:col>10</xdr:col>
                    <xdr:colOff>0</xdr:colOff>
                    <xdr:row>10</xdr:row>
                    <xdr:rowOff>0</xdr:rowOff>
                  </from>
                  <to>
                    <xdr:col>10</xdr:col>
                    <xdr:colOff>2419350</xdr:colOff>
                    <xdr:row>11</xdr:row>
                    <xdr:rowOff>28575</xdr:rowOff>
                  </to>
                </anchor>
              </controlPr>
            </control>
          </mc:Choice>
        </mc:AlternateContent>
        <mc:AlternateContent xmlns:mc="http://schemas.openxmlformats.org/markup-compatibility/2006">
          <mc:Choice Requires="x14">
            <control shapeId="22580" r:id="rId47" name="Drop Down 52">
              <controlPr defaultSize="0" autoLine="0" autoPict="0">
                <anchor moveWithCells="1">
                  <from>
                    <xdr:col>13</xdr:col>
                    <xdr:colOff>9525</xdr:colOff>
                    <xdr:row>6</xdr:row>
                    <xdr:rowOff>0</xdr:rowOff>
                  </from>
                  <to>
                    <xdr:col>14</xdr:col>
                    <xdr:colOff>0</xdr:colOff>
                    <xdr:row>7</xdr:row>
                    <xdr:rowOff>19050</xdr:rowOff>
                  </to>
                </anchor>
              </controlPr>
            </control>
          </mc:Choice>
        </mc:AlternateContent>
        <mc:AlternateContent xmlns:mc="http://schemas.openxmlformats.org/markup-compatibility/2006">
          <mc:Choice Requires="x14">
            <control shapeId="22581" r:id="rId48" name="Drop Down 53">
              <controlPr defaultSize="0" autoLine="0" autoPict="0">
                <anchor moveWithCells="1">
                  <from>
                    <xdr:col>13</xdr:col>
                    <xdr:colOff>9525</xdr:colOff>
                    <xdr:row>7</xdr:row>
                    <xdr:rowOff>0</xdr:rowOff>
                  </from>
                  <to>
                    <xdr:col>14</xdr:col>
                    <xdr:colOff>0</xdr:colOff>
                    <xdr:row>8</xdr:row>
                    <xdr:rowOff>19050</xdr:rowOff>
                  </to>
                </anchor>
              </controlPr>
            </control>
          </mc:Choice>
        </mc:AlternateContent>
        <mc:AlternateContent xmlns:mc="http://schemas.openxmlformats.org/markup-compatibility/2006">
          <mc:Choice Requires="x14">
            <control shapeId="22582" r:id="rId49" name="Drop Down 54">
              <controlPr defaultSize="0" autoLine="0" autoPict="0">
                <anchor moveWithCells="1">
                  <from>
                    <xdr:col>13</xdr:col>
                    <xdr:colOff>9525</xdr:colOff>
                    <xdr:row>8</xdr:row>
                    <xdr:rowOff>0</xdr:rowOff>
                  </from>
                  <to>
                    <xdr:col>14</xdr:col>
                    <xdr:colOff>0</xdr:colOff>
                    <xdr:row>9</xdr:row>
                    <xdr:rowOff>19050</xdr:rowOff>
                  </to>
                </anchor>
              </controlPr>
            </control>
          </mc:Choice>
        </mc:AlternateContent>
        <mc:AlternateContent xmlns:mc="http://schemas.openxmlformats.org/markup-compatibility/2006">
          <mc:Choice Requires="x14">
            <control shapeId="22583" r:id="rId50" name="Drop Down 55">
              <controlPr defaultSize="0" autoLine="0" autoPict="0">
                <anchor moveWithCells="1">
                  <from>
                    <xdr:col>13</xdr:col>
                    <xdr:colOff>9525</xdr:colOff>
                    <xdr:row>9</xdr:row>
                    <xdr:rowOff>0</xdr:rowOff>
                  </from>
                  <to>
                    <xdr:col>14</xdr:col>
                    <xdr:colOff>0</xdr:colOff>
                    <xdr:row>10</xdr:row>
                    <xdr:rowOff>19050</xdr:rowOff>
                  </to>
                </anchor>
              </controlPr>
            </control>
          </mc:Choice>
        </mc:AlternateContent>
        <mc:AlternateContent xmlns:mc="http://schemas.openxmlformats.org/markup-compatibility/2006">
          <mc:Choice Requires="x14">
            <control shapeId="22584" r:id="rId51" name="Drop Down 56">
              <controlPr defaultSize="0" autoLine="0" autoPict="0">
                <anchor moveWithCells="1">
                  <from>
                    <xdr:col>13</xdr:col>
                    <xdr:colOff>9525</xdr:colOff>
                    <xdr:row>10</xdr:row>
                    <xdr:rowOff>0</xdr:rowOff>
                  </from>
                  <to>
                    <xdr:col>14</xdr:col>
                    <xdr:colOff>0</xdr:colOff>
                    <xdr:row>11</xdr:row>
                    <xdr:rowOff>19050</xdr:rowOff>
                  </to>
                </anchor>
              </controlPr>
            </control>
          </mc:Choice>
        </mc:AlternateContent>
        <mc:AlternateContent xmlns:mc="http://schemas.openxmlformats.org/markup-compatibility/2006">
          <mc:Choice Requires="x14">
            <control shapeId="22586" r:id="rId52" name="Drop Down 58">
              <controlPr defaultSize="0" autoLine="0" autoPict="0">
                <anchor moveWithCells="1">
                  <from>
                    <xdr:col>4</xdr:col>
                    <xdr:colOff>9525</xdr:colOff>
                    <xdr:row>11</xdr:row>
                    <xdr:rowOff>180975</xdr:rowOff>
                  </from>
                  <to>
                    <xdr:col>5</xdr:col>
                    <xdr:colOff>19050</xdr:colOff>
                    <xdr:row>13</xdr:row>
                    <xdr:rowOff>0</xdr:rowOff>
                  </to>
                </anchor>
              </controlPr>
            </control>
          </mc:Choice>
        </mc:AlternateContent>
        <mc:AlternateContent xmlns:mc="http://schemas.openxmlformats.org/markup-compatibility/2006">
          <mc:Choice Requires="x14">
            <control shapeId="22587" r:id="rId53" name="Drop Down 59">
              <controlPr defaultSize="0" autoLine="0" autoPict="0">
                <anchor moveWithCells="1">
                  <from>
                    <xdr:col>4</xdr:col>
                    <xdr:colOff>0</xdr:colOff>
                    <xdr:row>12</xdr:row>
                    <xdr:rowOff>180975</xdr:rowOff>
                  </from>
                  <to>
                    <xdr:col>5</xdr:col>
                    <xdr:colOff>9525</xdr:colOff>
                    <xdr:row>14</xdr:row>
                    <xdr:rowOff>0</xdr:rowOff>
                  </to>
                </anchor>
              </controlPr>
            </control>
          </mc:Choice>
        </mc:AlternateContent>
        <mc:AlternateContent xmlns:mc="http://schemas.openxmlformats.org/markup-compatibility/2006">
          <mc:Choice Requires="x14">
            <control shapeId="22588" r:id="rId54" name="Drop Down 60">
              <controlPr defaultSize="0" autoLine="0" autoPict="0">
                <anchor moveWithCells="1">
                  <from>
                    <xdr:col>4</xdr:col>
                    <xdr:colOff>9525</xdr:colOff>
                    <xdr:row>14</xdr:row>
                    <xdr:rowOff>0</xdr:rowOff>
                  </from>
                  <to>
                    <xdr:col>5</xdr:col>
                    <xdr:colOff>19050</xdr:colOff>
                    <xdr:row>15</xdr:row>
                    <xdr:rowOff>9525</xdr:rowOff>
                  </to>
                </anchor>
              </controlPr>
            </control>
          </mc:Choice>
        </mc:AlternateContent>
        <mc:AlternateContent xmlns:mc="http://schemas.openxmlformats.org/markup-compatibility/2006">
          <mc:Choice Requires="x14">
            <control shapeId="22589" r:id="rId55" name="Drop Down 61">
              <controlPr defaultSize="0" autoLine="0" autoPict="0">
                <anchor moveWithCells="1">
                  <from>
                    <xdr:col>13</xdr:col>
                    <xdr:colOff>0</xdr:colOff>
                    <xdr:row>12</xdr:row>
                    <xdr:rowOff>0</xdr:rowOff>
                  </from>
                  <to>
                    <xdr:col>14</xdr:col>
                    <xdr:colOff>28575</xdr:colOff>
                    <xdr:row>13</xdr:row>
                    <xdr:rowOff>9525</xdr:rowOff>
                  </to>
                </anchor>
              </controlPr>
            </control>
          </mc:Choice>
        </mc:AlternateContent>
        <mc:AlternateContent xmlns:mc="http://schemas.openxmlformats.org/markup-compatibility/2006">
          <mc:Choice Requires="x14">
            <control shapeId="22590" r:id="rId56" name="Drop Down 62">
              <controlPr defaultSize="0" autoLine="0" autoPict="0">
                <anchor moveWithCells="1">
                  <from>
                    <xdr:col>13</xdr:col>
                    <xdr:colOff>9525</xdr:colOff>
                    <xdr:row>13</xdr:row>
                    <xdr:rowOff>0</xdr:rowOff>
                  </from>
                  <to>
                    <xdr:col>14</xdr:col>
                    <xdr:colOff>38100</xdr:colOff>
                    <xdr:row>14</xdr:row>
                    <xdr:rowOff>9525</xdr:rowOff>
                  </to>
                </anchor>
              </controlPr>
            </control>
          </mc:Choice>
        </mc:AlternateContent>
        <mc:AlternateContent xmlns:mc="http://schemas.openxmlformats.org/markup-compatibility/2006">
          <mc:Choice Requires="x14">
            <control shapeId="22591" r:id="rId57" name="Drop Down 63">
              <controlPr defaultSize="0" autoLine="0" autoPict="0">
                <anchor moveWithCells="1">
                  <from>
                    <xdr:col>13</xdr:col>
                    <xdr:colOff>19050</xdr:colOff>
                    <xdr:row>14</xdr:row>
                    <xdr:rowOff>0</xdr:rowOff>
                  </from>
                  <to>
                    <xdr:col>14</xdr:col>
                    <xdr:colOff>47625</xdr:colOff>
                    <xdr:row>15</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1"/>
  <sheetViews>
    <sheetView zoomScaleNormal="100" workbookViewId="0">
      <pane xSplit="1" topLeftCell="B1" activePane="topRight" state="frozen"/>
      <selection pane="topRight" activeCell="C2" sqref="C2"/>
    </sheetView>
  </sheetViews>
  <sheetFormatPr defaultRowHeight="14.25" x14ac:dyDescent="0.2"/>
  <cols>
    <col min="1" max="1" width="25.7109375" style="97" bestFit="1" customWidth="1"/>
    <col min="2" max="2" width="36.5703125" style="97" customWidth="1"/>
    <col min="3" max="3" width="6.28515625" style="97" customWidth="1"/>
    <col min="4" max="4" width="6.7109375" style="97" customWidth="1"/>
    <col min="5" max="5" width="9" style="97" customWidth="1"/>
    <col min="6" max="6" width="5.5703125" style="97" customWidth="1"/>
    <col min="7" max="7" width="4.42578125" style="97" customWidth="1"/>
    <col min="8" max="8" width="4.28515625" style="97" customWidth="1"/>
    <col min="9" max="9" width="28.140625" style="97" customWidth="1"/>
    <col min="10" max="10" width="6.85546875" style="97" customWidth="1"/>
    <col min="11" max="11" width="36.5703125" style="97" customWidth="1"/>
    <col min="12" max="12" width="5" style="96" customWidth="1"/>
    <col min="13" max="13" width="4.85546875" style="96" customWidth="1"/>
    <col min="14" max="14" width="8.7109375" style="96" customWidth="1"/>
    <col min="15" max="15" width="5.42578125" style="96" customWidth="1"/>
    <col min="16" max="16" width="4.140625" style="96" customWidth="1"/>
    <col min="17" max="17" width="4.7109375" style="96" customWidth="1"/>
    <col min="18" max="16384" width="9.140625" style="96"/>
  </cols>
  <sheetData>
    <row r="1" spans="1:21" ht="18" x14ac:dyDescent="0.25">
      <c r="A1" s="487" t="s">
        <v>327</v>
      </c>
      <c r="B1" s="94" t="s">
        <v>129</v>
      </c>
      <c r="C1" s="95"/>
      <c r="D1" s="95"/>
      <c r="E1" s="95"/>
      <c r="F1" s="95"/>
      <c r="G1" s="95"/>
      <c r="H1" s="95"/>
      <c r="I1" s="314" t="s">
        <v>128</v>
      </c>
      <c r="J1" s="315" t="s">
        <v>56</v>
      </c>
      <c r="K1" s="94" t="s">
        <v>127</v>
      </c>
      <c r="L1" s="322"/>
      <c r="M1" s="322"/>
      <c r="N1" s="322"/>
      <c r="O1" s="322"/>
      <c r="P1" s="322"/>
      <c r="Q1" s="322"/>
      <c r="S1" s="297"/>
    </row>
    <row r="2" spans="1:21" x14ac:dyDescent="0.2">
      <c r="A2" s="495" t="s">
        <v>1181</v>
      </c>
      <c r="B2" s="101">
        <v>30</v>
      </c>
      <c r="C2" s="499" t="s">
        <v>1182</v>
      </c>
      <c r="D2" s="95"/>
      <c r="E2" s="95"/>
      <c r="F2" s="95"/>
      <c r="G2" s="95"/>
      <c r="H2" s="95"/>
      <c r="I2" s="316"/>
      <c r="J2" s="317"/>
      <c r="K2" s="94"/>
      <c r="L2" s="322"/>
      <c r="M2" s="322"/>
      <c r="N2" s="322"/>
      <c r="O2" s="322"/>
      <c r="P2" s="322"/>
      <c r="Q2" s="322"/>
    </row>
    <row r="3" spans="1:21" x14ac:dyDescent="0.2">
      <c r="A3" s="95" t="s">
        <v>95</v>
      </c>
      <c r="B3" s="95"/>
      <c r="C3" s="95"/>
      <c r="D3" s="95"/>
      <c r="E3" s="95"/>
      <c r="F3" s="95"/>
      <c r="G3" s="95"/>
      <c r="H3" s="95"/>
      <c r="I3" s="318"/>
      <c r="J3" s="319"/>
      <c r="K3" s="95"/>
      <c r="L3" s="322"/>
      <c r="M3" s="322"/>
      <c r="N3" s="322"/>
      <c r="O3" s="322"/>
      <c r="P3" s="322"/>
      <c r="Q3" s="322"/>
    </row>
    <row r="4" spans="1:21" ht="15" customHeight="1" x14ac:dyDescent="0.2">
      <c r="A4" s="95" t="s">
        <v>825</v>
      </c>
      <c r="B4" s="95"/>
      <c r="C4" s="95"/>
      <c r="D4" s="95"/>
      <c r="E4" s="95"/>
      <c r="F4" s="95"/>
      <c r="G4" s="95"/>
      <c r="H4" s="95"/>
      <c r="I4" s="318"/>
      <c r="J4" s="319"/>
      <c r="K4" s="95"/>
      <c r="L4" s="406" t="s">
        <v>1027</v>
      </c>
      <c r="M4" s="322"/>
      <c r="N4" s="322"/>
      <c r="O4" s="322"/>
      <c r="P4" s="322"/>
      <c r="Q4" s="322"/>
    </row>
    <row r="5" spans="1:21" ht="15" customHeight="1" x14ac:dyDescent="0.2">
      <c r="A5" s="95" t="s">
        <v>976</v>
      </c>
      <c r="B5" s="95"/>
      <c r="C5" s="95"/>
      <c r="D5" s="95"/>
      <c r="E5" s="95"/>
      <c r="F5" s="95"/>
      <c r="G5" s="95"/>
      <c r="H5" s="95"/>
      <c r="I5" s="318" t="str">
        <f>IF(AND('binnenklimaatlabel type 1'!B2&lt;4,'binnenklimaatlabel type 1'!B4&lt;2),"Spoiler of koof","geen")</f>
        <v>geen</v>
      </c>
      <c r="J5" s="456" t="s">
        <v>737</v>
      </c>
      <c r="K5" s="95"/>
      <c r="L5" s="406" t="s">
        <v>1028</v>
      </c>
      <c r="M5" s="322"/>
      <c r="N5" s="322"/>
      <c r="O5" s="322"/>
      <c r="P5" s="322"/>
      <c r="Q5" s="322"/>
    </row>
    <row r="6" spans="1:21" x14ac:dyDescent="0.2">
      <c r="A6" s="94" t="s">
        <v>699</v>
      </c>
      <c r="B6" s="95"/>
      <c r="C6" s="95" t="s">
        <v>120</v>
      </c>
      <c r="D6" s="95" t="s">
        <v>119</v>
      </c>
      <c r="E6" s="95" t="s">
        <v>221</v>
      </c>
      <c r="F6" s="95" t="s">
        <v>50</v>
      </c>
      <c r="G6" s="95"/>
      <c r="H6" s="95"/>
      <c r="I6" s="318" t="s">
        <v>126</v>
      </c>
      <c r="J6" s="319"/>
      <c r="K6" s="95" t="s">
        <v>1023</v>
      </c>
      <c r="L6" s="95" t="s">
        <v>120</v>
      </c>
      <c r="M6" s="95" t="s">
        <v>119</v>
      </c>
      <c r="N6" s="95" t="s">
        <v>221</v>
      </c>
      <c r="O6" s="95" t="s">
        <v>50</v>
      </c>
      <c r="P6" s="95"/>
      <c r="Q6" s="95"/>
      <c r="T6"/>
      <c r="U6"/>
    </row>
    <row r="7" spans="1:21" ht="15" customHeight="1" x14ac:dyDescent="0.2">
      <c r="A7" s="95" t="s">
        <v>125</v>
      </c>
      <c r="B7" s="95"/>
      <c r="C7" s="408"/>
      <c r="D7" s="408"/>
      <c r="E7" s="98"/>
      <c r="F7" s="98"/>
      <c r="G7" s="412" t="str">
        <f>IF(AND('binnenklimaatlabel type 4'!$B$2=1,'binnenklimaatlabel type 4'!K5=3),"fout zie rij 3","")</f>
        <v/>
      </c>
      <c r="H7" s="299"/>
      <c r="I7" s="318"/>
      <c r="J7" s="456">
        <f>IF('binnenklimaatlabel type 4'!F5=1,0,'Kosten kengetallen'!B47)</f>
        <v>0</v>
      </c>
      <c r="K7" s="95"/>
      <c r="L7" s="409"/>
      <c r="M7" s="409"/>
      <c r="N7" s="323"/>
      <c r="O7" s="369"/>
      <c r="P7" s="299"/>
      <c r="Q7" s="299"/>
      <c r="T7" s="11"/>
    </row>
    <row r="8" spans="1:21" ht="15" customHeight="1" x14ac:dyDescent="0.2">
      <c r="A8" s="95" t="s">
        <v>124</v>
      </c>
      <c r="B8" s="95"/>
      <c r="C8" s="408"/>
      <c r="D8" s="408"/>
      <c r="E8" s="98"/>
      <c r="F8" s="98"/>
      <c r="G8" s="412" t="str">
        <f>IF(AND('binnenklimaatlabel type 4'!$B$2=1,'binnenklimaatlabel type 4'!K6=3),"fout zie rij 3","")</f>
        <v/>
      </c>
      <c r="H8" s="299"/>
      <c r="I8" s="318"/>
      <c r="J8" s="319"/>
      <c r="K8" s="95"/>
      <c r="L8" s="409"/>
      <c r="M8" s="409"/>
      <c r="N8" s="323"/>
      <c r="O8" s="369"/>
      <c r="P8" s="299"/>
      <c r="Q8" s="299"/>
      <c r="T8" s="11"/>
    </row>
    <row r="9" spans="1:21" ht="15" customHeight="1" x14ac:dyDescent="0.2">
      <c r="A9" s="95" t="s">
        <v>123</v>
      </c>
      <c r="B9" s="95"/>
      <c r="C9" s="408"/>
      <c r="D9" s="408"/>
      <c r="E9" s="98"/>
      <c r="F9" s="98"/>
      <c r="G9" s="412" t="str">
        <f>IF(AND('binnenklimaatlabel type 4'!$B$2=1,'binnenklimaatlabel type 4'!K7=3),"fout zie rij 3","")</f>
        <v/>
      </c>
      <c r="H9" s="299"/>
      <c r="I9" s="318"/>
      <c r="J9" s="319"/>
      <c r="K9" s="95"/>
      <c r="L9" s="409"/>
      <c r="M9" s="409"/>
      <c r="N9" s="323"/>
      <c r="O9" s="369"/>
      <c r="P9" s="299"/>
      <c r="Q9" s="299"/>
      <c r="T9" s="11"/>
    </row>
    <row r="10" spans="1:21" ht="15" customHeight="1" x14ac:dyDescent="0.2">
      <c r="A10" s="95" t="s">
        <v>690</v>
      </c>
      <c r="B10" s="95"/>
      <c r="C10" s="408"/>
      <c r="D10" s="408"/>
      <c r="E10" s="98"/>
      <c r="F10" s="98"/>
      <c r="G10" s="412" t="str">
        <f>IF(AND('binnenklimaatlabel type 4'!$B$2=1,'binnenklimaatlabel type 4'!K8=3),"fout zie rij 3","")</f>
        <v/>
      </c>
      <c r="H10" s="299"/>
      <c r="I10" s="318"/>
      <c r="J10" s="319"/>
      <c r="K10" s="95"/>
      <c r="L10" s="409"/>
      <c r="M10" s="409"/>
      <c r="N10" s="323"/>
      <c r="O10" s="369"/>
      <c r="P10" s="407" t="s">
        <v>682</v>
      </c>
      <c r="Q10" s="324"/>
      <c r="T10" s="11"/>
    </row>
    <row r="11" spans="1:21" ht="15" customHeight="1" x14ac:dyDescent="0.2">
      <c r="A11" s="95" t="s">
        <v>691</v>
      </c>
      <c r="B11" s="95"/>
      <c r="C11" s="408"/>
      <c r="D11" s="408"/>
      <c r="E11" s="98"/>
      <c r="F11" s="98"/>
      <c r="G11" s="99">
        <f>'binnenklimaatlabel type 4'!R10</f>
        <v>0</v>
      </c>
      <c r="H11" s="313" t="s">
        <v>115</v>
      </c>
      <c r="I11" s="318"/>
      <c r="J11" s="319"/>
      <c r="K11" s="95"/>
      <c r="L11" s="409"/>
      <c r="M11" s="409"/>
      <c r="N11" s="323"/>
      <c r="O11" s="369"/>
      <c r="P11" s="99">
        <f>'binnenklimaatlabel type 4'!AD10</f>
        <v>0</v>
      </c>
      <c r="Q11" s="100" t="s">
        <v>115</v>
      </c>
      <c r="T11" s="11"/>
    </row>
    <row r="12" spans="1:21" ht="15" customHeight="1" x14ac:dyDescent="0.2">
      <c r="A12" s="94" t="s">
        <v>122</v>
      </c>
      <c r="B12" s="95"/>
      <c r="C12" s="95" t="s">
        <v>120</v>
      </c>
      <c r="D12" s="95" t="s">
        <v>119</v>
      </c>
      <c r="E12" s="95" t="s">
        <v>221</v>
      </c>
      <c r="F12" s="95" t="s">
        <v>50</v>
      </c>
      <c r="G12" s="95"/>
      <c r="H12" s="95"/>
      <c r="I12" s="318" t="s">
        <v>121</v>
      </c>
      <c r="J12" s="319"/>
      <c r="K12" s="95" t="s">
        <v>1024</v>
      </c>
      <c r="L12" s="95" t="s">
        <v>120</v>
      </c>
      <c r="M12" s="95" t="s">
        <v>119</v>
      </c>
      <c r="N12" s="95" t="s">
        <v>221</v>
      </c>
      <c r="O12" s="95" t="s">
        <v>50</v>
      </c>
      <c r="P12" s="95"/>
      <c r="Q12" s="95"/>
    </row>
    <row r="13" spans="1:21" ht="15" customHeight="1" x14ac:dyDescent="0.2">
      <c r="A13" s="95" t="s">
        <v>118</v>
      </c>
      <c r="B13" s="95"/>
      <c r="C13" s="408"/>
      <c r="D13" s="408"/>
      <c r="E13" s="98"/>
      <c r="F13" s="98"/>
      <c r="G13" s="299"/>
      <c r="H13" s="299"/>
      <c r="I13" s="318"/>
      <c r="J13" s="456">
        <f>IF('binnenklimaatlabel type 4'!F6=1,0,IF('binnenklimaatlabel type 4'!F6=2,'Kosten kengetallen'!B48,'Kosten kengetallen'!B49))</f>
        <v>0</v>
      </c>
      <c r="K13" s="95"/>
      <c r="L13" s="409"/>
      <c r="M13" s="409"/>
      <c r="N13" s="323"/>
      <c r="O13" s="369"/>
      <c r="P13" s="299"/>
      <c r="Q13" s="299"/>
    </row>
    <row r="14" spans="1:21" ht="15" customHeight="1" x14ac:dyDescent="0.2">
      <c r="A14" s="95" t="s">
        <v>117</v>
      </c>
      <c r="B14" s="95"/>
      <c r="C14" s="408"/>
      <c r="D14" s="408"/>
      <c r="E14" s="98"/>
      <c r="F14" s="98"/>
      <c r="G14" s="299"/>
      <c r="H14" s="299"/>
      <c r="I14" s="318"/>
      <c r="J14" s="319"/>
      <c r="K14" s="95"/>
      <c r="L14" s="409"/>
      <c r="M14" s="409"/>
      <c r="N14" s="323"/>
      <c r="O14" s="369"/>
      <c r="P14" s="324" t="s">
        <v>782</v>
      </c>
      <c r="Q14" s="299"/>
    </row>
    <row r="15" spans="1:21" ht="15" customHeight="1" x14ac:dyDescent="0.2">
      <c r="A15" s="95" t="s">
        <v>116</v>
      </c>
      <c r="B15" s="95"/>
      <c r="C15" s="408"/>
      <c r="D15" s="408"/>
      <c r="E15" s="98"/>
      <c r="F15" s="311"/>
      <c r="G15" s="99">
        <f>'binnenklimaatlabel type 4'!AP10</f>
        <v>0</v>
      </c>
      <c r="H15" s="313" t="s">
        <v>115</v>
      </c>
      <c r="I15" s="318" t="s">
        <v>114</v>
      </c>
      <c r="J15" s="319"/>
      <c r="K15" s="95"/>
      <c r="L15" s="409"/>
      <c r="M15" s="409"/>
      <c r="N15" s="323"/>
      <c r="O15" s="369"/>
      <c r="P15" s="99">
        <f>'binnenklimaatlabel type 4'!BB10</f>
        <v>0</v>
      </c>
      <c r="Q15" s="100" t="s">
        <v>115</v>
      </c>
    </row>
    <row r="16" spans="1:21" x14ac:dyDescent="0.2">
      <c r="A16" s="94" t="s">
        <v>461</v>
      </c>
      <c r="B16" s="95"/>
      <c r="C16" s="95"/>
      <c r="D16" s="95"/>
      <c r="E16" s="95"/>
      <c r="F16" s="95"/>
      <c r="G16" s="95"/>
      <c r="H16" s="95"/>
      <c r="I16" s="318" t="s">
        <v>303</v>
      </c>
      <c r="J16" s="456">
        <f>IF(B2=0,0,IF(OR(G11&gt;10*B2,'binnenklimaatlabel type 4'!B2&gt;4),"n.v.t.",IF('binnenklimaatlabel type 4'!B13&gt;3,"n.v.t.",'Kosten kengetallen'!B50)))</f>
        <v>3000</v>
      </c>
      <c r="K16" s="95"/>
      <c r="L16" s="322"/>
      <c r="M16" s="322"/>
      <c r="N16" s="322"/>
      <c r="O16" s="322"/>
      <c r="P16" s="322"/>
      <c r="Q16" s="322"/>
    </row>
    <row r="17" spans="1:17" x14ac:dyDescent="0.2">
      <c r="A17" s="95" t="s">
        <v>975</v>
      </c>
      <c r="B17" s="95"/>
      <c r="C17" s="156" t="str">
        <f>IF(AND('binnenklimaatlabel type 4'!B2&gt;2,'binnenklimaatlabel type 4'!B13=1),"fout!!!",IF(AND('binnenklimaatlabel type 4'!B2&lt;3,'binnenklimaatlabel type 4'!B13&gt;1),"fout!!!"," "))</f>
        <v xml:space="preserve"> </v>
      </c>
      <c r="D17" s="95"/>
      <c r="E17" s="95"/>
      <c r="F17" s="95"/>
      <c r="G17" s="95"/>
      <c r="H17" s="95"/>
      <c r="I17" s="318" t="s">
        <v>683</v>
      </c>
      <c r="J17" s="456">
        <f>IF(B2=0,0,IF(AND('binnenklimaatlabel type 4'!B13=7,B18&lt;10*B2),'Kosten kengetallen'!B50,IF(AND('binnenklimaatlabel type 4'!B2&gt;2,'binnenklimaatlabel type 4'!B13&gt;3),"n.v.t.",IF('binnenklimaatlabel type 4'!B2=3,'Kosten kengetallen'!B51,IF('binnenklimaatlabel type 4'!B2&gt;4,'Kosten kengetallen'!B50,'Kosten kengetallen'!B54)))))</f>
        <v>10000</v>
      </c>
      <c r="K17" s="95"/>
      <c r="L17" s="322"/>
      <c r="M17" s="322"/>
      <c r="N17" s="322"/>
      <c r="O17" s="322"/>
      <c r="P17" s="322"/>
      <c r="Q17" s="322"/>
    </row>
    <row r="18" spans="1:17" x14ac:dyDescent="0.2">
      <c r="A18" s="485" t="s">
        <v>112</v>
      </c>
      <c r="B18" s="101"/>
      <c r="C18" s="95"/>
      <c r="D18" s="95"/>
      <c r="E18" s="95"/>
      <c r="F18" s="95"/>
      <c r="G18" s="95"/>
      <c r="H18" s="95"/>
      <c r="I18" s="318" t="s">
        <v>300</v>
      </c>
      <c r="J18" s="456">
        <f>IF(B2=0,0,IF('binnenklimaatlabel type 4'!B2&gt;4,"n.v.t.",IF('binnenklimaatlabel type 4'!B2=3,'Kosten kengetallen'!B53,IF(AND('binnenklimaatlabel type 4'!B13=7,B18&gt;B2*10),"n.v.t.",IF('binnenklimaatlabel type 4'!B13&gt;3,"n.v.t.",'Kosten kengetallen'!B53)))))</f>
        <v>9000</v>
      </c>
      <c r="K18" s="405"/>
      <c r="L18" s="325" t="s">
        <v>112</v>
      </c>
      <c r="M18" s="322"/>
      <c r="N18" s="322"/>
      <c r="O18" s="322"/>
      <c r="P18" s="322"/>
      <c r="Q18" s="322"/>
    </row>
    <row r="19" spans="1:17" x14ac:dyDescent="0.2">
      <c r="A19" s="94" t="s">
        <v>111</v>
      </c>
      <c r="B19" s="95"/>
      <c r="C19" s="630" t="s">
        <v>110</v>
      </c>
      <c r="D19" s="630"/>
      <c r="E19" s="630"/>
      <c r="F19" s="630"/>
      <c r="G19" s="102"/>
      <c r="H19" s="102"/>
      <c r="I19" s="318" t="s">
        <v>301</v>
      </c>
      <c r="J19" s="456">
        <f>IF(B2=0,0,IF('binnenklimaatlabel type 4'!B2&gt;4,"n.v.t.",IF('binnenklimaatlabel type 4'!B2=3,'Kosten kengetallen'!B54,IF(AND('binnenklimaatlabel type 4'!B13=7,B18&gt;B2*15),"n.v.t.",IF('binnenklimaatlabel type 4'!B13&gt;3,"n.v.t.",'Kosten kengetallen'!B54)))))</f>
        <v>10000</v>
      </c>
      <c r="K19" s="95"/>
      <c r="L19" s="322"/>
      <c r="M19" s="322"/>
      <c r="N19" s="322"/>
      <c r="O19" s="322"/>
      <c r="P19" s="322"/>
      <c r="Q19" s="322"/>
    </row>
    <row r="20" spans="1:17" x14ac:dyDescent="0.2">
      <c r="A20" s="95" t="s">
        <v>827</v>
      </c>
      <c r="B20" s="95"/>
      <c r="C20" s="103"/>
      <c r="D20" s="95" t="s">
        <v>109</v>
      </c>
      <c r="E20" s="103"/>
      <c r="F20" s="95" t="s">
        <v>108</v>
      </c>
      <c r="G20" s="95"/>
      <c r="H20" s="95"/>
      <c r="I20" s="318" t="s">
        <v>302</v>
      </c>
      <c r="J20" s="456">
        <f>IF(B2=0,0,IF('binnenklimaatlabel type 4'!B2&gt;4,"n.v.t.",IF('binnenklimaatlabel type 4'!B2=3,'Kosten kengetallen'!B55,IF(AND('binnenklimaatlabel type 4'!B13=7,B18&gt;B2*20),"n.v.t.",IF('binnenklimaatlabel type 4'!B13&gt;3,"n.v.t.",'Kosten kengetallen'!B55)))))</f>
        <v>12000</v>
      </c>
      <c r="K20" s="95"/>
      <c r="L20" s="322"/>
      <c r="M20" s="322"/>
      <c r="N20" s="322"/>
      <c r="O20" s="322"/>
      <c r="P20" s="322"/>
      <c r="Q20" s="322"/>
    </row>
    <row r="21" spans="1:17" x14ac:dyDescent="0.2">
      <c r="A21" s="94" t="s">
        <v>107</v>
      </c>
      <c r="B21" s="95"/>
      <c r="C21" s="630" t="s">
        <v>106</v>
      </c>
      <c r="D21" s="630"/>
      <c r="E21" s="630"/>
      <c r="F21" s="630"/>
      <c r="G21" s="630"/>
      <c r="H21" s="102"/>
      <c r="I21" s="318" t="str">
        <f>IF('binnenklimaatlabel type 4'!B14=1,"Therm.kranen alle radiatoren. Controle!",IF('binnenklimaatlabel type 4'!B14=2,"naregeling per vertrek",IF('binnenklimaatlabel type 4'!B14=3,"Therm.kranen alle radiatoren. Controlle!","geen")))</f>
        <v>Therm.kranen alle radiatoren. Controle!</v>
      </c>
      <c r="J21" s="456">
        <f>IF(OR('binnenklimaatlabel type 4'!B14=3,'binnenklimaatlabel type 4'!B14=1),('Kosten kengetallen'!B36*'Invoer Lokaal Type 4'!E20),IF('binnenklimaatlabel type 4'!B14=2,'Kosten kengetallen'!B38,"n.v.t."))</f>
        <v>0</v>
      </c>
      <c r="K21" s="95"/>
      <c r="L21" s="322"/>
      <c r="M21" s="322"/>
      <c r="N21" s="322"/>
      <c r="O21" s="322"/>
      <c r="P21" s="322"/>
      <c r="Q21" s="322"/>
    </row>
    <row r="22" spans="1:17" x14ac:dyDescent="0.2">
      <c r="A22" s="95" t="s">
        <v>282</v>
      </c>
      <c r="B22" s="95"/>
      <c r="C22" s="631"/>
      <c r="D22" s="631"/>
      <c r="E22" s="631"/>
      <c r="F22" s="95" t="s">
        <v>1019</v>
      </c>
      <c r="G22" s="95"/>
      <c r="H22" s="95"/>
      <c r="I22" s="318" t="str">
        <f>IF(OR('binnenklimaatlabel type 4'!B15&lt;3,AND('binnenklimaatlabel type 4'!B15=5,'binnenklimaatlabel type 4'!B16=1)),"Buitenzonwering","geen")</f>
        <v>Buitenzonwering</v>
      </c>
      <c r="J22" s="456">
        <f>IF(OR('binnenklimaatlabel type 4'!B15&lt;3,AND('binnenklimaatlabel type 4'!B15=5,'binnenklimaatlabel type 4'!B16=1)),'Invoer Lokaal Type 4'!C22*'Kosten kengetallen'!B27,"n.v.t.")</f>
        <v>0</v>
      </c>
      <c r="K22" s="95"/>
      <c r="L22" s="322"/>
      <c r="M22" s="322"/>
      <c r="N22" s="322"/>
      <c r="O22" s="322"/>
      <c r="P22" s="322"/>
      <c r="Q22" s="322"/>
    </row>
    <row r="23" spans="1:17" x14ac:dyDescent="0.2">
      <c r="A23" s="95" t="s">
        <v>883</v>
      </c>
      <c r="B23" s="95"/>
      <c r="C23" s="95"/>
      <c r="D23" s="95"/>
      <c r="E23" s="95"/>
      <c r="F23" s="95"/>
      <c r="G23" s="95"/>
      <c r="H23" s="95"/>
      <c r="I23" s="318"/>
      <c r="J23" s="319"/>
      <c r="K23" s="95"/>
      <c r="L23" s="322"/>
      <c r="M23" s="322"/>
      <c r="N23" s="322"/>
      <c r="O23" s="322"/>
      <c r="P23" s="322"/>
      <c r="Q23" s="322"/>
    </row>
    <row r="24" spans="1:17" x14ac:dyDescent="0.2">
      <c r="A24" s="95" t="s">
        <v>104</v>
      </c>
      <c r="B24" s="95"/>
      <c r="C24" s="95"/>
      <c r="D24" s="95"/>
      <c r="E24" s="402" t="s">
        <v>1010</v>
      </c>
      <c r="F24" s="95"/>
      <c r="G24" s="95"/>
      <c r="H24" s="95"/>
      <c r="I24" s="318" t="str">
        <f>IF('binnenklimaatlabel type 1'!B17=1,"geen",IF('binnenklimaatlabel type 1'!B17&lt;6,"Verbeteren dakisolatie",IF('binnenklimaatlabel type 1'!B17=8,"Isoleren zoldervloer","Geen")))</f>
        <v>geen</v>
      </c>
      <c r="J24" s="319" t="s">
        <v>704</v>
      </c>
      <c r="K24" s="95"/>
      <c r="L24" s="322"/>
      <c r="M24" s="322"/>
      <c r="N24" s="322"/>
      <c r="O24" s="322"/>
      <c r="P24" s="322"/>
      <c r="Q24" s="322"/>
    </row>
    <row r="25" spans="1:17" x14ac:dyDescent="0.2">
      <c r="A25" s="95" t="s">
        <v>103</v>
      </c>
      <c r="B25" s="95"/>
      <c r="C25" s="95"/>
      <c r="D25" s="95"/>
      <c r="E25" s="402" t="s">
        <v>1020</v>
      </c>
      <c r="F25" s="95"/>
      <c r="G25" s="95"/>
      <c r="H25" s="95"/>
      <c r="I25" s="318" t="str">
        <f>IF('binnenklimaatlabel type 1'!B18=1,"Koeling","geen")</f>
        <v>Koeling</v>
      </c>
      <c r="J25" s="456">
        <f>IF(B2=0,0,IF('binnenklimaatlabel type 4'!B18=1,'Kosten kengetallen'!B58,0))</f>
        <v>3500</v>
      </c>
      <c r="K25" s="95"/>
      <c r="L25" s="322"/>
      <c r="M25" s="322"/>
      <c r="N25" s="322"/>
      <c r="O25" s="322"/>
      <c r="P25" s="322"/>
      <c r="Q25" s="322"/>
    </row>
    <row r="26" spans="1:17" x14ac:dyDescent="0.2">
      <c r="A26" s="94" t="s">
        <v>102</v>
      </c>
      <c r="B26" s="95"/>
      <c r="C26" s="95"/>
      <c r="D26" s="95"/>
      <c r="E26" s="402" t="s">
        <v>1021</v>
      </c>
      <c r="F26" s="95"/>
      <c r="G26" s="95"/>
      <c r="H26" s="95"/>
      <c r="I26" s="318"/>
      <c r="J26" s="319"/>
      <c r="K26" s="95"/>
      <c r="L26" s="322"/>
      <c r="M26" s="322"/>
      <c r="N26" s="322"/>
      <c r="O26" s="322"/>
      <c r="P26" s="322"/>
      <c r="Q26" s="322"/>
    </row>
    <row r="27" spans="1:17" x14ac:dyDescent="0.2">
      <c r="A27" s="95" t="s">
        <v>101</v>
      </c>
      <c r="B27" s="95"/>
      <c r="C27" s="95"/>
      <c r="D27" s="95"/>
      <c r="E27" s="95"/>
      <c r="F27" s="95"/>
      <c r="G27" s="95"/>
      <c r="H27" s="95"/>
      <c r="I27" s="318"/>
      <c r="J27" s="319" t="s">
        <v>704</v>
      </c>
      <c r="K27" s="95"/>
      <c r="L27" s="322"/>
      <c r="M27" s="322"/>
      <c r="N27" s="322"/>
      <c r="O27" s="322"/>
      <c r="P27" s="322"/>
      <c r="Q27" s="322"/>
    </row>
    <row r="28" spans="1:17" x14ac:dyDescent="0.2">
      <c r="A28" s="95"/>
      <c r="B28" s="104" t="s">
        <v>100</v>
      </c>
      <c r="C28" s="95"/>
      <c r="D28" s="95"/>
      <c r="E28" s="95"/>
      <c r="F28" s="95"/>
      <c r="G28" s="95"/>
      <c r="H28" s="95"/>
      <c r="I28" s="318"/>
      <c r="J28" s="320"/>
      <c r="K28" s="95"/>
      <c r="L28" s="632" t="s">
        <v>99</v>
      </c>
      <c r="M28" s="632"/>
      <c r="N28" s="632"/>
      <c r="O28" s="632"/>
      <c r="P28" s="322"/>
      <c r="Q28" s="322"/>
    </row>
    <row r="29" spans="1:17" ht="15" x14ac:dyDescent="0.25">
      <c r="A29" s="95" t="s">
        <v>977</v>
      </c>
      <c r="B29" s="105" t="str">
        <f>'binnenklimaatlabel type 4'!B35</f>
        <v>D</v>
      </c>
      <c r="C29" s="95"/>
      <c r="D29" s="95"/>
      <c r="E29" s="95"/>
      <c r="F29" s="95"/>
      <c r="G29" s="95"/>
      <c r="H29" s="95"/>
      <c r="I29" s="318" t="s">
        <v>705</v>
      </c>
      <c r="J29" s="319"/>
      <c r="K29" s="95" t="s">
        <v>98</v>
      </c>
      <c r="L29" s="629" t="str">
        <f>'binnenklimaatlabel type 4'!P35</f>
        <v>D</v>
      </c>
      <c r="M29" s="629"/>
      <c r="N29" s="629"/>
      <c r="O29" s="629"/>
      <c r="P29" s="322"/>
      <c r="Q29" s="322"/>
    </row>
    <row r="30" spans="1:17" ht="15" x14ac:dyDescent="0.25">
      <c r="A30" s="95" t="s">
        <v>978</v>
      </c>
      <c r="B30" s="105" t="str">
        <f>'binnenklimaatlabel type 4'!B49</f>
        <v>D</v>
      </c>
      <c r="C30" s="95"/>
      <c r="D30" s="95"/>
      <c r="E30" s="95"/>
      <c r="F30" s="95"/>
      <c r="G30" s="95"/>
      <c r="H30" s="95"/>
      <c r="I30" s="318"/>
      <c r="J30" s="319"/>
      <c r="K30" s="95" t="s">
        <v>97</v>
      </c>
      <c r="L30" s="629" t="str">
        <f>'binnenklimaatlabel type 4'!P49</f>
        <v>D</v>
      </c>
      <c r="M30" s="629"/>
      <c r="N30" s="629"/>
      <c r="O30" s="629"/>
      <c r="P30" s="322"/>
      <c r="Q30" s="322"/>
    </row>
    <row r="31" spans="1:17" ht="15.75" thickBot="1" x14ac:dyDescent="0.3">
      <c r="A31" s="95" t="s">
        <v>873</v>
      </c>
      <c r="B31" s="105" t="str">
        <f>'binnenklimaatlabel type 4'!B52</f>
        <v>D</v>
      </c>
      <c r="C31" s="402"/>
      <c r="D31" s="95"/>
      <c r="E31" s="95"/>
      <c r="F31" s="95"/>
      <c r="G31" s="95"/>
      <c r="H31" s="95"/>
      <c r="I31" s="321"/>
      <c r="J31" s="326"/>
      <c r="K31" s="95" t="s">
        <v>96</v>
      </c>
      <c r="L31" s="629" t="str">
        <f>'binnenklimaatlabel type 4'!P52</f>
        <v>D</v>
      </c>
      <c r="M31" s="629"/>
      <c r="N31" s="629"/>
      <c r="O31" s="629"/>
      <c r="P31" s="322"/>
      <c r="Q31" s="322"/>
    </row>
  </sheetData>
  <mergeCells count="7">
    <mergeCell ref="L31:O31"/>
    <mergeCell ref="C19:F19"/>
    <mergeCell ref="C21:G21"/>
    <mergeCell ref="C22:E22"/>
    <mergeCell ref="L28:O28"/>
    <mergeCell ref="L29:O29"/>
    <mergeCell ref="L30:O30"/>
  </mergeCells>
  <phoneticPr fontId="0" type="noConversion"/>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Drop Down 1">
              <controlPr defaultSize="0" autoLine="0" autoPict="0">
                <anchor moveWithCells="1">
                  <from>
                    <xdr:col>1</xdr:col>
                    <xdr:colOff>0</xdr:colOff>
                    <xdr:row>2</xdr:row>
                    <xdr:rowOff>0</xdr:rowOff>
                  </from>
                  <to>
                    <xdr:col>1</xdr:col>
                    <xdr:colOff>2419350</xdr:colOff>
                    <xdr:row>3</xdr:row>
                    <xdr:rowOff>38100</xdr:rowOff>
                  </to>
                </anchor>
              </controlPr>
            </control>
          </mc:Choice>
        </mc:AlternateContent>
        <mc:AlternateContent xmlns:mc="http://schemas.openxmlformats.org/markup-compatibility/2006">
          <mc:Choice Requires="x14">
            <control shapeId="21506" r:id="rId5" name="Drop Down 2">
              <controlPr defaultSize="0" autoLine="0" autoPict="0">
                <anchor moveWithCells="1">
                  <from>
                    <xdr:col>1</xdr:col>
                    <xdr:colOff>0</xdr:colOff>
                    <xdr:row>6</xdr:row>
                    <xdr:rowOff>0</xdr:rowOff>
                  </from>
                  <to>
                    <xdr:col>1</xdr:col>
                    <xdr:colOff>2419350</xdr:colOff>
                    <xdr:row>7</xdr:row>
                    <xdr:rowOff>28575</xdr:rowOff>
                  </to>
                </anchor>
              </controlPr>
            </control>
          </mc:Choice>
        </mc:AlternateContent>
        <mc:AlternateContent xmlns:mc="http://schemas.openxmlformats.org/markup-compatibility/2006">
          <mc:Choice Requires="x14">
            <control shapeId="21507" r:id="rId6" name="Drop Down 3">
              <controlPr defaultSize="0" autoLine="0" autoPict="0">
                <anchor moveWithCells="1">
                  <from>
                    <xdr:col>1</xdr:col>
                    <xdr:colOff>0</xdr:colOff>
                    <xdr:row>7</xdr:row>
                    <xdr:rowOff>0</xdr:rowOff>
                  </from>
                  <to>
                    <xdr:col>1</xdr:col>
                    <xdr:colOff>2419350</xdr:colOff>
                    <xdr:row>8</xdr:row>
                    <xdr:rowOff>28575</xdr:rowOff>
                  </to>
                </anchor>
              </controlPr>
            </control>
          </mc:Choice>
        </mc:AlternateContent>
        <mc:AlternateContent xmlns:mc="http://schemas.openxmlformats.org/markup-compatibility/2006">
          <mc:Choice Requires="x14">
            <control shapeId="21508" r:id="rId7" name="Drop Down 4">
              <controlPr defaultSize="0" autoLine="0" autoPict="0">
                <anchor moveWithCells="1">
                  <from>
                    <xdr:col>1</xdr:col>
                    <xdr:colOff>0</xdr:colOff>
                    <xdr:row>8</xdr:row>
                    <xdr:rowOff>0</xdr:rowOff>
                  </from>
                  <to>
                    <xdr:col>1</xdr:col>
                    <xdr:colOff>2419350</xdr:colOff>
                    <xdr:row>9</xdr:row>
                    <xdr:rowOff>28575</xdr:rowOff>
                  </to>
                </anchor>
              </controlPr>
            </control>
          </mc:Choice>
        </mc:AlternateContent>
        <mc:AlternateContent xmlns:mc="http://schemas.openxmlformats.org/markup-compatibility/2006">
          <mc:Choice Requires="x14">
            <control shapeId="21509" r:id="rId8" name="Drop Down 5">
              <controlPr defaultSize="0" autoLine="0" autoPict="0">
                <anchor moveWithCells="1">
                  <from>
                    <xdr:col>1</xdr:col>
                    <xdr:colOff>0</xdr:colOff>
                    <xdr:row>12</xdr:row>
                    <xdr:rowOff>0</xdr:rowOff>
                  </from>
                  <to>
                    <xdr:col>1</xdr:col>
                    <xdr:colOff>2419350</xdr:colOff>
                    <xdr:row>13</xdr:row>
                    <xdr:rowOff>28575</xdr:rowOff>
                  </to>
                </anchor>
              </controlPr>
            </control>
          </mc:Choice>
        </mc:AlternateContent>
        <mc:AlternateContent xmlns:mc="http://schemas.openxmlformats.org/markup-compatibility/2006">
          <mc:Choice Requires="x14">
            <control shapeId="21510" r:id="rId9" name="Drop Down 6">
              <controlPr defaultSize="0" autoLine="0" autoPict="0">
                <anchor moveWithCells="1">
                  <from>
                    <xdr:col>1</xdr:col>
                    <xdr:colOff>0</xdr:colOff>
                    <xdr:row>13</xdr:row>
                    <xdr:rowOff>0</xdr:rowOff>
                  </from>
                  <to>
                    <xdr:col>1</xdr:col>
                    <xdr:colOff>2419350</xdr:colOff>
                    <xdr:row>14</xdr:row>
                    <xdr:rowOff>28575</xdr:rowOff>
                  </to>
                </anchor>
              </controlPr>
            </control>
          </mc:Choice>
        </mc:AlternateContent>
        <mc:AlternateContent xmlns:mc="http://schemas.openxmlformats.org/markup-compatibility/2006">
          <mc:Choice Requires="x14">
            <control shapeId="21511" r:id="rId10" name="Drop Down 7">
              <controlPr defaultSize="0" autoLine="0" autoPict="0">
                <anchor moveWithCells="1">
                  <from>
                    <xdr:col>1</xdr:col>
                    <xdr:colOff>0</xdr:colOff>
                    <xdr:row>14</xdr:row>
                    <xdr:rowOff>0</xdr:rowOff>
                  </from>
                  <to>
                    <xdr:col>1</xdr:col>
                    <xdr:colOff>2419350</xdr:colOff>
                    <xdr:row>15</xdr:row>
                    <xdr:rowOff>28575</xdr:rowOff>
                  </to>
                </anchor>
              </controlPr>
            </control>
          </mc:Choice>
        </mc:AlternateContent>
        <mc:AlternateContent xmlns:mc="http://schemas.openxmlformats.org/markup-compatibility/2006">
          <mc:Choice Requires="x14">
            <control shapeId="21512" r:id="rId11" name="Drop Down 8">
              <controlPr defaultSize="0" autoLine="0" autoPict="0">
                <anchor moveWithCells="1">
                  <from>
                    <xdr:col>1</xdr:col>
                    <xdr:colOff>0</xdr:colOff>
                    <xdr:row>19</xdr:row>
                    <xdr:rowOff>0</xdr:rowOff>
                  </from>
                  <to>
                    <xdr:col>1</xdr:col>
                    <xdr:colOff>2419350</xdr:colOff>
                    <xdr:row>20</xdr:row>
                    <xdr:rowOff>38100</xdr:rowOff>
                  </to>
                </anchor>
              </controlPr>
            </control>
          </mc:Choice>
        </mc:AlternateContent>
        <mc:AlternateContent xmlns:mc="http://schemas.openxmlformats.org/markup-compatibility/2006">
          <mc:Choice Requires="x14">
            <control shapeId="21513" r:id="rId12" name="Drop Down 9">
              <controlPr defaultSize="0" autoLine="0" autoPict="0">
                <anchor moveWithCells="1">
                  <from>
                    <xdr:col>1</xdr:col>
                    <xdr:colOff>9525</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21514" r:id="rId13" name="Drop Down 10">
              <controlPr defaultSize="0" autoLine="0" autoPict="0">
                <anchor moveWithCells="1">
                  <from>
                    <xdr:col>1</xdr:col>
                    <xdr:colOff>0</xdr:colOff>
                    <xdr:row>22</xdr:row>
                    <xdr:rowOff>0</xdr:rowOff>
                  </from>
                  <to>
                    <xdr:col>1</xdr:col>
                    <xdr:colOff>2419350</xdr:colOff>
                    <xdr:row>23</xdr:row>
                    <xdr:rowOff>38100</xdr:rowOff>
                  </to>
                </anchor>
              </controlPr>
            </control>
          </mc:Choice>
        </mc:AlternateContent>
        <mc:AlternateContent xmlns:mc="http://schemas.openxmlformats.org/markup-compatibility/2006">
          <mc:Choice Requires="x14">
            <control shapeId="21515" r:id="rId14" name="Drop Down 11">
              <controlPr defaultSize="0" autoLine="0" autoPict="0">
                <anchor moveWithCells="1">
                  <from>
                    <xdr:col>1</xdr:col>
                    <xdr:colOff>9525</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21516" r:id="rId15" name="Drop Down 12">
              <controlPr defaultSize="0" autoLine="0" autoPict="0">
                <anchor moveWithCells="1">
                  <from>
                    <xdr:col>1</xdr:col>
                    <xdr:colOff>9525</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21517" r:id="rId16" name="Drop Down 13">
              <controlPr defaultSize="0" autoLine="0" autoPict="0">
                <anchor moveWithCells="1">
                  <from>
                    <xdr:col>1</xdr:col>
                    <xdr:colOff>0</xdr:colOff>
                    <xdr:row>16</xdr:row>
                    <xdr:rowOff>0</xdr:rowOff>
                  </from>
                  <to>
                    <xdr:col>1</xdr:col>
                    <xdr:colOff>2419350</xdr:colOff>
                    <xdr:row>17</xdr:row>
                    <xdr:rowOff>38100</xdr:rowOff>
                  </to>
                </anchor>
              </controlPr>
            </control>
          </mc:Choice>
        </mc:AlternateContent>
        <mc:AlternateContent xmlns:mc="http://schemas.openxmlformats.org/markup-compatibility/2006">
          <mc:Choice Requires="x14">
            <control shapeId="21518" r:id="rId17" name="Drop Down 14">
              <controlPr defaultSize="0" autoLine="0" autoPict="0">
                <anchor moveWithCells="1">
                  <from>
                    <xdr:col>1</xdr:col>
                    <xdr:colOff>9525</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21519" r:id="rId18" name="Drop Down 15">
              <controlPr defaultSize="0" autoLine="0" autoPict="0">
                <anchor moveWithCells="1">
                  <from>
                    <xdr:col>10</xdr:col>
                    <xdr:colOff>0</xdr:colOff>
                    <xdr:row>2</xdr:row>
                    <xdr:rowOff>0</xdr:rowOff>
                  </from>
                  <to>
                    <xdr:col>10</xdr:col>
                    <xdr:colOff>2419350</xdr:colOff>
                    <xdr:row>3</xdr:row>
                    <xdr:rowOff>38100</xdr:rowOff>
                  </to>
                </anchor>
              </controlPr>
            </control>
          </mc:Choice>
        </mc:AlternateContent>
        <mc:AlternateContent xmlns:mc="http://schemas.openxmlformats.org/markup-compatibility/2006">
          <mc:Choice Requires="x14">
            <control shapeId="21520" r:id="rId19" name="Drop Down 16">
              <controlPr defaultSize="0" autoLine="0" autoPict="0">
                <anchor moveWithCells="1">
                  <from>
                    <xdr:col>10</xdr:col>
                    <xdr:colOff>9525</xdr:colOff>
                    <xdr:row>6</xdr:row>
                    <xdr:rowOff>0</xdr:rowOff>
                  </from>
                  <to>
                    <xdr:col>11</xdr:col>
                    <xdr:colOff>0</xdr:colOff>
                    <xdr:row>7</xdr:row>
                    <xdr:rowOff>28575</xdr:rowOff>
                  </to>
                </anchor>
              </controlPr>
            </control>
          </mc:Choice>
        </mc:AlternateContent>
        <mc:AlternateContent xmlns:mc="http://schemas.openxmlformats.org/markup-compatibility/2006">
          <mc:Choice Requires="x14">
            <control shapeId="21521" r:id="rId20" name="Drop Down 17">
              <controlPr defaultSize="0" autoLine="0" autoPict="0">
                <anchor moveWithCells="1">
                  <from>
                    <xdr:col>10</xdr:col>
                    <xdr:colOff>0</xdr:colOff>
                    <xdr:row>7</xdr:row>
                    <xdr:rowOff>0</xdr:rowOff>
                  </from>
                  <to>
                    <xdr:col>10</xdr:col>
                    <xdr:colOff>2419350</xdr:colOff>
                    <xdr:row>8</xdr:row>
                    <xdr:rowOff>28575</xdr:rowOff>
                  </to>
                </anchor>
              </controlPr>
            </control>
          </mc:Choice>
        </mc:AlternateContent>
        <mc:AlternateContent xmlns:mc="http://schemas.openxmlformats.org/markup-compatibility/2006">
          <mc:Choice Requires="x14">
            <control shapeId="21522" r:id="rId21" name="Drop Down 18">
              <controlPr defaultSize="0" autoLine="0" autoPict="0">
                <anchor moveWithCells="1">
                  <from>
                    <xdr:col>10</xdr:col>
                    <xdr:colOff>0</xdr:colOff>
                    <xdr:row>8</xdr:row>
                    <xdr:rowOff>0</xdr:rowOff>
                  </from>
                  <to>
                    <xdr:col>10</xdr:col>
                    <xdr:colOff>2419350</xdr:colOff>
                    <xdr:row>9</xdr:row>
                    <xdr:rowOff>28575</xdr:rowOff>
                  </to>
                </anchor>
              </controlPr>
            </control>
          </mc:Choice>
        </mc:AlternateContent>
        <mc:AlternateContent xmlns:mc="http://schemas.openxmlformats.org/markup-compatibility/2006">
          <mc:Choice Requires="x14">
            <control shapeId="21523" r:id="rId22" name="Drop Down 19">
              <controlPr defaultSize="0" autoLine="0" autoPict="0">
                <anchor moveWithCells="1">
                  <from>
                    <xdr:col>10</xdr:col>
                    <xdr:colOff>0</xdr:colOff>
                    <xdr:row>12</xdr:row>
                    <xdr:rowOff>0</xdr:rowOff>
                  </from>
                  <to>
                    <xdr:col>10</xdr:col>
                    <xdr:colOff>2419350</xdr:colOff>
                    <xdr:row>13</xdr:row>
                    <xdr:rowOff>28575</xdr:rowOff>
                  </to>
                </anchor>
              </controlPr>
            </control>
          </mc:Choice>
        </mc:AlternateContent>
        <mc:AlternateContent xmlns:mc="http://schemas.openxmlformats.org/markup-compatibility/2006">
          <mc:Choice Requires="x14">
            <control shapeId="21524" r:id="rId23" name="Drop Down 20">
              <controlPr defaultSize="0" autoLine="0" autoPict="0">
                <anchor moveWithCells="1">
                  <from>
                    <xdr:col>10</xdr:col>
                    <xdr:colOff>0</xdr:colOff>
                    <xdr:row>13</xdr:row>
                    <xdr:rowOff>0</xdr:rowOff>
                  </from>
                  <to>
                    <xdr:col>10</xdr:col>
                    <xdr:colOff>2419350</xdr:colOff>
                    <xdr:row>14</xdr:row>
                    <xdr:rowOff>28575</xdr:rowOff>
                  </to>
                </anchor>
              </controlPr>
            </control>
          </mc:Choice>
        </mc:AlternateContent>
        <mc:AlternateContent xmlns:mc="http://schemas.openxmlformats.org/markup-compatibility/2006">
          <mc:Choice Requires="x14">
            <control shapeId="21525" r:id="rId24" name="Drop Down 21">
              <controlPr defaultSize="0" autoLine="0" autoPict="0">
                <anchor moveWithCells="1">
                  <from>
                    <xdr:col>10</xdr:col>
                    <xdr:colOff>0</xdr:colOff>
                    <xdr:row>14</xdr:row>
                    <xdr:rowOff>0</xdr:rowOff>
                  </from>
                  <to>
                    <xdr:col>10</xdr:col>
                    <xdr:colOff>2419350</xdr:colOff>
                    <xdr:row>15</xdr:row>
                    <xdr:rowOff>28575</xdr:rowOff>
                  </to>
                </anchor>
              </controlPr>
            </control>
          </mc:Choice>
        </mc:AlternateContent>
        <mc:AlternateContent xmlns:mc="http://schemas.openxmlformats.org/markup-compatibility/2006">
          <mc:Choice Requires="x14">
            <control shapeId="21526" r:id="rId25" name="Drop Down 22">
              <controlPr defaultSize="0" autoLine="0" autoPict="0">
                <anchor moveWithCells="1">
                  <from>
                    <xdr:col>10</xdr:col>
                    <xdr:colOff>0</xdr:colOff>
                    <xdr:row>16</xdr:row>
                    <xdr:rowOff>0</xdr:rowOff>
                  </from>
                  <to>
                    <xdr:col>10</xdr:col>
                    <xdr:colOff>2419350</xdr:colOff>
                    <xdr:row>17</xdr:row>
                    <xdr:rowOff>38100</xdr:rowOff>
                  </to>
                </anchor>
              </controlPr>
            </control>
          </mc:Choice>
        </mc:AlternateContent>
        <mc:AlternateContent xmlns:mc="http://schemas.openxmlformats.org/markup-compatibility/2006">
          <mc:Choice Requires="x14">
            <control shapeId="21527" r:id="rId26" name="Drop Down 23">
              <controlPr defaultSize="0" autoLine="0" autoPict="0">
                <anchor moveWithCells="1">
                  <from>
                    <xdr:col>10</xdr:col>
                    <xdr:colOff>0</xdr:colOff>
                    <xdr:row>19</xdr:row>
                    <xdr:rowOff>0</xdr:rowOff>
                  </from>
                  <to>
                    <xdr:col>10</xdr:col>
                    <xdr:colOff>2419350</xdr:colOff>
                    <xdr:row>20</xdr:row>
                    <xdr:rowOff>38100</xdr:rowOff>
                  </to>
                </anchor>
              </controlPr>
            </control>
          </mc:Choice>
        </mc:AlternateContent>
        <mc:AlternateContent xmlns:mc="http://schemas.openxmlformats.org/markup-compatibility/2006">
          <mc:Choice Requires="x14">
            <control shapeId="21528" r:id="rId27" name="Drop Down 24">
              <controlPr defaultSize="0" autoLine="0" autoPict="0">
                <anchor moveWithCells="1">
                  <from>
                    <xdr:col>10</xdr:col>
                    <xdr:colOff>9525</xdr:colOff>
                    <xdr:row>21</xdr:row>
                    <xdr:rowOff>0</xdr:rowOff>
                  </from>
                  <to>
                    <xdr:col>11</xdr:col>
                    <xdr:colOff>0</xdr:colOff>
                    <xdr:row>22</xdr:row>
                    <xdr:rowOff>38100</xdr:rowOff>
                  </to>
                </anchor>
              </controlPr>
            </control>
          </mc:Choice>
        </mc:AlternateContent>
        <mc:AlternateContent xmlns:mc="http://schemas.openxmlformats.org/markup-compatibility/2006">
          <mc:Choice Requires="x14">
            <control shapeId="21529" r:id="rId28" name="Drop Down 25">
              <controlPr defaultSize="0" autoLine="0" autoPict="0">
                <anchor moveWithCells="1">
                  <from>
                    <xdr:col>10</xdr:col>
                    <xdr:colOff>0</xdr:colOff>
                    <xdr:row>22</xdr:row>
                    <xdr:rowOff>0</xdr:rowOff>
                  </from>
                  <to>
                    <xdr:col>10</xdr:col>
                    <xdr:colOff>2419350</xdr:colOff>
                    <xdr:row>23</xdr:row>
                    <xdr:rowOff>38100</xdr:rowOff>
                  </to>
                </anchor>
              </controlPr>
            </control>
          </mc:Choice>
        </mc:AlternateContent>
        <mc:AlternateContent xmlns:mc="http://schemas.openxmlformats.org/markup-compatibility/2006">
          <mc:Choice Requires="x14">
            <control shapeId="21530" r:id="rId29" name="Drop Down 26">
              <controlPr defaultSize="0" autoLine="0" autoPict="0">
                <anchor moveWithCells="1">
                  <from>
                    <xdr:col>10</xdr:col>
                    <xdr:colOff>9525</xdr:colOff>
                    <xdr:row>23</xdr:row>
                    <xdr:rowOff>0</xdr:rowOff>
                  </from>
                  <to>
                    <xdr:col>11</xdr:col>
                    <xdr:colOff>0</xdr:colOff>
                    <xdr:row>24</xdr:row>
                    <xdr:rowOff>38100</xdr:rowOff>
                  </to>
                </anchor>
              </controlPr>
            </control>
          </mc:Choice>
        </mc:AlternateContent>
        <mc:AlternateContent xmlns:mc="http://schemas.openxmlformats.org/markup-compatibility/2006">
          <mc:Choice Requires="x14">
            <control shapeId="21531" r:id="rId30" name="Drop Down 27">
              <controlPr defaultSize="0" autoLine="0" autoPict="0">
                <anchor moveWithCells="1">
                  <from>
                    <xdr:col>10</xdr:col>
                    <xdr:colOff>9525</xdr:colOff>
                    <xdr:row>24</xdr:row>
                    <xdr:rowOff>0</xdr:rowOff>
                  </from>
                  <to>
                    <xdr:col>11</xdr:col>
                    <xdr:colOff>0</xdr:colOff>
                    <xdr:row>25</xdr:row>
                    <xdr:rowOff>38100</xdr:rowOff>
                  </to>
                </anchor>
              </controlPr>
            </control>
          </mc:Choice>
        </mc:AlternateContent>
        <mc:AlternateContent xmlns:mc="http://schemas.openxmlformats.org/markup-compatibility/2006">
          <mc:Choice Requires="x14">
            <control shapeId="21532" r:id="rId31" name="Drop Down 28">
              <controlPr defaultSize="0" autoLine="0" autoPict="0">
                <anchor moveWithCells="1">
                  <from>
                    <xdr:col>10</xdr:col>
                    <xdr:colOff>9525</xdr:colOff>
                    <xdr:row>26</xdr:row>
                    <xdr:rowOff>0</xdr:rowOff>
                  </from>
                  <to>
                    <xdr:col>11</xdr:col>
                    <xdr:colOff>0</xdr:colOff>
                    <xdr:row>27</xdr:row>
                    <xdr:rowOff>38100</xdr:rowOff>
                  </to>
                </anchor>
              </controlPr>
            </control>
          </mc:Choice>
        </mc:AlternateContent>
        <mc:AlternateContent xmlns:mc="http://schemas.openxmlformats.org/markup-compatibility/2006">
          <mc:Choice Requires="x14">
            <control shapeId="21533" r:id="rId32" name="Drop Down 29">
              <controlPr defaultSize="0" autoLine="0" autoPict="0">
                <anchor moveWithCells="1">
                  <from>
                    <xdr:col>1</xdr:col>
                    <xdr:colOff>0</xdr:colOff>
                    <xdr:row>4</xdr:row>
                    <xdr:rowOff>0</xdr:rowOff>
                  </from>
                  <to>
                    <xdr:col>1</xdr:col>
                    <xdr:colOff>2419350</xdr:colOff>
                    <xdr:row>5</xdr:row>
                    <xdr:rowOff>19050</xdr:rowOff>
                  </to>
                </anchor>
              </controlPr>
            </control>
          </mc:Choice>
        </mc:AlternateContent>
        <mc:AlternateContent xmlns:mc="http://schemas.openxmlformats.org/markup-compatibility/2006">
          <mc:Choice Requires="x14">
            <control shapeId="21534" r:id="rId33" name="Drop Down 30">
              <controlPr defaultSize="0" autoLine="0" autoPict="0">
                <anchor moveWithCells="1">
                  <from>
                    <xdr:col>10</xdr:col>
                    <xdr:colOff>0</xdr:colOff>
                    <xdr:row>4</xdr:row>
                    <xdr:rowOff>0</xdr:rowOff>
                  </from>
                  <to>
                    <xdr:col>10</xdr:col>
                    <xdr:colOff>2419350</xdr:colOff>
                    <xdr:row>5</xdr:row>
                    <xdr:rowOff>19050</xdr:rowOff>
                  </to>
                </anchor>
              </controlPr>
            </control>
          </mc:Choice>
        </mc:AlternateContent>
        <mc:AlternateContent xmlns:mc="http://schemas.openxmlformats.org/markup-compatibility/2006">
          <mc:Choice Requires="x14">
            <control shapeId="21535" r:id="rId34" name="Drop Down 31">
              <controlPr defaultSize="0" autoLine="0" autoPict="0">
                <anchor moveWithCells="1">
                  <from>
                    <xdr:col>8</xdr:col>
                    <xdr:colOff>9525</xdr:colOff>
                    <xdr:row>5</xdr:row>
                    <xdr:rowOff>180975</xdr:rowOff>
                  </from>
                  <to>
                    <xdr:col>8</xdr:col>
                    <xdr:colOff>1847850</xdr:colOff>
                    <xdr:row>7</xdr:row>
                    <xdr:rowOff>28575</xdr:rowOff>
                  </to>
                </anchor>
              </controlPr>
            </control>
          </mc:Choice>
        </mc:AlternateContent>
        <mc:AlternateContent xmlns:mc="http://schemas.openxmlformats.org/markup-compatibility/2006">
          <mc:Choice Requires="x14">
            <control shapeId="21536" r:id="rId35" name="Drop Down 32">
              <controlPr defaultSize="0" autoLine="0" autoPict="0">
                <anchor moveWithCells="1">
                  <from>
                    <xdr:col>8</xdr:col>
                    <xdr:colOff>9525</xdr:colOff>
                    <xdr:row>12</xdr:row>
                    <xdr:rowOff>9525</xdr:rowOff>
                  </from>
                  <to>
                    <xdr:col>8</xdr:col>
                    <xdr:colOff>1866900</xdr:colOff>
                    <xdr:row>13</xdr:row>
                    <xdr:rowOff>57150</xdr:rowOff>
                  </to>
                </anchor>
              </controlPr>
            </control>
          </mc:Choice>
        </mc:AlternateContent>
        <mc:AlternateContent xmlns:mc="http://schemas.openxmlformats.org/markup-compatibility/2006">
          <mc:Choice Requires="x14">
            <control shapeId="21537" r:id="rId36" name="Drop Down 33">
              <controlPr defaultSize="0" autoLine="0" autoPict="0">
                <anchor moveWithCells="1">
                  <from>
                    <xdr:col>8</xdr:col>
                    <xdr:colOff>9525</xdr:colOff>
                    <xdr:row>26</xdr:row>
                    <xdr:rowOff>0</xdr:rowOff>
                  </from>
                  <to>
                    <xdr:col>8</xdr:col>
                    <xdr:colOff>1866900</xdr:colOff>
                    <xdr:row>27</xdr:row>
                    <xdr:rowOff>28575</xdr:rowOff>
                  </to>
                </anchor>
              </controlPr>
            </control>
          </mc:Choice>
        </mc:AlternateContent>
        <mc:AlternateContent xmlns:mc="http://schemas.openxmlformats.org/markup-compatibility/2006">
          <mc:Choice Requires="x14">
            <control shapeId="21538" r:id="rId37" name="Drop Down 34">
              <controlPr defaultSize="0" autoLine="0" autoPict="0">
                <anchor moveWithCells="1">
                  <from>
                    <xdr:col>1</xdr:col>
                    <xdr:colOff>0</xdr:colOff>
                    <xdr:row>3</xdr:row>
                    <xdr:rowOff>0</xdr:rowOff>
                  </from>
                  <to>
                    <xdr:col>1</xdr:col>
                    <xdr:colOff>2419350</xdr:colOff>
                    <xdr:row>4</xdr:row>
                    <xdr:rowOff>28575</xdr:rowOff>
                  </to>
                </anchor>
              </controlPr>
            </control>
          </mc:Choice>
        </mc:AlternateContent>
        <mc:AlternateContent xmlns:mc="http://schemas.openxmlformats.org/markup-compatibility/2006">
          <mc:Choice Requires="x14">
            <control shapeId="21539" r:id="rId38" name="Drop Down 35">
              <controlPr defaultSize="0" autoLine="0" autoPict="0">
                <anchor moveWithCells="1">
                  <from>
                    <xdr:col>10</xdr:col>
                    <xdr:colOff>0</xdr:colOff>
                    <xdr:row>3</xdr:row>
                    <xdr:rowOff>0</xdr:rowOff>
                  </from>
                  <to>
                    <xdr:col>10</xdr:col>
                    <xdr:colOff>2419350</xdr:colOff>
                    <xdr:row>4</xdr:row>
                    <xdr:rowOff>28575</xdr:rowOff>
                  </to>
                </anchor>
              </controlPr>
            </control>
          </mc:Choice>
        </mc:AlternateContent>
        <mc:AlternateContent xmlns:mc="http://schemas.openxmlformats.org/markup-compatibility/2006">
          <mc:Choice Requires="x14">
            <control shapeId="21541" r:id="rId39" name="Drop Down 37">
              <controlPr defaultSize="0" autoLine="0" autoPict="0">
                <anchor moveWithCells="1">
                  <from>
                    <xdr:col>1</xdr:col>
                    <xdr:colOff>0</xdr:colOff>
                    <xdr:row>9</xdr:row>
                    <xdr:rowOff>0</xdr:rowOff>
                  </from>
                  <to>
                    <xdr:col>1</xdr:col>
                    <xdr:colOff>2419350</xdr:colOff>
                    <xdr:row>10</xdr:row>
                    <xdr:rowOff>28575</xdr:rowOff>
                  </to>
                </anchor>
              </controlPr>
            </control>
          </mc:Choice>
        </mc:AlternateContent>
        <mc:AlternateContent xmlns:mc="http://schemas.openxmlformats.org/markup-compatibility/2006">
          <mc:Choice Requires="x14">
            <control shapeId="21543" r:id="rId40" name="Drop Down 39">
              <controlPr defaultSize="0" autoLine="0" autoPict="0">
                <anchor moveWithCells="1">
                  <from>
                    <xdr:col>1</xdr:col>
                    <xdr:colOff>0</xdr:colOff>
                    <xdr:row>10</xdr:row>
                    <xdr:rowOff>0</xdr:rowOff>
                  </from>
                  <to>
                    <xdr:col>1</xdr:col>
                    <xdr:colOff>2419350</xdr:colOff>
                    <xdr:row>11</xdr:row>
                    <xdr:rowOff>28575</xdr:rowOff>
                  </to>
                </anchor>
              </controlPr>
            </control>
          </mc:Choice>
        </mc:AlternateContent>
        <mc:AlternateContent xmlns:mc="http://schemas.openxmlformats.org/markup-compatibility/2006">
          <mc:Choice Requires="x14">
            <control shapeId="21544" r:id="rId41" name="Drop Down 40">
              <controlPr defaultSize="0" autoLine="0" autoPict="0">
                <anchor moveWithCells="1">
                  <from>
                    <xdr:col>4</xdr:col>
                    <xdr:colOff>9525</xdr:colOff>
                    <xdr:row>6</xdr:row>
                    <xdr:rowOff>0</xdr:rowOff>
                  </from>
                  <to>
                    <xdr:col>4</xdr:col>
                    <xdr:colOff>581025</xdr:colOff>
                    <xdr:row>7</xdr:row>
                    <xdr:rowOff>19050</xdr:rowOff>
                  </to>
                </anchor>
              </controlPr>
            </control>
          </mc:Choice>
        </mc:AlternateContent>
        <mc:AlternateContent xmlns:mc="http://schemas.openxmlformats.org/markup-compatibility/2006">
          <mc:Choice Requires="x14">
            <control shapeId="21545" r:id="rId42" name="Drop Down 41">
              <controlPr defaultSize="0" autoLine="0" autoPict="0">
                <anchor moveWithCells="1">
                  <from>
                    <xdr:col>4</xdr:col>
                    <xdr:colOff>9525</xdr:colOff>
                    <xdr:row>7</xdr:row>
                    <xdr:rowOff>0</xdr:rowOff>
                  </from>
                  <to>
                    <xdr:col>4</xdr:col>
                    <xdr:colOff>581025</xdr:colOff>
                    <xdr:row>8</xdr:row>
                    <xdr:rowOff>19050</xdr:rowOff>
                  </to>
                </anchor>
              </controlPr>
            </control>
          </mc:Choice>
        </mc:AlternateContent>
        <mc:AlternateContent xmlns:mc="http://schemas.openxmlformats.org/markup-compatibility/2006">
          <mc:Choice Requires="x14">
            <control shapeId="21546" r:id="rId43" name="Drop Down 42">
              <controlPr defaultSize="0" autoLine="0" autoPict="0">
                <anchor moveWithCells="1">
                  <from>
                    <xdr:col>4</xdr:col>
                    <xdr:colOff>9525</xdr:colOff>
                    <xdr:row>8</xdr:row>
                    <xdr:rowOff>0</xdr:rowOff>
                  </from>
                  <to>
                    <xdr:col>4</xdr:col>
                    <xdr:colOff>581025</xdr:colOff>
                    <xdr:row>9</xdr:row>
                    <xdr:rowOff>19050</xdr:rowOff>
                  </to>
                </anchor>
              </controlPr>
            </control>
          </mc:Choice>
        </mc:AlternateContent>
        <mc:AlternateContent xmlns:mc="http://schemas.openxmlformats.org/markup-compatibility/2006">
          <mc:Choice Requires="x14">
            <control shapeId="21547" r:id="rId44" name="Drop Down 43">
              <controlPr defaultSize="0" autoLine="0" autoPict="0">
                <anchor moveWithCells="1">
                  <from>
                    <xdr:col>4</xdr:col>
                    <xdr:colOff>9525</xdr:colOff>
                    <xdr:row>9</xdr:row>
                    <xdr:rowOff>0</xdr:rowOff>
                  </from>
                  <to>
                    <xdr:col>4</xdr:col>
                    <xdr:colOff>581025</xdr:colOff>
                    <xdr:row>10</xdr:row>
                    <xdr:rowOff>19050</xdr:rowOff>
                  </to>
                </anchor>
              </controlPr>
            </control>
          </mc:Choice>
        </mc:AlternateContent>
        <mc:AlternateContent xmlns:mc="http://schemas.openxmlformats.org/markup-compatibility/2006">
          <mc:Choice Requires="x14">
            <control shapeId="21548" r:id="rId45" name="Drop Down 44">
              <controlPr defaultSize="0" autoLine="0" autoPict="0">
                <anchor moveWithCells="1">
                  <from>
                    <xdr:col>4</xdr:col>
                    <xdr:colOff>9525</xdr:colOff>
                    <xdr:row>10</xdr:row>
                    <xdr:rowOff>0</xdr:rowOff>
                  </from>
                  <to>
                    <xdr:col>4</xdr:col>
                    <xdr:colOff>581025</xdr:colOff>
                    <xdr:row>11</xdr:row>
                    <xdr:rowOff>19050</xdr:rowOff>
                  </to>
                </anchor>
              </controlPr>
            </control>
          </mc:Choice>
        </mc:AlternateContent>
        <mc:AlternateContent xmlns:mc="http://schemas.openxmlformats.org/markup-compatibility/2006">
          <mc:Choice Requires="x14">
            <control shapeId="21549" r:id="rId46" name="Drop Down 45">
              <controlPr defaultSize="0" autoLine="0" autoPict="0">
                <anchor moveWithCells="1">
                  <from>
                    <xdr:col>10</xdr:col>
                    <xdr:colOff>0</xdr:colOff>
                    <xdr:row>9</xdr:row>
                    <xdr:rowOff>0</xdr:rowOff>
                  </from>
                  <to>
                    <xdr:col>10</xdr:col>
                    <xdr:colOff>2419350</xdr:colOff>
                    <xdr:row>10</xdr:row>
                    <xdr:rowOff>28575</xdr:rowOff>
                  </to>
                </anchor>
              </controlPr>
            </control>
          </mc:Choice>
        </mc:AlternateContent>
        <mc:AlternateContent xmlns:mc="http://schemas.openxmlformats.org/markup-compatibility/2006">
          <mc:Choice Requires="x14">
            <control shapeId="21550" r:id="rId47" name="Drop Down 46">
              <controlPr defaultSize="0" autoLine="0" autoPict="0">
                <anchor moveWithCells="1">
                  <from>
                    <xdr:col>10</xdr:col>
                    <xdr:colOff>0</xdr:colOff>
                    <xdr:row>10</xdr:row>
                    <xdr:rowOff>0</xdr:rowOff>
                  </from>
                  <to>
                    <xdr:col>10</xdr:col>
                    <xdr:colOff>2419350</xdr:colOff>
                    <xdr:row>11</xdr:row>
                    <xdr:rowOff>28575</xdr:rowOff>
                  </to>
                </anchor>
              </controlPr>
            </control>
          </mc:Choice>
        </mc:AlternateContent>
        <mc:AlternateContent xmlns:mc="http://schemas.openxmlformats.org/markup-compatibility/2006">
          <mc:Choice Requires="x14">
            <control shapeId="21551" r:id="rId48" name="Drop Down 47">
              <controlPr defaultSize="0" autoLine="0" autoPict="0">
                <anchor moveWithCells="1">
                  <from>
                    <xdr:col>13</xdr:col>
                    <xdr:colOff>9525</xdr:colOff>
                    <xdr:row>6</xdr:row>
                    <xdr:rowOff>0</xdr:rowOff>
                  </from>
                  <to>
                    <xdr:col>14</xdr:col>
                    <xdr:colOff>0</xdr:colOff>
                    <xdr:row>7</xdr:row>
                    <xdr:rowOff>19050</xdr:rowOff>
                  </to>
                </anchor>
              </controlPr>
            </control>
          </mc:Choice>
        </mc:AlternateContent>
        <mc:AlternateContent xmlns:mc="http://schemas.openxmlformats.org/markup-compatibility/2006">
          <mc:Choice Requires="x14">
            <control shapeId="21552" r:id="rId49" name="Drop Down 48">
              <controlPr defaultSize="0" autoLine="0" autoPict="0">
                <anchor moveWithCells="1">
                  <from>
                    <xdr:col>13</xdr:col>
                    <xdr:colOff>9525</xdr:colOff>
                    <xdr:row>7</xdr:row>
                    <xdr:rowOff>0</xdr:rowOff>
                  </from>
                  <to>
                    <xdr:col>14</xdr:col>
                    <xdr:colOff>0</xdr:colOff>
                    <xdr:row>8</xdr:row>
                    <xdr:rowOff>19050</xdr:rowOff>
                  </to>
                </anchor>
              </controlPr>
            </control>
          </mc:Choice>
        </mc:AlternateContent>
        <mc:AlternateContent xmlns:mc="http://schemas.openxmlformats.org/markup-compatibility/2006">
          <mc:Choice Requires="x14">
            <control shapeId="21553" r:id="rId50" name="Drop Down 49">
              <controlPr defaultSize="0" autoLine="0" autoPict="0">
                <anchor moveWithCells="1">
                  <from>
                    <xdr:col>13</xdr:col>
                    <xdr:colOff>9525</xdr:colOff>
                    <xdr:row>8</xdr:row>
                    <xdr:rowOff>0</xdr:rowOff>
                  </from>
                  <to>
                    <xdr:col>14</xdr:col>
                    <xdr:colOff>0</xdr:colOff>
                    <xdr:row>9</xdr:row>
                    <xdr:rowOff>19050</xdr:rowOff>
                  </to>
                </anchor>
              </controlPr>
            </control>
          </mc:Choice>
        </mc:AlternateContent>
        <mc:AlternateContent xmlns:mc="http://schemas.openxmlformats.org/markup-compatibility/2006">
          <mc:Choice Requires="x14">
            <control shapeId="21554" r:id="rId51" name="Drop Down 50">
              <controlPr defaultSize="0" autoLine="0" autoPict="0">
                <anchor moveWithCells="1">
                  <from>
                    <xdr:col>13</xdr:col>
                    <xdr:colOff>9525</xdr:colOff>
                    <xdr:row>9</xdr:row>
                    <xdr:rowOff>0</xdr:rowOff>
                  </from>
                  <to>
                    <xdr:col>14</xdr:col>
                    <xdr:colOff>0</xdr:colOff>
                    <xdr:row>10</xdr:row>
                    <xdr:rowOff>19050</xdr:rowOff>
                  </to>
                </anchor>
              </controlPr>
            </control>
          </mc:Choice>
        </mc:AlternateContent>
        <mc:AlternateContent xmlns:mc="http://schemas.openxmlformats.org/markup-compatibility/2006">
          <mc:Choice Requires="x14">
            <control shapeId="21555" r:id="rId52" name="Drop Down 51">
              <controlPr defaultSize="0" autoLine="0" autoPict="0">
                <anchor moveWithCells="1">
                  <from>
                    <xdr:col>13</xdr:col>
                    <xdr:colOff>19050</xdr:colOff>
                    <xdr:row>10</xdr:row>
                    <xdr:rowOff>0</xdr:rowOff>
                  </from>
                  <to>
                    <xdr:col>14</xdr:col>
                    <xdr:colOff>0</xdr:colOff>
                    <xdr:row>11</xdr:row>
                    <xdr:rowOff>9525</xdr:rowOff>
                  </to>
                </anchor>
              </controlPr>
            </control>
          </mc:Choice>
        </mc:AlternateContent>
        <mc:AlternateContent xmlns:mc="http://schemas.openxmlformats.org/markup-compatibility/2006">
          <mc:Choice Requires="x14">
            <control shapeId="21557" r:id="rId53" name="Drop Down 53">
              <controlPr defaultSize="0" autoLine="0" autoPict="0">
                <anchor moveWithCells="1">
                  <from>
                    <xdr:col>4</xdr:col>
                    <xdr:colOff>9525</xdr:colOff>
                    <xdr:row>12</xdr:row>
                    <xdr:rowOff>0</xdr:rowOff>
                  </from>
                  <to>
                    <xdr:col>4</xdr:col>
                    <xdr:colOff>581025</xdr:colOff>
                    <xdr:row>13</xdr:row>
                    <xdr:rowOff>19050</xdr:rowOff>
                  </to>
                </anchor>
              </controlPr>
            </control>
          </mc:Choice>
        </mc:AlternateContent>
        <mc:AlternateContent xmlns:mc="http://schemas.openxmlformats.org/markup-compatibility/2006">
          <mc:Choice Requires="x14">
            <control shapeId="21558" r:id="rId54" name="Drop Down 54">
              <controlPr defaultSize="0" autoLine="0" autoPict="0">
                <anchor moveWithCells="1">
                  <from>
                    <xdr:col>4</xdr:col>
                    <xdr:colOff>9525</xdr:colOff>
                    <xdr:row>13</xdr:row>
                    <xdr:rowOff>0</xdr:rowOff>
                  </from>
                  <to>
                    <xdr:col>4</xdr:col>
                    <xdr:colOff>581025</xdr:colOff>
                    <xdr:row>14</xdr:row>
                    <xdr:rowOff>19050</xdr:rowOff>
                  </to>
                </anchor>
              </controlPr>
            </control>
          </mc:Choice>
        </mc:AlternateContent>
        <mc:AlternateContent xmlns:mc="http://schemas.openxmlformats.org/markup-compatibility/2006">
          <mc:Choice Requires="x14">
            <control shapeId="21559" r:id="rId55" name="Drop Down 55">
              <controlPr defaultSize="0" autoLine="0" autoPict="0">
                <anchor moveWithCells="1">
                  <from>
                    <xdr:col>4</xdr:col>
                    <xdr:colOff>9525</xdr:colOff>
                    <xdr:row>14</xdr:row>
                    <xdr:rowOff>0</xdr:rowOff>
                  </from>
                  <to>
                    <xdr:col>4</xdr:col>
                    <xdr:colOff>581025</xdr:colOff>
                    <xdr:row>15</xdr:row>
                    <xdr:rowOff>19050</xdr:rowOff>
                  </to>
                </anchor>
              </controlPr>
            </control>
          </mc:Choice>
        </mc:AlternateContent>
        <mc:AlternateContent xmlns:mc="http://schemas.openxmlformats.org/markup-compatibility/2006">
          <mc:Choice Requires="x14">
            <control shapeId="21560" r:id="rId56" name="Drop Down 56">
              <controlPr defaultSize="0" autoLine="0" autoPict="0">
                <anchor moveWithCells="1">
                  <from>
                    <xdr:col>13</xdr:col>
                    <xdr:colOff>9525</xdr:colOff>
                    <xdr:row>11</xdr:row>
                    <xdr:rowOff>180975</xdr:rowOff>
                  </from>
                  <to>
                    <xdr:col>14</xdr:col>
                    <xdr:colOff>38100</xdr:colOff>
                    <xdr:row>13</xdr:row>
                    <xdr:rowOff>0</xdr:rowOff>
                  </to>
                </anchor>
              </controlPr>
            </control>
          </mc:Choice>
        </mc:AlternateContent>
        <mc:AlternateContent xmlns:mc="http://schemas.openxmlformats.org/markup-compatibility/2006">
          <mc:Choice Requires="x14">
            <control shapeId="21561" r:id="rId57" name="Drop Down 57">
              <controlPr defaultSize="0" autoLine="0" autoPict="0">
                <anchor moveWithCells="1">
                  <from>
                    <xdr:col>13</xdr:col>
                    <xdr:colOff>9525</xdr:colOff>
                    <xdr:row>12</xdr:row>
                    <xdr:rowOff>180975</xdr:rowOff>
                  </from>
                  <to>
                    <xdr:col>14</xdr:col>
                    <xdr:colOff>38100</xdr:colOff>
                    <xdr:row>14</xdr:row>
                    <xdr:rowOff>0</xdr:rowOff>
                  </to>
                </anchor>
              </controlPr>
            </control>
          </mc:Choice>
        </mc:AlternateContent>
        <mc:AlternateContent xmlns:mc="http://schemas.openxmlformats.org/markup-compatibility/2006">
          <mc:Choice Requires="x14">
            <control shapeId="21562" r:id="rId58" name="Drop Down 58">
              <controlPr defaultSize="0" autoLine="0" autoPict="0">
                <anchor moveWithCells="1">
                  <from>
                    <xdr:col>13</xdr:col>
                    <xdr:colOff>0</xdr:colOff>
                    <xdr:row>13</xdr:row>
                    <xdr:rowOff>180975</xdr:rowOff>
                  </from>
                  <to>
                    <xdr:col>14</xdr:col>
                    <xdr:colOff>28575</xdr:colOff>
                    <xdr:row>15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1"/>
  <sheetViews>
    <sheetView topLeftCell="E54" workbookViewId="0">
      <selection activeCell="P77" sqref="P77"/>
    </sheetView>
  </sheetViews>
  <sheetFormatPr defaultRowHeight="12.75" x14ac:dyDescent="0.2"/>
  <cols>
    <col min="1" max="1" width="28.7109375" customWidth="1"/>
    <col min="4" max="4" width="10.7109375" bestFit="1" customWidth="1"/>
    <col min="9" max="9" width="15" customWidth="1"/>
    <col min="10" max="10" width="10.140625" customWidth="1"/>
    <col min="11" max="11" width="27.5703125" customWidth="1"/>
    <col min="12" max="12" width="12.5703125" customWidth="1"/>
    <col min="13" max="13" width="17.5703125" customWidth="1"/>
    <col min="14" max="14" width="26.85546875" customWidth="1"/>
    <col min="15" max="15" width="10.28515625" customWidth="1"/>
    <col min="19" max="19" width="10.140625" customWidth="1"/>
    <col min="27" max="27" width="16.28515625" customWidth="1"/>
    <col min="28" max="28" width="22.28515625" customWidth="1"/>
    <col min="33" max="33" width="10.42578125" customWidth="1"/>
    <col min="34" max="34" width="16.5703125" customWidth="1"/>
    <col min="35" max="35" width="11.85546875" customWidth="1"/>
    <col min="38" max="38" width="11.140625" customWidth="1"/>
    <col min="39" max="39" width="10.28515625" customWidth="1"/>
    <col min="43" max="43" width="12.140625" customWidth="1"/>
  </cols>
  <sheetData>
    <row r="1" spans="1:46" x14ac:dyDescent="0.2">
      <c r="Q1" s="244"/>
      <c r="S1" s="28"/>
      <c r="T1" s="221" t="s">
        <v>71</v>
      </c>
      <c r="U1" s="222"/>
      <c r="V1" s="222"/>
      <c r="W1" s="222"/>
      <c r="X1" s="222"/>
      <c r="Y1" s="222"/>
      <c r="Z1" s="222"/>
      <c r="AA1" s="222"/>
      <c r="AB1" s="40"/>
      <c r="AC1" s="633" t="s">
        <v>86</v>
      </c>
      <c r="AD1" s="634" t="s">
        <v>93</v>
      </c>
      <c r="AH1" s="118" t="s">
        <v>621</v>
      </c>
      <c r="AM1" s="118" t="s">
        <v>622</v>
      </c>
      <c r="AR1" s="118" t="s">
        <v>47</v>
      </c>
    </row>
    <row r="2" spans="1:46" ht="22.5" x14ac:dyDescent="0.2">
      <c r="B2" s="28" t="s">
        <v>76</v>
      </c>
      <c r="C2" s="28" t="s">
        <v>75</v>
      </c>
      <c r="D2" s="28" t="s">
        <v>33</v>
      </c>
      <c r="E2" s="28" t="s">
        <v>76</v>
      </c>
      <c r="F2" s="28" t="s">
        <v>75</v>
      </c>
      <c r="G2" s="28" t="s">
        <v>33</v>
      </c>
      <c r="H2" s="118" t="s">
        <v>557</v>
      </c>
      <c r="I2" s="118" t="s">
        <v>558</v>
      </c>
      <c r="J2" s="28" t="s">
        <v>82</v>
      </c>
      <c r="K2" s="28" t="s">
        <v>86</v>
      </c>
      <c r="L2" s="29" t="s">
        <v>92</v>
      </c>
      <c r="M2" s="118" t="s">
        <v>555</v>
      </c>
      <c r="N2" s="118" t="s">
        <v>559</v>
      </c>
      <c r="O2" s="118" t="s">
        <v>560</v>
      </c>
      <c r="P2" s="118" t="s">
        <v>665</v>
      </c>
      <c r="Q2" s="244"/>
      <c r="S2" s="28"/>
      <c r="T2" s="31" t="s">
        <v>84</v>
      </c>
      <c r="U2" s="30" t="s">
        <v>83</v>
      </c>
      <c r="V2" s="31" t="s">
        <v>33</v>
      </c>
      <c r="W2" s="31" t="s">
        <v>298</v>
      </c>
      <c r="X2" s="30" t="s">
        <v>83</v>
      </c>
      <c r="Y2" s="31" t="s">
        <v>33</v>
      </c>
      <c r="Z2" s="118" t="s">
        <v>557</v>
      </c>
      <c r="AA2" s="118" t="s">
        <v>558</v>
      </c>
      <c r="AB2" s="118" t="s">
        <v>1249</v>
      </c>
      <c r="AC2" s="633"/>
      <c r="AD2" s="634"/>
      <c r="AE2" s="118" t="s">
        <v>559</v>
      </c>
      <c r="AF2" s="118" t="s">
        <v>560</v>
      </c>
      <c r="AH2" s="118" t="s">
        <v>84</v>
      </c>
      <c r="AI2" s="118" t="s">
        <v>298</v>
      </c>
      <c r="AJ2" s="243" t="s">
        <v>1053</v>
      </c>
      <c r="AK2" s="243" t="s">
        <v>48</v>
      </c>
      <c r="AM2" s="118" t="s">
        <v>84</v>
      </c>
      <c r="AN2" s="118" t="s">
        <v>298</v>
      </c>
      <c r="AO2" s="118" t="s">
        <v>1053</v>
      </c>
      <c r="AP2" s="243" t="s">
        <v>48</v>
      </c>
      <c r="AR2" s="118" t="s">
        <v>623</v>
      </c>
      <c r="AS2" s="118" t="s">
        <v>624</v>
      </c>
      <c r="AT2" s="118" t="s">
        <v>614</v>
      </c>
    </row>
    <row r="3" spans="1:46" x14ac:dyDescent="0.2">
      <c r="A3" s="28" t="s">
        <v>67</v>
      </c>
      <c r="B3">
        <v>1</v>
      </c>
      <c r="C3">
        <f>'Invoer verwarming en tapwater'!F5</f>
        <v>0</v>
      </c>
      <c r="D3">
        <f>'Invoer verwarming en tapwater'!G5</f>
        <v>0</v>
      </c>
      <c r="E3">
        <v>1</v>
      </c>
      <c r="F3">
        <f>'Invoer verwarming en tapwater'!I5</f>
        <v>0</v>
      </c>
      <c r="G3">
        <f>'Invoer verwarming en tapwater'!J5</f>
        <v>0</v>
      </c>
      <c r="H3">
        <f>INDEX($O$24:$O$34,B3)</f>
        <v>0</v>
      </c>
      <c r="I3">
        <f>INDEX($O$24:$O$34,E3)</f>
        <v>0</v>
      </c>
      <c r="J3">
        <f>IF(E3=1,H3,1/((0.79/H3)+(0.21/I3)))</f>
        <v>0</v>
      </c>
      <c r="K3">
        <v>1</v>
      </c>
      <c r="L3">
        <v>1</v>
      </c>
      <c r="M3">
        <v>5</v>
      </c>
      <c r="N3">
        <f>IF(AND(K3=3,L3=1),0.08,IF(AND(K3=3,L3=2),0.25,IF(AND(K4=3,L3=1),0.04,IF(AND(K3=4,L3=2),0.34,0))))</f>
        <v>0</v>
      </c>
      <c r="O3">
        <f>1/(1+N3)</f>
        <v>1</v>
      </c>
      <c r="P3">
        <v>3</v>
      </c>
      <c r="Q3" s="244"/>
      <c r="S3" s="28" t="s">
        <v>67</v>
      </c>
      <c r="T3">
        <v>1</v>
      </c>
      <c r="U3">
        <f>'Invoer verwarming en tapwater'!C13</f>
        <v>0</v>
      </c>
      <c r="V3">
        <f>'Invoer verwarming en tapwater'!D13</f>
        <v>0</v>
      </c>
      <c r="W3">
        <v>1</v>
      </c>
      <c r="X3">
        <f>'Invoer verwarming en tapwater'!F13</f>
        <v>0</v>
      </c>
      <c r="Y3">
        <f>'Invoer verwarming en tapwater'!G13</f>
        <v>0</v>
      </c>
      <c r="Z3">
        <f>IF(T3=1,H3,IF(T3=2,H3,O29))</f>
        <v>0</v>
      </c>
      <c r="AA3">
        <f>IF(W3=1,I3,IF(W3=2,I3,O29))</f>
        <v>0</v>
      </c>
      <c r="AB3">
        <f>IF(W3=1,Z3,1/((0.79/Z3)+(0.21/AA3)))</f>
        <v>0</v>
      </c>
      <c r="AC3">
        <v>1</v>
      </c>
      <c r="AD3">
        <v>1</v>
      </c>
      <c r="AE3">
        <f>IF(AND(T3=1,W3=1),N3,IF(AND(AC3=3,AD3=1),0.08,IF(AND(AC3=3,AD3=2),0.25,IF(AND(AC4=3,AD3=1),0.04,IF(AND(AC3=4,AD3=2),0.34,0)))))</f>
        <v>0</v>
      </c>
      <c r="AF3">
        <f>1/(1+AE3)</f>
        <v>1</v>
      </c>
      <c r="AH3">
        <f>IF(T3=3,U3*V3,0)</f>
        <v>0</v>
      </c>
      <c r="AI3">
        <f>IF(W3=3,X3*Y3,0)</f>
        <v>0</v>
      </c>
      <c r="AJ3">
        <f>AH3+AI3</f>
        <v>0</v>
      </c>
      <c r="AK3">
        <f>IF(AJ3&lt;200,AJ3*$R$40,IF(AJ3&lt;500,199*$R$40+(AJ3-199)*$R$41,199*$R$40+300*$R$41+(AJ3-499)*$R$42))</f>
        <v>0</v>
      </c>
      <c r="AM3">
        <f>C3*D3</f>
        <v>0</v>
      </c>
      <c r="AN3">
        <f>F3*G3</f>
        <v>0</v>
      </c>
      <c r="AO3">
        <f>AM3+AN3</f>
        <v>0</v>
      </c>
      <c r="AP3">
        <f>IF(AO3&lt;200,AO3*$R$40,IF(AO3&lt;500,199*$R$40+(AO3-199)*$R$41,199*$R$40+300*$R$41+(AO3-499)*$R$42))</f>
        <v>0</v>
      </c>
      <c r="AR3">
        <f>IF(O48=1,'Invoer verwarming en tapwater'!J13*'Kosten kengetallen'!$B$36,'Invoer verwarming en tapwater'!J13*'Kosten kengetallen'!$B$37)</f>
        <v>0</v>
      </c>
      <c r="AS3">
        <f>'Invoer verwarming en tapwater'!K13*'Kosten kengetallen'!$B$38</f>
        <v>0</v>
      </c>
      <c r="AT3">
        <f>0.6*AR3</f>
        <v>0</v>
      </c>
    </row>
    <row r="4" spans="1:46" x14ac:dyDescent="0.2">
      <c r="A4" s="28" t="s">
        <v>68</v>
      </c>
      <c r="B4">
        <v>1</v>
      </c>
      <c r="C4">
        <f>'Invoer verwarming en tapwater'!F6</f>
        <v>0</v>
      </c>
      <c r="D4">
        <f>'Invoer verwarming en tapwater'!G6</f>
        <v>0</v>
      </c>
      <c r="E4">
        <v>1</v>
      </c>
      <c r="F4">
        <f>'Invoer verwarming en tapwater'!I6</f>
        <v>0</v>
      </c>
      <c r="G4">
        <f>'Invoer verwarming en tapwater'!J6</f>
        <v>0</v>
      </c>
      <c r="H4">
        <f>INDEX($P$24:$P$34,B4)</f>
        <v>0</v>
      </c>
      <c r="I4">
        <f>INDEX($P$24:$P$34,E4)</f>
        <v>0</v>
      </c>
      <c r="J4">
        <f>IF(E4=1,H4,1/((0.79/H4)+(0.21/I4)))</f>
        <v>0</v>
      </c>
      <c r="K4">
        <v>1</v>
      </c>
      <c r="L4">
        <v>1</v>
      </c>
      <c r="M4">
        <v>1</v>
      </c>
      <c r="N4">
        <f>IF(AND(K4=3,L4=1),0.08,IF(AND(K4=3,L4=2),0.25,IF(AND(K5=3,L4=1),0.04,IF(AND(K4=4,L4=2),0.34,0))))</f>
        <v>0</v>
      </c>
      <c r="O4">
        <f>1/(1+N4)</f>
        <v>1</v>
      </c>
      <c r="P4">
        <v>1</v>
      </c>
      <c r="Q4" s="244"/>
      <c r="S4" s="28" t="s">
        <v>68</v>
      </c>
      <c r="T4">
        <v>1</v>
      </c>
      <c r="U4">
        <f>'Invoer verwarming en tapwater'!C14</f>
        <v>0</v>
      </c>
      <c r="V4">
        <f>'Invoer verwarming en tapwater'!D14</f>
        <v>0</v>
      </c>
      <c r="W4">
        <v>1</v>
      </c>
      <c r="X4">
        <f>'Invoer verwarming en tapwater'!F14</f>
        <v>0</v>
      </c>
      <c r="Y4">
        <f>'Invoer verwarming en tapwater'!G14</f>
        <v>0</v>
      </c>
      <c r="Z4">
        <f>IF(T4=1,H4,IF(T4=2,H4,O29))</f>
        <v>0</v>
      </c>
      <c r="AA4">
        <f>IF(W4=1,I4,IF(W4=2,I4,O29))</f>
        <v>0</v>
      </c>
      <c r="AB4">
        <f>IF(W4=1,Z4,1/((0.79/Z4)+(0.21/AA4)))</f>
        <v>0</v>
      </c>
      <c r="AC4">
        <v>1</v>
      </c>
      <c r="AD4">
        <v>2</v>
      </c>
      <c r="AE4">
        <f>IF(AND(T4=1,W4=1),N4,IF(AND(AC4=3,AD4=1),0.08,IF(AND(AC4=3,AD4=2),0.25,IF(AND(AC5=3,AD4=1),0.04,IF(AND(AC4=4,AD4=2),0.34,0)))))</f>
        <v>0</v>
      </c>
      <c r="AF4">
        <f>1/(1+AE4)</f>
        <v>1</v>
      </c>
      <c r="AH4">
        <f>IF(T4=3,U4*V4,0)</f>
        <v>0</v>
      </c>
      <c r="AI4">
        <f>IF(W4=3,X4*Y4,0)</f>
        <v>0</v>
      </c>
      <c r="AJ4">
        <f>AH4+AI4</f>
        <v>0</v>
      </c>
      <c r="AK4">
        <f>IF(AJ4&lt;200,AJ4*$R$40,IF(AJ4&lt;500,199*$R$40+(AJ4-199)*$R$41,199*$R$40+300*$R$41+(AJ4-499)*$R$42))</f>
        <v>0</v>
      </c>
      <c r="AM4">
        <f>C4*D4</f>
        <v>0</v>
      </c>
      <c r="AN4">
        <f>F4*G4</f>
        <v>0</v>
      </c>
      <c r="AO4">
        <f>AM4+AN4</f>
        <v>0</v>
      </c>
      <c r="AP4">
        <f>IF(AO4&lt;200,AO4*$R$40,IF(AO4&lt;500,199*$R$40+(AO4-199)*$R$41,199*$R$40+300*$R$41+(AO4-499)*$R$42))</f>
        <v>0</v>
      </c>
      <c r="AR4">
        <f>IF(O49=1,'Invoer verwarming en tapwater'!J14*'Kosten kengetallen'!$B$36,'Invoer verwarming en tapwater'!J14*'Kosten kengetallen'!$B$37)</f>
        <v>0</v>
      </c>
      <c r="AS4">
        <f>'Invoer verwarming en tapwater'!K14*'Kosten kengetallen'!$B$38</f>
        <v>0</v>
      </c>
      <c r="AT4">
        <f>0.6*AR4</f>
        <v>0</v>
      </c>
    </row>
    <row r="5" spans="1:46" x14ac:dyDescent="0.2">
      <c r="A5" s="28" t="s">
        <v>69</v>
      </c>
      <c r="B5">
        <v>1</v>
      </c>
      <c r="C5">
        <f>'Invoer verwarming en tapwater'!F7</f>
        <v>0</v>
      </c>
      <c r="D5">
        <f>'Invoer verwarming en tapwater'!G7</f>
        <v>0</v>
      </c>
      <c r="E5">
        <v>1</v>
      </c>
      <c r="F5">
        <f>'Invoer verwarming en tapwater'!I7</f>
        <v>0</v>
      </c>
      <c r="G5">
        <f>'Invoer verwarming en tapwater'!J7</f>
        <v>0</v>
      </c>
      <c r="H5">
        <f>INDEX($Q$24:$Q$34,B5)</f>
        <v>0</v>
      </c>
      <c r="I5">
        <f>INDEX($Q$24:$Q$34,E5)</f>
        <v>0</v>
      </c>
      <c r="J5">
        <f>IF(E5=1,H5,1/((0.79/H5)+(0.21/I5)))</f>
        <v>0</v>
      </c>
      <c r="K5">
        <v>1</v>
      </c>
      <c r="L5">
        <v>1</v>
      </c>
      <c r="M5">
        <v>1</v>
      </c>
      <c r="N5">
        <f>IF(AND(K5=3,L5=1),0.08,IF(AND(K5=3,L5=2),0.25,IF(AND(K6=3,L5=1),0.04,IF(AND(K5=4,L5=2),0.34,0))))</f>
        <v>0</v>
      </c>
      <c r="O5">
        <f>1/(1+N5)</f>
        <v>1</v>
      </c>
      <c r="P5">
        <v>1</v>
      </c>
      <c r="Q5" s="244"/>
      <c r="S5" s="28" t="s">
        <v>69</v>
      </c>
      <c r="T5">
        <v>1</v>
      </c>
      <c r="U5">
        <f>'Invoer verwarming en tapwater'!C15</f>
        <v>0</v>
      </c>
      <c r="V5">
        <f>'Invoer verwarming en tapwater'!D15</f>
        <v>0</v>
      </c>
      <c r="W5">
        <v>1</v>
      </c>
      <c r="X5">
        <f>'Invoer verwarming en tapwater'!F15</f>
        <v>0</v>
      </c>
      <c r="Y5">
        <f>'Invoer verwarming en tapwater'!G15</f>
        <v>0</v>
      </c>
      <c r="Z5">
        <f>IF(T5=1,H5,IF(T5=2,H5,O29))</f>
        <v>0</v>
      </c>
      <c r="AA5">
        <f>IF(W5=1,I5,IF(W5=2,I5,O29))</f>
        <v>0</v>
      </c>
      <c r="AB5">
        <f>IF(W5=1,Z5,1/((0.79/Z5)+(0.21/AA5)))</f>
        <v>0</v>
      </c>
      <c r="AC5">
        <v>1</v>
      </c>
      <c r="AD5">
        <v>2</v>
      </c>
      <c r="AE5">
        <f>IF(AND(T5=1,W5=1),N5,IF(AND(AC5=3,AD5=1),0.08,IF(AND(AC5=3,AD5=2),0.25,IF(AND(AC6=3,AD5=1),0.04,IF(AND(AC5=4,AD5=2),0.34,0)))))</f>
        <v>0</v>
      </c>
      <c r="AF5">
        <f>1/(1+AE5)</f>
        <v>1</v>
      </c>
      <c r="AH5">
        <f>IF(T5=3,U5*V5,0)</f>
        <v>0</v>
      </c>
      <c r="AI5">
        <f>IF(W5=3,X5*Y5,0)</f>
        <v>0</v>
      </c>
      <c r="AJ5">
        <f>AH5+AI5</f>
        <v>0</v>
      </c>
      <c r="AK5">
        <f>IF(AJ5&lt;200,AJ5*$R$40,IF(AJ5&lt;500,199*$R$40+(AJ5-199)*$R$41,199*$R$40+300*$R$41+(AJ5-499)*$R$42))</f>
        <v>0</v>
      </c>
      <c r="AM5">
        <f>C5*D5</f>
        <v>0</v>
      </c>
      <c r="AN5">
        <f>F5*G5</f>
        <v>0</v>
      </c>
      <c r="AO5">
        <f>AM5+AN5</f>
        <v>0</v>
      </c>
      <c r="AP5">
        <f>IF(AO5&lt;200,AO5*$R$40,IF(AO5&lt;500,199*$R$40+(AO5-199)*$R$41,199*$R$40+300*$R$41+(AO5-499)*$R$42))</f>
        <v>0</v>
      </c>
      <c r="AR5">
        <f>IF(O50=1,'Invoer verwarming en tapwater'!J15*'Kosten kengetallen'!$B$36,'Invoer verwarming en tapwater'!J15*'Kosten kengetallen'!$B$37)</f>
        <v>0</v>
      </c>
      <c r="AS5">
        <f>'Invoer verwarming en tapwater'!K15*'Kosten kengetallen'!$B$38</f>
        <v>0</v>
      </c>
      <c r="AT5">
        <f>0.6*AR5</f>
        <v>0</v>
      </c>
    </row>
    <row r="6" spans="1:46" x14ac:dyDescent="0.2">
      <c r="A6" s="28" t="s">
        <v>70</v>
      </c>
      <c r="B6">
        <v>1</v>
      </c>
      <c r="C6">
        <f>'Invoer verwarming en tapwater'!F8</f>
        <v>0</v>
      </c>
      <c r="D6">
        <f>'Invoer verwarming en tapwater'!G8</f>
        <v>0</v>
      </c>
      <c r="E6">
        <v>1</v>
      </c>
      <c r="F6">
        <f>'Invoer verwarming en tapwater'!I8</f>
        <v>0</v>
      </c>
      <c r="G6">
        <f>'Invoer verwarming en tapwater'!J8</f>
        <v>0</v>
      </c>
      <c r="H6">
        <f>INDEX($R$24:$R$34,B6)</f>
        <v>0</v>
      </c>
      <c r="I6">
        <f>INDEX($R$24:$R$34,E6)</f>
        <v>0</v>
      </c>
      <c r="J6">
        <f>IF(E6=1,H6,1/((0.79/H6)+(0.21/I6)))</f>
        <v>0</v>
      </c>
      <c r="K6">
        <v>1</v>
      </c>
      <c r="L6">
        <v>1</v>
      </c>
      <c r="M6">
        <v>1</v>
      </c>
      <c r="N6">
        <f>IF(AND(K6=3,L6=1),0.08,IF(AND(K6=3,L6=2),0.25,IF(AND(K7=3,L6=1),0.04,IF(AND(K6=4,L6=2),0.34,0))))</f>
        <v>0</v>
      </c>
      <c r="O6">
        <f>1/(1+N6)</f>
        <v>1</v>
      </c>
      <c r="P6">
        <v>1</v>
      </c>
      <c r="Q6" s="244"/>
      <c r="S6" s="28" t="s">
        <v>70</v>
      </c>
      <c r="T6">
        <v>1</v>
      </c>
      <c r="U6">
        <f>'Invoer verwarming en tapwater'!C16</f>
        <v>0</v>
      </c>
      <c r="V6">
        <f>'Invoer verwarming en tapwater'!D16</f>
        <v>0</v>
      </c>
      <c r="W6">
        <v>1</v>
      </c>
      <c r="X6">
        <f>'Invoer verwarming en tapwater'!F16</f>
        <v>0</v>
      </c>
      <c r="Y6">
        <f>'Invoer verwarming en tapwater'!G16</f>
        <v>0</v>
      </c>
      <c r="Z6">
        <f>IF(T6=1,H6,IF(T6=2,H6,O29))</f>
        <v>0</v>
      </c>
      <c r="AA6">
        <f>IF(W6=1,I6,IF(W6=2,I6,O29))</f>
        <v>0</v>
      </c>
      <c r="AB6">
        <f>IF(W6=1,Z6,1/((0.79/Z6)+(0.21/AA6)))</f>
        <v>0</v>
      </c>
      <c r="AC6">
        <v>1</v>
      </c>
      <c r="AD6">
        <v>2</v>
      </c>
      <c r="AE6">
        <f>IF(AND(T6=1,W6=1),N6,IF(AND(AC6=3,AD6=1),0.08,IF(AND(AC6=3,AD6=2),0.25,IF(AND(AC7=3,AD6=1),0.04,IF(AND(AC6=4,AD6=2),0.34,0)))))</f>
        <v>0</v>
      </c>
      <c r="AF6">
        <f>1/(1+AE6)</f>
        <v>1</v>
      </c>
      <c r="AH6">
        <f>IF(T6=3,U6*V6,0)</f>
        <v>0</v>
      </c>
      <c r="AI6">
        <f>IF(W6=3,X6*Y6,0)</f>
        <v>0</v>
      </c>
      <c r="AJ6">
        <f>AH6+AI6</f>
        <v>0</v>
      </c>
      <c r="AK6">
        <f>IF(AJ6&lt;200,AJ6*$R$40,IF(AJ6&lt;500,199*$R$40+(AJ6-199)*$R$41,199*$R$40+300*$R$41+(AJ6-499)*$R$42))</f>
        <v>0</v>
      </c>
      <c r="AM6">
        <f>C6*D6</f>
        <v>0</v>
      </c>
      <c r="AN6">
        <f>F6*G6</f>
        <v>0</v>
      </c>
      <c r="AO6">
        <f>AM6+AN6</f>
        <v>0</v>
      </c>
      <c r="AP6">
        <f>IF(AO6&lt;200,AO6*$R$40,IF(AO6&lt;500,199*$R$40+(AO6-199)*$R$41,199*$R$40+300*$R$41+(AO6-499)*$R$42))</f>
        <v>0</v>
      </c>
      <c r="AR6">
        <f>IF(O51=1,'Invoer verwarming en tapwater'!J16*'Kosten kengetallen'!$B$36,'Invoer verwarming en tapwater'!J16*'Kosten kengetallen'!$B$37)</f>
        <v>0</v>
      </c>
      <c r="AS6">
        <f>'Invoer verwarming en tapwater'!K16*'Kosten kengetallen'!$B$38</f>
        <v>0</v>
      </c>
      <c r="AT6">
        <f>0.6*AR6</f>
        <v>0</v>
      </c>
    </row>
    <row r="7" spans="1:46" x14ac:dyDescent="0.2">
      <c r="A7" s="28"/>
      <c r="Q7" s="244"/>
    </row>
    <row r="8" spans="1:46" x14ac:dyDescent="0.2">
      <c r="A8" s="28"/>
      <c r="Q8" s="244"/>
    </row>
    <row r="9" spans="1:46" x14ac:dyDescent="0.2">
      <c r="A9" s="28"/>
      <c r="B9" s="118" t="s">
        <v>575</v>
      </c>
      <c r="C9" s="9" t="s">
        <v>60</v>
      </c>
      <c r="D9" s="9" t="s">
        <v>66</v>
      </c>
      <c r="E9" s="243" t="s">
        <v>560</v>
      </c>
      <c r="F9" s="125" t="s">
        <v>573</v>
      </c>
      <c r="H9" s="125" t="s">
        <v>587</v>
      </c>
      <c r="Q9" s="244"/>
      <c r="AH9" s="118" t="s">
        <v>667</v>
      </c>
    </row>
    <row r="10" spans="1:46" x14ac:dyDescent="0.2">
      <c r="A10" s="28" t="s">
        <v>67</v>
      </c>
      <c r="B10">
        <f>5*'Invoer Algemeen'!D16</f>
        <v>0</v>
      </c>
      <c r="C10" s="25">
        <v>1</v>
      </c>
      <c r="D10" s="25">
        <v>1</v>
      </c>
      <c r="E10" s="25">
        <f>INDEX($Z$23:$Z$26,D10)</f>
        <v>0</v>
      </c>
      <c r="F10" s="25">
        <f>INDEX($AC$23:$AC$31,C10)</f>
        <v>0</v>
      </c>
      <c r="H10">
        <f>IF(OR(E10=0,F10=0),0,(B10/E10)/F10)</f>
        <v>0</v>
      </c>
      <c r="Q10" s="244"/>
    </row>
    <row r="11" spans="1:46" x14ac:dyDescent="0.2">
      <c r="A11" s="28" t="s">
        <v>68</v>
      </c>
      <c r="B11">
        <f>5*'Invoer Algemeen'!D17</f>
        <v>0</v>
      </c>
      <c r="C11" s="25">
        <v>1</v>
      </c>
      <c r="D11" s="25">
        <v>1</v>
      </c>
      <c r="E11" s="25">
        <f>INDEX($Z$23:$Z$26,D11)</f>
        <v>0</v>
      </c>
      <c r="F11" s="25">
        <f>INDEX($AC$23:$AC$31,C11)</f>
        <v>0</v>
      </c>
      <c r="H11">
        <f>IF(OR(E11=0,F11=0),0,(B11/E11)/F11)</f>
        <v>0</v>
      </c>
      <c r="Q11" s="244"/>
      <c r="AH11" s="118" t="s">
        <v>668</v>
      </c>
      <c r="AI11" s="118" t="s">
        <v>665</v>
      </c>
      <c r="AJ11" s="118" t="s">
        <v>667</v>
      </c>
    </row>
    <row r="12" spans="1:46" x14ac:dyDescent="0.2">
      <c r="A12" s="28" t="s">
        <v>69</v>
      </c>
      <c r="B12">
        <f>5*'Invoer Algemeen'!D18</f>
        <v>0</v>
      </c>
      <c r="C12" s="25">
        <v>1</v>
      </c>
      <c r="D12" s="25">
        <v>1</v>
      </c>
      <c r="E12" s="25">
        <f>INDEX($Z$23:$Z$26,D12)</f>
        <v>0</v>
      </c>
      <c r="F12" s="25">
        <f>INDEX($AC$23:$AC$31,C12)</f>
        <v>0</v>
      </c>
      <c r="H12">
        <f>IF(OR(E12=0,F12=0),0,(B12/E12)/F12)</f>
        <v>0</v>
      </c>
      <c r="Q12" s="244"/>
      <c r="AG12" s="28" t="s">
        <v>67</v>
      </c>
      <c r="AH12">
        <f>L3</f>
        <v>1</v>
      </c>
      <c r="AI12">
        <f>P3</f>
        <v>3</v>
      </c>
      <c r="AJ12" s="294">
        <f>IF(AND(AH12=1,AI12=4,AD3=1,OR('Invoer verwarming en tapwater'!J13&gt;0,'Invoer verwarming en tapwater'!K13&gt;0)),0.05,IF(AND(AH12=1,AI12=5,AD3=1,OR('Invoer verwarming en tapwater'!J13&gt;0,'Invoer verwarming en tapwater'!K13&gt;0)),0.1,0))</f>
        <v>0</v>
      </c>
    </row>
    <row r="13" spans="1:46" x14ac:dyDescent="0.2">
      <c r="A13" s="28" t="s">
        <v>70</v>
      </c>
      <c r="B13">
        <f>5*'Invoer Algemeen'!D19</f>
        <v>0</v>
      </c>
      <c r="C13" s="25">
        <v>1</v>
      </c>
      <c r="D13" s="25">
        <v>1</v>
      </c>
      <c r="E13" s="25">
        <f>INDEX($Z$23:$Z$26,D13)</f>
        <v>0</v>
      </c>
      <c r="F13" s="25">
        <f>INDEX($AC$23:$AC$31,C13)</f>
        <v>0</v>
      </c>
      <c r="H13">
        <f>IF(OR(E13=0,F13=0),0,(B13/E13)/F13)</f>
        <v>0</v>
      </c>
      <c r="Q13" s="244"/>
      <c r="AG13" s="28" t="s">
        <v>68</v>
      </c>
      <c r="AH13">
        <f>L4</f>
        <v>1</v>
      </c>
      <c r="AI13">
        <f>P4</f>
        <v>1</v>
      </c>
      <c r="AJ13" s="294">
        <f>IF(AND(AH13=1,AI13=4,AD4=1,OR('Invoer verwarming en tapwater'!J14&gt;0,'Invoer verwarming en tapwater'!K14&gt;0)),0.05,IF(AND(AH13=1,AI13=5,AD4=1,OR('Invoer verwarming en tapwater'!J14&gt;0,'Invoer verwarming en tapwater'!K14&gt;0)),0.1,0))</f>
        <v>0</v>
      </c>
    </row>
    <row r="14" spans="1:46" x14ac:dyDescent="0.2">
      <c r="Q14" s="244"/>
      <c r="AG14" s="28" t="s">
        <v>69</v>
      </c>
      <c r="AH14">
        <f>L5</f>
        <v>1</v>
      </c>
      <c r="AI14">
        <f>P5</f>
        <v>1</v>
      </c>
      <c r="AJ14" s="294">
        <f>IF(AND(AH14=1,AI14=4,AD5=1,OR('Invoer verwarming en tapwater'!J15&gt;0,'Invoer verwarming en tapwater'!K15&gt;0)),0.05,IF(AND(AH14=1,AI14=5,AD5=1,OR('Invoer verwarming en tapwater'!J15&gt;0,'Invoer verwarming en tapwater'!K15&gt;0)),0.1,0))</f>
        <v>0</v>
      </c>
    </row>
    <row r="15" spans="1:46" x14ac:dyDescent="0.2">
      <c r="Q15" s="244"/>
      <c r="AG15" s="28" t="s">
        <v>70</v>
      </c>
      <c r="AH15">
        <f>L6</f>
        <v>1</v>
      </c>
      <c r="AI15">
        <f>P6</f>
        <v>1</v>
      </c>
      <c r="AJ15" s="294">
        <f>IF(AND(AH15=1,AI15=4,AD6=1,OR('Invoer verwarming en tapwater'!J16&gt;0,'Invoer verwarming en tapwater'!K16&gt;0)),0.05,IF(AND(AH15=1,AI15=5,AD6=1,OR('Invoer verwarming en tapwater'!J16&gt;0,'Invoer verwarming en tapwater'!K16&gt;0)),0.1,0))</f>
        <v>0</v>
      </c>
    </row>
    <row r="16" spans="1:46" x14ac:dyDescent="0.2">
      <c r="Q16" s="244"/>
    </row>
    <row r="17" spans="2:34" x14ac:dyDescent="0.2">
      <c r="Q17" s="244"/>
    </row>
    <row r="18" spans="2:34" x14ac:dyDescent="0.2">
      <c r="Q18" s="244"/>
      <c r="AH18" s="118" t="s">
        <v>678</v>
      </c>
    </row>
    <row r="19" spans="2:34" x14ac:dyDescent="0.2">
      <c r="Q19" s="244"/>
      <c r="AG19" s="28" t="s">
        <v>67</v>
      </c>
      <c r="AH19" s="107">
        <f>'Invoer verwarming en tapwater'!N13</f>
        <v>0.1</v>
      </c>
    </row>
    <row r="20" spans="2:34" x14ac:dyDescent="0.2">
      <c r="Q20" s="244"/>
      <c r="AG20" s="28" t="s">
        <v>68</v>
      </c>
      <c r="AH20" s="107">
        <f>'Invoer verwarming en tapwater'!N14</f>
        <v>0.1</v>
      </c>
    </row>
    <row r="21" spans="2:34" x14ac:dyDescent="0.2">
      <c r="Q21" s="244"/>
      <c r="AG21" s="28" t="s">
        <v>69</v>
      </c>
      <c r="AH21" s="107">
        <f>'Invoer verwarming en tapwater'!N15</f>
        <v>0.1</v>
      </c>
    </row>
    <row r="22" spans="2:34" ht="15" customHeight="1" x14ac:dyDescent="0.2">
      <c r="B22" s="118" t="s">
        <v>550</v>
      </c>
      <c r="Y22" s="118" t="s">
        <v>576</v>
      </c>
      <c r="Z22" s="118" t="s">
        <v>579</v>
      </c>
      <c r="AG22" s="28" t="s">
        <v>70</v>
      </c>
      <c r="AH22" s="107">
        <f>'Invoer verwarming en tapwater'!N16</f>
        <v>0.1</v>
      </c>
    </row>
    <row r="23" spans="2:34" ht="27.75" customHeight="1" x14ac:dyDescent="0.2">
      <c r="C23" s="118" t="s">
        <v>545</v>
      </c>
      <c r="D23" s="118" t="s">
        <v>546</v>
      </c>
      <c r="E23" s="118" t="s">
        <v>547</v>
      </c>
      <c r="F23" s="118" t="s">
        <v>548</v>
      </c>
      <c r="G23" s="118" t="s">
        <v>549</v>
      </c>
      <c r="H23" s="118" t="s">
        <v>544</v>
      </c>
      <c r="I23" s="118" t="s">
        <v>77</v>
      </c>
      <c r="J23" s="118" t="s">
        <v>552</v>
      </c>
      <c r="K23" s="118" t="s">
        <v>554</v>
      </c>
      <c r="L23" s="118" t="s">
        <v>553</v>
      </c>
      <c r="M23" s="118"/>
      <c r="N23" s="28" t="s">
        <v>72</v>
      </c>
      <c r="O23" s="118" t="s">
        <v>67</v>
      </c>
      <c r="P23" s="118" t="s">
        <v>68</v>
      </c>
      <c r="Q23" s="118" t="s">
        <v>69</v>
      </c>
      <c r="R23" s="118" t="s">
        <v>70</v>
      </c>
      <c r="S23" s="28"/>
      <c r="T23" s="28"/>
      <c r="U23" s="28" t="s">
        <v>86</v>
      </c>
      <c r="V23" s="28" t="s">
        <v>92</v>
      </c>
      <c r="W23" s="118" t="s">
        <v>665</v>
      </c>
    </row>
    <row r="24" spans="2:34" ht="13.5" customHeight="1" x14ac:dyDescent="0.2">
      <c r="M24" s="28" t="s">
        <v>91</v>
      </c>
      <c r="N24" s="28" t="s">
        <v>91</v>
      </c>
      <c r="O24" s="28"/>
      <c r="P24" s="28"/>
      <c r="Q24" s="28"/>
      <c r="R24" s="28"/>
      <c r="S24" s="28"/>
      <c r="T24" s="28"/>
      <c r="U24" s="28" t="s">
        <v>91</v>
      </c>
      <c r="V24" s="28" t="s">
        <v>36</v>
      </c>
      <c r="W24" s="28"/>
      <c r="Y24" s="118" t="s">
        <v>577</v>
      </c>
      <c r="Z24">
        <v>1</v>
      </c>
      <c r="AB24" s="238" t="s">
        <v>824</v>
      </c>
      <c r="AC24" s="239">
        <v>0.29249999999999998</v>
      </c>
    </row>
    <row r="25" spans="2:34" x14ac:dyDescent="0.2">
      <c r="B25" s="118" t="s">
        <v>540</v>
      </c>
      <c r="C25">
        <v>0.75</v>
      </c>
      <c r="D25">
        <v>0.8</v>
      </c>
      <c r="E25">
        <v>0.92500000000000004</v>
      </c>
      <c r="F25">
        <v>0.95</v>
      </c>
      <c r="G25">
        <v>0.97499999999999998</v>
      </c>
      <c r="H25">
        <v>1.6</v>
      </c>
      <c r="J25">
        <v>0.65</v>
      </c>
      <c r="K25">
        <v>0.8</v>
      </c>
      <c r="M25" s="118" t="s">
        <v>773</v>
      </c>
      <c r="N25" s="28" t="s">
        <v>73</v>
      </c>
      <c r="O25" s="28">
        <f>IF('Invoer Algemeen'!$D$16&lt;500,C25,C33)</f>
        <v>0.75</v>
      </c>
      <c r="P25" s="28">
        <f>IF('Invoer Algemeen'!$D$17&lt;500,C25,C33)</f>
        <v>0.75</v>
      </c>
      <c r="Q25" s="28">
        <f>IF('Invoer Algemeen'!$D$18&lt;500,C25,C33)</f>
        <v>0.75</v>
      </c>
      <c r="R25" s="28">
        <f>IF('Invoer Algemeen'!$D$19&lt;500,C25,C33)</f>
        <v>0.75</v>
      </c>
      <c r="S25" s="28"/>
      <c r="T25" s="28"/>
      <c r="U25" s="28" t="s">
        <v>88</v>
      </c>
      <c r="V25" s="28" t="s">
        <v>37</v>
      </c>
      <c r="W25" s="293">
        <v>1</v>
      </c>
      <c r="Y25" s="118" t="s">
        <v>578</v>
      </c>
      <c r="Z25">
        <v>0.8</v>
      </c>
      <c r="AB25" s="238" t="s">
        <v>585</v>
      </c>
      <c r="AC25" s="239">
        <v>0.45</v>
      </c>
    </row>
    <row r="26" spans="2:34" ht="27.75" customHeight="1" x14ac:dyDescent="0.2">
      <c r="B26" s="118" t="s">
        <v>541</v>
      </c>
      <c r="C26">
        <v>0.75</v>
      </c>
      <c r="D26">
        <v>0.8</v>
      </c>
      <c r="E26">
        <v>0.92500000000000004</v>
      </c>
      <c r="F26">
        <v>0.95</v>
      </c>
      <c r="G26">
        <v>0.97499999999999998</v>
      </c>
      <c r="H26">
        <v>1.5</v>
      </c>
      <c r="J26">
        <v>0.65</v>
      </c>
      <c r="K26">
        <v>0.8</v>
      </c>
      <c r="M26" s="118" t="s">
        <v>773</v>
      </c>
      <c r="N26" s="28" t="s">
        <v>79</v>
      </c>
      <c r="O26" s="28">
        <f>IF('Invoer Algemeen'!$D$16&lt;500,D26,D34)</f>
        <v>0.8</v>
      </c>
      <c r="P26" s="28">
        <f>IF('Invoer Algemeen'!$D$17&lt;500,D26,D34)</f>
        <v>0.8</v>
      </c>
      <c r="Q26" s="28">
        <f>IF('Invoer Algemeen'!$D$18&lt;500,D26,D34)</f>
        <v>0.8</v>
      </c>
      <c r="R26" s="28">
        <f>IF('Invoer Algemeen'!$D$19&lt;500,D26,D34)</f>
        <v>0.8</v>
      </c>
      <c r="S26" s="28"/>
      <c r="T26" s="28"/>
      <c r="U26" s="28" t="s">
        <v>87</v>
      </c>
      <c r="W26" s="118" t="s">
        <v>666</v>
      </c>
      <c r="Y26" s="118" t="s">
        <v>580</v>
      </c>
      <c r="Z26">
        <v>0.6</v>
      </c>
      <c r="AB26" s="238" t="s">
        <v>583</v>
      </c>
      <c r="AC26" s="239">
        <v>0.45</v>
      </c>
    </row>
    <row r="27" spans="2:34" x14ac:dyDescent="0.2">
      <c r="B27" s="118" t="s">
        <v>542</v>
      </c>
      <c r="C27">
        <v>0.75</v>
      </c>
      <c r="D27">
        <v>0.8</v>
      </c>
      <c r="E27">
        <v>0.92500000000000004</v>
      </c>
      <c r="F27">
        <v>0.95</v>
      </c>
      <c r="G27">
        <v>0.97499999999999998</v>
      </c>
      <c r="H27">
        <v>1.4</v>
      </c>
      <c r="J27">
        <v>0.65</v>
      </c>
      <c r="K27">
        <v>0.8</v>
      </c>
      <c r="M27" s="118" t="s">
        <v>773</v>
      </c>
      <c r="N27" s="28" t="s">
        <v>78</v>
      </c>
      <c r="O27" s="28">
        <f>IF(AND('Invoer Algemeen'!$D$16&lt;500,$M$3&lt;5),E25,IF(AND('Invoer Algemeen'!$D$16&lt;500,$M$3=5),E28,IF(AND('Invoer Algemeen'!$D$16&gt;499,$M$3&lt;5),E33,E36)))</f>
        <v>0.9</v>
      </c>
      <c r="P27" s="28">
        <f>IF(AND('Invoer Algemeen'!$D$17&lt;500,$M$4&lt;5),E25,IF(AND('Invoer Algemeen'!$D$17&lt;500,$M$4=5),E28,IF(AND('Invoer Algemeen'!$D$17&gt;499,$M$4&lt;5),E33,E36)))</f>
        <v>0.92500000000000004</v>
      </c>
      <c r="Q27" s="28">
        <f>IF(AND('Invoer Algemeen'!$D$18&lt;500,$M$5&lt;5),E25,IF(AND('Invoer Algemeen'!$D$18&lt;500,$M$5=5),E28,IF(AND('Invoer Algemeen'!$D$18&gt;499,$M$5&lt;5),E33,E36)))</f>
        <v>0.92500000000000004</v>
      </c>
      <c r="R27" s="28">
        <f>IF(AND('Invoer Algemeen'!$D$19&lt;500,$M$6&lt;5),E25,IF(AND('Invoer Algemeen'!$D$19&lt;500,$M$6=5),E28,IF(AND('Invoer Algemeen'!$D$19&gt;499,$M$6&lt;5),E33,E36)))</f>
        <v>0.92500000000000004</v>
      </c>
      <c r="S27" s="28"/>
      <c r="T27" s="28"/>
      <c r="U27" s="28" t="s">
        <v>89</v>
      </c>
      <c r="W27" s="118" t="s">
        <v>669</v>
      </c>
      <c r="AB27" s="238" t="s">
        <v>582</v>
      </c>
      <c r="AC27" s="239">
        <v>0.55000000000000004</v>
      </c>
    </row>
    <row r="28" spans="2:34" x14ac:dyDescent="0.2">
      <c r="B28" s="118" t="s">
        <v>543</v>
      </c>
      <c r="C28">
        <v>0.75</v>
      </c>
      <c r="D28">
        <v>0.8</v>
      </c>
      <c r="E28">
        <v>0.9</v>
      </c>
      <c r="F28">
        <v>0.92500000000000004</v>
      </c>
      <c r="G28">
        <v>0.95</v>
      </c>
      <c r="H28">
        <v>1.4</v>
      </c>
      <c r="J28">
        <v>0.65</v>
      </c>
      <c r="K28">
        <v>0.8</v>
      </c>
      <c r="M28" s="118" t="s">
        <v>773</v>
      </c>
      <c r="N28" s="28" t="s">
        <v>80</v>
      </c>
      <c r="O28" s="28">
        <f>IF(AND('Invoer Algemeen'!$D$16&lt;500,$M$3&lt;5),F25,IF(AND('Invoer Algemeen'!$D$16&lt;500,$M$3=5),F28,IF(AND('Invoer Algemeen'!$D$16&gt;499,$M$3&lt;5),F33,F36)))</f>
        <v>0.92500000000000004</v>
      </c>
      <c r="P28" s="28">
        <f>IF(AND('Invoer Algemeen'!$D$17&lt;500,$M$4&lt;5),F25,IF(AND('Invoer Algemeen'!$D$17&lt;500,$M$4=5),F28,IF(AND('Invoer Algemeen'!$D$17&gt;499,$M$4&lt;5),F33,F36)))</f>
        <v>0.95</v>
      </c>
      <c r="Q28" s="28">
        <f>IF(AND('Invoer Algemeen'!$D$18&lt;500,$M$5&lt;5),F25,IF(AND('Invoer Algemeen'!$D$18&lt;500,$M$5=5),F28,IF(AND('Invoer Algemeen'!$D$18&gt;499,$M$5&lt;5),F33,F36)))</f>
        <v>0.95</v>
      </c>
      <c r="R28" s="28">
        <f>IF(AND('Invoer Algemeen'!$D$19&lt;500,$M$6&lt;5),F25,IF(AND('Invoer Algemeen'!$D$19&lt;500,$M$6=5),F28,IF(AND('Invoer Algemeen'!$D$19&gt;499,$M$6&lt;5),F33,F36)))</f>
        <v>0.95</v>
      </c>
      <c r="S28" s="28"/>
      <c r="T28" s="28"/>
      <c r="U28" s="28" t="s">
        <v>90</v>
      </c>
      <c r="W28" s="118" t="s">
        <v>670</v>
      </c>
      <c r="AB28" s="238" t="s">
        <v>584</v>
      </c>
      <c r="AC28" s="239">
        <v>0.55000000000000004</v>
      </c>
    </row>
    <row r="29" spans="2:34" x14ac:dyDescent="0.2">
      <c r="M29" s="118" t="s">
        <v>773</v>
      </c>
      <c r="N29" s="28" t="s">
        <v>81</v>
      </c>
      <c r="O29" s="28">
        <f>IF(AND('Invoer Algemeen'!$D$16&lt;500,$M$3&lt;5),G25,IF(AND('Invoer Algemeen'!$D$16&lt;500,$M$3=5),G28,IF(AND('Invoer Algemeen'!$D$16&gt;499,$M$3&lt;5),G33,G36)))</f>
        <v>0.95</v>
      </c>
      <c r="P29" s="28">
        <f>IF(AND('Invoer Algemeen'!$D$17&lt;500,$M$4&lt;5),G25,IF(AND('Invoer Algemeen'!$D$17&lt;500,$M$4=5),G28,IF(AND('Invoer Algemeen'!$D$17&gt;499,$M$4&lt;5),G33,G36)))</f>
        <v>0.97499999999999998</v>
      </c>
      <c r="Q29" s="28">
        <f>IF(AND('Invoer Algemeen'!$D$18&lt;500,$M$5&lt;5),G25,IF(AND('Invoer Algemeen'!$D$18&lt;500,$M$5=5),G28,IF(AND('Invoer Algemeen'!$D$18&gt;499,$M$5&lt;5),G33,G36)))</f>
        <v>0.97499999999999998</v>
      </c>
      <c r="R29" s="28">
        <f>IF(AND('Invoer Algemeen'!$D$19&lt;500,$M$6&lt;5),G25,IF(AND('Invoer Algemeen'!$D$19&lt;500,$M$6=5),G28,IF(AND('Invoer Algemeen'!$D$19&gt;499,$M$6&lt;5),G33,G36)))</f>
        <v>0.97499999999999998</v>
      </c>
      <c r="S29" s="28"/>
      <c r="T29" s="28"/>
      <c r="AB29" s="238" t="s">
        <v>823</v>
      </c>
      <c r="AC29" s="239">
        <v>0.55000000000000004</v>
      </c>
    </row>
    <row r="30" spans="2:34" x14ac:dyDescent="0.2">
      <c r="B30" s="118" t="s">
        <v>551</v>
      </c>
      <c r="M30" s="28" t="s">
        <v>74</v>
      </c>
      <c r="N30" s="28" t="s">
        <v>74</v>
      </c>
      <c r="O30" s="28">
        <f>IF(M3&lt;3,1.6,IF(M3=3,1.5,1.4))</f>
        <v>1.4</v>
      </c>
      <c r="P30" s="28">
        <f>IF(M4&lt;3,1.6,IF(M4=3,1.5,1.4))</f>
        <v>1.6</v>
      </c>
      <c r="Q30" s="28">
        <f>IF(M5&lt;3,1.6,IF(M5=3,1.5,1.4))</f>
        <v>1.6</v>
      </c>
      <c r="R30" s="28">
        <f>IF(M6&lt;3,1.6,IF(M6=3,1.5,1.4))</f>
        <v>1.6</v>
      </c>
      <c r="S30" s="28"/>
      <c r="T30" s="28"/>
      <c r="U30" s="28"/>
      <c r="V30" s="28"/>
      <c r="W30" s="28"/>
      <c r="X30" s="28"/>
      <c r="Y30" s="28"/>
      <c r="Z30" s="28"/>
      <c r="AA30" s="28"/>
      <c r="AB30" s="238" t="s">
        <v>581</v>
      </c>
      <c r="AC30" s="239">
        <v>0.55000000000000004</v>
      </c>
      <c r="AD30" s="28"/>
      <c r="AE30" s="28"/>
    </row>
    <row r="31" spans="2:34" x14ac:dyDescent="0.2">
      <c r="C31" s="118" t="s">
        <v>545</v>
      </c>
      <c r="D31" s="118" t="s">
        <v>546</v>
      </c>
      <c r="E31" s="118" t="s">
        <v>547</v>
      </c>
      <c r="F31" s="118" t="s">
        <v>548</v>
      </c>
      <c r="G31" s="118" t="s">
        <v>549</v>
      </c>
      <c r="H31" s="118" t="s">
        <v>544</v>
      </c>
      <c r="M31" s="118" t="s">
        <v>816</v>
      </c>
      <c r="N31" s="118" t="s">
        <v>817</v>
      </c>
      <c r="O31" s="28">
        <v>1</v>
      </c>
      <c r="P31" s="28">
        <v>1</v>
      </c>
      <c r="Q31" s="28">
        <v>1</v>
      </c>
      <c r="R31" s="118">
        <v>1</v>
      </c>
      <c r="S31" s="28"/>
      <c r="T31" s="28"/>
      <c r="U31" s="28"/>
      <c r="V31" s="28"/>
      <c r="W31" s="28"/>
      <c r="X31" s="28"/>
      <c r="Y31" s="28"/>
      <c r="Z31" s="28"/>
      <c r="AA31" s="28"/>
      <c r="AB31" s="238" t="s">
        <v>822</v>
      </c>
      <c r="AC31" s="239">
        <v>0.9</v>
      </c>
      <c r="AD31" s="28"/>
      <c r="AE31" s="28"/>
    </row>
    <row r="32" spans="2:34" x14ac:dyDescent="0.2">
      <c r="M32" s="118" t="s">
        <v>820</v>
      </c>
      <c r="N32" s="118" t="s">
        <v>818</v>
      </c>
      <c r="O32" s="28">
        <f>$J$25</f>
        <v>0.65</v>
      </c>
      <c r="P32" s="28">
        <f>$J$25</f>
        <v>0.65</v>
      </c>
      <c r="Q32" s="28">
        <f>$J$25</f>
        <v>0.65</v>
      </c>
      <c r="R32" s="28">
        <f>$J$25</f>
        <v>0.65</v>
      </c>
      <c r="S32" s="118"/>
      <c r="T32" s="118"/>
      <c r="U32" s="118"/>
      <c r="V32" s="118"/>
      <c r="W32" s="118"/>
      <c r="X32" s="118"/>
      <c r="Y32" s="118"/>
      <c r="Z32" s="118"/>
      <c r="AA32" s="118"/>
      <c r="AB32" s="118"/>
      <c r="AC32" s="118"/>
      <c r="AD32" s="118"/>
      <c r="AE32" s="118"/>
    </row>
    <row r="33" spans="2:31" x14ac:dyDescent="0.2">
      <c r="B33" s="118" t="s">
        <v>540</v>
      </c>
      <c r="C33">
        <v>0.7</v>
      </c>
      <c r="D33">
        <v>0.75</v>
      </c>
      <c r="E33" s="118">
        <v>0.875</v>
      </c>
      <c r="F33">
        <v>0.9</v>
      </c>
      <c r="G33">
        <v>0.92500000000000004</v>
      </c>
      <c r="H33">
        <v>1.6</v>
      </c>
      <c r="J33">
        <v>0.65</v>
      </c>
      <c r="K33">
        <v>0.8</v>
      </c>
      <c r="M33" s="118" t="s">
        <v>774</v>
      </c>
      <c r="N33" s="118" t="s">
        <v>772</v>
      </c>
      <c r="O33" s="28">
        <f>$K$25</f>
        <v>0.8</v>
      </c>
      <c r="P33" s="28">
        <f>$K$25</f>
        <v>0.8</v>
      </c>
      <c r="Q33" s="28">
        <f>$K$25</f>
        <v>0.8</v>
      </c>
      <c r="R33" s="28">
        <f>$K$25</f>
        <v>0.8</v>
      </c>
      <c r="S33" s="118"/>
      <c r="T33" s="118"/>
      <c r="U33" s="118"/>
      <c r="V33" s="118"/>
      <c r="W33" s="118"/>
      <c r="X33" s="118"/>
      <c r="Y33" s="118"/>
      <c r="Z33" s="118"/>
      <c r="AA33" s="118"/>
      <c r="AB33" s="118"/>
      <c r="AC33" s="118"/>
      <c r="AD33" s="118"/>
      <c r="AE33" s="118"/>
    </row>
    <row r="34" spans="2:31" x14ac:dyDescent="0.2">
      <c r="B34" s="118" t="s">
        <v>541</v>
      </c>
      <c r="C34">
        <v>0.7</v>
      </c>
      <c r="D34">
        <v>0.75</v>
      </c>
      <c r="E34" s="118">
        <v>0.875</v>
      </c>
      <c r="F34">
        <v>0.9</v>
      </c>
      <c r="G34">
        <v>0.92500000000000004</v>
      </c>
      <c r="H34">
        <v>1.5</v>
      </c>
      <c r="J34">
        <v>0.65</v>
      </c>
      <c r="K34">
        <v>0.8</v>
      </c>
      <c r="M34" s="118" t="s">
        <v>821</v>
      </c>
      <c r="N34" s="118" t="s">
        <v>819</v>
      </c>
      <c r="O34" s="28">
        <v>0.39</v>
      </c>
      <c r="P34" s="28">
        <v>0.39</v>
      </c>
      <c r="Q34" s="28">
        <v>0.39</v>
      </c>
      <c r="R34" s="28">
        <v>0.39</v>
      </c>
      <c r="S34" s="118"/>
      <c r="T34" s="118"/>
      <c r="U34" s="118"/>
      <c r="V34" s="118"/>
      <c r="W34" s="118"/>
      <c r="X34" s="118"/>
      <c r="Y34" s="118"/>
      <c r="Z34" s="118"/>
      <c r="AA34" s="118"/>
      <c r="AD34" s="118"/>
      <c r="AE34" s="118"/>
    </row>
    <row r="35" spans="2:31" x14ac:dyDescent="0.2">
      <c r="B35" s="118" t="s">
        <v>542</v>
      </c>
      <c r="C35">
        <v>0.7</v>
      </c>
      <c r="D35">
        <v>0.75</v>
      </c>
      <c r="E35" s="118">
        <v>0.875</v>
      </c>
      <c r="F35">
        <v>0.9</v>
      </c>
      <c r="G35">
        <v>0.92500000000000004</v>
      </c>
      <c r="H35">
        <v>1.4</v>
      </c>
      <c r="J35">
        <v>0.65</v>
      </c>
      <c r="K35">
        <v>0.8</v>
      </c>
    </row>
    <row r="36" spans="2:31" x14ac:dyDescent="0.2">
      <c r="B36" s="118" t="s">
        <v>543</v>
      </c>
      <c r="C36">
        <v>0.7</v>
      </c>
      <c r="D36">
        <v>0.75</v>
      </c>
      <c r="E36">
        <v>0.85</v>
      </c>
      <c r="F36">
        <v>0.875</v>
      </c>
      <c r="G36">
        <v>0.9</v>
      </c>
      <c r="H36">
        <v>1.4</v>
      </c>
      <c r="J36">
        <v>0.65</v>
      </c>
      <c r="K36">
        <v>0.8</v>
      </c>
      <c r="N36" t="s">
        <v>297</v>
      </c>
    </row>
    <row r="37" spans="2:31" x14ac:dyDescent="0.2">
      <c r="O37" t="s">
        <v>111</v>
      </c>
    </row>
    <row r="38" spans="2:31" x14ac:dyDescent="0.2">
      <c r="O38" t="s">
        <v>91</v>
      </c>
    </row>
    <row r="39" spans="2:31" x14ac:dyDescent="0.2">
      <c r="O39" s="118" t="s">
        <v>948</v>
      </c>
      <c r="R39" s="118" t="s">
        <v>620</v>
      </c>
    </row>
    <row r="40" spans="2:31" x14ac:dyDescent="0.2">
      <c r="O40" s="28" t="s">
        <v>81</v>
      </c>
      <c r="Q40" s="253" t="s">
        <v>616</v>
      </c>
      <c r="R40" s="254">
        <v>100</v>
      </c>
      <c r="S40" s="255" t="s">
        <v>617</v>
      </c>
    </row>
    <row r="41" spans="2:31" ht="25.5" x14ac:dyDescent="0.2">
      <c r="O41" s="118" t="s">
        <v>1246</v>
      </c>
      <c r="Q41" s="253" t="s">
        <v>618</v>
      </c>
      <c r="R41" s="254">
        <v>80</v>
      </c>
      <c r="S41" s="255" t="s">
        <v>617</v>
      </c>
    </row>
    <row r="42" spans="2:31" x14ac:dyDescent="0.2">
      <c r="O42" s="118" t="s">
        <v>1247</v>
      </c>
      <c r="Q42" s="253" t="s">
        <v>619</v>
      </c>
      <c r="R42" s="254">
        <v>65</v>
      </c>
      <c r="S42" s="255" t="s">
        <v>617</v>
      </c>
    </row>
    <row r="43" spans="2:31" x14ac:dyDescent="0.2">
      <c r="O43" s="118" t="s">
        <v>1248</v>
      </c>
    </row>
    <row r="45" spans="2:31" x14ac:dyDescent="0.2">
      <c r="N45" s="118" t="s">
        <v>1121</v>
      </c>
      <c r="O45">
        <f>'Kosten kengetallen'!B36</f>
        <v>60</v>
      </c>
    </row>
    <row r="46" spans="2:31" x14ac:dyDescent="0.2">
      <c r="N46" s="118" t="s">
        <v>1122</v>
      </c>
      <c r="O46">
        <f>'Kosten kengetallen'!B37</f>
        <v>120</v>
      </c>
    </row>
    <row r="48" spans="2:31" x14ac:dyDescent="0.2">
      <c r="N48" s="67" t="s">
        <v>67</v>
      </c>
      <c r="O48">
        <v>1</v>
      </c>
    </row>
    <row r="49" spans="1:15" x14ac:dyDescent="0.2">
      <c r="N49" s="67" t="s">
        <v>68</v>
      </c>
      <c r="O49">
        <v>1</v>
      </c>
    </row>
    <row r="50" spans="1:15" x14ac:dyDescent="0.2">
      <c r="N50" s="67" t="s">
        <v>69</v>
      </c>
      <c r="O50">
        <v>1</v>
      </c>
    </row>
    <row r="51" spans="1:15" x14ac:dyDescent="0.2">
      <c r="N51" s="67" t="s">
        <v>70</v>
      </c>
      <c r="O51">
        <v>1</v>
      </c>
    </row>
    <row r="52" spans="1:15" x14ac:dyDescent="0.2">
      <c r="A52" s="176" t="s">
        <v>1251</v>
      </c>
    </row>
    <row r="55" spans="1:15" x14ac:dyDescent="0.2">
      <c r="A55" s="118" t="s">
        <v>1252</v>
      </c>
      <c r="B55">
        <v>3.4</v>
      </c>
      <c r="E55">
        <v>10</v>
      </c>
    </row>
    <row r="56" spans="1:15" x14ac:dyDescent="0.2">
      <c r="A56" s="118" t="s">
        <v>1253</v>
      </c>
      <c r="B56">
        <v>3.1</v>
      </c>
      <c r="E56">
        <v>20</v>
      </c>
    </row>
    <row r="57" spans="1:15" x14ac:dyDescent="0.2">
      <c r="A57" s="118" t="s">
        <v>1254</v>
      </c>
      <c r="B57">
        <v>2.8</v>
      </c>
      <c r="E57">
        <v>30</v>
      </c>
    </row>
    <row r="58" spans="1:15" x14ac:dyDescent="0.2">
      <c r="A58" s="118" t="s">
        <v>1255</v>
      </c>
      <c r="B58">
        <v>6.1</v>
      </c>
      <c r="E58">
        <v>40</v>
      </c>
    </row>
    <row r="59" spans="1:15" x14ac:dyDescent="0.2">
      <c r="A59" s="118" t="s">
        <v>1256</v>
      </c>
      <c r="B59">
        <v>5.0999999999999996</v>
      </c>
      <c r="E59">
        <v>50</v>
      </c>
    </row>
    <row r="60" spans="1:15" x14ac:dyDescent="0.2">
      <c r="A60" s="118" t="s">
        <v>1257</v>
      </c>
      <c r="B60">
        <v>4.4000000000000004</v>
      </c>
      <c r="E60">
        <v>60</v>
      </c>
    </row>
    <row r="61" spans="1:15" x14ac:dyDescent="0.2">
      <c r="A61" s="118" t="s">
        <v>1258</v>
      </c>
      <c r="B61">
        <v>4.7</v>
      </c>
      <c r="E61">
        <v>70</v>
      </c>
    </row>
    <row r="62" spans="1:15" x14ac:dyDescent="0.2">
      <c r="A62" s="118" t="s">
        <v>1259</v>
      </c>
      <c r="B62">
        <v>4.2</v>
      </c>
      <c r="E62">
        <v>80</v>
      </c>
    </row>
    <row r="63" spans="1:15" x14ac:dyDescent="0.2">
      <c r="A63" s="118" t="s">
        <v>1260</v>
      </c>
      <c r="B63">
        <v>3.6</v>
      </c>
      <c r="E63">
        <v>90</v>
      </c>
    </row>
    <row r="64" spans="1:15" x14ac:dyDescent="0.2">
      <c r="E64">
        <v>100</v>
      </c>
    </row>
    <row r="65" spans="1:16" x14ac:dyDescent="0.2">
      <c r="F65" s="118" t="s">
        <v>1266</v>
      </c>
      <c r="H65" s="118" t="s">
        <v>1268</v>
      </c>
      <c r="J65" s="118" t="s">
        <v>1270</v>
      </c>
      <c r="L65" s="118" t="s">
        <v>1273</v>
      </c>
      <c r="N65" s="118" t="s">
        <v>1281</v>
      </c>
    </row>
    <row r="66" spans="1:16" x14ac:dyDescent="0.2">
      <c r="B66" s="118" t="s">
        <v>1261</v>
      </c>
      <c r="C66" s="118" t="s">
        <v>1264</v>
      </c>
      <c r="D66" s="118" t="s">
        <v>1261</v>
      </c>
      <c r="E66" s="118" t="s">
        <v>1265</v>
      </c>
      <c r="F66" s="118" t="s">
        <v>1269</v>
      </c>
      <c r="G66" s="118" t="s">
        <v>1267</v>
      </c>
      <c r="H66" s="118" t="s">
        <v>1269</v>
      </c>
      <c r="I66" s="118" t="s">
        <v>1267</v>
      </c>
      <c r="J66" s="118" t="s">
        <v>1269</v>
      </c>
      <c r="K66" s="118" t="s">
        <v>1267</v>
      </c>
      <c r="L66" s="118" t="s">
        <v>608</v>
      </c>
      <c r="M66" s="118" t="s">
        <v>1271</v>
      </c>
      <c r="N66" s="118" t="s">
        <v>608</v>
      </c>
      <c r="O66" s="118" t="s">
        <v>1271</v>
      </c>
    </row>
    <row r="67" spans="1:16" x14ac:dyDescent="0.2">
      <c r="A67" s="118" t="s">
        <v>67</v>
      </c>
      <c r="B67">
        <v>1</v>
      </c>
      <c r="C67">
        <f>INDEX($B$54:$B$63,B67)</f>
        <v>0</v>
      </c>
      <c r="D67">
        <v>7</v>
      </c>
      <c r="E67">
        <f>INDEX($E$55:$E$64,D67)</f>
        <v>70</v>
      </c>
      <c r="F67">
        <f>IF(C67&gt;0,SUM('Bouwdeel 1 (fit)'!$B$129:$M$129),0)</f>
        <v>0</v>
      </c>
      <c r="G67">
        <f>IF(C67&gt;0,SUM('Bouwdeel 1 (fit)'!$GO$129:$GZ$129),0)</f>
        <v>0</v>
      </c>
      <c r="H67">
        <f>(E67/100)*F67</f>
        <v>0</v>
      </c>
      <c r="I67">
        <f>(E67/100)*G67</f>
        <v>0</v>
      </c>
      <c r="J67">
        <f>IF(C67&gt;0,H67*(1000/3600)/C67,0)</f>
        <v>0</v>
      </c>
      <c r="K67">
        <f>IF(C67&gt;0,I67*(1000/3600)/C67,0)</f>
        <v>0</v>
      </c>
      <c r="L67">
        <f>((100-E67)/100)*'Bouwdeel 1 (fit)'!B151</f>
        <v>0</v>
      </c>
      <c r="M67">
        <f>((100-E67)/100)*'Bouwdeel 1 (fit)'!B152</f>
        <v>0</v>
      </c>
      <c r="N67">
        <f>((100-E67)/100)*'Bouwdeel 1 (fit)'!GO151</f>
        <v>0</v>
      </c>
      <c r="O67">
        <f>((100-E67)/100)*'Bouwdeel 1 (fit)'!GO152</f>
        <v>0</v>
      </c>
    </row>
    <row r="68" spans="1:16" x14ac:dyDescent="0.2">
      <c r="A68" s="118" t="s">
        <v>68</v>
      </c>
      <c r="B68">
        <v>1</v>
      </c>
      <c r="C68">
        <f>INDEX($B$54:$B$63,B68)</f>
        <v>0</v>
      </c>
      <c r="D68">
        <v>7</v>
      </c>
      <c r="E68">
        <f>INDEX($E$55:$E$64,D68)</f>
        <v>70</v>
      </c>
      <c r="F68">
        <f>IF(C68&gt;0,SUM('Bouwdeel 2 (fit)'!$B$129:$M$129),0)</f>
        <v>0</v>
      </c>
      <c r="G68">
        <f>IF(C68&gt;0,SUM('Bouwdeel 2 (fit)'!$GO$129:$GZ$129),0)</f>
        <v>0</v>
      </c>
      <c r="H68">
        <f>(E68/100)*F68</f>
        <v>0</v>
      </c>
      <c r="I68">
        <f>(E68/100)*G68</f>
        <v>0</v>
      </c>
      <c r="J68">
        <f>IF(C68&gt;0,H68*(1000/3600)/C68,0)</f>
        <v>0</v>
      </c>
      <c r="K68">
        <f>IF(C68&gt;0,I68*(1000/3600)/C68,0)</f>
        <v>0</v>
      </c>
      <c r="L68">
        <f>((100-E68)/100)*'Bouwdeel 2 (fit)'!B151</f>
        <v>0</v>
      </c>
      <c r="M68">
        <f>((100-E68)/100)*'Bouwdeel 2 (fit)'!B152</f>
        <v>0</v>
      </c>
      <c r="N68">
        <f>((100-E68)/100)*'Bouwdeel 2 (fit)'!GO151</f>
        <v>0</v>
      </c>
      <c r="O68">
        <f>((100-E68)/100)*'Bouwdeel 2 (fit)'!GO152</f>
        <v>0</v>
      </c>
    </row>
    <row r="69" spans="1:16" x14ac:dyDescent="0.2">
      <c r="A69" s="118" t="s">
        <v>69</v>
      </c>
      <c r="B69">
        <v>1</v>
      </c>
      <c r="C69">
        <f>INDEX($B$54:$B$63,B69)</f>
        <v>0</v>
      </c>
      <c r="D69">
        <v>7</v>
      </c>
      <c r="E69">
        <f>INDEX($E$55:$E$64,D69)</f>
        <v>70</v>
      </c>
      <c r="F69">
        <f>IF(C69&gt;0,SUM('Bouwdeel 3 (fit)'!$B$129:$M$129),0)</f>
        <v>0</v>
      </c>
      <c r="G69">
        <f>IF(C69&gt;0,SUM('Bouwdeel 3 (fit)'!$GO$129:$GZ$129),0)</f>
        <v>0</v>
      </c>
      <c r="H69">
        <f>(E69/100)*F69</f>
        <v>0</v>
      </c>
      <c r="I69">
        <f>(E69/100)*G69</f>
        <v>0</v>
      </c>
      <c r="J69">
        <f>IF(C69&gt;0,H69*(1000/3600)/C69,0)</f>
        <v>0</v>
      </c>
      <c r="K69">
        <f>IF(C69&gt;0,I69*(1000/3600)/C69,0)</f>
        <v>0</v>
      </c>
      <c r="L69">
        <f>((100-E69)/100)*'Bouwdeel 3 (fit)'!B151</f>
        <v>0</v>
      </c>
      <c r="M69">
        <f>((100-E69)/100)*'Bouwdeel 3 (fit)'!B152</f>
        <v>0</v>
      </c>
      <c r="N69">
        <f>((100-E69)/100)*'Bouwdeel 3 (fit)'!GO151</f>
        <v>0</v>
      </c>
      <c r="O69">
        <f>((100-E69)/100)*'Bouwdeel 3 (fit)'!GO152</f>
        <v>0</v>
      </c>
    </row>
    <row r="70" spans="1:16" x14ac:dyDescent="0.2">
      <c r="A70" s="118" t="s">
        <v>70</v>
      </c>
      <c r="B70">
        <v>1</v>
      </c>
      <c r="C70">
        <f>INDEX($B$54:$B$63,B70)</f>
        <v>0</v>
      </c>
      <c r="D70">
        <v>7</v>
      </c>
      <c r="E70">
        <f>INDEX($E$55:$E$64,D70)</f>
        <v>70</v>
      </c>
      <c r="F70">
        <f>IF(C70&gt;0,SUM('Bouwdeel 4 (fit)'!$B$129:$M$129),0)</f>
        <v>0</v>
      </c>
      <c r="G70">
        <f>IF(C70&gt;0,SUM('Bouwdeel 4 (fit)'!$GO$129:$GZ$129),0)</f>
        <v>0</v>
      </c>
      <c r="H70">
        <f>(E70/100)*F70</f>
        <v>0</v>
      </c>
      <c r="I70">
        <f>(E70/100)*G70</f>
        <v>0</v>
      </c>
      <c r="J70">
        <f>IF(C70&gt;0,H70*(1000/3600)/C70,0)</f>
        <v>0</v>
      </c>
      <c r="K70">
        <f>IF(C70&gt;0,I70*(1000/3600)/C70,0)</f>
        <v>0</v>
      </c>
      <c r="L70">
        <f>((100-E70)/100)*'Bouwdeel 4 (fit)'!B151</f>
        <v>0</v>
      </c>
      <c r="M70">
        <f>((100-E70)/100)*'Bouwdeel 4 (fit)'!B152</f>
        <v>0</v>
      </c>
      <c r="N70">
        <f>((100-E70)/100)*'Bouwdeel 4 (fit)'!GO151</f>
        <v>0</v>
      </c>
      <c r="O70">
        <f>((100-E70)/100)*'Bouwdeel 4 (fit)'!GO152</f>
        <v>0</v>
      </c>
    </row>
    <row r="71" spans="1:16" x14ac:dyDescent="0.2">
      <c r="J71">
        <f t="shared" ref="J71:O71" si="0">SUM(J67:J70)</f>
        <v>0</v>
      </c>
      <c r="K71">
        <f t="shared" si="0"/>
        <v>0</v>
      </c>
      <c r="L71">
        <f t="shared" si="0"/>
        <v>0</v>
      </c>
      <c r="M71">
        <f t="shared" si="0"/>
        <v>0</v>
      </c>
      <c r="N71">
        <f t="shared" si="0"/>
        <v>0</v>
      </c>
      <c r="O71">
        <f t="shared" si="0"/>
        <v>0</v>
      </c>
    </row>
    <row r="73" spans="1:16" x14ac:dyDescent="0.2">
      <c r="A73" s="118" t="s">
        <v>1278</v>
      </c>
      <c r="E73" s="118" t="s">
        <v>1266</v>
      </c>
      <c r="G73" s="118" t="s">
        <v>1279</v>
      </c>
      <c r="I73" s="118" t="s">
        <v>1280</v>
      </c>
      <c r="K73" s="118" t="s">
        <v>1273</v>
      </c>
      <c r="M73" s="118" t="s">
        <v>1281</v>
      </c>
      <c r="O73" s="118"/>
    </row>
    <row r="74" spans="1:16" x14ac:dyDescent="0.2">
      <c r="B74" s="118" t="s">
        <v>1261</v>
      </c>
      <c r="C74" s="118" t="s">
        <v>1261</v>
      </c>
      <c r="D74" s="118" t="s">
        <v>1265</v>
      </c>
      <c r="E74" s="118" t="s">
        <v>1269</v>
      </c>
      <c r="F74" s="118" t="s">
        <v>1267</v>
      </c>
      <c r="G74" s="118" t="s">
        <v>1269</v>
      </c>
      <c r="H74" s="118" t="s">
        <v>1267</v>
      </c>
      <c r="I74" s="118" t="s">
        <v>1269</v>
      </c>
      <c r="J74" s="118" t="s">
        <v>1267</v>
      </c>
      <c r="K74" s="118" t="s">
        <v>608</v>
      </c>
      <c r="L74" s="118" t="s">
        <v>1271</v>
      </c>
      <c r="M74" s="118" t="s">
        <v>608</v>
      </c>
      <c r="N74" s="118" t="s">
        <v>1271</v>
      </c>
      <c r="O74" s="118"/>
      <c r="P74" s="118"/>
    </row>
    <row r="75" spans="1:16" x14ac:dyDescent="0.2">
      <c r="A75" s="118" t="s">
        <v>67</v>
      </c>
      <c r="B75">
        <v>1</v>
      </c>
      <c r="C75">
        <v>7</v>
      </c>
      <c r="D75">
        <f>INDEX($E$55:$E$64,C75)</f>
        <v>70</v>
      </c>
      <c r="E75">
        <f>IF(B75&gt;1,SUM('Bouwdeel 1 (fit)'!$B$129:$M$129),0)</f>
        <v>0</v>
      </c>
      <c r="F75">
        <f>IF(B75&gt;1,SUM('Bouwdeel 1 (fit)'!$GO$129:$GZ$129),0)</f>
        <v>0</v>
      </c>
      <c r="G75">
        <f>(D75/100)*E75</f>
        <v>0</v>
      </c>
      <c r="H75">
        <f>(D75/100)*F75</f>
        <v>0</v>
      </c>
      <c r="I75">
        <f t="shared" ref="I75:J78" si="1">G75/(17.8*0.85)</f>
        <v>0</v>
      </c>
      <c r="J75">
        <f t="shared" si="1"/>
        <v>0</v>
      </c>
      <c r="K75">
        <f>((100-D75)/100)*'Bouwdeel 1 (fit)'!B151</f>
        <v>0</v>
      </c>
      <c r="L75">
        <f>((100-D75)/100)*'Bouwdeel 1 (fit)'!B152</f>
        <v>0</v>
      </c>
      <c r="M75">
        <f>((100-D75)/100)*'Bouwdeel 1 (fit)'!GO151</f>
        <v>0</v>
      </c>
      <c r="N75">
        <f>((100-D75)/100)*'Bouwdeel 1 (fit)'!GO152</f>
        <v>0</v>
      </c>
    </row>
    <row r="76" spans="1:16" x14ac:dyDescent="0.2">
      <c r="A76" s="118" t="s">
        <v>68</v>
      </c>
      <c r="B76">
        <v>1</v>
      </c>
      <c r="C76">
        <v>7</v>
      </c>
      <c r="D76">
        <f>INDEX($E$55:$E$64,C76)</f>
        <v>70</v>
      </c>
      <c r="E76">
        <f>IF(B76&gt;1,SUM('Bouwdeel 2 (fit)'!$B$129:$M$129),0)</f>
        <v>0</v>
      </c>
      <c r="F76">
        <f>IF(B76&gt;1,SUM('Bouwdeel 2 (fit)'!$GO$129:$GZ$129),0)</f>
        <v>0</v>
      </c>
      <c r="G76">
        <f>(D76/100)*E76</f>
        <v>0</v>
      </c>
      <c r="H76">
        <f>(D76/100)*F76</f>
        <v>0</v>
      </c>
      <c r="I76">
        <f t="shared" si="1"/>
        <v>0</v>
      </c>
      <c r="J76">
        <f t="shared" si="1"/>
        <v>0</v>
      </c>
      <c r="K76">
        <f>((100-D76)/100)*'Bouwdeel 2 (fit)'!B151</f>
        <v>0</v>
      </c>
      <c r="L76">
        <f>((100-D76)/100)*'Bouwdeel 2 (fit)'!B152</f>
        <v>0</v>
      </c>
      <c r="M76">
        <f>((100-D76)/100)*'Bouwdeel 2 (fit)'!GO151</f>
        <v>0</v>
      </c>
      <c r="N76">
        <f>((100-D76)/100)*'Bouwdeel 2 (fit)'!GO152</f>
        <v>0</v>
      </c>
    </row>
    <row r="77" spans="1:16" x14ac:dyDescent="0.2">
      <c r="A77" s="118" t="s">
        <v>69</v>
      </c>
      <c r="B77">
        <v>1</v>
      </c>
      <c r="C77">
        <v>7</v>
      </c>
      <c r="D77">
        <f>INDEX($E$55:$E$64,C77)</f>
        <v>70</v>
      </c>
      <c r="E77">
        <f>IF(B77&gt;1,SUM('Bouwdeel 3 (fit)'!$B$129:$M$129),0)</f>
        <v>0</v>
      </c>
      <c r="F77">
        <f>IF(B77&gt;1,SUM('Bouwdeel 3 (fit)'!$GO$129:$GZ$129),0)</f>
        <v>0</v>
      </c>
      <c r="G77">
        <f>(D77/100)*E77</f>
        <v>0</v>
      </c>
      <c r="H77">
        <f>(D77/100)*F77</f>
        <v>0</v>
      </c>
      <c r="I77">
        <f t="shared" si="1"/>
        <v>0</v>
      </c>
      <c r="J77">
        <f t="shared" si="1"/>
        <v>0</v>
      </c>
      <c r="K77">
        <f>((100-D77)/100)*'Bouwdeel 3 (fit)'!B151</f>
        <v>0</v>
      </c>
      <c r="L77">
        <f>((100-D77)/100)*'Bouwdeel 3 (fit)'!B152</f>
        <v>0</v>
      </c>
      <c r="M77">
        <f>((100-D77)/100)*'Bouwdeel 3 (fit)'!GO151</f>
        <v>0</v>
      </c>
      <c r="N77">
        <f>((100-D77)/100)*'Bouwdeel 3 (fit)'!GO152</f>
        <v>0</v>
      </c>
    </row>
    <row r="78" spans="1:16" x14ac:dyDescent="0.2">
      <c r="A78" s="118" t="s">
        <v>70</v>
      </c>
      <c r="B78">
        <v>1</v>
      </c>
      <c r="C78">
        <v>7</v>
      </c>
      <c r="D78">
        <f>INDEX($E$55:$E$64,C78)</f>
        <v>70</v>
      </c>
      <c r="E78">
        <f>IF(B78&gt;1,SUM('Bouwdeel 4 (fit)'!$B$129:$M$129),0)</f>
        <v>0</v>
      </c>
      <c r="F78">
        <f>IF(B78&gt;1,SUM('Bouwdeel 4 (fit)'!$GO$129:$GZ$129),0)</f>
        <v>0</v>
      </c>
      <c r="G78">
        <f>(D78/100)*E78</f>
        <v>0</v>
      </c>
      <c r="H78">
        <f>(D78/100)*F78</f>
        <v>0</v>
      </c>
      <c r="I78">
        <f t="shared" si="1"/>
        <v>0</v>
      </c>
      <c r="J78">
        <f t="shared" si="1"/>
        <v>0</v>
      </c>
      <c r="K78">
        <f>((100-D78)/100)*'Bouwdeel 4 (fit)'!B151</f>
        <v>0</v>
      </c>
      <c r="L78">
        <f>((100-D78)/100)*'Bouwdeel 4 (fit)'!B152</f>
        <v>0</v>
      </c>
      <c r="M78">
        <f>((100-D78)/100)*'Bouwdeel 4 (fit)'!GO151</f>
        <v>0</v>
      </c>
      <c r="N78">
        <f>((100-D78)/100)*'Bouwdeel 4 (fit)'!GO152</f>
        <v>0</v>
      </c>
    </row>
    <row r="79" spans="1:16" x14ac:dyDescent="0.2">
      <c r="I79">
        <f t="shared" ref="I79:N79" si="2">SUM(I75:I78)</f>
        <v>0</v>
      </c>
      <c r="J79">
        <f t="shared" si="2"/>
        <v>0</v>
      </c>
      <c r="K79">
        <f t="shared" si="2"/>
        <v>0</v>
      </c>
      <c r="L79">
        <f t="shared" si="2"/>
        <v>0</v>
      </c>
      <c r="M79">
        <f t="shared" si="2"/>
        <v>0</v>
      </c>
      <c r="N79">
        <f t="shared" si="2"/>
        <v>0</v>
      </c>
    </row>
    <row r="80" spans="1:16" x14ac:dyDescent="0.2">
      <c r="A80" s="118" t="s">
        <v>37</v>
      </c>
    </row>
    <row r="81" spans="1:1" x14ac:dyDescent="0.2">
      <c r="A81" s="118" t="s">
        <v>36</v>
      </c>
    </row>
  </sheetData>
  <mergeCells count="2">
    <mergeCell ref="AC1:AC2"/>
    <mergeCell ref="AD1:AD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Y76"/>
  <sheetViews>
    <sheetView topLeftCell="AA1" workbookViewId="0">
      <selection activeCell="AD25" sqref="AD25"/>
    </sheetView>
  </sheetViews>
  <sheetFormatPr defaultRowHeight="12.75" x14ac:dyDescent="0.2"/>
  <cols>
    <col min="1" max="1" width="18.28515625" customWidth="1"/>
    <col min="2" max="2" width="11.7109375" customWidth="1"/>
    <col min="3" max="3" width="17" customWidth="1"/>
    <col min="4" max="4" width="14.5703125" customWidth="1"/>
    <col min="5" max="5" width="15.85546875" customWidth="1"/>
    <col min="7" max="7" width="12.42578125" customWidth="1"/>
    <col min="9" max="9" width="10.42578125" customWidth="1"/>
    <col min="10" max="10" width="14.140625" customWidth="1"/>
    <col min="12" max="12" width="10.5703125" customWidth="1"/>
    <col min="23" max="23" width="10.5703125" customWidth="1"/>
    <col min="25" max="25" width="10.7109375" customWidth="1"/>
    <col min="28" max="28" width="10.7109375" customWidth="1"/>
    <col min="31" max="31" width="10.7109375" customWidth="1"/>
    <col min="34" max="34" width="11.28515625" customWidth="1"/>
    <col min="35" max="35" width="9.140625" style="256"/>
    <col min="36" max="36" width="15.85546875" customWidth="1"/>
    <col min="73" max="73" width="9.42578125" bestFit="1" customWidth="1"/>
  </cols>
  <sheetData>
    <row r="3" spans="1:77" x14ac:dyDescent="0.2">
      <c r="A3" s="176" t="s">
        <v>476</v>
      </c>
    </row>
    <row r="4" spans="1:77" x14ac:dyDescent="0.2">
      <c r="A4" s="176"/>
    </row>
    <row r="5" spans="1:77" x14ac:dyDescent="0.2">
      <c r="W5" s="565" t="s">
        <v>486</v>
      </c>
      <c r="X5" s="565"/>
      <c r="Y5" s="565"/>
      <c r="Z5" s="565"/>
      <c r="AA5" s="565"/>
      <c r="AB5" s="565"/>
      <c r="AC5" s="565"/>
      <c r="AD5" s="565"/>
      <c r="AE5" s="565"/>
      <c r="AF5" s="565"/>
      <c r="AG5" s="565"/>
      <c r="AH5" s="565"/>
      <c r="BF5" s="565" t="s">
        <v>950</v>
      </c>
      <c r="BG5" s="565"/>
      <c r="BH5" s="565"/>
      <c r="BI5" s="565"/>
      <c r="BJ5" s="565"/>
      <c r="BK5" s="565"/>
      <c r="BL5" s="565"/>
      <c r="BM5" s="565"/>
      <c r="BN5" s="565"/>
      <c r="BO5" s="565"/>
      <c r="BP5" s="565"/>
      <c r="BQ5" s="565"/>
    </row>
    <row r="6" spans="1:77" x14ac:dyDescent="0.2">
      <c r="M6" s="157"/>
      <c r="N6" s="635" t="s">
        <v>67</v>
      </c>
      <c r="O6" s="635"/>
      <c r="P6" s="635" t="s">
        <v>68</v>
      </c>
      <c r="Q6" s="635"/>
      <c r="R6" s="635" t="s">
        <v>69</v>
      </c>
      <c r="S6" s="635"/>
      <c r="T6" s="635" t="s">
        <v>70</v>
      </c>
      <c r="U6" s="635"/>
      <c r="W6" s="636" t="s">
        <v>67</v>
      </c>
      <c r="X6" s="637"/>
      <c r="Y6" s="638"/>
      <c r="Z6" s="636" t="s">
        <v>68</v>
      </c>
      <c r="AA6" s="637"/>
      <c r="AB6" s="638"/>
      <c r="AC6" s="636" t="s">
        <v>69</v>
      </c>
      <c r="AD6" s="637"/>
      <c r="AE6" s="638"/>
      <c r="AF6" s="636" t="s">
        <v>70</v>
      </c>
      <c r="AG6" s="637"/>
      <c r="AH6" s="638"/>
      <c r="AV6" s="157"/>
      <c r="AW6" s="635" t="s">
        <v>67</v>
      </c>
      <c r="AX6" s="635"/>
      <c r="AY6" s="635" t="s">
        <v>68</v>
      </c>
      <c r="AZ6" s="635"/>
      <c r="BA6" s="635" t="s">
        <v>69</v>
      </c>
      <c r="BB6" s="635"/>
      <c r="BC6" s="635" t="s">
        <v>70</v>
      </c>
      <c r="BD6" s="635"/>
      <c r="BF6" s="636" t="s">
        <v>67</v>
      </c>
      <c r="BG6" s="637"/>
      <c r="BH6" s="638"/>
      <c r="BI6" s="636" t="s">
        <v>68</v>
      </c>
      <c r="BJ6" s="637"/>
      <c r="BK6" s="638"/>
      <c r="BL6" s="636" t="s">
        <v>69</v>
      </c>
      <c r="BM6" s="637"/>
      <c r="BN6" s="638"/>
      <c r="BO6" s="636" t="s">
        <v>70</v>
      </c>
      <c r="BP6" s="637"/>
      <c r="BQ6" s="638"/>
      <c r="BV6" s="243" t="s">
        <v>49</v>
      </c>
    </row>
    <row r="7" spans="1:77" x14ac:dyDescent="0.2">
      <c r="A7" s="118" t="s">
        <v>949</v>
      </c>
      <c r="B7" s="118" t="s">
        <v>469</v>
      </c>
      <c r="C7" s="125" t="s">
        <v>482</v>
      </c>
      <c r="D7" s="118" t="s">
        <v>469</v>
      </c>
      <c r="E7" s="118" t="s">
        <v>464</v>
      </c>
      <c r="F7" s="118" t="s">
        <v>217</v>
      </c>
      <c r="G7" s="118" t="s">
        <v>466</v>
      </c>
      <c r="H7" s="118" t="s">
        <v>471</v>
      </c>
      <c r="I7" s="118" t="s">
        <v>474</v>
      </c>
      <c r="J7" s="118" t="s">
        <v>33</v>
      </c>
      <c r="K7" s="157" t="s">
        <v>475</v>
      </c>
      <c r="L7" s="157" t="s">
        <v>472</v>
      </c>
      <c r="M7" s="118"/>
      <c r="N7" s="166" t="s">
        <v>472</v>
      </c>
      <c r="O7" s="167" t="s">
        <v>952</v>
      </c>
      <c r="P7" s="166" t="s">
        <v>472</v>
      </c>
      <c r="Q7" s="167" t="s">
        <v>952</v>
      </c>
      <c r="R7" s="166" t="s">
        <v>472</v>
      </c>
      <c r="S7" s="167" t="s">
        <v>952</v>
      </c>
      <c r="T7" s="166" t="s">
        <v>472</v>
      </c>
      <c r="U7" s="167" t="s">
        <v>952</v>
      </c>
      <c r="W7" s="171" t="s">
        <v>488</v>
      </c>
      <c r="X7" s="172" t="s">
        <v>489</v>
      </c>
      <c r="Y7" s="161" t="s">
        <v>490</v>
      </c>
      <c r="Z7" s="171" t="s">
        <v>488</v>
      </c>
      <c r="AA7" s="172" t="s">
        <v>489</v>
      </c>
      <c r="AB7" s="161" t="s">
        <v>490</v>
      </c>
      <c r="AC7" s="171" t="s">
        <v>488</v>
      </c>
      <c r="AD7" s="172" t="s">
        <v>489</v>
      </c>
      <c r="AE7" s="161" t="s">
        <v>490</v>
      </c>
      <c r="AF7" s="171" t="s">
        <v>488</v>
      </c>
      <c r="AG7" s="172" t="s">
        <v>489</v>
      </c>
      <c r="AH7" s="161" t="s">
        <v>490</v>
      </c>
      <c r="AJ7" s="118" t="s">
        <v>949</v>
      </c>
      <c r="AK7" s="118" t="s">
        <v>469</v>
      </c>
      <c r="AL7" s="125" t="s">
        <v>482</v>
      </c>
      <c r="AM7" s="118" t="s">
        <v>469</v>
      </c>
      <c r="AN7" s="118" t="s">
        <v>464</v>
      </c>
      <c r="AO7" s="118" t="s">
        <v>217</v>
      </c>
      <c r="AP7" s="118" t="s">
        <v>466</v>
      </c>
      <c r="AQ7" s="118" t="s">
        <v>471</v>
      </c>
      <c r="AR7" s="118" t="s">
        <v>474</v>
      </c>
      <c r="AS7" s="118" t="s">
        <v>50</v>
      </c>
      <c r="AT7" s="157" t="s">
        <v>475</v>
      </c>
      <c r="AU7" s="157" t="s">
        <v>472</v>
      </c>
      <c r="AV7" s="118"/>
      <c r="AW7" s="166" t="s">
        <v>472</v>
      </c>
      <c r="AX7" s="167" t="s">
        <v>952</v>
      </c>
      <c r="AY7" s="166" t="s">
        <v>472</v>
      </c>
      <c r="AZ7" s="167" t="s">
        <v>952</v>
      </c>
      <c r="BA7" s="166" t="s">
        <v>472</v>
      </c>
      <c r="BB7" s="167" t="s">
        <v>952</v>
      </c>
      <c r="BC7" s="166" t="s">
        <v>472</v>
      </c>
      <c r="BD7" s="167" t="s">
        <v>952</v>
      </c>
      <c r="BF7" s="171" t="s">
        <v>488</v>
      </c>
      <c r="BG7" s="172" t="s">
        <v>489</v>
      </c>
      <c r="BH7" s="161" t="s">
        <v>490</v>
      </c>
      <c r="BI7" s="171" t="s">
        <v>488</v>
      </c>
      <c r="BJ7" s="172" t="s">
        <v>489</v>
      </c>
      <c r="BK7" s="161" t="s">
        <v>490</v>
      </c>
      <c r="BL7" s="171" t="s">
        <v>488</v>
      </c>
      <c r="BM7" s="172" t="s">
        <v>489</v>
      </c>
      <c r="BN7" s="161" t="s">
        <v>490</v>
      </c>
      <c r="BO7" s="171" t="s">
        <v>488</v>
      </c>
      <c r="BP7" s="172" t="s">
        <v>489</v>
      </c>
      <c r="BQ7" s="161" t="s">
        <v>490</v>
      </c>
      <c r="BS7" s="118" t="s">
        <v>88</v>
      </c>
      <c r="BT7" s="118" t="s">
        <v>47</v>
      </c>
      <c r="BU7" s="243" t="s">
        <v>614</v>
      </c>
      <c r="BV7" s="243" t="s">
        <v>67</v>
      </c>
      <c r="BW7" s="243" t="s">
        <v>68</v>
      </c>
      <c r="BX7" s="243" t="s">
        <v>69</v>
      </c>
      <c r="BY7" s="243" t="s">
        <v>70</v>
      </c>
    </row>
    <row r="8" spans="1:77" x14ac:dyDescent="0.2">
      <c r="A8" s="157">
        <v>1</v>
      </c>
      <c r="B8" s="158">
        <v>1</v>
      </c>
      <c r="C8" s="160">
        <v>1</v>
      </c>
      <c r="D8" s="25">
        <f>'Invoer Ventilatie'!F3</f>
        <v>0</v>
      </c>
      <c r="E8" s="25">
        <v>1</v>
      </c>
      <c r="F8" s="25">
        <f>IF(E8=3,0.6,IF(E8=4,0.65,IF(E8=5,0.7,IF(E8=6,0.7,0))))</f>
        <v>0</v>
      </c>
      <c r="G8" s="25">
        <v>1</v>
      </c>
      <c r="H8">
        <f>IF(G8&lt;3,1,0.6)</f>
        <v>1</v>
      </c>
      <c r="I8">
        <f>'Invoer Ventilatie'!G3</f>
        <v>0</v>
      </c>
      <c r="J8">
        <v>1</v>
      </c>
      <c r="K8" s="159">
        <f>(1-F8)*0.3*D8</f>
        <v>0</v>
      </c>
      <c r="L8" s="159">
        <f>1.2*K8/3.6</f>
        <v>0</v>
      </c>
      <c r="M8" s="159"/>
      <c r="N8" s="162">
        <f t="shared" ref="N8:N19" si="0">IF(A8=2,L8*J8,0)</f>
        <v>0</v>
      </c>
      <c r="O8" s="163">
        <f t="shared" ref="O8:O19" si="1">IF(A8=2,I8*J8,0)</f>
        <v>0</v>
      </c>
      <c r="P8" s="162">
        <f t="shared" ref="P8:P19" si="2">IF(A8=3,L8*J8,0)</f>
        <v>0</v>
      </c>
      <c r="Q8" s="163">
        <f t="shared" ref="Q8:Q19" si="3">IF(A8=3,I8*J8,0)</f>
        <v>0</v>
      </c>
      <c r="R8" s="162">
        <f t="shared" ref="R8:R19" si="4">IF(A8=4,L8*J8,0)</f>
        <v>0</v>
      </c>
      <c r="S8" s="163">
        <f t="shared" ref="S8:S19" si="5">IF(A8=4,I8*J8,0)</f>
        <v>0</v>
      </c>
      <c r="T8" s="162">
        <f t="shared" ref="T8:T19" si="6">IF(A8=5,L8*J8,0)</f>
        <v>0</v>
      </c>
      <c r="U8" s="163">
        <f t="shared" ref="U8:U19" si="7">IF(A8=5,I8*J8,0)</f>
        <v>0</v>
      </c>
      <c r="W8" s="12">
        <f>IF(AND($A8=2,$C8=2),$I8*$J8,0)</f>
        <v>0</v>
      </c>
      <c r="X8" s="13">
        <f>IF(AND($A8=2,$C8=3),$I8*$J8,0)</f>
        <v>0</v>
      </c>
      <c r="Y8" s="14">
        <f>IF(AND($A8=2,$C8=4),$I8*$J8,0)</f>
        <v>0</v>
      </c>
      <c r="Z8" s="12">
        <f>IF(AND($A8=3,$C8=2),$I8*$J8,0)</f>
        <v>0</v>
      </c>
      <c r="AA8" s="13">
        <f>IF(AND($A8=3,$C8=3),$I8*$J8,0)</f>
        <v>0</v>
      </c>
      <c r="AB8" s="14">
        <f>IF(AND($A8=3,$C8=4),$I8*$J8,0)</f>
        <v>0</v>
      </c>
      <c r="AC8" s="12">
        <f>IF(AND($A8=4,$C8=2),$I8*$J8,0)</f>
        <v>0</v>
      </c>
      <c r="AD8" s="13">
        <f>IF(AND($A8=4,$C8=3),$I8*$J8,0)</f>
        <v>0</v>
      </c>
      <c r="AE8" s="14">
        <f>IF(AND($A8=4,$C8=4),$I8*$J8,0)</f>
        <v>0</v>
      </c>
      <c r="AF8" s="12">
        <f>IF(AND($A8=5,$C8=2),$I8*$J8,0)</f>
        <v>0</v>
      </c>
      <c r="AG8" s="13">
        <f>IF(AND($A8=5,$C8=3),$I8*$J8,0)</f>
        <v>0</v>
      </c>
      <c r="AH8" s="14">
        <f>IF(AND($A8=5,$C8=4),$I8*$J8,0)</f>
        <v>0</v>
      </c>
      <c r="AJ8" s="157">
        <v>1</v>
      </c>
      <c r="AK8" s="158">
        <v>1</v>
      </c>
      <c r="AL8" s="160">
        <v>1</v>
      </c>
      <c r="AM8" s="25">
        <f>'Invoer Ventilatie'!F18</f>
        <v>0</v>
      </c>
      <c r="AN8" s="25">
        <v>1</v>
      </c>
      <c r="AO8" s="25">
        <f>IF(AN8=3,0.6,IF(AN8=4,0.65,IF(AN8=5,0.7,IF(AN8=6,0.7,0))))</f>
        <v>0</v>
      </c>
      <c r="AP8" s="25">
        <v>1</v>
      </c>
      <c r="AQ8">
        <f>IF(AP8&lt;3,1,0.6)</f>
        <v>1</v>
      </c>
      <c r="AR8">
        <f>'Invoer Ventilatie'!G18</f>
        <v>0</v>
      </c>
      <c r="AS8">
        <v>1</v>
      </c>
      <c r="AT8" s="159">
        <f>(1-AO8)*0.3*AM8</f>
        <v>0</v>
      </c>
      <c r="AU8" s="159">
        <f>1.2*AT8/3.6</f>
        <v>0</v>
      </c>
      <c r="AV8" s="159"/>
      <c r="AW8" s="162">
        <f t="shared" ref="AW8:AW19" si="8">IF(AJ8=2,AU8*AS8,0)</f>
        <v>0</v>
      </c>
      <c r="AX8" s="163">
        <f t="shared" ref="AX8:AX19" si="9">IF(AJ8=2,AR8*AS8,0)</f>
        <v>0</v>
      </c>
      <c r="AY8" s="162">
        <f t="shared" ref="AY8:AY19" si="10">IF(AJ8=3,AU8*AS8,0)</f>
        <v>0</v>
      </c>
      <c r="AZ8" s="163">
        <f t="shared" ref="AZ8:AZ19" si="11">IF(AJ8=3,AR8*AS8,0)</f>
        <v>0</v>
      </c>
      <c r="BA8" s="162">
        <f t="shared" ref="BA8:BA19" si="12">IF(AJ8=4,AU8*AS8,0)</f>
        <v>0</v>
      </c>
      <c r="BB8" s="163">
        <f t="shared" ref="BB8:BB19" si="13">IF(AJ8=4,AR8*AS8,0)</f>
        <v>0</v>
      </c>
      <c r="BC8" s="162">
        <f t="shared" ref="BC8:BC19" si="14">IF(AJ8=5,AU8*AS8,0)</f>
        <v>0</v>
      </c>
      <c r="BD8" s="163">
        <f t="shared" ref="BD8:BD19" si="15">IF(AJ8=5,AR8*AS8,0)</f>
        <v>0</v>
      </c>
      <c r="BF8" s="12">
        <f>IF(AND($AJ8=2,$AL8=2),AR8*$AS8,0)</f>
        <v>0</v>
      </c>
      <c r="BG8" s="13">
        <f>IF(AND($AJ8=2,$AL8=3),$AR8*$AS8,0)</f>
        <v>0</v>
      </c>
      <c r="BH8" s="14">
        <f>IF(AND($AJ8=2,$AL8&gt;3),$AR8*$AS8,0)</f>
        <v>0</v>
      </c>
      <c r="BI8" s="12">
        <f>IF(AND($AJ8=3,$AL8=2),AU8*$AS8,0)</f>
        <v>0</v>
      </c>
      <c r="BJ8" s="13">
        <f>IF(AND($AJ8=3,$AL8=3),$AR8*$AS8,0)</f>
        <v>0</v>
      </c>
      <c r="BK8" s="14">
        <f>IF(AND($AJ8=3,$AL8&gt;3),$AR8*$AS8,0)</f>
        <v>0</v>
      </c>
      <c r="BL8" s="12">
        <f>IF(AND($AJ8=4,$AL8=2),AX8*$AS8,0)</f>
        <v>0</v>
      </c>
      <c r="BM8" s="13">
        <f>IF(AND($AJ8=4,$AL8=3),$AR8*$AS8,0)</f>
        <v>0</v>
      </c>
      <c r="BN8" s="14">
        <f>IF(AND($AJ8=4,$AL8&gt;3),$AR8*$AS8,0)</f>
        <v>0</v>
      </c>
      <c r="BO8" s="12">
        <f>IF(AND($AJ8=5,$AL8=2),BA8*$AS8,0)</f>
        <v>0</v>
      </c>
      <c r="BP8" s="13">
        <f>IF(AND($AJ8=5,$AL8=3),$AR8*$AS8,0)</f>
        <v>0</v>
      </c>
      <c r="BQ8" s="14">
        <f>IF(AND($AJ8=5,$AL8&gt;3),$AR8*$AS8,0)</f>
        <v>0</v>
      </c>
      <c r="BS8">
        <v>1</v>
      </c>
      <c r="BT8">
        <f>'Invoer Ventilatie'!M18</f>
        <v>0</v>
      </c>
      <c r="BU8">
        <f>IF(BS8=2,0.6*'Invoer Ventilatie'!L18,0)</f>
        <v>0</v>
      </c>
      <c r="BV8">
        <f>IF($AJ8=2,IF($BS8=2,'Invoer Ventilatie'!$K18,0),0)</f>
        <v>0</v>
      </c>
      <c r="BW8">
        <f>IF($AJ8=3,IF($BS8=2,'Invoer Ventilatie'!$K18,0),0)</f>
        <v>0</v>
      </c>
      <c r="BX8">
        <f>IF($AJ8=3,IF($BS8=4,'Invoer Ventilatie'!$K18,0),0)</f>
        <v>0</v>
      </c>
      <c r="BY8">
        <f>IF($AJ8=3,IF($BS8=5,'Invoer Ventilatie'!$K18,0),0)</f>
        <v>0</v>
      </c>
    </row>
    <row r="9" spans="1:77" x14ac:dyDescent="0.2">
      <c r="A9" s="157">
        <v>1</v>
      </c>
      <c r="B9" s="158">
        <v>1</v>
      </c>
      <c r="C9" s="160">
        <v>1</v>
      </c>
      <c r="D9" s="25">
        <f>'Invoer Ventilatie'!F4</f>
        <v>0</v>
      </c>
      <c r="E9" s="25">
        <v>1</v>
      </c>
      <c r="F9" s="25">
        <f t="shared" ref="F9:F19" si="16">IF(E9=3,0.6,IF(E9=4,0.65,IF(E9=5,0.7,IF(E9=6,0.7,0))))</f>
        <v>0</v>
      </c>
      <c r="G9" s="25">
        <v>1</v>
      </c>
      <c r="H9">
        <f t="shared" ref="H9:H19" si="17">IF(G9&lt;3,1,0.6)</f>
        <v>1</v>
      </c>
      <c r="I9">
        <f>'Invoer Ventilatie'!G4</f>
        <v>0</v>
      </c>
      <c r="J9">
        <v>1</v>
      </c>
      <c r="K9" s="159">
        <f t="shared" ref="K9:K19" si="18">(1-F9)*0.3*D9</f>
        <v>0</v>
      </c>
      <c r="L9" s="159">
        <f t="shared" ref="L9:L19" si="19">1.2*K9/3.6</f>
        <v>0</v>
      </c>
      <c r="M9" s="159"/>
      <c r="N9" s="162">
        <f t="shared" si="0"/>
        <v>0</v>
      </c>
      <c r="O9" s="163">
        <f t="shared" si="1"/>
        <v>0</v>
      </c>
      <c r="P9" s="162">
        <f t="shared" si="2"/>
        <v>0</v>
      </c>
      <c r="Q9" s="163">
        <f t="shared" si="3"/>
        <v>0</v>
      </c>
      <c r="R9" s="162">
        <f t="shared" si="4"/>
        <v>0</v>
      </c>
      <c r="S9" s="163">
        <f t="shared" si="5"/>
        <v>0</v>
      </c>
      <c r="T9" s="162">
        <f t="shared" si="6"/>
        <v>0</v>
      </c>
      <c r="U9" s="163">
        <f t="shared" si="7"/>
        <v>0</v>
      </c>
      <c r="W9" s="12">
        <f t="shared" ref="W9:W19" si="20">IF(AND($A9=2,$C9=2),$I9*$J9,0)</f>
        <v>0</v>
      </c>
      <c r="X9" s="13">
        <f t="shared" ref="X9:X19" si="21">IF(AND($A9=2,$C9=3),$I9*$J9,0)</f>
        <v>0</v>
      </c>
      <c r="Y9" s="14">
        <f t="shared" ref="Y9:Y19" si="22">IF(AND($A9=2,$C9=4),$I9*$J9,0)</f>
        <v>0</v>
      </c>
      <c r="Z9" s="12">
        <f t="shared" ref="Z9:Z19" si="23">IF(AND($A9=3,$C9=2),$I9*$J9,0)</f>
        <v>0</v>
      </c>
      <c r="AA9" s="13">
        <f t="shared" ref="AA9:AA19" si="24">IF(AND($A9=3,$C9=3),$I9*$J9,0)</f>
        <v>0</v>
      </c>
      <c r="AB9" s="14">
        <f t="shared" ref="AB9:AB19" si="25">IF(AND($A9=3,$C9=4),$I9*$J9,0)</f>
        <v>0</v>
      </c>
      <c r="AC9" s="12">
        <f t="shared" ref="AC9:AC19" si="26">IF(AND($A9=4,$C9=2),$I9*$J9,0)</f>
        <v>0</v>
      </c>
      <c r="AD9" s="13">
        <f t="shared" ref="AD9:AD19" si="27">IF(AND($A9=4,$C9=3),$I9*$J9,0)</f>
        <v>0</v>
      </c>
      <c r="AE9" s="14">
        <f t="shared" ref="AE9:AE19" si="28">IF(AND($A9=4,$C9=4),$I9*$J9,0)</f>
        <v>0</v>
      </c>
      <c r="AF9" s="12">
        <f t="shared" ref="AF9:AF19" si="29">IF(AND($A9=5,$C9=2),$I9*$J9,0)</f>
        <v>0</v>
      </c>
      <c r="AG9" s="13">
        <f t="shared" ref="AG9:AG19" si="30">IF(AND($A9=5,$C9=3),$I9*$J9,0)</f>
        <v>0</v>
      </c>
      <c r="AH9" s="14">
        <f t="shared" ref="AH9:AH19" si="31">IF(AND($A9=5,$C9=4),$I9*$J9,0)</f>
        <v>0</v>
      </c>
      <c r="AJ9" s="157">
        <v>1</v>
      </c>
      <c r="AK9" s="158">
        <v>1</v>
      </c>
      <c r="AL9" s="160">
        <v>1</v>
      </c>
      <c r="AM9" s="25">
        <f>'Invoer Ventilatie'!F19</f>
        <v>0</v>
      </c>
      <c r="AN9" s="25">
        <v>1</v>
      </c>
      <c r="AO9" s="25">
        <f t="shared" ref="AO9:AO19" si="32">IF(AN9=3,0.6,IF(AN9=4,0.65,IF(AN9=5,0.7,IF(AN9=6,0.7,0))))</f>
        <v>0</v>
      </c>
      <c r="AP9" s="25">
        <v>1</v>
      </c>
      <c r="AQ9">
        <f t="shared" ref="AQ9:AQ19" si="33">IF(AP9&lt;3,1,0.6)</f>
        <v>1</v>
      </c>
      <c r="AR9">
        <f>'Invoer Ventilatie'!G19</f>
        <v>0</v>
      </c>
      <c r="AS9">
        <v>1</v>
      </c>
      <c r="AT9" s="159">
        <f t="shared" ref="AT9:AT19" si="34">(1-AO9)*0.3*AM9</f>
        <v>0</v>
      </c>
      <c r="AU9" s="159">
        <f t="shared" ref="AU9:AU19" si="35">1.2*AT9/3.6</f>
        <v>0</v>
      </c>
      <c r="AV9" s="159"/>
      <c r="AW9" s="162">
        <f t="shared" si="8"/>
        <v>0</v>
      </c>
      <c r="AX9" s="163">
        <f t="shared" si="9"/>
        <v>0</v>
      </c>
      <c r="AY9" s="162">
        <f t="shared" si="10"/>
        <v>0</v>
      </c>
      <c r="AZ9" s="163">
        <f t="shared" si="11"/>
        <v>0</v>
      </c>
      <c r="BA9" s="162">
        <f t="shared" si="12"/>
        <v>0</v>
      </c>
      <c r="BB9" s="163">
        <f t="shared" si="13"/>
        <v>0</v>
      </c>
      <c r="BC9" s="162">
        <f t="shared" si="14"/>
        <v>0</v>
      </c>
      <c r="BD9" s="163">
        <f t="shared" si="15"/>
        <v>0</v>
      </c>
      <c r="BF9" s="12">
        <f t="shared" ref="BF9:BF19" si="36">IF(AND($AJ9=2,$AL9=2),AR9*$AS9,0)</f>
        <v>0</v>
      </c>
      <c r="BG9" s="13">
        <f t="shared" ref="BG9:BG19" si="37">IF(AND($AJ9=2,$AL9=3),$AR9*$AS9,0)</f>
        <v>0</v>
      </c>
      <c r="BH9" s="14">
        <f t="shared" ref="BH9:BH19" si="38">IF(AND($AJ9=2,$AL9&gt;3),$AR9*$AS9,0)</f>
        <v>0</v>
      </c>
      <c r="BI9" s="12">
        <f t="shared" ref="BI9:BI19" si="39">IF(AND($AJ9=3,$AL9=2),AU9*$AS9,0)</f>
        <v>0</v>
      </c>
      <c r="BJ9" s="13">
        <f t="shared" ref="BJ9:BJ19" si="40">IF(AND($AJ9=3,$AL9=3),$AR9*$AS9,0)</f>
        <v>0</v>
      </c>
      <c r="BK9" s="14">
        <f t="shared" ref="BK9:BK19" si="41">IF(AND($AJ9=3,$AL9&gt;3),$AR9*$AS9,0)</f>
        <v>0</v>
      </c>
      <c r="BL9" s="12">
        <f t="shared" ref="BL9:BL19" si="42">IF(AND($AJ9=4,$AL9=2),AX9*$AS9,0)</f>
        <v>0</v>
      </c>
      <c r="BM9" s="13">
        <f t="shared" ref="BM9:BM19" si="43">IF(AND($AJ9=4,$AL9=3),$AR9*$AS9,0)</f>
        <v>0</v>
      </c>
      <c r="BN9" s="14">
        <f t="shared" ref="BN9:BN19" si="44">IF(AND($AJ9=4,$AL9&gt;3),$AR9*$AS9,0)</f>
        <v>0</v>
      </c>
      <c r="BO9" s="12">
        <f t="shared" ref="BO9:BO19" si="45">IF(AND($AJ9=5,$AL9=2),BA9*$AS9,0)</f>
        <v>0</v>
      </c>
      <c r="BP9" s="13">
        <f t="shared" ref="BP9:BP19" si="46">IF(AND($AJ9=5,$AL9=3),$AR9*$AS9,0)</f>
        <v>0</v>
      </c>
      <c r="BQ9" s="14">
        <f t="shared" ref="BQ9:BQ19" si="47">IF(AND($AJ9=5,$AL9&gt;3),$AR9*$AS9,0)</f>
        <v>0</v>
      </c>
      <c r="BS9">
        <v>1</v>
      </c>
      <c r="BT9">
        <f>'Invoer Ventilatie'!M19</f>
        <v>0</v>
      </c>
      <c r="BU9">
        <f>IF(BS9=2,0.6*'Invoer Ventilatie'!L19,0)</f>
        <v>0</v>
      </c>
      <c r="BV9">
        <f>IF($AJ9=2,IF($BS9=2,'Invoer Ventilatie'!$K19,0),0)</f>
        <v>0</v>
      </c>
      <c r="BW9">
        <f>IF($AJ9=3,IF($BS9=2,'Invoer Ventilatie'!$K19,0),0)</f>
        <v>0</v>
      </c>
      <c r="BX9">
        <f>IF($AJ9=3,IF($BS9=4,'Invoer Ventilatie'!$K19,0),0)</f>
        <v>0</v>
      </c>
      <c r="BY9">
        <f>IF($AJ9=3,IF($BS9=5,'Invoer Ventilatie'!$K19,0),0)</f>
        <v>0</v>
      </c>
    </row>
    <row r="10" spans="1:77" x14ac:dyDescent="0.2">
      <c r="A10" s="157">
        <v>1</v>
      </c>
      <c r="B10" s="158">
        <v>1</v>
      </c>
      <c r="C10" s="160">
        <v>1</v>
      </c>
      <c r="D10" s="25">
        <f>'Invoer Ventilatie'!F5</f>
        <v>0</v>
      </c>
      <c r="E10" s="25">
        <v>1</v>
      </c>
      <c r="F10" s="25">
        <f t="shared" si="16"/>
        <v>0</v>
      </c>
      <c r="G10" s="25">
        <v>1</v>
      </c>
      <c r="H10">
        <f t="shared" si="17"/>
        <v>1</v>
      </c>
      <c r="I10">
        <f>'Invoer Ventilatie'!G5</f>
        <v>0</v>
      </c>
      <c r="J10">
        <v>1</v>
      </c>
      <c r="K10" s="159">
        <f t="shared" si="18"/>
        <v>0</v>
      </c>
      <c r="L10" s="159">
        <f t="shared" si="19"/>
        <v>0</v>
      </c>
      <c r="M10" s="159"/>
      <c r="N10" s="162">
        <f t="shared" si="0"/>
        <v>0</v>
      </c>
      <c r="O10" s="163">
        <f t="shared" si="1"/>
        <v>0</v>
      </c>
      <c r="P10" s="162">
        <f t="shared" si="2"/>
        <v>0</v>
      </c>
      <c r="Q10" s="163">
        <f t="shared" si="3"/>
        <v>0</v>
      </c>
      <c r="R10" s="162">
        <f t="shared" si="4"/>
        <v>0</v>
      </c>
      <c r="S10" s="163">
        <f t="shared" si="5"/>
        <v>0</v>
      </c>
      <c r="T10" s="162">
        <f t="shared" si="6"/>
        <v>0</v>
      </c>
      <c r="U10" s="163">
        <f t="shared" si="7"/>
        <v>0</v>
      </c>
      <c r="W10" s="12">
        <f t="shared" si="20"/>
        <v>0</v>
      </c>
      <c r="X10" s="13">
        <f t="shared" si="21"/>
        <v>0</v>
      </c>
      <c r="Y10" s="14">
        <f t="shared" si="22"/>
        <v>0</v>
      </c>
      <c r="Z10" s="12">
        <f t="shared" si="23"/>
        <v>0</v>
      </c>
      <c r="AA10" s="13">
        <f t="shared" si="24"/>
        <v>0</v>
      </c>
      <c r="AB10" s="14">
        <f t="shared" si="25"/>
        <v>0</v>
      </c>
      <c r="AC10" s="12">
        <f t="shared" si="26"/>
        <v>0</v>
      </c>
      <c r="AD10" s="13">
        <f t="shared" si="27"/>
        <v>0</v>
      </c>
      <c r="AE10" s="14">
        <f t="shared" si="28"/>
        <v>0</v>
      </c>
      <c r="AF10" s="12">
        <f t="shared" si="29"/>
        <v>0</v>
      </c>
      <c r="AG10" s="13">
        <f t="shared" si="30"/>
        <v>0</v>
      </c>
      <c r="AH10" s="14">
        <f t="shared" si="31"/>
        <v>0</v>
      </c>
      <c r="AJ10" s="157">
        <v>1</v>
      </c>
      <c r="AK10" s="158">
        <v>1</v>
      </c>
      <c r="AL10" s="160">
        <v>1</v>
      </c>
      <c r="AM10" s="25">
        <f>'Invoer Ventilatie'!F20</f>
        <v>0</v>
      </c>
      <c r="AN10" s="25">
        <v>1</v>
      </c>
      <c r="AO10" s="25">
        <f t="shared" si="32"/>
        <v>0</v>
      </c>
      <c r="AP10" s="25">
        <v>1</v>
      </c>
      <c r="AQ10">
        <f t="shared" si="33"/>
        <v>1</v>
      </c>
      <c r="AR10">
        <f>'Invoer Ventilatie'!G20</f>
        <v>0</v>
      </c>
      <c r="AS10">
        <v>1</v>
      </c>
      <c r="AT10" s="159">
        <f t="shared" si="34"/>
        <v>0</v>
      </c>
      <c r="AU10" s="159">
        <f t="shared" si="35"/>
        <v>0</v>
      </c>
      <c r="AV10" s="159"/>
      <c r="AW10" s="162">
        <f t="shared" si="8"/>
        <v>0</v>
      </c>
      <c r="AX10" s="163">
        <f t="shared" si="9"/>
        <v>0</v>
      </c>
      <c r="AY10" s="162">
        <f t="shared" si="10"/>
        <v>0</v>
      </c>
      <c r="AZ10" s="163">
        <f t="shared" si="11"/>
        <v>0</v>
      </c>
      <c r="BA10" s="162">
        <f t="shared" si="12"/>
        <v>0</v>
      </c>
      <c r="BB10" s="163">
        <f t="shared" si="13"/>
        <v>0</v>
      </c>
      <c r="BC10" s="162">
        <f t="shared" si="14"/>
        <v>0</v>
      </c>
      <c r="BD10" s="163">
        <f t="shared" si="15"/>
        <v>0</v>
      </c>
      <c r="BF10" s="12">
        <f t="shared" si="36"/>
        <v>0</v>
      </c>
      <c r="BG10" s="13">
        <f t="shared" si="37"/>
        <v>0</v>
      </c>
      <c r="BH10" s="14">
        <f t="shared" si="38"/>
        <v>0</v>
      </c>
      <c r="BI10" s="12">
        <f t="shared" si="39"/>
        <v>0</v>
      </c>
      <c r="BJ10" s="13">
        <f t="shared" si="40"/>
        <v>0</v>
      </c>
      <c r="BK10" s="14">
        <f t="shared" si="41"/>
        <v>0</v>
      </c>
      <c r="BL10" s="12">
        <f t="shared" si="42"/>
        <v>0</v>
      </c>
      <c r="BM10" s="13">
        <f t="shared" si="43"/>
        <v>0</v>
      </c>
      <c r="BN10" s="14">
        <f t="shared" si="44"/>
        <v>0</v>
      </c>
      <c r="BO10" s="12">
        <f t="shared" si="45"/>
        <v>0</v>
      </c>
      <c r="BP10" s="13">
        <f t="shared" si="46"/>
        <v>0</v>
      </c>
      <c r="BQ10" s="14">
        <f t="shared" si="47"/>
        <v>0</v>
      </c>
      <c r="BS10">
        <v>1</v>
      </c>
      <c r="BT10">
        <f>'Invoer Ventilatie'!M20</f>
        <v>0</v>
      </c>
      <c r="BU10">
        <f>IF(BS10=2,0.6*'Invoer Ventilatie'!L20,0)</f>
        <v>0</v>
      </c>
      <c r="BV10">
        <f>IF($AJ10=2,IF($BS10=2,'Invoer Ventilatie'!$K20,0),0)</f>
        <v>0</v>
      </c>
      <c r="BW10">
        <f>IF($AJ10=3,IF($BS10=2,'Invoer Ventilatie'!$K20,0),0)</f>
        <v>0</v>
      </c>
      <c r="BX10">
        <f>IF($AJ10=3,IF($BS10=4,'Invoer Ventilatie'!$K20,0),0)</f>
        <v>0</v>
      </c>
      <c r="BY10">
        <f>IF($AJ10=3,IF($BS10=5,'Invoer Ventilatie'!$K20,0),0)</f>
        <v>0</v>
      </c>
    </row>
    <row r="11" spans="1:77" x14ac:dyDescent="0.2">
      <c r="A11" s="157">
        <v>1</v>
      </c>
      <c r="B11" s="158">
        <v>1</v>
      </c>
      <c r="C11" s="160">
        <v>1</v>
      </c>
      <c r="D11" s="25">
        <f>'Invoer Ventilatie'!F6</f>
        <v>0</v>
      </c>
      <c r="E11" s="25">
        <v>1</v>
      </c>
      <c r="F11" s="25">
        <f t="shared" si="16"/>
        <v>0</v>
      </c>
      <c r="G11" s="25">
        <v>1</v>
      </c>
      <c r="H11">
        <f t="shared" si="17"/>
        <v>1</v>
      </c>
      <c r="I11">
        <f>'Invoer Ventilatie'!G6</f>
        <v>0</v>
      </c>
      <c r="J11">
        <v>1</v>
      </c>
      <c r="K11" s="159">
        <f t="shared" si="18"/>
        <v>0</v>
      </c>
      <c r="L11" s="159">
        <f t="shared" si="19"/>
        <v>0</v>
      </c>
      <c r="M11" s="159"/>
      <c r="N11" s="162">
        <f t="shared" si="0"/>
        <v>0</v>
      </c>
      <c r="O11" s="163">
        <f t="shared" si="1"/>
        <v>0</v>
      </c>
      <c r="P11" s="162">
        <f t="shared" si="2"/>
        <v>0</v>
      </c>
      <c r="Q11" s="163">
        <f t="shared" si="3"/>
        <v>0</v>
      </c>
      <c r="R11" s="162">
        <f t="shared" si="4"/>
        <v>0</v>
      </c>
      <c r="S11" s="163">
        <f t="shared" si="5"/>
        <v>0</v>
      </c>
      <c r="T11" s="162">
        <f t="shared" si="6"/>
        <v>0</v>
      </c>
      <c r="U11" s="163">
        <f t="shared" si="7"/>
        <v>0</v>
      </c>
      <c r="W11" s="12">
        <f t="shared" si="20"/>
        <v>0</v>
      </c>
      <c r="X11" s="13">
        <f t="shared" si="21"/>
        <v>0</v>
      </c>
      <c r="Y11" s="14">
        <f t="shared" si="22"/>
        <v>0</v>
      </c>
      <c r="Z11" s="12">
        <f t="shared" si="23"/>
        <v>0</v>
      </c>
      <c r="AA11" s="13">
        <f t="shared" si="24"/>
        <v>0</v>
      </c>
      <c r="AB11" s="14">
        <f t="shared" si="25"/>
        <v>0</v>
      </c>
      <c r="AC11" s="12">
        <f t="shared" si="26"/>
        <v>0</v>
      </c>
      <c r="AD11" s="13">
        <f t="shared" si="27"/>
        <v>0</v>
      </c>
      <c r="AE11" s="14">
        <f t="shared" si="28"/>
        <v>0</v>
      </c>
      <c r="AF11" s="12">
        <f t="shared" si="29"/>
        <v>0</v>
      </c>
      <c r="AG11" s="13">
        <f t="shared" si="30"/>
        <v>0</v>
      </c>
      <c r="AH11" s="14">
        <f t="shared" si="31"/>
        <v>0</v>
      </c>
      <c r="AJ11" s="157">
        <f t="shared" ref="AJ11:AJ19" si="48">A11</f>
        <v>1</v>
      </c>
      <c r="AK11" s="158">
        <v>1</v>
      </c>
      <c r="AL11" s="160">
        <v>1</v>
      </c>
      <c r="AM11" s="25">
        <f>'Invoer Ventilatie'!F21</f>
        <v>0</v>
      </c>
      <c r="AN11" s="25">
        <v>1</v>
      </c>
      <c r="AO11" s="25">
        <f t="shared" si="32"/>
        <v>0</v>
      </c>
      <c r="AP11" s="25">
        <v>1</v>
      </c>
      <c r="AQ11">
        <f t="shared" si="33"/>
        <v>1</v>
      </c>
      <c r="AR11">
        <f>'Invoer Ventilatie'!G21</f>
        <v>0</v>
      </c>
      <c r="AS11">
        <v>1</v>
      </c>
      <c r="AT11" s="159">
        <f t="shared" si="34"/>
        <v>0</v>
      </c>
      <c r="AU11" s="159">
        <f t="shared" si="35"/>
        <v>0</v>
      </c>
      <c r="AV11" s="159"/>
      <c r="AW11" s="162">
        <f t="shared" si="8"/>
        <v>0</v>
      </c>
      <c r="AX11" s="163">
        <f t="shared" si="9"/>
        <v>0</v>
      </c>
      <c r="AY11" s="162">
        <f t="shared" si="10"/>
        <v>0</v>
      </c>
      <c r="AZ11" s="163">
        <f t="shared" si="11"/>
        <v>0</v>
      </c>
      <c r="BA11" s="162">
        <f t="shared" si="12"/>
        <v>0</v>
      </c>
      <c r="BB11" s="163">
        <f t="shared" si="13"/>
        <v>0</v>
      </c>
      <c r="BC11" s="162">
        <f t="shared" si="14"/>
        <v>0</v>
      </c>
      <c r="BD11" s="163">
        <f t="shared" si="15"/>
        <v>0</v>
      </c>
      <c r="BF11" s="12">
        <f t="shared" si="36"/>
        <v>0</v>
      </c>
      <c r="BG11" s="13">
        <f t="shared" si="37"/>
        <v>0</v>
      </c>
      <c r="BH11" s="14">
        <f t="shared" si="38"/>
        <v>0</v>
      </c>
      <c r="BI11" s="12">
        <f t="shared" si="39"/>
        <v>0</v>
      </c>
      <c r="BJ11" s="13">
        <f t="shared" si="40"/>
        <v>0</v>
      </c>
      <c r="BK11" s="14">
        <f t="shared" si="41"/>
        <v>0</v>
      </c>
      <c r="BL11" s="12">
        <f t="shared" si="42"/>
        <v>0</v>
      </c>
      <c r="BM11" s="13">
        <f t="shared" si="43"/>
        <v>0</v>
      </c>
      <c r="BN11" s="14">
        <f t="shared" si="44"/>
        <v>0</v>
      </c>
      <c r="BO11" s="12">
        <f t="shared" si="45"/>
        <v>0</v>
      </c>
      <c r="BP11" s="13">
        <f t="shared" si="46"/>
        <v>0</v>
      </c>
      <c r="BQ11" s="14">
        <f t="shared" si="47"/>
        <v>0</v>
      </c>
      <c r="BS11">
        <v>1</v>
      </c>
      <c r="BT11">
        <f>'Invoer Ventilatie'!M21</f>
        <v>0</v>
      </c>
      <c r="BU11">
        <f>IF(BS11=2,0.6*'Invoer Ventilatie'!L21,0)</f>
        <v>0</v>
      </c>
      <c r="BV11">
        <f>IF($AJ11=2,IF($BS11=2,'Invoer Ventilatie'!$K21,0),0)</f>
        <v>0</v>
      </c>
      <c r="BW11">
        <f>IF($AJ11=3,IF($BS11=2,'Invoer Ventilatie'!$K21,0),0)</f>
        <v>0</v>
      </c>
      <c r="BX11">
        <f>IF($AJ11=3,IF($BS11=4,'Invoer Ventilatie'!$K21,0),0)</f>
        <v>0</v>
      </c>
      <c r="BY11">
        <f>IF($AJ11=3,IF($BS11=5,'Invoer Ventilatie'!$K21,0),0)</f>
        <v>0</v>
      </c>
    </row>
    <row r="12" spans="1:77" x14ac:dyDescent="0.2">
      <c r="A12" s="157">
        <v>1</v>
      </c>
      <c r="B12" s="160">
        <v>1</v>
      </c>
      <c r="C12" s="160">
        <v>1</v>
      </c>
      <c r="D12" s="25">
        <f>'Invoer Ventilatie'!F7</f>
        <v>0</v>
      </c>
      <c r="E12" s="159">
        <v>1</v>
      </c>
      <c r="F12" s="25">
        <f t="shared" si="16"/>
        <v>0</v>
      </c>
      <c r="G12" s="159">
        <v>1</v>
      </c>
      <c r="H12">
        <f t="shared" si="17"/>
        <v>1</v>
      </c>
      <c r="I12">
        <f>'Invoer Ventilatie'!G7</f>
        <v>0</v>
      </c>
      <c r="J12">
        <v>1</v>
      </c>
      <c r="K12" s="159">
        <f t="shared" si="18"/>
        <v>0</v>
      </c>
      <c r="L12" s="159">
        <f t="shared" si="19"/>
        <v>0</v>
      </c>
      <c r="N12" s="162">
        <f t="shared" si="0"/>
        <v>0</v>
      </c>
      <c r="O12" s="163">
        <f t="shared" si="1"/>
        <v>0</v>
      </c>
      <c r="P12" s="162">
        <f t="shared" si="2"/>
        <v>0</v>
      </c>
      <c r="Q12" s="163">
        <f t="shared" si="3"/>
        <v>0</v>
      </c>
      <c r="R12" s="162">
        <f t="shared" si="4"/>
        <v>0</v>
      </c>
      <c r="S12" s="163">
        <f t="shared" si="5"/>
        <v>0</v>
      </c>
      <c r="T12" s="162">
        <f t="shared" si="6"/>
        <v>0</v>
      </c>
      <c r="U12" s="163">
        <f t="shared" si="7"/>
        <v>0</v>
      </c>
      <c r="W12" s="12">
        <f t="shared" si="20"/>
        <v>0</v>
      </c>
      <c r="X12" s="13">
        <f t="shared" si="21"/>
        <v>0</v>
      </c>
      <c r="Y12" s="14">
        <f t="shared" si="22"/>
        <v>0</v>
      </c>
      <c r="Z12" s="12">
        <f t="shared" si="23"/>
        <v>0</v>
      </c>
      <c r="AA12" s="13">
        <f t="shared" si="24"/>
        <v>0</v>
      </c>
      <c r="AB12" s="14">
        <f t="shared" si="25"/>
        <v>0</v>
      </c>
      <c r="AC12" s="12">
        <f t="shared" si="26"/>
        <v>0</v>
      </c>
      <c r="AD12" s="13">
        <f t="shared" si="27"/>
        <v>0</v>
      </c>
      <c r="AE12" s="14">
        <f t="shared" si="28"/>
        <v>0</v>
      </c>
      <c r="AF12" s="12">
        <f t="shared" si="29"/>
        <v>0</v>
      </c>
      <c r="AG12" s="13">
        <f t="shared" si="30"/>
        <v>0</v>
      </c>
      <c r="AH12" s="14">
        <f t="shared" si="31"/>
        <v>0</v>
      </c>
      <c r="AJ12" s="157">
        <f t="shared" si="48"/>
        <v>1</v>
      </c>
      <c r="AK12" s="160">
        <v>1</v>
      </c>
      <c r="AL12" s="160">
        <v>1</v>
      </c>
      <c r="AM12" s="25">
        <f>'Invoer Ventilatie'!F22</f>
        <v>0</v>
      </c>
      <c r="AN12" s="159">
        <v>1</v>
      </c>
      <c r="AO12" s="25">
        <f t="shared" si="32"/>
        <v>0</v>
      </c>
      <c r="AP12" s="159">
        <v>1</v>
      </c>
      <c r="AQ12">
        <f t="shared" si="33"/>
        <v>1</v>
      </c>
      <c r="AR12">
        <f>'Invoer Ventilatie'!G22</f>
        <v>0</v>
      </c>
      <c r="AS12">
        <v>1</v>
      </c>
      <c r="AT12" s="159">
        <f t="shared" si="34"/>
        <v>0</v>
      </c>
      <c r="AU12" s="159">
        <f t="shared" si="35"/>
        <v>0</v>
      </c>
      <c r="AW12" s="162">
        <f t="shared" si="8"/>
        <v>0</v>
      </c>
      <c r="AX12" s="163">
        <f t="shared" si="9"/>
        <v>0</v>
      </c>
      <c r="AY12" s="162">
        <f t="shared" si="10"/>
        <v>0</v>
      </c>
      <c r="AZ12" s="163">
        <f t="shared" si="11"/>
        <v>0</v>
      </c>
      <c r="BA12" s="162">
        <f t="shared" si="12"/>
        <v>0</v>
      </c>
      <c r="BB12" s="163">
        <f t="shared" si="13"/>
        <v>0</v>
      </c>
      <c r="BC12" s="162">
        <f t="shared" si="14"/>
        <v>0</v>
      </c>
      <c r="BD12" s="163">
        <f t="shared" si="15"/>
        <v>0</v>
      </c>
      <c r="BF12" s="12">
        <f t="shared" si="36"/>
        <v>0</v>
      </c>
      <c r="BG12" s="13">
        <f t="shared" si="37"/>
        <v>0</v>
      </c>
      <c r="BH12" s="14">
        <f t="shared" si="38"/>
        <v>0</v>
      </c>
      <c r="BI12" s="12">
        <f t="shared" si="39"/>
        <v>0</v>
      </c>
      <c r="BJ12" s="13">
        <f t="shared" si="40"/>
        <v>0</v>
      </c>
      <c r="BK12" s="14">
        <f t="shared" si="41"/>
        <v>0</v>
      </c>
      <c r="BL12" s="12">
        <f t="shared" si="42"/>
        <v>0</v>
      </c>
      <c r="BM12" s="13">
        <f t="shared" si="43"/>
        <v>0</v>
      </c>
      <c r="BN12" s="14">
        <f t="shared" si="44"/>
        <v>0</v>
      </c>
      <c r="BO12" s="12">
        <f t="shared" si="45"/>
        <v>0</v>
      </c>
      <c r="BP12" s="13">
        <f t="shared" si="46"/>
        <v>0</v>
      </c>
      <c r="BQ12" s="14">
        <f t="shared" si="47"/>
        <v>0</v>
      </c>
      <c r="BS12">
        <v>1</v>
      </c>
      <c r="BT12">
        <f>'Invoer Ventilatie'!M22</f>
        <v>0</v>
      </c>
      <c r="BU12">
        <f>IF(BS12=2,0.6*'Invoer Ventilatie'!L22,0)</f>
        <v>0</v>
      </c>
      <c r="BV12">
        <f>IF($AJ12=2,IF($BS12=2,'Invoer Ventilatie'!$K22,0),0)</f>
        <v>0</v>
      </c>
      <c r="BW12">
        <f>IF($AJ12=3,IF($BS12=2,'Invoer Ventilatie'!$K22,0),0)</f>
        <v>0</v>
      </c>
      <c r="BX12">
        <f>IF($AJ12=3,IF($BS12=4,'Invoer Ventilatie'!$K22,0),0)</f>
        <v>0</v>
      </c>
      <c r="BY12">
        <f>IF($AJ12=3,IF($BS12=5,'Invoer Ventilatie'!$K22,0),0)</f>
        <v>0</v>
      </c>
    </row>
    <row r="13" spans="1:77" x14ac:dyDescent="0.2">
      <c r="A13" s="157">
        <v>1</v>
      </c>
      <c r="B13" s="160">
        <v>1</v>
      </c>
      <c r="C13" s="160">
        <v>1</v>
      </c>
      <c r="D13" s="25">
        <f>'Invoer Ventilatie'!F8</f>
        <v>0</v>
      </c>
      <c r="E13" s="159">
        <v>1</v>
      </c>
      <c r="F13" s="25">
        <f t="shared" si="16"/>
        <v>0</v>
      </c>
      <c r="G13" s="159">
        <v>1</v>
      </c>
      <c r="H13">
        <f t="shared" si="17"/>
        <v>1</v>
      </c>
      <c r="I13">
        <f>'Invoer Ventilatie'!G8</f>
        <v>0</v>
      </c>
      <c r="J13">
        <v>1</v>
      </c>
      <c r="K13" s="159">
        <f t="shared" si="18"/>
        <v>0</v>
      </c>
      <c r="L13" s="159">
        <f t="shared" si="19"/>
        <v>0</v>
      </c>
      <c r="N13" s="162">
        <f t="shared" si="0"/>
        <v>0</v>
      </c>
      <c r="O13" s="163">
        <f t="shared" si="1"/>
        <v>0</v>
      </c>
      <c r="P13" s="162">
        <f t="shared" si="2"/>
        <v>0</v>
      </c>
      <c r="Q13" s="163">
        <f t="shared" si="3"/>
        <v>0</v>
      </c>
      <c r="R13" s="162">
        <f t="shared" si="4"/>
        <v>0</v>
      </c>
      <c r="S13" s="163">
        <f t="shared" si="5"/>
        <v>0</v>
      </c>
      <c r="T13" s="162">
        <f t="shared" si="6"/>
        <v>0</v>
      </c>
      <c r="U13" s="163">
        <f t="shared" si="7"/>
        <v>0</v>
      </c>
      <c r="W13" s="12">
        <f t="shared" si="20"/>
        <v>0</v>
      </c>
      <c r="X13" s="13">
        <f t="shared" si="21"/>
        <v>0</v>
      </c>
      <c r="Y13" s="14">
        <f t="shared" si="22"/>
        <v>0</v>
      </c>
      <c r="Z13" s="12">
        <f t="shared" si="23"/>
        <v>0</v>
      </c>
      <c r="AA13" s="13">
        <f t="shared" si="24"/>
        <v>0</v>
      </c>
      <c r="AB13" s="14">
        <f t="shared" si="25"/>
        <v>0</v>
      </c>
      <c r="AC13" s="12">
        <f t="shared" si="26"/>
        <v>0</v>
      </c>
      <c r="AD13" s="13">
        <f t="shared" si="27"/>
        <v>0</v>
      </c>
      <c r="AE13" s="14">
        <f t="shared" si="28"/>
        <v>0</v>
      </c>
      <c r="AF13" s="12">
        <f t="shared" si="29"/>
        <v>0</v>
      </c>
      <c r="AG13" s="13">
        <f t="shared" si="30"/>
        <v>0</v>
      </c>
      <c r="AH13" s="14">
        <f t="shared" si="31"/>
        <v>0</v>
      </c>
      <c r="AJ13" s="157">
        <f t="shared" si="48"/>
        <v>1</v>
      </c>
      <c r="AK13" s="160">
        <v>1</v>
      </c>
      <c r="AL13" s="160">
        <v>1</v>
      </c>
      <c r="AM13" s="25">
        <f>'Invoer Ventilatie'!F23</f>
        <v>0</v>
      </c>
      <c r="AN13" s="159">
        <v>1</v>
      </c>
      <c r="AO13" s="25">
        <f t="shared" si="32"/>
        <v>0</v>
      </c>
      <c r="AP13" s="159">
        <v>1</v>
      </c>
      <c r="AQ13">
        <f t="shared" si="33"/>
        <v>1</v>
      </c>
      <c r="AR13">
        <f>'Invoer Ventilatie'!G23</f>
        <v>0</v>
      </c>
      <c r="AS13">
        <v>1</v>
      </c>
      <c r="AT13" s="159">
        <f t="shared" si="34"/>
        <v>0</v>
      </c>
      <c r="AU13" s="159">
        <f t="shared" si="35"/>
        <v>0</v>
      </c>
      <c r="AW13" s="162">
        <f t="shared" si="8"/>
        <v>0</v>
      </c>
      <c r="AX13" s="163">
        <f t="shared" si="9"/>
        <v>0</v>
      </c>
      <c r="AY13" s="162">
        <f t="shared" si="10"/>
        <v>0</v>
      </c>
      <c r="AZ13" s="163">
        <f t="shared" si="11"/>
        <v>0</v>
      </c>
      <c r="BA13" s="162">
        <f t="shared" si="12"/>
        <v>0</v>
      </c>
      <c r="BB13" s="163">
        <f t="shared" si="13"/>
        <v>0</v>
      </c>
      <c r="BC13" s="162">
        <f t="shared" si="14"/>
        <v>0</v>
      </c>
      <c r="BD13" s="163">
        <f t="shared" si="15"/>
        <v>0</v>
      </c>
      <c r="BF13" s="12">
        <f t="shared" si="36"/>
        <v>0</v>
      </c>
      <c r="BG13" s="13">
        <f t="shared" si="37"/>
        <v>0</v>
      </c>
      <c r="BH13" s="14">
        <f t="shared" si="38"/>
        <v>0</v>
      </c>
      <c r="BI13" s="12">
        <f t="shared" si="39"/>
        <v>0</v>
      </c>
      <c r="BJ13" s="13">
        <f t="shared" si="40"/>
        <v>0</v>
      </c>
      <c r="BK13" s="14">
        <f t="shared" si="41"/>
        <v>0</v>
      </c>
      <c r="BL13" s="12">
        <f t="shared" si="42"/>
        <v>0</v>
      </c>
      <c r="BM13" s="13">
        <f t="shared" si="43"/>
        <v>0</v>
      </c>
      <c r="BN13" s="14">
        <f t="shared" si="44"/>
        <v>0</v>
      </c>
      <c r="BO13" s="12">
        <f t="shared" si="45"/>
        <v>0</v>
      </c>
      <c r="BP13" s="13">
        <f t="shared" si="46"/>
        <v>0</v>
      </c>
      <c r="BQ13" s="14">
        <f t="shared" si="47"/>
        <v>0</v>
      </c>
      <c r="BS13">
        <v>1</v>
      </c>
      <c r="BT13">
        <f>'Invoer Ventilatie'!M23</f>
        <v>0</v>
      </c>
      <c r="BU13">
        <f>IF(BS13=2,0.6*'Invoer Ventilatie'!L23,0)</f>
        <v>0</v>
      </c>
      <c r="BV13">
        <f>IF($AJ13=2,IF($BS13=2,'Invoer Ventilatie'!$K23,0),0)</f>
        <v>0</v>
      </c>
      <c r="BW13">
        <f>IF($AJ13=3,IF($BS13=2,'Invoer Ventilatie'!$K23,0),0)</f>
        <v>0</v>
      </c>
      <c r="BX13">
        <f>IF($AJ13=3,IF($BS13=4,'Invoer Ventilatie'!$K23,0),0)</f>
        <v>0</v>
      </c>
      <c r="BY13">
        <f>IF($AJ13=3,IF($BS13=5,'Invoer Ventilatie'!$K23,0),0)</f>
        <v>0</v>
      </c>
    </row>
    <row r="14" spans="1:77" x14ac:dyDescent="0.2">
      <c r="A14" s="157">
        <v>1</v>
      </c>
      <c r="B14" s="160">
        <v>1</v>
      </c>
      <c r="C14" s="160">
        <v>1</v>
      </c>
      <c r="D14" s="25">
        <f>'Invoer Ventilatie'!F9</f>
        <v>0</v>
      </c>
      <c r="E14" s="159">
        <v>1</v>
      </c>
      <c r="F14" s="25">
        <f t="shared" si="16"/>
        <v>0</v>
      </c>
      <c r="G14" s="159">
        <v>1</v>
      </c>
      <c r="H14">
        <f t="shared" si="17"/>
        <v>1</v>
      </c>
      <c r="I14">
        <f>'Invoer Ventilatie'!G9</f>
        <v>0</v>
      </c>
      <c r="J14">
        <v>1</v>
      </c>
      <c r="K14" s="159">
        <f t="shared" si="18"/>
        <v>0</v>
      </c>
      <c r="L14" s="159">
        <f t="shared" si="19"/>
        <v>0</v>
      </c>
      <c r="N14" s="162">
        <f t="shared" si="0"/>
        <v>0</v>
      </c>
      <c r="O14" s="163">
        <f t="shared" si="1"/>
        <v>0</v>
      </c>
      <c r="P14" s="162">
        <f t="shared" si="2"/>
        <v>0</v>
      </c>
      <c r="Q14" s="163">
        <f t="shared" si="3"/>
        <v>0</v>
      </c>
      <c r="R14" s="162">
        <f t="shared" si="4"/>
        <v>0</v>
      </c>
      <c r="S14" s="163">
        <f t="shared" si="5"/>
        <v>0</v>
      </c>
      <c r="T14" s="162">
        <f t="shared" si="6"/>
        <v>0</v>
      </c>
      <c r="U14" s="163">
        <f t="shared" si="7"/>
        <v>0</v>
      </c>
      <c r="W14" s="12">
        <f t="shared" si="20"/>
        <v>0</v>
      </c>
      <c r="X14" s="13">
        <f t="shared" si="21"/>
        <v>0</v>
      </c>
      <c r="Y14" s="14">
        <f t="shared" si="22"/>
        <v>0</v>
      </c>
      <c r="Z14" s="12">
        <f t="shared" si="23"/>
        <v>0</v>
      </c>
      <c r="AA14" s="13">
        <f t="shared" si="24"/>
        <v>0</v>
      </c>
      <c r="AB14" s="14">
        <f t="shared" si="25"/>
        <v>0</v>
      </c>
      <c r="AC14" s="12">
        <f t="shared" si="26"/>
        <v>0</v>
      </c>
      <c r="AD14" s="13">
        <f t="shared" si="27"/>
        <v>0</v>
      </c>
      <c r="AE14" s="14">
        <f t="shared" si="28"/>
        <v>0</v>
      </c>
      <c r="AF14" s="12">
        <f t="shared" si="29"/>
        <v>0</v>
      </c>
      <c r="AG14" s="13">
        <f t="shared" si="30"/>
        <v>0</v>
      </c>
      <c r="AH14" s="14">
        <f t="shared" si="31"/>
        <v>0</v>
      </c>
      <c r="AJ14" s="157">
        <f t="shared" si="48"/>
        <v>1</v>
      </c>
      <c r="AK14" s="160">
        <v>1</v>
      </c>
      <c r="AL14" s="160">
        <v>1</v>
      </c>
      <c r="AM14" s="25">
        <f>'Invoer Ventilatie'!F24</f>
        <v>0</v>
      </c>
      <c r="AN14" s="159">
        <v>1</v>
      </c>
      <c r="AO14" s="25">
        <f t="shared" si="32"/>
        <v>0</v>
      </c>
      <c r="AP14" s="159">
        <v>1</v>
      </c>
      <c r="AQ14">
        <f t="shared" si="33"/>
        <v>1</v>
      </c>
      <c r="AR14">
        <f>'Invoer Ventilatie'!G24</f>
        <v>0</v>
      </c>
      <c r="AS14">
        <v>1</v>
      </c>
      <c r="AT14" s="159">
        <f t="shared" si="34"/>
        <v>0</v>
      </c>
      <c r="AU14" s="159">
        <f t="shared" si="35"/>
        <v>0</v>
      </c>
      <c r="AW14" s="162">
        <f t="shared" si="8"/>
        <v>0</v>
      </c>
      <c r="AX14" s="163">
        <f t="shared" si="9"/>
        <v>0</v>
      </c>
      <c r="AY14" s="162">
        <f t="shared" si="10"/>
        <v>0</v>
      </c>
      <c r="AZ14" s="163">
        <f t="shared" si="11"/>
        <v>0</v>
      </c>
      <c r="BA14" s="162">
        <f t="shared" si="12"/>
        <v>0</v>
      </c>
      <c r="BB14" s="163">
        <f t="shared" si="13"/>
        <v>0</v>
      </c>
      <c r="BC14" s="162">
        <f t="shared" si="14"/>
        <v>0</v>
      </c>
      <c r="BD14" s="163">
        <f t="shared" si="15"/>
        <v>0</v>
      </c>
      <c r="BF14" s="12">
        <f t="shared" si="36"/>
        <v>0</v>
      </c>
      <c r="BG14" s="13">
        <f t="shared" si="37"/>
        <v>0</v>
      </c>
      <c r="BH14" s="14">
        <f t="shared" si="38"/>
        <v>0</v>
      </c>
      <c r="BI14" s="12">
        <f t="shared" si="39"/>
        <v>0</v>
      </c>
      <c r="BJ14" s="13">
        <f t="shared" si="40"/>
        <v>0</v>
      </c>
      <c r="BK14" s="14">
        <f t="shared" si="41"/>
        <v>0</v>
      </c>
      <c r="BL14" s="12">
        <f t="shared" si="42"/>
        <v>0</v>
      </c>
      <c r="BM14" s="13">
        <f t="shared" si="43"/>
        <v>0</v>
      </c>
      <c r="BN14" s="14">
        <f t="shared" si="44"/>
        <v>0</v>
      </c>
      <c r="BO14" s="12">
        <f t="shared" si="45"/>
        <v>0</v>
      </c>
      <c r="BP14" s="13">
        <f t="shared" si="46"/>
        <v>0</v>
      </c>
      <c r="BQ14" s="14">
        <f t="shared" si="47"/>
        <v>0</v>
      </c>
      <c r="BS14">
        <v>1</v>
      </c>
      <c r="BT14">
        <f>'Invoer Ventilatie'!M24</f>
        <v>0</v>
      </c>
      <c r="BU14">
        <f>IF(BS14=2,0.6*'Invoer Ventilatie'!L24,0)</f>
        <v>0</v>
      </c>
      <c r="BV14">
        <f>IF($AJ14=2,IF($BS14=2,'Invoer Ventilatie'!$K24,0),0)</f>
        <v>0</v>
      </c>
      <c r="BW14">
        <f>IF($AJ14=3,IF($BS14=2,'Invoer Ventilatie'!$K24,0),0)</f>
        <v>0</v>
      </c>
      <c r="BX14">
        <f>IF($AJ14=3,IF($BS14=4,'Invoer Ventilatie'!$K24,0),0)</f>
        <v>0</v>
      </c>
      <c r="BY14">
        <f>IF($AJ14=3,IF($BS14=5,'Invoer Ventilatie'!$K24,0),0)</f>
        <v>0</v>
      </c>
    </row>
    <row r="15" spans="1:77" x14ac:dyDescent="0.2">
      <c r="A15" s="157">
        <v>1</v>
      </c>
      <c r="B15" s="160">
        <v>1</v>
      </c>
      <c r="C15" s="160">
        <v>1</v>
      </c>
      <c r="D15" s="25">
        <f>'Invoer Ventilatie'!F10</f>
        <v>0</v>
      </c>
      <c r="E15" s="159">
        <v>1</v>
      </c>
      <c r="F15" s="25">
        <f t="shared" si="16"/>
        <v>0</v>
      </c>
      <c r="G15" s="159">
        <v>1</v>
      </c>
      <c r="H15">
        <f t="shared" si="17"/>
        <v>1</v>
      </c>
      <c r="I15">
        <f>'Invoer Ventilatie'!G10</f>
        <v>0</v>
      </c>
      <c r="J15">
        <v>1</v>
      </c>
      <c r="K15" s="159">
        <f t="shared" si="18"/>
        <v>0</v>
      </c>
      <c r="L15" s="159">
        <f t="shared" si="19"/>
        <v>0</v>
      </c>
      <c r="N15" s="162">
        <f t="shared" si="0"/>
        <v>0</v>
      </c>
      <c r="O15" s="163">
        <f t="shared" si="1"/>
        <v>0</v>
      </c>
      <c r="P15" s="162">
        <f t="shared" si="2"/>
        <v>0</v>
      </c>
      <c r="Q15" s="163">
        <f t="shared" si="3"/>
        <v>0</v>
      </c>
      <c r="R15" s="162">
        <f t="shared" si="4"/>
        <v>0</v>
      </c>
      <c r="S15" s="163">
        <f t="shared" si="5"/>
        <v>0</v>
      </c>
      <c r="T15" s="162">
        <f t="shared" si="6"/>
        <v>0</v>
      </c>
      <c r="U15" s="163">
        <f t="shared" si="7"/>
        <v>0</v>
      </c>
      <c r="W15" s="12">
        <f t="shared" si="20"/>
        <v>0</v>
      </c>
      <c r="X15" s="13">
        <f t="shared" si="21"/>
        <v>0</v>
      </c>
      <c r="Y15" s="14">
        <f t="shared" si="22"/>
        <v>0</v>
      </c>
      <c r="Z15" s="12">
        <f t="shared" si="23"/>
        <v>0</v>
      </c>
      <c r="AA15" s="13">
        <f t="shared" si="24"/>
        <v>0</v>
      </c>
      <c r="AB15" s="14">
        <f t="shared" si="25"/>
        <v>0</v>
      </c>
      <c r="AC15" s="12">
        <f t="shared" si="26"/>
        <v>0</v>
      </c>
      <c r="AD15" s="13">
        <f t="shared" si="27"/>
        <v>0</v>
      </c>
      <c r="AE15" s="14">
        <f t="shared" si="28"/>
        <v>0</v>
      </c>
      <c r="AF15" s="12">
        <f t="shared" si="29"/>
        <v>0</v>
      </c>
      <c r="AG15" s="13">
        <f t="shared" si="30"/>
        <v>0</v>
      </c>
      <c r="AH15" s="14">
        <f t="shared" si="31"/>
        <v>0</v>
      </c>
      <c r="AJ15" s="157">
        <f t="shared" si="48"/>
        <v>1</v>
      </c>
      <c r="AK15" s="160">
        <v>1</v>
      </c>
      <c r="AL15" s="160">
        <v>1</v>
      </c>
      <c r="AM15" s="25">
        <f>'Invoer Ventilatie'!F25</f>
        <v>0</v>
      </c>
      <c r="AN15" s="159">
        <v>1</v>
      </c>
      <c r="AO15" s="25">
        <f t="shared" si="32"/>
        <v>0</v>
      </c>
      <c r="AP15" s="159">
        <v>1</v>
      </c>
      <c r="AQ15">
        <f t="shared" si="33"/>
        <v>1</v>
      </c>
      <c r="AR15">
        <f>'Invoer Ventilatie'!G25</f>
        <v>0</v>
      </c>
      <c r="AS15">
        <v>1</v>
      </c>
      <c r="AT15" s="159">
        <f t="shared" si="34"/>
        <v>0</v>
      </c>
      <c r="AU15" s="159">
        <f t="shared" si="35"/>
        <v>0</v>
      </c>
      <c r="AW15" s="162">
        <f t="shared" si="8"/>
        <v>0</v>
      </c>
      <c r="AX15" s="163">
        <f t="shared" si="9"/>
        <v>0</v>
      </c>
      <c r="AY15" s="162">
        <f t="shared" si="10"/>
        <v>0</v>
      </c>
      <c r="AZ15" s="163">
        <f t="shared" si="11"/>
        <v>0</v>
      </c>
      <c r="BA15" s="162">
        <f t="shared" si="12"/>
        <v>0</v>
      </c>
      <c r="BB15" s="163">
        <f t="shared" si="13"/>
        <v>0</v>
      </c>
      <c r="BC15" s="162">
        <f t="shared" si="14"/>
        <v>0</v>
      </c>
      <c r="BD15" s="163">
        <f t="shared" si="15"/>
        <v>0</v>
      </c>
      <c r="BF15" s="12">
        <f t="shared" si="36"/>
        <v>0</v>
      </c>
      <c r="BG15" s="13">
        <f t="shared" si="37"/>
        <v>0</v>
      </c>
      <c r="BH15" s="14">
        <f t="shared" si="38"/>
        <v>0</v>
      </c>
      <c r="BI15" s="12">
        <f t="shared" si="39"/>
        <v>0</v>
      </c>
      <c r="BJ15" s="13">
        <f t="shared" si="40"/>
        <v>0</v>
      </c>
      <c r="BK15" s="14">
        <f t="shared" si="41"/>
        <v>0</v>
      </c>
      <c r="BL15" s="12">
        <f t="shared" si="42"/>
        <v>0</v>
      </c>
      <c r="BM15" s="13">
        <f t="shared" si="43"/>
        <v>0</v>
      </c>
      <c r="BN15" s="14">
        <f t="shared" si="44"/>
        <v>0</v>
      </c>
      <c r="BO15" s="12">
        <f t="shared" si="45"/>
        <v>0</v>
      </c>
      <c r="BP15" s="13">
        <f t="shared" si="46"/>
        <v>0</v>
      </c>
      <c r="BQ15" s="14">
        <f t="shared" si="47"/>
        <v>0</v>
      </c>
      <c r="BS15">
        <v>1</v>
      </c>
      <c r="BT15">
        <f>'Invoer Ventilatie'!M25</f>
        <v>0</v>
      </c>
      <c r="BU15">
        <f>IF(BS15=2,0.6*'Invoer Ventilatie'!L25,0)</f>
        <v>0</v>
      </c>
      <c r="BV15">
        <f>IF($AJ15=2,IF($BS15=2,'Invoer Ventilatie'!$K25,0),0)</f>
        <v>0</v>
      </c>
      <c r="BW15">
        <f>IF($AJ15=3,IF($BS15=2,'Invoer Ventilatie'!$K25,0),0)</f>
        <v>0</v>
      </c>
      <c r="BX15">
        <f>IF($AJ15=3,IF($BS15=4,'Invoer Ventilatie'!$K25,0),0)</f>
        <v>0</v>
      </c>
      <c r="BY15">
        <f>IF($AJ15=3,IF($BS15=5,'Invoer Ventilatie'!$K25,0),0)</f>
        <v>0</v>
      </c>
    </row>
    <row r="16" spans="1:77" x14ac:dyDescent="0.2">
      <c r="A16" s="157">
        <v>1</v>
      </c>
      <c r="B16" s="160">
        <v>1</v>
      </c>
      <c r="C16" s="160">
        <v>1</v>
      </c>
      <c r="D16" s="25">
        <f>'Invoer Ventilatie'!F11</f>
        <v>0</v>
      </c>
      <c r="E16" s="159">
        <v>1</v>
      </c>
      <c r="F16" s="25">
        <f t="shared" si="16"/>
        <v>0</v>
      </c>
      <c r="G16" s="159">
        <v>1</v>
      </c>
      <c r="H16">
        <f t="shared" si="17"/>
        <v>1</v>
      </c>
      <c r="I16">
        <f>'Invoer Ventilatie'!G11</f>
        <v>0</v>
      </c>
      <c r="J16">
        <v>1</v>
      </c>
      <c r="K16" s="159">
        <f t="shared" si="18"/>
        <v>0</v>
      </c>
      <c r="L16" s="159">
        <f t="shared" si="19"/>
        <v>0</v>
      </c>
      <c r="N16" s="162">
        <f t="shared" si="0"/>
        <v>0</v>
      </c>
      <c r="O16" s="163">
        <f t="shared" si="1"/>
        <v>0</v>
      </c>
      <c r="P16" s="162">
        <f t="shared" si="2"/>
        <v>0</v>
      </c>
      <c r="Q16" s="163">
        <f t="shared" si="3"/>
        <v>0</v>
      </c>
      <c r="R16" s="162">
        <f t="shared" si="4"/>
        <v>0</v>
      </c>
      <c r="S16" s="163">
        <f t="shared" si="5"/>
        <v>0</v>
      </c>
      <c r="T16" s="162">
        <f t="shared" si="6"/>
        <v>0</v>
      </c>
      <c r="U16" s="163">
        <f t="shared" si="7"/>
        <v>0</v>
      </c>
      <c r="W16" s="12">
        <f t="shared" si="20"/>
        <v>0</v>
      </c>
      <c r="X16" s="13">
        <f t="shared" si="21"/>
        <v>0</v>
      </c>
      <c r="Y16" s="14">
        <f t="shared" si="22"/>
        <v>0</v>
      </c>
      <c r="Z16" s="12">
        <f t="shared" si="23"/>
        <v>0</v>
      </c>
      <c r="AA16" s="13">
        <f t="shared" si="24"/>
        <v>0</v>
      </c>
      <c r="AB16" s="14">
        <f t="shared" si="25"/>
        <v>0</v>
      </c>
      <c r="AC16" s="12">
        <f t="shared" si="26"/>
        <v>0</v>
      </c>
      <c r="AD16" s="13">
        <f t="shared" si="27"/>
        <v>0</v>
      </c>
      <c r="AE16" s="14">
        <f t="shared" si="28"/>
        <v>0</v>
      </c>
      <c r="AF16" s="12">
        <f t="shared" si="29"/>
        <v>0</v>
      </c>
      <c r="AG16" s="13">
        <f t="shared" si="30"/>
        <v>0</v>
      </c>
      <c r="AH16" s="14">
        <f t="shared" si="31"/>
        <v>0</v>
      </c>
      <c r="AJ16" s="157">
        <f t="shared" si="48"/>
        <v>1</v>
      </c>
      <c r="AK16" s="160">
        <v>1</v>
      </c>
      <c r="AL16" s="160">
        <v>1</v>
      </c>
      <c r="AM16" s="25">
        <f>'Invoer Ventilatie'!F26</f>
        <v>0</v>
      </c>
      <c r="AN16" s="159">
        <v>1</v>
      </c>
      <c r="AO16" s="25">
        <f t="shared" si="32"/>
        <v>0</v>
      </c>
      <c r="AP16" s="159">
        <v>1</v>
      </c>
      <c r="AQ16">
        <f t="shared" si="33"/>
        <v>1</v>
      </c>
      <c r="AR16">
        <f>'Invoer Ventilatie'!G26</f>
        <v>0</v>
      </c>
      <c r="AS16">
        <v>1</v>
      </c>
      <c r="AT16" s="159">
        <f t="shared" si="34"/>
        <v>0</v>
      </c>
      <c r="AU16" s="159">
        <f t="shared" si="35"/>
        <v>0</v>
      </c>
      <c r="AW16" s="162">
        <f t="shared" si="8"/>
        <v>0</v>
      </c>
      <c r="AX16" s="163">
        <f t="shared" si="9"/>
        <v>0</v>
      </c>
      <c r="AY16" s="162">
        <f t="shared" si="10"/>
        <v>0</v>
      </c>
      <c r="AZ16" s="163">
        <f t="shared" si="11"/>
        <v>0</v>
      </c>
      <c r="BA16" s="162">
        <f t="shared" si="12"/>
        <v>0</v>
      </c>
      <c r="BB16" s="163">
        <f t="shared" si="13"/>
        <v>0</v>
      </c>
      <c r="BC16" s="162">
        <f t="shared" si="14"/>
        <v>0</v>
      </c>
      <c r="BD16" s="163">
        <f t="shared" si="15"/>
        <v>0</v>
      </c>
      <c r="BF16" s="12">
        <f t="shared" si="36"/>
        <v>0</v>
      </c>
      <c r="BG16" s="13">
        <f t="shared" si="37"/>
        <v>0</v>
      </c>
      <c r="BH16" s="14">
        <f t="shared" si="38"/>
        <v>0</v>
      </c>
      <c r="BI16" s="12">
        <f t="shared" si="39"/>
        <v>0</v>
      </c>
      <c r="BJ16" s="13">
        <f t="shared" si="40"/>
        <v>0</v>
      </c>
      <c r="BK16" s="14">
        <f t="shared" si="41"/>
        <v>0</v>
      </c>
      <c r="BL16" s="12">
        <f t="shared" si="42"/>
        <v>0</v>
      </c>
      <c r="BM16" s="13">
        <f t="shared" si="43"/>
        <v>0</v>
      </c>
      <c r="BN16" s="14">
        <f t="shared" si="44"/>
        <v>0</v>
      </c>
      <c r="BO16" s="12">
        <f t="shared" si="45"/>
        <v>0</v>
      </c>
      <c r="BP16" s="13">
        <f t="shared" si="46"/>
        <v>0</v>
      </c>
      <c r="BQ16" s="14">
        <f t="shared" si="47"/>
        <v>0</v>
      </c>
      <c r="BS16">
        <v>1</v>
      </c>
      <c r="BT16">
        <f>'Invoer Ventilatie'!M26</f>
        <v>0</v>
      </c>
      <c r="BU16">
        <f>IF(BS16=2,0.6*'Invoer Ventilatie'!L26,0)</f>
        <v>0</v>
      </c>
      <c r="BV16">
        <f>IF($AJ16=2,IF($BS16=2,'Invoer Ventilatie'!$K26,0),0)</f>
        <v>0</v>
      </c>
      <c r="BW16">
        <f>IF($AJ16=3,IF($BS16=2,'Invoer Ventilatie'!$K26,0),0)</f>
        <v>0</v>
      </c>
      <c r="BX16">
        <f>IF($AJ16=3,IF($BS16=4,'Invoer Ventilatie'!$K26,0),0)</f>
        <v>0</v>
      </c>
      <c r="BY16">
        <f>IF($AJ16=3,IF($BS16=5,'Invoer Ventilatie'!$K26,0),0)</f>
        <v>0</v>
      </c>
    </row>
    <row r="17" spans="1:77" x14ac:dyDescent="0.2">
      <c r="A17" s="157">
        <v>1</v>
      </c>
      <c r="B17" s="160">
        <v>1</v>
      </c>
      <c r="C17" s="160">
        <v>1</v>
      </c>
      <c r="D17" s="25">
        <f>'Invoer Ventilatie'!F12</f>
        <v>0</v>
      </c>
      <c r="E17" s="159">
        <v>1</v>
      </c>
      <c r="F17" s="25">
        <f t="shared" si="16"/>
        <v>0</v>
      </c>
      <c r="G17" s="159">
        <v>1</v>
      </c>
      <c r="H17">
        <f t="shared" si="17"/>
        <v>1</v>
      </c>
      <c r="I17">
        <f>'Invoer Ventilatie'!G12</f>
        <v>0</v>
      </c>
      <c r="J17">
        <v>1</v>
      </c>
      <c r="K17" s="159">
        <f t="shared" si="18"/>
        <v>0</v>
      </c>
      <c r="L17" s="159">
        <f t="shared" si="19"/>
        <v>0</v>
      </c>
      <c r="N17" s="162">
        <f t="shared" si="0"/>
        <v>0</v>
      </c>
      <c r="O17" s="163">
        <f t="shared" si="1"/>
        <v>0</v>
      </c>
      <c r="P17" s="162">
        <f t="shared" si="2"/>
        <v>0</v>
      </c>
      <c r="Q17" s="163">
        <f t="shared" si="3"/>
        <v>0</v>
      </c>
      <c r="R17" s="162">
        <f t="shared" si="4"/>
        <v>0</v>
      </c>
      <c r="S17" s="163">
        <f t="shared" si="5"/>
        <v>0</v>
      </c>
      <c r="T17" s="162">
        <f t="shared" si="6"/>
        <v>0</v>
      </c>
      <c r="U17" s="163">
        <f t="shared" si="7"/>
        <v>0</v>
      </c>
      <c r="W17" s="12">
        <f t="shared" si="20"/>
        <v>0</v>
      </c>
      <c r="X17" s="13">
        <f t="shared" si="21"/>
        <v>0</v>
      </c>
      <c r="Y17" s="14">
        <f t="shared" si="22"/>
        <v>0</v>
      </c>
      <c r="Z17" s="12">
        <f t="shared" si="23"/>
        <v>0</v>
      </c>
      <c r="AA17" s="13">
        <f t="shared" si="24"/>
        <v>0</v>
      </c>
      <c r="AB17" s="14">
        <f t="shared" si="25"/>
        <v>0</v>
      </c>
      <c r="AC17" s="12">
        <f t="shared" si="26"/>
        <v>0</v>
      </c>
      <c r="AD17" s="13">
        <f t="shared" si="27"/>
        <v>0</v>
      </c>
      <c r="AE17" s="14">
        <f t="shared" si="28"/>
        <v>0</v>
      </c>
      <c r="AF17" s="12">
        <f t="shared" si="29"/>
        <v>0</v>
      </c>
      <c r="AG17" s="13">
        <f t="shared" si="30"/>
        <v>0</v>
      </c>
      <c r="AH17" s="14">
        <f t="shared" si="31"/>
        <v>0</v>
      </c>
      <c r="AJ17" s="157">
        <f t="shared" si="48"/>
        <v>1</v>
      </c>
      <c r="AK17" s="160">
        <v>1</v>
      </c>
      <c r="AL17" s="160">
        <v>1</v>
      </c>
      <c r="AM17" s="25">
        <f>'Invoer Ventilatie'!F27</f>
        <v>0</v>
      </c>
      <c r="AN17" s="159">
        <v>1</v>
      </c>
      <c r="AO17" s="25">
        <f t="shared" si="32"/>
        <v>0</v>
      </c>
      <c r="AP17" s="159">
        <v>1</v>
      </c>
      <c r="AQ17">
        <f t="shared" si="33"/>
        <v>1</v>
      </c>
      <c r="AR17">
        <f>'Invoer Ventilatie'!G27</f>
        <v>0</v>
      </c>
      <c r="AS17">
        <v>1</v>
      </c>
      <c r="AT17" s="159">
        <f t="shared" si="34"/>
        <v>0</v>
      </c>
      <c r="AU17" s="159">
        <f t="shared" si="35"/>
        <v>0</v>
      </c>
      <c r="AW17" s="162">
        <f t="shared" si="8"/>
        <v>0</v>
      </c>
      <c r="AX17" s="163">
        <f t="shared" si="9"/>
        <v>0</v>
      </c>
      <c r="AY17" s="162">
        <f t="shared" si="10"/>
        <v>0</v>
      </c>
      <c r="AZ17" s="163">
        <f t="shared" si="11"/>
        <v>0</v>
      </c>
      <c r="BA17" s="162">
        <f t="shared" si="12"/>
        <v>0</v>
      </c>
      <c r="BB17" s="163">
        <f t="shared" si="13"/>
        <v>0</v>
      </c>
      <c r="BC17" s="162">
        <f t="shared" si="14"/>
        <v>0</v>
      </c>
      <c r="BD17" s="163">
        <f t="shared" si="15"/>
        <v>0</v>
      </c>
      <c r="BF17" s="12">
        <f t="shared" si="36"/>
        <v>0</v>
      </c>
      <c r="BG17" s="13">
        <f t="shared" si="37"/>
        <v>0</v>
      </c>
      <c r="BH17" s="14">
        <f t="shared" si="38"/>
        <v>0</v>
      </c>
      <c r="BI17" s="12">
        <f t="shared" si="39"/>
        <v>0</v>
      </c>
      <c r="BJ17" s="13">
        <f t="shared" si="40"/>
        <v>0</v>
      </c>
      <c r="BK17" s="14">
        <f t="shared" si="41"/>
        <v>0</v>
      </c>
      <c r="BL17" s="12">
        <f t="shared" si="42"/>
        <v>0</v>
      </c>
      <c r="BM17" s="13">
        <f t="shared" si="43"/>
        <v>0</v>
      </c>
      <c r="BN17" s="14">
        <f t="shared" si="44"/>
        <v>0</v>
      </c>
      <c r="BO17" s="12">
        <f t="shared" si="45"/>
        <v>0</v>
      </c>
      <c r="BP17" s="13">
        <f t="shared" si="46"/>
        <v>0</v>
      </c>
      <c r="BQ17" s="14">
        <f t="shared" si="47"/>
        <v>0</v>
      </c>
      <c r="BS17">
        <v>1</v>
      </c>
      <c r="BT17">
        <f>'Invoer Ventilatie'!M27</f>
        <v>0</v>
      </c>
      <c r="BU17">
        <f>IF(BS17=2,0.6*'Invoer Ventilatie'!L27,0)</f>
        <v>0</v>
      </c>
      <c r="BV17">
        <f>IF($AJ17=2,IF($BS17=2,'Invoer Ventilatie'!$K27,0),0)</f>
        <v>0</v>
      </c>
      <c r="BW17">
        <f>IF($AJ17=3,IF($BS17=2,'Invoer Ventilatie'!$K27,0),0)</f>
        <v>0</v>
      </c>
      <c r="BX17">
        <f>IF($AJ17=3,IF($BS17=4,'Invoer Ventilatie'!$K27,0),0)</f>
        <v>0</v>
      </c>
      <c r="BY17">
        <f>IF($AJ17=3,IF($BS17=5,'Invoer Ventilatie'!$K27,0),0)</f>
        <v>0</v>
      </c>
    </row>
    <row r="18" spans="1:77" x14ac:dyDescent="0.2">
      <c r="A18" s="157">
        <v>1</v>
      </c>
      <c r="B18" s="160">
        <v>1</v>
      </c>
      <c r="C18" s="160">
        <v>1</v>
      </c>
      <c r="D18" s="25">
        <f>'Invoer Ventilatie'!F13</f>
        <v>0</v>
      </c>
      <c r="E18" s="159">
        <v>1</v>
      </c>
      <c r="F18" s="25">
        <f t="shared" si="16"/>
        <v>0</v>
      </c>
      <c r="G18" s="159">
        <v>1</v>
      </c>
      <c r="H18">
        <f t="shared" si="17"/>
        <v>1</v>
      </c>
      <c r="I18">
        <f>'Invoer Ventilatie'!G13</f>
        <v>0</v>
      </c>
      <c r="J18">
        <v>1</v>
      </c>
      <c r="K18" s="159">
        <f t="shared" si="18"/>
        <v>0</v>
      </c>
      <c r="L18" s="159">
        <f t="shared" si="19"/>
        <v>0</v>
      </c>
      <c r="N18" s="162">
        <f t="shared" si="0"/>
        <v>0</v>
      </c>
      <c r="O18" s="163">
        <f t="shared" si="1"/>
        <v>0</v>
      </c>
      <c r="P18" s="162">
        <f t="shared" si="2"/>
        <v>0</v>
      </c>
      <c r="Q18" s="163">
        <f t="shared" si="3"/>
        <v>0</v>
      </c>
      <c r="R18" s="162">
        <f t="shared" si="4"/>
        <v>0</v>
      </c>
      <c r="S18" s="163">
        <f t="shared" si="5"/>
        <v>0</v>
      </c>
      <c r="T18" s="162">
        <f t="shared" si="6"/>
        <v>0</v>
      </c>
      <c r="U18" s="163">
        <f t="shared" si="7"/>
        <v>0</v>
      </c>
      <c r="W18" s="12">
        <f t="shared" si="20"/>
        <v>0</v>
      </c>
      <c r="X18" s="13">
        <f t="shared" si="21"/>
        <v>0</v>
      </c>
      <c r="Y18" s="14">
        <f t="shared" si="22"/>
        <v>0</v>
      </c>
      <c r="Z18" s="12">
        <f t="shared" si="23"/>
        <v>0</v>
      </c>
      <c r="AA18" s="13">
        <f t="shared" si="24"/>
        <v>0</v>
      </c>
      <c r="AB18" s="14">
        <f t="shared" si="25"/>
        <v>0</v>
      </c>
      <c r="AC18" s="12">
        <f t="shared" si="26"/>
        <v>0</v>
      </c>
      <c r="AD18" s="13">
        <f t="shared" si="27"/>
        <v>0</v>
      </c>
      <c r="AE18" s="14">
        <f t="shared" si="28"/>
        <v>0</v>
      </c>
      <c r="AF18" s="12">
        <f t="shared" si="29"/>
        <v>0</v>
      </c>
      <c r="AG18" s="13">
        <f t="shared" si="30"/>
        <v>0</v>
      </c>
      <c r="AH18" s="14">
        <f t="shared" si="31"/>
        <v>0</v>
      </c>
      <c r="AJ18" s="157">
        <f t="shared" si="48"/>
        <v>1</v>
      </c>
      <c r="AK18" s="160">
        <v>1</v>
      </c>
      <c r="AL18" s="160">
        <v>1</v>
      </c>
      <c r="AM18" s="25">
        <f>'Invoer Ventilatie'!F28</f>
        <v>0</v>
      </c>
      <c r="AN18" s="159">
        <v>1</v>
      </c>
      <c r="AO18" s="25">
        <f t="shared" si="32"/>
        <v>0</v>
      </c>
      <c r="AP18" s="159">
        <v>1</v>
      </c>
      <c r="AQ18">
        <f t="shared" si="33"/>
        <v>1</v>
      </c>
      <c r="AR18">
        <f>'Invoer Ventilatie'!G28</f>
        <v>0</v>
      </c>
      <c r="AS18">
        <v>1</v>
      </c>
      <c r="AT18" s="159">
        <f t="shared" si="34"/>
        <v>0</v>
      </c>
      <c r="AU18" s="159">
        <f t="shared" si="35"/>
        <v>0</v>
      </c>
      <c r="AW18" s="162">
        <f t="shared" si="8"/>
        <v>0</v>
      </c>
      <c r="AX18" s="163">
        <f t="shared" si="9"/>
        <v>0</v>
      </c>
      <c r="AY18" s="162">
        <f t="shared" si="10"/>
        <v>0</v>
      </c>
      <c r="AZ18" s="163">
        <f t="shared" si="11"/>
        <v>0</v>
      </c>
      <c r="BA18" s="162">
        <f t="shared" si="12"/>
        <v>0</v>
      </c>
      <c r="BB18" s="163">
        <f t="shared" si="13"/>
        <v>0</v>
      </c>
      <c r="BC18" s="162">
        <f t="shared" si="14"/>
        <v>0</v>
      </c>
      <c r="BD18" s="163">
        <f t="shared" si="15"/>
        <v>0</v>
      </c>
      <c r="BF18" s="12">
        <f t="shared" si="36"/>
        <v>0</v>
      </c>
      <c r="BG18" s="13">
        <f t="shared" si="37"/>
        <v>0</v>
      </c>
      <c r="BH18" s="14">
        <f t="shared" si="38"/>
        <v>0</v>
      </c>
      <c r="BI18" s="12">
        <f t="shared" si="39"/>
        <v>0</v>
      </c>
      <c r="BJ18" s="13">
        <f t="shared" si="40"/>
        <v>0</v>
      </c>
      <c r="BK18" s="14">
        <f t="shared" si="41"/>
        <v>0</v>
      </c>
      <c r="BL18" s="12">
        <f t="shared" si="42"/>
        <v>0</v>
      </c>
      <c r="BM18" s="13">
        <f t="shared" si="43"/>
        <v>0</v>
      </c>
      <c r="BN18" s="14">
        <f t="shared" si="44"/>
        <v>0</v>
      </c>
      <c r="BO18" s="12">
        <f t="shared" si="45"/>
        <v>0</v>
      </c>
      <c r="BP18" s="13">
        <f t="shared" si="46"/>
        <v>0</v>
      </c>
      <c r="BQ18" s="14">
        <f t="shared" si="47"/>
        <v>0</v>
      </c>
      <c r="BS18">
        <v>1</v>
      </c>
      <c r="BT18">
        <f>'Invoer Ventilatie'!M28</f>
        <v>0</v>
      </c>
      <c r="BU18">
        <f>IF(BS18=2,0.6*'Invoer Ventilatie'!L28,0)</f>
        <v>0</v>
      </c>
      <c r="BV18">
        <f>IF($AJ18=2,IF($BS18=2,'Invoer Ventilatie'!$K28,0),0)</f>
        <v>0</v>
      </c>
      <c r="BW18">
        <f>IF($AJ18=3,IF($BS18=2,'Invoer Ventilatie'!$K28,0),0)</f>
        <v>0</v>
      </c>
      <c r="BX18">
        <f>IF($AJ18=3,IF($BS18=4,'Invoer Ventilatie'!$K28,0),0)</f>
        <v>0</v>
      </c>
      <c r="BY18">
        <f>IF($AJ18=3,IF($BS18=5,'Invoer Ventilatie'!$K28,0),0)</f>
        <v>0</v>
      </c>
    </row>
    <row r="19" spans="1:77" x14ac:dyDescent="0.2">
      <c r="A19">
        <v>1</v>
      </c>
      <c r="B19">
        <v>1</v>
      </c>
      <c r="C19">
        <v>1</v>
      </c>
      <c r="D19" s="25">
        <f>'Invoer Ventilatie'!F14</f>
        <v>0</v>
      </c>
      <c r="E19">
        <v>1</v>
      </c>
      <c r="F19" s="25">
        <f t="shared" si="16"/>
        <v>0</v>
      </c>
      <c r="G19">
        <v>1</v>
      </c>
      <c r="H19">
        <f t="shared" si="17"/>
        <v>1</v>
      </c>
      <c r="I19">
        <f>'Invoer Ventilatie'!G14</f>
        <v>0</v>
      </c>
      <c r="J19">
        <v>1</v>
      </c>
      <c r="K19" s="159">
        <f t="shared" si="18"/>
        <v>0</v>
      </c>
      <c r="L19" s="159">
        <f t="shared" si="19"/>
        <v>0</v>
      </c>
      <c r="N19" s="162">
        <f t="shared" si="0"/>
        <v>0</v>
      </c>
      <c r="O19" s="163">
        <f t="shared" si="1"/>
        <v>0</v>
      </c>
      <c r="P19" s="162">
        <f t="shared" si="2"/>
        <v>0</v>
      </c>
      <c r="Q19" s="163">
        <f t="shared" si="3"/>
        <v>0</v>
      </c>
      <c r="R19" s="162">
        <f t="shared" si="4"/>
        <v>0</v>
      </c>
      <c r="S19" s="163">
        <f t="shared" si="5"/>
        <v>0</v>
      </c>
      <c r="T19" s="162">
        <f t="shared" si="6"/>
        <v>0</v>
      </c>
      <c r="U19" s="163">
        <f t="shared" si="7"/>
        <v>0</v>
      </c>
      <c r="W19" s="12">
        <f t="shared" si="20"/>
        <v>0</v>
      </c>
      <c r="X19" s="13">
        <f t="shared" si="21"/>
        <v>0</v>
      </c>
      <c r="Y19" s="14">
        <f t="shared" si="22"/>
        <v>0</v>
      </c>
      <c r="Z19" s="12">
        <f t="shared" si="23"/>
        <v>0</v>
      </c>
      <c r="AA19" s="13">
        <f t="shared" si="24"/>
        <v>0</v>
      </c>
      <c r="AB19" s="14">
        <f t="shared" si="25"/>
        <v>0</v>
      </c>
      <c r="AC19" s="12">
        <f t="shared" si="26"/>
        <v>0</v>
      </c>
      <c r="AD19" s="13">
        <f t="shared" si="27"/>
        <v>0</v>
      </c>
      <c r="AE19" s="14">
        <f t="shared" si="28"/>
        <v>0</v>
      </c>
      <c r="AF19" s="12">
        <f t="shared" si="29"/>
        <v>0</v>
      </c>
      <c r="AG19" s="13">
        <f t="shared" si="30"/>
        <v>0</v>
      </c>
      <c r="AH19" s="14">
        <f t="shared" si="31"/>
        <v>0</v>
      </c>
      <c r="AJ19" s="157">
        <f t="shared" si="48"/>
        <v>1</v>
      </c>
      <c r="AK19">
        <v>1</v>
      </c>
      <c r="AL19">
        <v>1</v>
      </c>
      <c r="AM19" s="25">
        <f>'Invoer Ventilatie'!F29</f>
        <v>0</v>
      </c>
      <c r="AN19">
        <v>1</v>
      </c>
      <c r="AO19" s="25">
        <f t="shared" si="32"/>
        <v>0</v>
      </c>
      <c r="AP19">
        <v>1</v>
      </c>
      <c r="AQ19">
        <f t="shared" si="33"/>
        <v>1</v>
      </c>
      <c r="AR19">
        <f>'Invoer Ventilatie'!G29</f>
        <v>0</v>
      </c>
      <c r="AS19">
        <v>1</v>
      </c>
      <c r="AT19" s="159">
        <f t="shared" si="34"/>
        <v>0</v>
      </c>
      <c r="AU19" s="159">
        <f t="shared" si="35"/>
        <v>0</v>
      </c>
      <c r="AW19" s="162">
        <f t="shared" si="8"/>
        <v>0</v>
      </c>
      <c r="AX19" s="163">
        <f t="shared" si="9"/>
        <v>0</v>
      </c>
      <c r="AY19" s="162">
        <f t="shared" si="10"/>
        <v>0</v>
      </c>
      <c r="AZ19" s="163">
        <f t="shared" si="11"/>
        <v>0</v>
      </c>
      <c r="BA19" s="162">
        <f t="shared" si="12"/>
        <v>0</v>
      </c>
      <c r="BB19" s="163">
        <f t="shared" si="13"/>
        <v>0</v>
      </c>
      <c r="BC19" s="162">
        <f t="shared" si="14"/>
        <v>0</v>
      </c>
      <c r="BD19" s="163">
        <f t="shared" si="15"/>
        <v>0</v>
      </c>
      <c r="BF19" s="12">
        <f t="shared" si="36"/>
        <v>0</v>
      </c>
      <c r="BG19" s="13">
        <f t="shared" si="37"/>
        <v>0</v>
      </c>
      <c r="BH19" s="14">
        <f t="shared" si="38"/>
        <v>0</v>
      </c>
      <c r="BI19" s="12">
        <f t="shared" si="39"/>
        <v>0</v>
      </c>
      <c r="BJ19" s="13">
        <f t="shared" si="40"/>
        <v>0</v>
      </c>
      <c r="BK19" s="14">
        <f t="shared" si="41"/>
        <v>0</v>
      </c>
      <c r="BL19" s="12">
        <f t="shared" si="42"/>
        <v>0</v>
      </c>
      <c r="BM19" s="13">
        <f t="shared" si="43"/>
        <v>0</v>
      </c>
      <c r="BN19" s="14">
        <f t="shared" si="44"/>
        <v>0</v>
      </c>
      <c r="BO19" s="12">
        <f t="shared" si="45"/>
        <v>0</v>
      </c>
      <c r="BP19" s="13">
        <f t="shared" si="46"/>
        <v>0</v>
      </c>
      <c r="BQ19" s="14">
        <f t="shared" si="47"/>
        <v>0</v>
      </c>
      <c r="BS19">
        <v>1</v>
      </c>
      <c r="BT19">
        <f>'Invoer Ventilatie'!M29</f>
        <v>0</v>
      </c>
      <c r="BU19">
        <f>IF(BS19=2,0.6*'Invoer Ventilatie'!L29,0)</f>
        <v>0</v>
      </c>
      <c r="BV19">
        <f>IF($AJ19=2,IF($BS19=2,'Invoer Ventilatie'!$K29,0),0)</f>
        <v>0</v>
      </c>
      <c r="BW19">
        <f>IF($AJ19=3,IF($BS19=2,'Invoer Ventilatie'!$K29,0),0)</f>
        <v>0</v>
      </c>
      <c r="BX19">
        <f>IF($AJ19=3,IF($BS19=4,'Invoer Ventilatie'!$K29,0),0)</f>
        <v>0</v>
      </c>
      <c r="BY19">
        <f>IF($AJ19=3,IF($BS19=5,'Invoer Ventilatie'!$K29,0),0)</f>
        <v>0</v>
      </c>
    </row>
    <row r="20" spans="1:77" x14ac:dyDescent="0.2">
      <c r="N20" s="164">
        <f t="shared" ref="N20:U20" si="49">SUM(N8:N19)</f>
        <v>0</v>
      </c>
      <c r="O20" s="165">
        <f t="shared" si="49"/>
        <v>0</v>
      </c>
      <c r="P20" s="164">
        <f t="shared" si="49"/>
        <v>0</v>
      </c>
      <c r="Q20" s="165">
        <f t="shared" si="49"/>
        <v>0</v>
      </c>
      <c r="R20" s="164">
        <f t="shared" si="49"/>
        <v>0</v>
      </c>
      <c r="S20" s="165">
        <f t="shared" si="49"/>
        <v>0</v>
      </c>
      <c r="T20" s="164">
        <f t="shared" si="49"/>
        <v>0</v>
      </c>
      <c r="U20" s="165">
        <f t="shared" si="49"/>
        <v>0</v>
      </c>
      <c r="W20" s="173">
        <f t="shared" ref="W20:AH20" si="50">SUM(W8:W19)</f>
        <v>0</v>
      </c>
      <c r="X20" s="174">
        <f t="shared" si="50"/>
        <v>0</v>
      </c>
      <c r="Y20" s="175">
        <f t="shared" si="50"/>
        <v>0</v>
      </c>
      <c r="Z20" s="173">
        <f t="shared" si="50"/>
        <v>0</v>
      </c>
      <c r="AA20" s="174">
        <f t="shared" si="50"/>
        <v>0</v>
      </c>
      <c r="AB20" s="175">
        <f t="shared" si="50"/>
        <v>0</v>
      </c>
      <c r="AC20" s="173">
        <f t="shared" si="50"/>
        <v>0</v>
      </c>
      <c r="AD20" s="174">
        <f t="shared" si="50"/>
        <v>0</v>
      </c>
      <c r="AE20" s="175">
        <f t="shared" si="50"/>
        <v>0</v>
      </c>
      <c r="AF20" s="173">
        <f t="shared" si="50"/>
        <v>0</v>
      </c>
      <c r="AG20" s="174">
        <f t="shared" si="50"/>
        <v>0</v>
      </c>
      <c r="AH20" s="175">
        <f t="shared" si="50"/>
        <v>0</v>
      </c>
      <c r="AW20" s="164">
        <f t="shared" ref="AW20:BD20" si="51">SUM(AW8:AW19)</f>
        <v>0</v>
      </c>
      <c r="AX20" s="165">
        <f t="shared" si="51"/>
        <v>0</v>
      </c>
      <c r="AY20" s="164">
        <f t="shared" si="51"/>
        <v>0</v>
      </c>
      <c r="AZ20" s="165">
        <f t="shared" si="51"/>
        <v>0</v>
      </c>
      <c r="BA20" s="164">
        <f t="shared" si="51"/>
        <v>0</v>
      </c>
      <c r="BB20" s="165">
        <f t="shared" si="51"/>
        <v>0</v>
      </c>
      <c r="BC20" s="164">
        <f t="shared" si="51"/>
        <v>0</v>
      </c>
      <c r="BD20" s="165">
        <f t="shared" si="51"/>
        <v>0</v>
      </c>
      <c r="BF20" s="281">
        <f t="shared" ref="BF20:BQ20" si="52">SUM(BF8:BF19)</f>
        <v>0</v>
      </c>
      <c r="BG20" s="282">
        <f t="shared" si="52"/>
        <v>0</v>
      </c>
      <c r="BH20" s="283">
        <f t="shared" si="52"/>
        <v>0</v>
      </c>
      <c r="BI20" s="281">
        <f t="shared" si="52"/>
        <v>0</v>
      </c>
      <c r="BJ20" s="282">
        <f t="shared" si="52"/>
        <v>0</v>
      </c>
      <c r="BK20" s="283">
        <f t="shared" si="52"/>
        <v>0</v>
      </c>
      <c r="BL20" s="281">
        <f t="shared" si="52"/>
        <v>0</v>
      </c>
      <c r="BM20" s="282">
        <f t="shared" si="52"/>
        <v>0</v>
      </c>
      <c r="BN20" s="283">
        <f t="shared" si="52"/>
        <v>0</v>
      </c>
      <c r="BO20" s="281">
        <f t="shared" si="52"/>
        <v>0</v>
      </c>
      <c r="BP20" s="282">
        <f t="shared" si="52"/>
        <v>0</v>
      </c>
      <c r="BQ20" s="283">
        <f t="shared" si="52"/>
        <v>0</v>
      </c>
      <c r="BV20">
        <f>SUM(BV8:BV19)</f>
        <v>0</v>
      </c>
      <c r="BW20">
        <f>SUM(BW8:BW19)</f>
        <v>0</v>
      </c>
      <c r="BX20">
        <f>SUM(BX8:BX19)</f>
        <v>0</v>
      </c>
      <c r="BY20">
        <f>SUM(BY8:BY19)</f>
        <v>0</v>
      </c>
    </row>
    <row r="21" spans="1:77" x14ac:dyDescent="0.2">
      <c r="M21" s="168"/>
      <c r="N21" s="168"/>
      <c r="O21" s="168"/>
      <c r="P21" s="168"/>
      <c r="Q21" s="168"/>
      <c r="R21" s="168"/>
      <c r="S21" s="168"/>
      <c r="T21" s="168"/>
      <c r="AV21" s="168"/>
      <c r="AW21" s="168"/>
      <c r="AX21" s="168"/>
      <c r="AY21" s="168"/>
      <c r="AZ21" s="168"/>
      <c r="BA21" s="168"/>
      <c r="BB21" s="168"/>
      <c r="BC21" s="168"/>
    </row>
    <row r="22" spans="1:77" x14ac:dyDescent="0.2">
      <c r="M22" s="168"/>
      <c r="N22" s="168"/>
      <c r="O22" s="168"/>
      <c r="P22" s="168"/>
      <c r="Q22" s="168"/>
      <c r="R22" s="168"/>
      <c r="S22" s="168"/>
      <c r="T22" s="168"/>
      <c r="AV22" s="168"/>
      <c r="AW22" s="168"/>
      <c r="AX22" s="168"/>
      <c r="AY22" s="168"/>
      <c r="AZ22" s="168"/>
      <c r="BA22" s="168"/>
      <c r="BB22" s="168"/>
      <c r="BC22" s="168"/>
    </row>
    <row r="23" spans="1:77" x14ac:dyDescent="0.2">
      <c r="A23" s="176" t="s">
        <v>460</v>
      </c>
      <c r="M23" s="168"/>
      <c r="N23" s="168"/>
      <c r="O23" s="168"/>
      <c r="P23" s="168"/>
      <c r="Q23" s="168"/>
      <c r="R23" s="168"/>
      <c r="S23" s="168"/>
      <c r="T23" s="168"/>
      <c r="AJ23" s="176" t="s">
        <v>460</v>
      </c>
      <c r="AV23" s="168"/>
      <c r="AW23" s="168"/>
      <c r="AX23" s="168"/>
      <c r="AY23" s="168"/>
      <c r="AZ23" s="168"/>
      <c r="BA23" s="168"/>
      <c r="BB23" s="168"/>
      <c r="BC23" s="168"/>
    </row>
    <row r="24" spans="1:77" x14ac:dyDescent="0.2">
      <c r="B24" t="s">
        <v>477</v>
      </c>
      <c r="C24" t="s">
        <v>478</v>
      </c>
      <c r="D24" s="157" t="s">
        <v>475</v>
      </c>
      <c r="E24" s="157" t="s">
        <v>479</v>
      </c>
      <c r="M24" s="168"/>
      <c r="N24" s="168"/>
      <c r="O24" s="168"/>
      <c r="P24" s="168"/>
      <c r="Q24" s="168"/>
      <c r="R24" s="168"/>
      <c r="S24" s="168"/>
      <c r="T24" s="168"/>
      <c r="AK24" t="s">
        <v>477</v>
      </c>
      <c r="AL24" t="s">
        <v>478</v>
      </c>
      <c r="AM24" s="157" t="s">
        <v>475</v>
      </c>
      <c r="AN24" s="157" t="s">
        <v>479</v>
      </c>
      <c r="AV24" s="168"/>
      <c r="AW24" s="168"/>
      <c r="AX24" s="168"/>
      <c r="AY24" s="168"/>
      <c r="AZ24" s="168"/>
      <c r="BA24" s="168"/>
      <c r="BB24" s="168"/>
      <c r="BC24" s="168"/>
    </row>
    <row r="25" spans="1:77" x14ac:dyDescent="0.2">
      <c r="A25" t="s">
        <v>67</v>
      </c>
      <c r="B25">
        <f>'Invoer Algemeen'!D16</f>
        <v>0</v>
      </c>
      <c r="C25">
        <f>B25-O20</f>
        <v>0</v>
      </c>
      <c r="D25">
        <f>C25*0.8*3.5*3.6</f>
        <v>0</v>
      </c>
      <c r="E25">
        <f>1.2*0.3*D25/3.6</f>
        <v>0</v>
      </c>
      <c r="M25" s="168"/>
      <c r="N25" s="168"/>
      <c r="O25" s="168"/>
      <c r="P25" s="168"/>
      <c r="Q25" s="168"/>
      <c r="R25" s="168"/>
      <c r="S25" s="168"/>
      <c r="T25" s="168"/>
      <c r="AJ25" t="s">
        <v>67</v>
      </c>
      <c r="AK25">
        <f>'Invoer Algemeen'!D16</f>
        <v>0</v>
      </c>
      <c r="AL25">
        <f>AK25-AX20</f>
        <v>0</v>
      </c>
      <c r="AM25">
        <f>AL25*0.8*3.5*3.6</f>
        <v>0</v>
      </c>
      <c r="AN25">
        <f>1.2*0.3*AM25/3.6</f>
        <v>0</v>
      </c>
      <c r="AV25" s="168"/>
      <c r="AW25" s="168"/>
      <c r="AX25" s="168"/>
      <c r="AY25" s="168"/>
      <c r="AZ25" s="168"/>
      <c r="BA25" s="168"/>
      <c r="BB25" s="168"/>
      <c r="BC25" s="168"/>
    </row>
    <row r="26" spans="1:77" x14ac:dyDescent="0.2">
      <c r="A26" t="s">
        <v>68</v>
      </c>
      <c r="B26">
        <f>'Invoer Algemeen'!D17</f>
        <v>0</v>
      </c>
      <c r="C26">
        <f>B26-Q20</f>
        <v>0</v>
      </c>
      <c r="D26">
        <f>C26*0.8*3.5*3.6</f>
        <v>0</v>
      </c>
      <c r="E26">
        <f>1.2*0.3*D26/3.6</f>
        <v>0</v>
      </c>
      <c r="M26" s="168"/>
      <c r="N26" s="168"/>
      <c r="O26" s="168"/>
      <c r="P26" s="168"/>
      <c r="Q26" s="168"/>
      <c r="R26" s="168"/>
      <c r="S26" s="168"/>
      <c r="T26" s="168"/>
      <c r="AJ26" t="s">
        <v>68</v>
      </c>
      <c r="AK26">
        <f>'Invoer Algemeen'!D17</f>
        <v>0</v>
      </c>
      <c r="AL26">
        <f>AK26-AZ20</f>
        <v>0</v>
      </c>
      <c r="AM26">
        <f>AL26*0.8*3.5*3.6</f>
        <v>0</v>
      </c>
      <c r="AN26">
        <f>1.2*0.3*AM26/3.6</f>
        <v>0</v>
      </c>
      <c r="AV26" s="168"/>
      <c r="AW26" s="168"/>
      <c r="AX26" s="168"/>
      <c r="AY26" s="168"/>
      <c r="AZ26" s="168"/>
      <c r="BA26" s="168"/>
      <c r="BB26" s="168"/>
      <c r="BC26" s="168"/>
    </row>
    <row r="27" spans="1:77" x14ac:dyDescent="0.2">
      <c r="A27" t="s">
        <v>69</v>
      </c>
      <c r="B27">
        <f>'Invoer Algemeen'!D18</f>
        <v>0</v>
      </c>
      <c r="C27">
        <f>B27-S20</f>
        <v>0</v>
      </c>
      <c r="D27">
        <f>C27*0.8*3.5*3.6</f>
        <v>0</v>
      </c>
      <c r="E27">
        <f>1.2*0.3*D27/3.6</f>
        <v>0</v>
      </c>
      <c r="M27" s="168"/>
      <c r="N27" s="168"/>
      <c r="O27" s="168"/>
      <c r="P27" s="168"/>
      <c r="Q27" s="168"/>
      <c r="R27" s="168"/>
      <c r="S27" s="168"/>
      <c r="T27" s="168"/>
      <c r="AJ27" t="s">
        <v>69</v>
      </c>
      <c r="AK27">
        <f>'Invoer Algemeen'!D18</f>
        <v>0</v>
      </c>
      <c r="AL27">
        <f>AK27-BB20</f>
        <v>0</v>
      </c>
      <c r="AM27">
        <f>AL27*0.8*3.5*3.6</f>
        <v>0</v>
      </c>
      <c r="AN27">
        <f>1.2*0.3*AM27/3.6</f>
        <v>0</v>
      </c>
      <c r="AV27" s="168"/>
      <c r="AW27" s="168"/>
      <c r="AX27" s="168"/>
      <c r="AY27" s="168"/>
      <c r="AZ27" s="168"/>
      <c r="BA27" s="168"/>
      <c r="BB27" s="168"/>
      <c r="BC27" s="168"/>
    </row>
    <row r="28" spans="1:77" x14ac:dyDescent="0.2">
      <c r="A28" t="s">
        <v>70</v>
      </c>
      <c r="B28">
        <f>'Invoer Algemeen'!D19</f>
        <v>0</v>
      </c>
      <c r="C28">
        <f>B28-U20</f>
        <v>0</v>
      </c>
      <c r="D28">
        <f>C28*0.8*3.5*3.6</f>
        <v>0</v>
      </c>
      <c r="E28">
        <f>1.2*0.3*D28/3.6</f>
        <v>0</v>
      </c>
      <c r="M28" s="168"/>
      <c r="N28" s="168"/>
      <c r="O28" s="168"/>
      <c r="P28" s="168"/>
      <c r="Q28" s="168"/>
      <c r="R28" s="168"/>
      <c r="S28" s="168"/>
      <c r="T28" s="168"/>
      <c r="AJ28" t="s">
        <v>70</v>
      </c>
      <c r="AK28">
        <f>'Invoer Algemeen'!D19</f>
        <v>0</v>
      </c>
      <c r="AL28">
        <f>AK28-BD20</f>
        <v>0</v>
      </c>
      <c r="AM28">
        <f>AL28*0.8*3.5*3.6</f>
        <v>0</v>
      </c>
      <c r="AN28">
        <f>1.2*0.3*AM28/3.6</f>
        <v>0</v>
      </c>
      <c r="AV28" s="168"/>
      <c r="AW28" s="168"/>
      <c r="AX28" s="168"/>
      <c r="AY28" s="168"/>
      <c r="AZ28" s="168"/>
      <c r="BA28" s="168"/>
      <c r="BB28" s="168"/>
      <c r="BC28" s="168"/>
    </row>
    <row r="29" spans="1:77" x14ac:dyDescent="0.2">
      <c r="M29" s="168"/>
      <c r="N29" s="168"/>
      <c r="O29" s="168"/>
      <c r="P29" s="168"/>
      <c r="Q29" s="168"/>
      <c r="R29" s="168"/>
      <c r="S29" s="168"/>
      <c r="T29" s="168"/>
      <c r="AV29" s="168"/>
      <c r="AW29" s="168"/>
      <c r="AX29" s="168"/>
      <c r="AY29" s="168"/>
      <c r="AZ29" s="168"/>
      <c r="BA29" s="168"/>
      <c r="BB29" s="168"/>
      <c r="BC29" s="168"/>
    </row>
    <row r="30" spans="1:77" x14ac:dyDescent="0.2">
      <c r="M30" s="168"/>
      <c r="N30" s="168"/>
      <c r="O30" s="168"/>
      <c r="P30" s="168"/>
      <c r="Q30" s="168"/>
      <c r="R30" s="168"/>
      <c r="S30" s="168"/>
      <c r="T30" s="168"/>
    </row>
    <row r="31" spans="1:77" x14ac:dyDescent="0.2">
      <c r="A31" s="176" t="s">
        <v>480</v>
      </c>
      <c r="M31" s="168"/>
      <c r="N31" s="168"/>
      <c r="O31" s="168"/>
      <c r="P31" s="168"/>
      <c r="Q31" s="168"/>
      <c r="R31" s="168"/>
      <c r="S31" s="168"/>
      <c r="T31" s="168"/>
    </row>
    <row r="32" spans="1:77" x14ac:dyDescent="0.2">
      <c r="C32" t="s">
        <v>67</v>
      </c>
      <c r="D32" s="157"/>
      <c r="E32" s="157"/>
      <c r="F32" t="s">
        <v>68</v>
      </c>
      <c r="G32" s="157"/>
      <c r="H32" s="157"/>
      <c r="I32" t="s">
        <v>69</v>
      </c>
      <c r="J32" s="157"/>
      <c r="K32" s="157"/>
      <c r="L32" t="s">
        <v>70</v>
      </c>
      <c r="M32" s="157"/>
      <c r="P32" s="160" t="s">
        <v>495</v>
      </c>
      <c r="Q32" s="168"/>
      <c r="R32" s="168"/>
      <c r="S32" s="168"/>
      <c r="T32" s="168"/>
      <c r="U32" s="168"/>
      <c r="V32" s="168"/>
      <c r="W32" s="168"/>
      <c r="AL32" t="s">
        <v>67</v>
      </c>
      <c r="AM32" s="157"/>
      <c r="AN32" s="157"/>
      <c r="AO32" t="s">
        <v>68</v>
      </c>
      <c r="AP32" s="157"/>
      <c r="AQ32" s="157"/>
      <c r="AR32" t="s">
        <v>69</v>
      </c>
      <c r="AS32" s="157"/>
      <c r="AT32" s="157"/>
      <c r="AU32" t="s">
        <v>70</v>
      </c>
      <c r="AV32" s="157"/>
    </row>
    <row r="33" spans="1:49" x14ac:dyDescent="0.2">
      <c r="C33" s="118" t="s">
        <v>950</v>
      </c>
      <c r="D33" s="118" t="s">
        <v>481</v>
      </c>
      <c r="E33" s="118" t="s">
        <v>515</v>
      </c>
      <c r="F33" s="118" t="s">
        <v>950</v>
      </c>
      <c r="G33" s="118" t="s">
        <v>481</v>
      </c>
      <c r="H33" s="118" t="s">
        <v>515</v>
      </c>
      <c r="I33" s="118" t="s">
        <v>950</v>
      </c>
      <c r="J33" s="118" t="s">
        <v>481</v>
      </c>
      <c r="K33" s="118" t="s">
        <v>515</v>
      </c>
      <c r="L33" s="118" t="s">
        <v>950</v>
      </c>
      <c r="M33" s="118" t="s">
        <v>481</v>
      </c>
      <c r="N33" s="118" t="s">
        <v>515</v>
      </c>
      <c r="P33" s="160" t="s">
        <v>26</v>
      </c>
      <c r="Q33" s="184" t="s">
        <v>496</v>
      </c>
      <c r="R33" s="168"/>
      <c r="S33" s="160" t="s">
        <v>497</v>
      </c>
      <c r="T33" s="184" t="s">
        <v>499</v>
      </c>
      <c r="U33" s="168"/>
      <c r="V33" s="160" t="s">
        <v>500</v>
      </c>
      <c r="AL33" s="118" t="s">
        <v>950</v>
      </c>
      <c r="AM33" s="118" t="s">
        <v>481</v>
      </c>
      <c r="AN33" s="118" t="s">
        <v>515</v>
      </c>
      <c r="AO33" s="118" t="s">
        <v>950</v>
      </c>
      <c r="AP33" s="118" t="s">
        <v>481</v>
      </c>
      <c r="AQ33" s="118" t="s">
        <v>515</v>
      </c>
      <c r="AR33" s="118" t="s">
        <v>950</v>
      </c>
      <c r="AS33" s="118" t="s">
        <v>481</v>
      </c>
      <c r="AT33" s="118" t="s">
        <v>515</v>
      </c>
      <c r="AU33" s="118" t="s">
        <v>950</v>
      </c>
      <c r="AV33" s="118" t="s">
        <v>481</v>
      </c>
      <c r="AW33" s="118" t="s">
        <v>515</v>
      </c>
    </row>
    <row r="34" spans="1:49" x14ac:dyDescent="0.2">
      <c r="A34" s="118" t="s">
        <v>216</v>
      </c>
      <c r="B34" s="169"/>
      <c r="C34" s="170">
        <f>$C$25</f>
        <v>0</v>
      </c>
      <c r="D34" s="170">
        <v>0.8</v>
      </c>
      <c r="E34" s="170">
        <v>0</v>
      </c>
      <c r="F34" s="170">
        <f>$C$26</f>
        <v>0</v>
      </c>
      <c r="G34" s="170">
        <v>0.8</v>
      </c>
      <c r="H34" s="170">
        <v>0</v>
      </c>
      <c r="I34" s="170">
        <f>$C$27</f>
        <v>0</v>
      </c>
      <c r="J34" s="170">
        <v>0.8</v>
      </c>
      <c r="K34" s="170">
        <v>0</v>
      </c>
      <c r="L34" s="170">
        <f>$C$28</f>
        <v>0</v>
      </c>
      <c r="M34" s="170">
        <v>0.8</v>
      </c>
      <c r="N34" s="170">
        <v>0</v>
      </c>
      <c r="O34" s="118" t="s">
        <v>67</v>
      </c>
      <c r="P34" s="168">
        <v>1</v>
      </c>
      <c r="Q34" s="168">
        <f>INDEX('Verwerken Algemeen'!$B$24:$B$27,'Verwerken ventilatie'!P34)</f>
        <v>0</v>
      </c>
      <c r="R34" s="168"/>
      <c r="S34" s="168">
        <f>IF('Verwerking Bouwdelen'!AG45=0,0,'Invoer Algemeen'!D16*'Invoer Algemeen'!E16/'Verwerking Bouwdelen'!AG45)</f>
        <v>0</v>
      </c>
      <c r="T34" s="168">
        <f>IF(S34&gt;25,0.3,IF(S34&gt;15,0.6,IF(S34&gt;10,0.8,IF(S34&gt;5,0.9,1))))</f>
        <v>1</v>
      </c>
      <c r="U34" s="168"/>
      <c r="V34" s="168">
        <f>IF('Invoer Algemeen'!C16&lt;1975,0.3,IF('Invoer Algemeen'!C16&gt;2005,0.4,1-0.02*('Invoer Algemeen'!C16-1975)))</f>
        <v>0.3</v>
      </c>
      <c r="AJ34" s="118" t="s">
        <v>216</v>
      </c>
      <c r="AK34" s="169"/>
      <c r="AL34" s="170">
        <f>AL25</f>
        <v>0</v>
      </c>
      <c r="AM34" s="170">
        <v>0.8</v>
      </c>
      <c r="AN34" s="170">
        <v>0</v>
      </c>
      <c r="AO34" s="170">
        <f>AL26</f>
        <v>0</v>
      </c>
      <c r="AP34" s="170">
        <v>0.8</v>
      </c>
      <c r="AQ34" s="170">
        <v>0</v>
      </c>
      <c r="AR34" s="170">
        <f>AL27</f>
        <v>0</v>
      </c>
      <c r="AS34" s="170">
        <v>0.8</v>
      </c>
      <c r="AT34" s="170">
        <v>0</v>
      </c>
      <c r="AU34" s="170">
        <f>AL28</f>
        <v>0</v>
      </c>
      <c r="AV34" s="170">
        <v>0.8</v>
      </c>
      <c r="AW34" s="170">
        <v>0</v>
      </c>
    </row>
    <row r="35" spans="1:49" x14ac:dyDescent="0.2">
      <c r="A35" s="118" t="s">
        <v>483</v>
      </c>
      <c r="B35" s="125"/>
      <c r="C35" s="125">
        <f>$W$20</f>
        <v>0</v>
      </c>
      <c r="D35" s="125">
        <v>0.85</v>
      </c>
      <c r="E35" s="125">
        <v>0.41</v>
      </c>
      <c r="F35" s="125">
        <f>$Z$20</f>
        <v>0</v>
      </c>
      <c r="G35" s="125">
        <v>0.85</v>
      </c>
      <c r="H35" s="125">
        <v>0.41</v>
      </c>
      <c r="I35" s="125">
        <f>$AC$20</f>
        <v>0</v>
      </c>
      <c r="J35" s="125">
        <v>0.85</v>
      </c>
      <c r="K35" s="125">
        <v>0.41</v>
      </c>
      <c r="L35" s="125">
        <f>$AF$20</f>
        <v>0</v>
      </c>
      <c r="M35" s="125">
        <v>0.85</v>
      </c>
      <c r="N35" s="125">
        <v>0.41</v>
      </c>
      <c r="O35" s="118" t="s">
        <v>68</v>
      </c>
      <c r="P35" s="168">
        <v>1</v>
      </c>
      <c r="Q35" s="168">
        <f>INDEX('Verwerken Algemeen'!$B$24:$B$27,'Verwerken ventilatie'!P35)</f>
        <v>0</v>
      </c>
      <c r="R35" s="168"/>
      <c r="S35" s="168">
        <f>IF('Verwerking Bouwdelen'!AH45=0,0,'Invoer Algemeen'!D17*'Invoer Algemeen'!E17/'Verwerking Bouwdelen'!AH45)</f>
        <v>0</v>
      </c>
      <c r="T35" s="168">
        <f>IF(S35&gt;25,0.3,IF(S35&gt;15,0.6,IF(S35&gt;10,0.8,IF(S35&gt;5,0.9,1))))</f>
        <v>1</v>
      </c>
      <c r="U35" s="168"/>
      <c r="V35" s="168">
        <f>IF('Invoer Algemeen'!C17&lt;1975,0.3,IF('Invoer Algemeen'!C17&gt;2005,0.4,1-0.02*('Invoer Algemeen'!C17-1975)))</f>
        <v>0.3</v>
      </c>
      <c r="AJ35" s="118" t="s">
        <v>483</v>
      </c>
      <c r="AK35" s="125"/>
      <c r="AL35" s="125">
        <f>BF20</f>
        <v>0</v>
      </c>
      <c r="AM35" s="125">
        <v>0.85</v>
      </c>
      <c r="AN35" s="125">
        <v>0.41</v>
      </c>
      <c r="AO35" s="125">
        <f>BI20</f>
        <v>0</v>
      </c>
      <c r="AP35" s="125">
        <v>0.85</v>
      </c>
      <c r="AQ35" s="125">
        <v>0.41</v>
      </c>
      <c r="AR35" s="125">
        <f>BL20</f>
        <v>0</v>
      </c>
      <c r="AS35" s="125">
        <v>0.85</v>
      </c>
      <c r="AT35" s="125">
        <v>0.41</v>
      </c>
      <c r="AU35" s="125">
        <f>BO20</f>
        <v>0</v>
      </c>
      <c r="AV35" s="125">
        <v>0.85</v>
      </c>
      <c r="AW35" s="125">
        <v>0.41</v>
      </c>
    </row>
    <row r="36" spans="1:49" x14ac:dyDescent="0.2">
      <c r="A36" s="118" t="s">
        <v>484</v>
      </c>
      <c r="C36">
        <f>$X$20</f>
        <v>0</v>
      </c>
      <c r="D36">
        <v>1</v>
      </c>
      <c r="E36">
        <v>0.25</v>
      </c>
      <c r="F36">
        <f>$AA$20</f>
        <v>0</v>
      </c>
      <c r="G36">
        <v>1</v>
      </c>
      <c r="H36">
        <v>0.25</v>
      </c>
      <c r="I36">
        <f>$AD$20</f>
        <v>0</v>
      </c>
      <c r="J36">
        <v>1</v>
      </c>
      <c r="K36">
        <v>0.25</v>
      </c>
      <c r="L36">
        <f>$AG$20</f>
        <v>0</v>
      </c>
      <c r="M36">
        <v>1</v>
      </c>
      <c r="N36">
        <v>0.25</v>
      </c>
      <c r="O36" s="118" t="s">
        <v>69</v>
      </c>
      <c r="P36" s="168">
        <v>1</v>
      </c>
      <c r="Q36" s="168">
        <f>INDEX('Verwerken Algemeen'!$B$24:$B$27,'Verwerken ventilatie'!P36)</f>
        <v>0</v>
      </c>
      <c r="R36" s="168"/>
      <c r="S36" s="168">
        <f>IF('Verwerking Bouwdelen'!AI45=0,0,'Invoer Algemeen'!D18*'Invoer Algemeen'!E18/'Verwerking Bouwdelen'!AI45)</f>
        <v>0</v>
      </c>
      <c r="T36" s="168">
        <f>IF(S36&gt;25,0.3,IF(S36&gt;15,0.6,IF(S36&gt;10,0.8,IF(S36&gt;5,0.9,1))))</f>
        <v>1</v>
      </c>
      <c r="U36" s="168"/>
      <c r="V36" s="168">
        <f>IF('Invoer Algemeen'!C18&lt;1975,0.3,IF('Invoer Algemeen'!C18&gt;2005,0.4,1-0.02*('Invoer Algemeen'!C18-1975)))</f>
        <v>0.3</v>
      </c>
      <c r="AJ36" s="118" t="s">
        <v>484</v>
      </c>
      <c r="AL36">
        <f>BG20</f>
        <v>0</v>
      </c>
      <c r="AM36">
        <v>1</v>
      </c>
      <c r="AN36">
        <v>0.25</v>
      </c>
      <c r="AO36">
        <f>BJ20</f>
        <v>0</v>
      </c>
      <c r="AP36">
        <v>1</v>
      </c>
      <c r="AQ36">
        <v>0.25</v>
      </c>
      <c r="AR36">
        <f>BM20</f>
        <v>0</v>
      </c>
      <c r="AS36">
        <v>1</v>
      </c>
      <c r="AT36">
        <v>0.25</v>
      </c>
      <c r="AU36">
        <f>BP20</f>
        <v>0</v>
      </c>
      <c r="AV36">
        <v>1</v>
      </c>
      <c r="AW36">
        <v>0.25</v>
      </c>
    </row>
    <row r="37" spans="1:49" x14ac:dyDescent="0.2">
      <c r="A37" s="118" t="s">
        <v>485</v>
      </c>
      <c r="C37">
        <f>$Y$20</f>
        <v>0</v>
      </c>
      <c r="D37">
        <v>1.1499999999999999</v>
      </c>
      <c r="E37">
        <v>0.41</v>
      </c>
      <c r="F37">
        <f>$AB$20</f>
        <v>0</v>
      </c>
      <c r="G37">
        <v>1.1499999999999999</v>
      </c>
      <c r="H37">
        <v>0.41</v>
      </c>
      <c r="I37">
        <f>$AE$20</f>
        <v>0</v>
      </c>
      <c r="J37">
        <v>1.1499999999999999</v>
      </c>
      <c r="K37">
        <v>0.41</v>
      </c>
      <c r="L37">
        <f>$AH$20</f>
        <v>0</v>
      </c>
      <c r="M37">
        <v>1.1499999999999999</v>
      </c>
      <c r="N37">
        <v>0.41</v>
      </c>
      <c r="O37" s="118" t="s">
        <v>70</v>
      </c>
      <c r="P37" s="168">
        <v>1</v>
      </c>
      <c r="Q37" s="168">
        <f>INDEX('Verwerken Algemeen'!$B$24:$B$27,'Verwerken ventilatie'!P37)</f>
        <v>0</v>
      </c>
      <c r="R37" s="168"/>
      <c r="S37" s="168">
        <f>IF('Verwerking Bouwdelen'!AJ45=0,0,'Invoer Algemeen'!D19*'Invoer Algemeen'!E19/'Verwerking Bouwdelen'!AJ45)</f>
        <v>0</v>
      </c>
      <c r="T37" s="168">
        <f>IF(S37&gt;25,0.3,IF(S37&gt;15,0.6,IF(S37&gt;10,0.8,IF(S37&gt;5,0.9,1))))</f>
        <v>1</v>
      </c>
      <c r="U37" s="168"/>
      <c r="V37" s="168">
        <f>IF('Invoer Algemeen'!C19&lt;1975,0.3,IF('Invoer Algemeen'!C19&gt;2005,0.4,1-0.02*('Invoer Algemeen'!C19-1975)))</f>
        <v>0.3</v>
      </c>
      <c r="AJ37" s="118" t="s">
        <v>485</v>
      </c>
      <c r="AL37">
        <f>BH20</f>
        <v>0</v>
      </c>
      <c r="AM37">
        <v>1.1499999999999999</v>
      </c>
      <c r="AN37">
        <v>0.41</v>
      </c>
      <c r="AO37">
        <f>BK20</f>
        <v>0</v>
      </c>
      <c r="AP37">
        <v>1.1499999999999999</v>
      </c>
      <c r="AQ37">
        <v>0.41</v>
      </c>
      <c r="AR37">
        <f>BN20</f>
        <v>0</v>
      </c>
      <c r="AS37">
        <v>1.1499999999999999</v>
      </c>
      <c r="AT37">
        <v>0.41</v>
      </c>
      <c r="AU37">
        <f>BQ20</f>
        <v>0</v>
      </c>
      <c r="AV37">
        <v>1.1499999999999999</v>
      </c>
      <c r="AW37">
        <v>0.41</v>
      </c>
    </row>
    <row r="38" spans="1:49" x14ac:dyDescent="0.2">
      <c r="C38" s="118" t="s">
        <v>487</v>
      </c>
      <c r="D38">
        <f>IF('Invoer Algemeen'!$D$16=0,0,(C34*D34+C35*D35+C36*D36+C37*D37)/(C34+C35+C36+C37))</f>
        <v>0</v>
      </c>
      <c r="E38">
        <f>IF('Invoer Algemeen'!$D$16=0,0,(C34*E34+C35*E35+C36*E36+C37*E37)/(C34+C35+C36+C37))</f>
        <v>0</v>
      </c>
      <c r="F38" s="118" t="s">
        <v>487</v>
      </c>
      <c r="G38">
        <f>IF('Invoer Algemeen'!$D$17=0,0,(F34*G34+F35*G35+F36*G36+F37*G37)/(F34+F35+F36+F37))</f>
        <v>0</v>
      </c>
      <c r="H38">
        <f>IF('Invoer Algemeen'!$D$17=0,0,(F34*H34+F35*H35+F36*H36+F37*H37)/(F34+F35+F36+F37))</f>
        <v>0</v>
      </c>
      <c r="I38" s="118" t="s">
        <v>487</v>
      </c>
      <c r="J38">
        <f>IF('Invoer Algemeen'!$D$18=0,0,(I34*J34+I35*J35+I36*J36+I37*J37)/(I34+I35+I36+I37))</f>
        <v>0</v>
      </c>
      <c r="K38">
        <f>IF('Invoer Algemeen'!$D$18=0,0,(I34*K34+I35*K35+I36*K36+I37*K37)/(I34+I35+I36+I37))</f>
        <v>0</v>
      </c>
      <c r="L38" s="118" t="s">
        <v>487</v>
      </c>
      <c r="M38">
        <f>IF('Invoer Algemeen'!$D$19=0,0,(L34*M34+L35*M35+L36*M36+L37*M37)/(L34+L35+L36+L37))</f>
        <v>0</v>
      </c>
      <c r="N38">
        <f>IF('Invoer Algemeen'!$D$19=0,0,(L34*N34+L35*N35+L36*N36+L37*N37)/(L34+L35+L36+L37))</f>
        <v>0</v>
      </c>
      <c r="P38" s="168"/>
      <c r="Q38" s="168"/>
      <c r="R38" s="168"/>
      <c r="S38" s="168"/>
      <c r="T38" s="168"/>
      <c r="U38" s="168"/>
      <c r="V38" s="168"/>
      <c r="W38" s="168"/>
      <c r="AL38" s="118" t="s">
        <v>487</v>
      </c>
      <c r="AM38">
        <f>IF('Invoer Algemeen'!$D$16=0,0,(AL34*AM34+AL35*AM35+AL36*AM36+AL37*AM37)/(AL34+AL35+AL36+AL37))</f>
        <v>0</v>
      </c>
      <c r="AN38">
        <f>IF('Invoer Algemeen'!$D$16=0,0,(AL34*AN34+AL35*AN35+AL36*AN36+AL37*AN37)/(AL34+AL35+AL36+AL37))</f>
        <v>0</v>
      </c>
      <c r="AO38" s="118" t="s">
        <v>487</v>
      </c>
      <c r="AP38">
        <f>IF('Invoer Algemeen'!$D$17=0,0,(AO34*AP34+AO35*AP35+AO36*AP36+AO37*AP37)/(AO34+AO35+AO36+AO37))</f>
        <v>0</v>
      </c>
      <c r="AQ38">
        <f>IF('Invoer Algemeen'!$D$17=0,0,(AO34*AQ34+AO35*AQ35+AO36*AQ36+AO37*AQ37)/(AO34+AO35+AO36+AO37))</f>
        <v>0</v>
      </c>
      <c r="AR38" s="118" t="s">
        <v>487</v>
      </c>
      <c r="AS38">
        <f>IF('Invoer Algemeen'!$D$18=0,0,(AR34*AS34+AR35*AS35+AR36*AS36+AR37*AS37)/(AR34+AR35+AR36+AR37))</f>
        <v>0</v>
      </c>
      <c r="AT38">
        <f>IF('Invoer Algemeen'!$D$18=0,0,(AR34*AT34+AR35*AT35+AR36*AT36+AR37*AT37)/(AR34+AR35+AR36+AR37))</f>
        <v>0</v>
      </c>
      <c r="AU38" s="118" t="s">
        <v>487</v>
      </c>
      <c r="AV38">
        <f>IF('Invoer Algemeen'!$D$19=0,0,(AU34*AV34+AU35*AV35+AU36*AV36+AU37*AV37)/(AU34+AU35+AU36+AU37))</f>
        <v>0</v>
      </c>
      <c r="AW38">
        <f>IF('Invoer Algemeen'!$D$19=0,0,(AU34*AW34+AU35*AW35+AU36*AW36+AU37*AW37)/(AU34+AU35+AU36+AU37))</f>
        <v>0</v>
      </c>
    </row>
    <row r="39" spans="1:49" x14ac:dyDescent="0.2">
      <c r="M39" s="168"/>
      <c r="N39" s="168"/>
      <c r="O39" s="168"/>
      <c r="P39" s="168"/>
      <c r="Q39" s="168"/>
      <c r="R39" s="168"/>
      <c r="S39" s="168"/>
      <c r="T39" s="168"/>
      <c r="AV39" s="168"/>
      <c r="AW39" s="168"/>
    </row>
    <row r="40" spans="1:49" x14ac:dyDescent="0.2">
      <c r="M40" s="168"/>
      <c r="N40" s="168"/>
      <c r="O40" s="168"/>
      <c r="P40" s="168"/>
      <c r="Q40" s="168"/>
      <c r="R40" s="168"/>
      <c r="S40" s="168"/>
      <c r="T40" s="168"/>
    </row>
    <row r="41" spans="1:49" x14ac:dyDescent="0.2">
      <c r="B41" s="118" t="s">
        <v>481</v>
      </c>
      <c r="C41" s="118" t="s">
        <v>732</v>
      </c>
      <c r="D41" s="157" t="s">
        <v>501</v>
      </c>
      <c r="M41" s="168"/>
      <c r="N41" s="168"/>
      <c r="O41" s="168"/>
      <c r="P41" s="168"/>
      <c r="Q41" s="168"/>
      <c r="R41" s="168"/>
      <c r="S41" s="168"/>
      <c r="T41" s="168"/>
      <c r="AK41" s="118" t="s">
        <v>481</v>
      </c>
      <c r="AL41" s="118" t="s">
        <v>491</v>
      </c>
      <c r="AM41" s="157" t="s">
        <v>501</v>
      </c>
    </row>
    <row r="42" spans="1:49" x14ac:dyDescent="0.2">
      <c r="A42" t="s">
        <v>67</v>
      </c>
      <c r="B42">
        <f>D38</f>
        <v>0</v>
      </c>
      <c r="C42">
        <f>IF('Invoer Algemeen'!$C$16&lt;1995,0.26,0.15)</f>
        <v>0.26</v>
      </c>
      <c r="D42">
        <f>B42*C42*'Invoer Algemeen'!D16*1.2</f>
        <v>0</v>
      </c>
      <c r="M42" s="168"/>
      <c r="N42" s="168"/>
      <c r="O42" s="168"/>
      <c r="P42" s="168"/>
      <c r="Q42" s="168"/>
      <c r="R42" s="168"/>
      <c r="S42" s="168"/>
      <c r="T42" s="168"/>
      <c r="AJ42" t="s">
        <v>67</v>
      </c>
      <c r="AK42">
        <f>AM38</f>
        <v>0</v>
      </c>
      <c r="AL42">
        <f>IF('Invoer Algemeen'!C16&lt;1995,0.26,0.15)</f>
        <v>0.26</v>
      </c>
      <c r="AM42">
        <f>AK42*AL42*'Invoer Algemeen'!D16*1.2</f>
        <v>0</v>
      </c>
    </row>
    <row r="43" spans="1:49" x14ac:dyDescent="0.2">
      <c r="A43" t="s">
        <v>68</v>
      </c>
      <c r="B43">
        <f>G38</f>
        <v>0</v>
      </c>
      <c r="C43">
        <f>IF('Invoer Algemeen'!C17&lt;1995,0.26,0.15)</f>
        <v>0.26</v>
      </c>
      <c r="D43">
        <f>B43*C43*'Invoer Algemeen'!D17*1.2</f>
        <v>0</v>
      </c>
      <c r="M43" s="168"/>
      <c r="N43" s="168"/>
      <c r="O43" s="168"/>
      <c r="P43" s="168"/>
      <c r="Q43" s="168"/>
      <c r="R43" s="168"/>
      <c r="S43" s="168"/>
      <c r="T43" s="168"/>
      <c r="AJ43" t="s">
        <v>68</v>
      </c>
      <c r="AK43">
        <f>AP38</f>
        <v>0</v>
      </c>
      <c r="AL43">
        <f>IF('Invoer Algemeen'!C17&lt;1995,0.26,0.15)</f>
        <v>0.26</v>
      </c>
      <c r="AM43">
        <f>AK43*AL43*'Invoer Algemeen'!D17*1.2</f>
        <v>0</v>
      </c>
    </row>
    <row r="44" spans="1:49" x14ac:dyDescent="0.2">
      <c r="A44" t="s">
        <v>69</v>
      </c>
      <c r="B44">
        <f>J38</f>
        <v>0</v>
      </c>
      <c r="C44">
        <f>IF('Invoer Algemeen'!C18&lt;1995,0.26,0.15)</f>
        <v>0.26</v>
      </c>
      <c r="D44">
        <f>B44*C44*'Invoer Algemeen'!D18*1.2</f>
        <v>0</v>
      </c>
      <c r="M44" s="168"/>
      <c r="N44" s="168"/>
      <c r="O44" s="168"/>
      <c r="P44" s="168"/>
      <c r="Q44" s="168"/>
      <c r="R44" s="168"/>
      <c r="S44" s="168"/>
      <c r="T44" s="168"/>
      <c r="AJ44" t="s">
        <v>69</v>
      </c>
      <c r="AK44">
        <f>AS38</f>
        <v>0</v>
      </c>
      <c r="AL44">
        <f>IF('Invoer Algemeen'!C18&lt;1995,0.26,0.15)</f>
        <v>0.26</v>
      </c>
      <c r="AM44">
        <f>AK44*AL44*'Invoer Algemeen'!D18*1.2</f>
        <v>0</v>
      </c>
    </row>
    <row r="45" spans="1:49" x14ac:dyDescent="0.2">
      <c r="A45" t="s">
        <v>70</v>
      </c>
      <c r="B45">
        <f>M38</f>
        <v>0</v>
      </c>
      <c r="C45">
        <f>IF('Invoer Algemeen'!C19&lt;1995,0.26,0.15)</f>
        <v>0.26</v>
      </c>
      <c r="D45">
        <f>B45*C45*'Invoer Algemeen'!D19*1.2</f>
        <v>0</v>
      </c>
      <c r="M45" s="168"/>
      <c r="N45" s="168"/>
      <c r="O45" s="168"/>
      <c r="P45" s="168"/>
      <c r="Q45" s="168"/>
      <c r="R45" s="168"/>
      <c r="S45" s="168"/>
      <c r="T45" s="168"/>
      <c r="AJ45" t="s">
        <v>70</v>
      </c>
      <c r="AK45">
        <f>AV38</f>
        <v>0</v>
      </c>
      <c r="AL45">
        <f>IF('Invoer Algemeen'!C19&lt;1995,0.26,0.15)</f>
        <v>0.26</v>
      </c>
      <c r="AM45">
        <f>AK45*AL45*'Invoer Algemeen'!D19*1.2</f>
        <v>0</v>
      </c>
    </row>
    <row r="46" spans="1:49" x14ac:dyDescent="0.2">
      <c r="M46" s="168"/>
      <c r="N46" s="168"/>
      <c r="O46" s="168"/>
      <c r="P46" s="168"/>
      <c r="Q46" s="168"/>
      <c r="R46" s="168"/>
      <c r="S46" s="168"/>
      <c r="T46" s="168"/>
    </row>
    <row r="47" spans="1:49" x14ac:dyDescent="0.2">
      <c r="M47" s="168"/>
      <c r="N47" s="168"/>
      <c r="O47" s="168"/>
      <c r="P47" s="168"/>
      <c r="Q47" s="168"/>
      <c r="R47" s="168"/>
      <c r="S47" s="168"/>
      <c r="T47" s="168"/>
    </row>
    <row r="48" spans="1:49" x14ac:dyDescent="0.2">
      <c r="A48" t="s">
        <v>951</v>
      </c>
      <c r="M48" s="168"/>
      <c r="N48" s="168"/>
      <c r="O48" s="168"/>
      <c r="P48" s="168"/>
      <c r="Q48" s="168"/>
      <c r="R48" s="168"/>
      <c r="S48" s="168"/>
      <c r="T48" s="168"/>
      <c r="AJ48" t="s">
        <v>510</v>
      </c>
    </row>
    <row r="49" spans="1:44" x14ac:dyDescent="0.2">
      <c r="M49" s="168"/>
      <c r="N49" s="168"/>
      <c r="O49" s="168"/>
      <c r="P49" s="168"/>
      <c r="Q49" s="168"/>
      <c r="R49" s="168"/>
      <c r="S49" s="168"/>
      <c r="T49" s="168"/>
    </row>
    <row r="50" spans="1:44" x14ac:dyDescent="0.2">
      <c r="B50" s="565" t="s">
        <v>67</v>
      </c>
      <c r="C50" s="565"/>
      <c r="D50" s="565" t="s">
        <v>68</v>
      </c>
      <c r="E50" s="565"/>
      <c r="F50" s="565" t="s">
        <v>69</v>
      </c>
      <c r="G50" s="565"/>
      <c r="H50" s="565" t="s">
        <v>70</v>
      </c>
      <c r="I50" s="565"/>
      <c r="M50" s="168"/>
      <c r="N50" s="168"/>
      <c r="O50" s="168"/>
      <c r="P50" s="168"/>
      <c r="Q50" s="168"/>
      <c r="R50" s="168"/>
      <c r="S50" s="168"/>
      <c r="T50" s="168"/>
      <c r="AK50" s="565" t="s">
        <v>67</v>
      </c>
      <c r="AL50" s="565"/>
      <c r="AM50" s="565" t="s">
        <v>68</v>
      </c>
      <c r="AN50" s="565"/>
      <c r="AO50" s="565" t="s">
        <v>69</v>
      </c>
      <c r="AP50" s="565"/>
      <c r="AQ50" s="565" t="s">
        <v>70</v>
      </c>
      <c r="AR50" s="565"/>
    </row>
    <row r="51" spans="1:44" x14ac:dyDescent="0.2">
      <c r="B51" s="118" t="s">
        <v>950</v>
      </c>
      <c r="C51" s="118" t="s">
        <v>511</v>
      </c>
      <c r="D51" s="118" t="s">
        <v>950</v>
      </c>
      <c r="E51" s="118" t="s">
        <v>511</v>
      </c>
      <c r="F51" s="118" t="s">
        <v>950</v>
      </c>
      <c r="G51" s="118" t="s">
        <v>511</v>
      </c>
      <c r="H51" s="118" t="s">
        <v>950</v>
      </c>
      <c r="I51" s="118" t="s">
        <v>511</v>
      </c>
      <c r="M51" s="168"/>
      <c r="N51" s="168"/>
      <c r="O51" s="168"/>
      <c r="P51" s="168"/>
      <c r="Q51" s="168"/>
      <c r="R51" s="168"/>
      <c r="S51" s="168"/>
      <c r="T51" s="168"/>
      <c r="AK51" s="118" t="s">
        <v>950</v>
      </c>
      <c r="AL51" s="118" t="s">
        <v>511</v>
      </c>
      <c r="AM51" s="118" t="s">
        <v>950</v>
      </c>
      <c r="AN51" s="118" t="s">
        <v>511</v>
      </c>
      <c r="AO51" s="118" t="s">
        <v>950</v>
      </c>
      <c r="AP51" s="118" t="s">
        <v>511</v>
      </c>
      <c r="AQ51" s="118" t="s">
        <v>950</v>
      </c>
      <c r="AR51" s="118" t="s">
        <v>511</v>
      </c>
    </row>
    <row r="52" spans="1:44" x14ac:dyDescent="0.2">
      <c r="A52" s="118" t="s">
        <v>216</v>
      </c>
      <c r="B52" s="170">
        <f>$C$25</f>
        <v>0</v>
      </c>
      <c r="C52" s="170">
        <v>0.8</v>
      </c>
      <c r="D52" s="170">
        <f>$C$26</f>
        <v>0</v>
      </c>
      <c r="E52" s="170">
        <v>0.8</v>
      </c>
      <c r="F52" s="170">
        <f>$C$27</f>
        <v>0</v>
      </c>
      <c r="G52" s="170">
        <v>0.8</v>
      </c>
      <c r="H52" s="170">
        <f>$C$28</f>
        <v>0</v>
      </c>
      <c r="I52" s="170">
        <v>0.8</v>
      </c>
      <c r="M52" s="168"/>
      <c r="N52" s="168"/>
      <c r="O52" s="168"/>
      <c r="P52" s="168"/>
      <c r="Q52" s="168"/>
      <c r="R52" s="168"/>
      <c r="S52" s="168"/>
      <c r="T52" s="168"/>
      <c r="AJ52" s="118" t="s">
        <v>216</v>
      </c>
      <c r="AK52" s="170">
        <f>AL34</f>
        <v>0</v>
      </c>
      <c r="AL52" s="170">
        <v>0.8</v>
      </c>
      <c r="AM52" s="170">
        <f>AO34</f>
        <v>0</v>
      </c>
      <c r="AN52" s="170">
        <v>0.8</v>
      </c>
      <c r="AO52" s="170">
        <f>AR34</f>
        <v>0</v>
      </c>
      <c r="AP52" s="170">
        <v>0.8</v>
      </c>
      <c r="AQ52" s="170">
        <f>AU34</f>
        <v>0</v>
      </c>
      <c r="AR52" s="170">
        <v>0.8</v>
      </c>
    </row>
    <row r="53" spans="1:44" x14ac:dyDescent="0.2">
      <c r="A53" s="118" t="s">
        <v>483</v>
      </c>
      <c r="B53" s="125">
        <f>$W$20</f>
        <v>0</v>
      </c>
      <c r="C53" s="125">
        <v>0.3</v>
      </c>
      <c r="D53" s="125">
        <f>$Z$20</f>
        <v>0</v>
      </c>
      <c r="E53" s="125">
        <v>0.3</v>
      </c>
      <c r="F53" s="125">
        <f>$AC$20</f>
        <v>0</v>
      </c>
      <c r="G53" s="125">
        <v>0.3</v>
      </c>
      <c r="H53" s="125">
        <f>$AF$20</f>
        <v>0</v>
      </c>
      <c r="I53" s="125">
        <v>0.3</v>
      </c>
      <c r="M53" s="168"/>
      <c r="N53" s="168"/>
      <c r="O53" s="168"/>
      <c r="P53" s="168"/>
      <c r="Q53" s="168"/>
      <c r="R53" s="168"/>
      <c r="S53" s="168"/>
      <c r="T53" s="168"/>
      <c r="AJ53" s="118" t="s">
        <v>483</v>
      </c>
      <c r="AK53" s="170">
        <f>AL35</f>
        <v>0</v>
      </c>
      <c r="AL53" s="125">
        <v>0.3</v>
      </c>
      <c r="AM53" s="170">
        <f>AO35</f>
        <v>0</v>
      </c>
      <c r="AN53" s="125">
        <v>0.3</v>
      </c>
      <c r="AO53" s="170">
        <f>AR35</f>
        <v>0</v>
      </c>
      <c r="AP53" s="125">
        <v>0.3</v>
      </c>
      <c r="AQ53" s="170">
        <f>AU35</f>
        <v>0</v>
      </c>
      <c r="AR53" s="125">
        <v>0.3</v>
      </c>
    </row>
    <row r="54" spans="1:44" x14ac:dyDescent="0.2">
      <c r="A54" s="118" t="s">
        <v>484</v>
      </c>
      <c r="B54">
        <f>$X$20</f>
        <v>0</v>
      </c>
      <c r="C54">
        <v>0</v>
      </c>
      <c r="D54">
        <f>$AA$20</f>
        <v>0</v>
      </c>
      <c r="E54">
        <v>0</v>
      </c>
      <c r="F54">
        <f>$AD$20</f>
        <v>0</v>
      </c>
      <c r="G54">
        <v>0</v>
      </c>
      <c r="H54">
        <f>$AG$20</f>
        <v>0</v>
      </c>
      <c r="I54">
        <v>0</v>
      </c>
      <c r="M54" s="168"/>
      <c r="N54" s="168"/>
      <c r="O54" s="168"/>
      <c r="P54" s="168"/>
      <c r="Q54" s="168"/>
      <c r="R54" s="168"/>
      <c r="S54" s="168"/>
      <c r="T54" s="168"/>
      <c r="AJ54" s="118" t="s">
        <v>484</v>
      </c>
      <c r="AK54" s="170">
        <f>AL36</f>
        <v>0</v>
      </c>
      <c r="AL54">
        <v>0</v>
      </c>
      <c r="AM54" s="170">
        <f>AO36</f>
        <v>0</v>
      </c>
      <c r="AN54">
        <v>0</v>
      </c>
      <c r="AO54" s="170">
        <f>AR36</f>
        <v>0</v>
      </c>
      <c r="AP54">
        <v>0</v>
      </c>
      <c r="AQ54" s="170">
        <f>AU36</f>
        <v>0</v>
      </c>
      <c r="AR54">
        <v>0</v>
      </c>
    </row>
    <row r="55" spans="1:44" x14ac:dyDescent="0.2">
      <c r="A55" s="118" t="s">
        <v>485</v>
      </c>
      <c r="B55">
        <f>$Y$20</f>
        <v>0</v>
      </c>
      <c r="C55">
        <v>0.8</v>
      </c>
      <c r="D55">
        <f>$AB$20</f>
        <v>0</v>
      </c>
      <c r="E55">
        <v>0.8</v>
      </c>
      <c r="F55">
        <f>$AE$20</f>
        <v>0</v>
      </c>
      <c r="G55">
        <v>0.8</v>
      </c>
      <c r="H55">
        <f>$AH$20</f>
        <v>0</v>
      </c>
      <c r="I55">
        <v>0.8</v>
      </c>
      <c r="M55" s="168"/>
      <c r="N55" s="168"/>
      <c r="O55" s="168"/>
      <c r="P55" s="168"/>
      <c r="Q55" s="168"/>
      <c r="R55" s="168"/>
      <c r="S55" s="168"/>
      <c r="T55" s="168"/>
      <c r="AJ55" s="118" t="s">
        <v>485</v>
      </c>
      <c r="AK55" s="170">
        <f>AL37</f>
        <v>0</v>
      </c>
      <c r="AL55">
        <v>0.8</v>
      </c>
      <c r="AM55" s="170">
        <f>AO37</f>
        <v>0</v>
      </c>
      <c r="AN55">
        <v>0.8</v>
      </c>
      <c r="AO55" s="170">
        <f>AR37</f>
        <v>0</v>
      </c>
      <c r="AP55">
        <v>0.8</v>
      </c>
      <c r="AQ55" s="170">
        <f>AU37</f>
        <v>0</v>
      </c>
      <c r="AR55">
        <v>0.8</v>
      </c>
    </row>
    <row r="56" spans="1:44" x14ac:dyDescent="0.2">
      <c r="B56" s="118" t="s">
        <v>487</v>
      </c>
      <c r="C56">
        <f>IF('Invoer Algemeen'!$D$16=0,0,(B52*C52+B53*C53+B54*C54+B55*C55)/(B52+B53+B54+B55))</f>
        <v>0</v>
      </c>
      <c r="D56" s="118" t="s">
        <v>487</v>
      </c>
      <c r="E56">
        <f>IF('Invoer Algemeen'!$D$17=0,0,(D52*E52+D53*E53+D54*E54+D55*E55)/(D52+D53+D54+D55))</f>
        <v>0</v>
      </c>
      <c r="F56" s="118" t="s">
        <v>487</v>
      </c>
      <c r="G56">
        <f>IF('Invoer Algemeen'!$D$18=0,0,(F52*G52+F53*G53+F54*G54+F55*G55)/(F52+F53+F54+F55))</f>
        <v>0</v>
      </c>
      <c r="H56" s="118" t="s">
        <v>487</v>
      </c>
      <c r="I56">
        <f>IF('Invoer Algemeen'!$D$19=0,0,(H52*I52+H53*I53+H54*I54+H55*I55)/(H52+H53+H54+H55))</f>
        <v>0</v>
      </c>
      <c r="M56" s="168"/>
      <c r="N56" s="168"/>
      <c r="O56" s="168"/>
      <c r="P56" s="168"/>
      <c r="Q56" s="168"/>
      <c r="R56" s="168"/>
      <c r="S56" s="168"/>
      <c r="T56" s="168"/>
      <c r="AK56" s="118" t="s">
        <v>487</v>
      </c>
      <c r="AL56">
        <f>IF('Invoer Algemeen'!$D$16=0,0,(AK52*AL52+AK53*AL53+AK54*AL54+AK55*AL55)/(AK52+AK53+AK54+AK55))</f>
        <v>0</v>
      </c>
      <c r="AM56" s="118" t="s">
        <v>487</v>
      </c>
      <c r="AN56">
        <f>IF('Invoer Algemeen'!$D$17=0,0,(AM52*AN52+AM53*AN53+AM54*AN54+AM55*AN55)/(AM52+AM53+AM54+AM55))</f>
        <v>0</v>
      </c>
      <c r="AO56" s="118" t="s">
        <v>487</v>
      </c>
      <c r="AP56">
        <f>IF('Invoer Algemeen'!$D$17=0,0,(AO52*AP52+AO53*AP53+AO54*AP54+AO55*AP55)/(AO52+AO53+AO54+AO55))</f>
        <v>0</v>
      </c>
      <c r="AQ56" s="118" t="s">
        <v>487</v>
      </c>
      <c r="AR56">
        <f>IF('Invoer Algemeen'!$D$17=0,0,(AQ52*AR52+AQ53*AR53+AQ54*AR54+AQ55*AR55)/(AQ52+AQ53+AQ54+AQ55))</f>
        <v>0</v>
      </c>
    </row>
    <row r="57" spans="1:44" x14ac:dyDescent="0.2">
      <c r="M57" s="168"/>
      <c r="N57" s="168"/>
      <c r="O57" s="168"/>
      <c r="P57" s="168"/>
      <c r="Q57" s="168"/>
      <c r="R57" s="168"/>
      <c r="S57" s="168"/>
      <c r="T57" s="168"/>
    </row>
    <row r="58" spans="1:44" x14ac:dyDescent="0.2">
      <c r="B58" t="s">
        <v>514</v>
      </c>
      <c r="C58" t="s">
        <v>512</v>
      </c>
      <c r="D58" t="s">
        <v>513</v>
      </c>
      <c r="O58" s="168"/>
      <c r="P58" s="168"/>
      <c r="Q58" s="168"/>
      <c r="R58" s="168"/>
      <c r="S58" s="168"/>
      <c r="T58" s="168"/>
      <c r="U58" s="168"/>
      <c r="V58" s="168"/>
      <c r="AK58" t="s">
        <v>514</v>
      </c>
      <c r="AL58" t="s">
        <v>512</v>
      </c>
      <c r="AM58" t="s">
        <v>513</v>
      </c>
    </row>
    <row r="59" spans="1:44" x14ac:dyDescent="0.2">
      <c r="A59" t="s">
        <v>67</v>
      </c>
      <c r="B59">
        <f>E38*'Invoer Algemeen'!D16*3.6*3.5/1000</f>
        <v>0</v>
      </c>
      <c r="C59">
        <f>B59/0.75</f>
        <v>0</v>
      </c>
      <c r="D59">
        <f>3.6*8760*0.3*C59/0.39</f>
        <v>0</v>
      </c>
      <c r="O59" s="168"/>
      <c r="P59" s="168"/>
      <c r="Q59" s="168"/>
      <c r="R59" s="168"/>
      <c r="S59" s="168"/>
      <c r="T59" s="168"/>
      <c r="U59" s="168"/>
      <c r="V59" s="168"/>
      <c r="AJ59" t="s">
        <v>67</v>
      </c>
      <c r="AK59">
        <f>AN38*'Invoer Algemeen'!D16*3.6*3.5/1000</f>
        <v>0</v>
      </c>
      <c r="AL59">
        <f>AK59/0.75</f>
        <v>0</v>
      </c>
      <c r="AM59">
        <f>IF(AN38=0,D59,3.6*8760*0.3*AL59/0.39)</f>
        <v>0</v>
      </c>
    </row>
    <row r="60" spans="1:44" x14ac:dyDescent="0.2">
      <c r="A60" t="s">
        <v>68</v>
      </c>
      <c r="B60">
        <f>H38*'Invoer Algemeen'!D17*3.6*3.5/1000</f>
        <v>0</v>
      </c>
      <c r="C60">
        <f>B60/0.75</f>
        <v>0</v>
      </c>
      <c r="D60">
        <f>3.6*8760*0.3*C60/0.39</f>
        <v>0</v>
      </c>
      <c r="M60" s="168"/>
      <c r="N60" s="168"/>
      <c r="O60" s="168"/>
      <c r="P60" s="168"/>
      <c r="Q60" s="168"/>
      <c r="R60" s="168"/>
      <c r="S60" s="168"/>
      <c r="T60" s="168"/>
      <c r="AJ60" t="s">
        <v>68</v>
      </c>
      <c r="AK60">
        <f>AQ38*'Invoer Algemeen'!D17*3.6*3.5/1000</f>
        <v>0</v>
      </c>
      <c r="AL60">
        <f>AK60/0.75</f>
        <v>0</v>
      </c>
      <c r="AM60">
        <f>IF(AQ38=0,D60,3.6*8760*0.3*AL60/0.39)</f>
        <v>0</v>
      </c>
    </row>
    <row r="61" spans="1:44" x14ac:dyDescent="0.2">
      <c r="A61" t="s">
        <v>69</v>
      </c>
      <c r="B61">
        <f>K38*'Invoer Algemeen'!D18*3.6*3.5/1000</f>
        <v>0</v>
      </c>
      <c r="C61">
        <f>B61/0.75</f>
        <v>0</v>
      </c>
      <c r="D61">
        <f>3.6*8760*0.3*C61/0.39</f>
        <v>0</v>
      </c>
      <c r="M61" s="168"/>
      <c r="N61" s="168"/>
      <c r="O61" s="168"/>
      <c r="P61" s="168"/>
      <c r="Q61" s="168"/>
      <c r="R61" s="168"/>
      <c r="S61" s="168"/>
      <c r="T61" s="168"/>
      <c r="AJ61" t="s">
        <v>69</v>
      </c>
      <c r="AK61">
        <f>AT38*'Invoer Algemeen'!D18*3.6*3.5/1000</f>
        <v>0</v>
      </c>
      <c r="AL61">
        <f>AK61/0.75</f>
        <v>0</v>
      </c>
      <c r="AM61">
        <f>IF(AT38=0,D61,3.6*8760*0.3*AL61/0.39)</f>
        <v>0</v>
      </c>
    </row>
    <row r="62" spans="1:44" x14ac:dyDescent="0.2">
      <c r="A62" t="s">
        <v>70</v>
      </c>
      <c r="B62">
        <f>N38*'Invoer Algemeen'!D19*3.6*3.5/1000</f>
        <v>0</v>
      </c>
      <c r="C62">
        <f>B62/0.75</f>
        <v>0</v>
      </c>
      <c r="D62">
        <f>3.6*8760*0.3*C62/0.39</f>
        <v>0</v>
      </c>
      <c r="M62" s="168"/>
      <c r="N62" s="168"/>
      <c r="O62" s="168"/>
      <c r="P62" s="168"/>
      <c r="Q62" s="168"/>
      <c r="R62" s="168"/>
      <c r="S62" s="168"/>
      <c r="T62" s="168"/>
      <c r="AJ62" t="s">
        <v>70</v>
      </c>
      <c r="AK62">
        <f>AW38*'Invoer Algemeen'!D19*3.6*3.5/1000</f>
        <v>0</v>
      </c>
      <c r="AL62">
        <f>AK62/0.75</f>
        <v>0</v>
      </c>
      <c r="AM62">
        <f>IF(AW38=0,D62,3.6*8760*0.3*AL62/0.39)</f>
        <v>0</v>
      </c>
    </row>
    <row r="63" spans="1:44" x14ac:dyDescent="0.2">
      <c r="M63" s="168"/>
      <c r="N63" s="168"/>
      <c r="O63" s="168"/>
      <c r="P63" s="168"/>
      <c r="Q63" s="168"/>
      <c r="R63" s="168"/>
      <c r="S63" s="168"/>
      <c r="T63" s="168"/>
    </row>
    <row r="64" spans="1:44" x14ac:dyDescent="0.2">
      <c r="M64" s="168"/>
      <c r="N64" s="168"/>
      <c r="O64" s="168"/>
      <c r="P64" s="168"/>
      <c r="Q64" s="168"/>
      <c r="R64" s="168"/>
      <c r="S64" s="168"/>
      <c r="T64" s="168"/>
    </row>
    <row r="65" spans="1:20" x14ac:dyDescent="0.2">
      <c r="M65" s="168"/>
      <c r="N65" s="168"/>
      <c r="O65" s="168"/>
      <c r="P65" s="168"/>
      <c r="Q65" s="168"/>
      <c r="R65" s="168"/>
      <c r="S65" s="168"/>
      <c r="T65" s="168"/>
    </row>
    <row r="67" spans="1:20" x14ac:dyDescent="0.2">
      <c r="A67" s="118" t="s">
        <v>721</v>
      </c>
      <c r="B67" s="118" t="s">
        <v>482</v>
      </c>
      <c r="C67" s="118"/>
      <c r="D67" s="118" t="s">
        <v>469</v>
      </c>
      <c r="F67" s="118" t="s">
        <v>825</v>
      </c>
      <c r="I67" s="118" t="s">
        <v>466</v>
      </c>
      <c r="K67" s="118" t="s">
        <v>88</v>
      </c>
    </row>
    <row r="69" spans="1:20" x14ac:dyDescent="0.2">
      <c r="A69" t="s">
        <v>67</v>
      </c>
      <c r="B69" s="118" t="s">
        <v>483</v>
      </c>
      <c r="C69" s="118"/>
      <c r="D69" s="118" t="s">
        <v>153</v>
      </c>
      <c r="F69" s="118" t="s">
        <v>85</v>
      </c>
      <c r="I69" s="107">
        <v>1</v>
      </c>
      <c r="K69" s="118" t="s">
        <v>36</v>
      </c>
    </row>
    <row r="70" spans="1:20" x14ac:dyDescent="0.2">
      <c r="A70" t="s">
        <v>68</v>
      </c>
      <c r="B70" s="118" t="s">
        <v>484</v>
      </c>
      <c r="C70" s="118"/>
      <c r="D70" s="118" t="s">
        <v>209</v>
      </c>
      <c r="F70" s="118" t="s">
        <v>211</v>
      </c>
      <c r="I70" s="118" t="s">
        <v>213</v>
      </c>
      <c r="K70" s="118" t="s">
        <v>37</v>
      </c>
    </row>
    <row r="71" spans="1:20" x14ac:dyDescent="0.2">
      <c r="A71" t="s">
        <v>69</v>
      </c>
      <c r="B71" s="118" t="s">
        <v>685</v>
      </c>
      <c r="C71" s="118"/>
      <c r="D71" s="118" t="s">
        <v>210</v>
      </c>
      <c r="F71" s="118" t="s">
        <v>465</v>
      </c>
      <c r="I71" s="118" t="s">
        <v>467</v>
      </c>
    </row>
    <row r="72" spans="1:20" x14ac:dyDescent="0.2">
      <c r="A72" t="s">
        <v>70</v>
      </c>
      <c r="B72" s="118" t="s">
        <v>686</v>
      </c>
      <c r="C72" s="118"/>
      <c r="D72" s="118" t="s">
        <v>644</v>
      </c>
      <c r="F72" s="118" t="s">
        <v>462</v>
      </c>
      <c r="I72" s="118" t="s">
        <v>468</v>
      </c>
    </row>
    <row r="73" spans="1:20" x14ac:dyDescent="0.2">
      <c r="D73" t="s">
        <v>154</v>
      </c>
      <c r="F73" s="118" t="s">
        <v>463</v>
      </c>
    </row>
    <row r="74" spans="1:20" x14ac:dyDescent="0.2">
      <c r="F74" s="118"/>
    </row>
    <row r="75" spans="1:20" x14ac:dyDescent="0.2">
      <c r="B75" t="s">
        <v>728</v>
      </c>
    </row>
    <row r="76" spans="1:20" x14ac:dyDescent="0.2">
      <c r="B76" t="s">
        <v>67</v>
      </c>
      <c r="C76" t="s">
        <v>68</v>
      </c>
      <c r="D76" t="s">
        <v>69</v>
      </c>
      <c r="E76" t="s">
        <v>70</v>
      </c>
    </row>
  </sheetData>
  <mergeCells count="26">
    <mergeCell ref="W5:AH5"/>
    <mergeCell ref="N6:O6"/>
    <mergeCell ref="P6:Q6"/>
    <mergeCell ref="R6:S6"/>
    <mergeCell ref="T6:U6"/>
    <mergeCell ref="W6:Y6"/>
    <mergeCell ref="Z6:AB6"/>
    <mergeCell ref="AC6:AE6"/>
    <mergeCell ref="AF6:AH6"/>
    <mergeCell ref="B50:C50"/>
    <mergeCell ref="D50:E50"/>
    <mergeCell ref="F50:G50"/>
    <mergeCell ref="H50:I50"/>
    <mergeCell ref="AQ50:AR50"/>
    <mergeCell ref="AO50:AP50"/>
    <mergeCell ref="AK50:AL50"/>
    <mergeCell ref="AM50:AN50"/>
    <mergeCell ref="BF5:BQ5"/>
    <mergeCell ref="AW6:AX6"/>
    <mergeCell ref="AY6:AZ6"/>
    <mergeCell ref="BA6:BB6"/>
    <mergeCell ref="BC6:BD6"/>
    <mergeCell ref="BF6:BH6"/>
    <mergeCell ref="BI6:BK6"/>
    <mergeCell ref="BL6:BN6"/>
    <mergeCell ref="BO6:BQ6"/>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1"/>
  <sheetViews>
    <sheetView topLeftCell="A16" workbookViewId="0">
      <selection activeCell="F34" sqref="F34"/>
    </sheetView>
  </sheetViews>
  <sheetFormatPr defaultRowHeight="11.25" x14ac:dyDescent="0.2"/>
  <cols>
    <col min="1" max="1" width="39" style="32" bestFit="1" customWidth="1"/>
    <col min="2" max="2" width="12" style="32" customWidth="1"/>
    <col min="3" max="3" width="5.85546875" style="32" customWidth="1"/>
    <col min="4" max="4" width="5.140625" style="32" customWidth="1"/>
    <col min="5" max="5" width="25" style="32" customWidth="1"/>
    <col min="6" max="6" width="30.42578125" style="32" customWidth="1"/>
    <col min="7" max="7" width="24" style="32" customWidth="1"/>
    <col min="8" max="8" width="26.5703125" style="32" customWidth="1"/>
    <col min="9" max="10" width="12.140625" style="32" customWidth="1"/>
    <col min="11" max="11" width="12.7109375" style="32" customWidth="1"/>
    <col min="12" max="12" width="24.7109375" style="32" customWidth="1"/>
    <col min="13" max="13" width="13.42578125" style="32" customWidth="1"/>
    <col min="14" max="14" width="17.85546875" style="32" customWidth="1"/>
    <col min="15" max="15" width="24.7109375" style="32" customWidth="1"/>
    <col min="16" max="16" width="19.28515625" style="32" customWidth="1"/>
    <col min="17" max="16384" width="9.140625" style="32"/>
  </cols>
  <sheetData>
    <row r="1" spans="1:55" x14ac:dyDescent="0.2">
      <c r="B1" s="32" t="s">
        <v>129</v>
      </c>
      <c r="C1" s="32" t="s">
        <v>182</v>
      </c>
    </row>
    <row r="2" spans="1:55" x14ac:dyDescent="0.2">
      <c r="A2" s="32" t="s">
        <v>181</v>
      </c>
      <c r="B2" s="32">
        <v>4</v>
      </c>
      <c r="C2" s="32">
        <v>1</v>
      </c>
      <c r="I2" s="33" t="s">
        <v>698</v>
      </c>
      <c r="U2" s="33" t="s">
        <v>681</v>
      </c>
      <c r="AG2" s="33" t="s">
        <v>781</v>
      </c>
      <c r="AS2" s="33" t="s">
        <v>121</v>
      </c>
    </row>
    <row r="3" spans="1:55" x14ac:dyDescent="0.2">
      <c r="A3" s="32" t="s">
        <v>825</v>
      </c>
      <c r="B3" s="32">
        <v>1</v>
      </c>
      <c r="C3" s="32">
        <v>1</v>
      </c>
      <c r="H3" s="300"/>
      <c r="I3" s="300"/>
      <c r="J3" s="300"/>
      <c r="K3" s="300"/>
      <c r="L3" s="300"/>
      <c r="AG3" s="300"/>
      <c r="AH3" s="300"/>
      <c r="AI3" s="300"/>
      <c r="AJ3" s="300"/>
    </row>
    <row r="4" spans="1:55" x14ac:dyDescent="0.2">
      <c r="A4" s="32" t="s">
        <v>180</v>
      </c>
      <c r="B4" s="32">
        <v>1</v>
      </c>
      <c r="C4" s="32">
        <v>1</v>
      </c>
      <c r="H4" s="301"/>
      <c r="I4" s="301" t="s">
        <v>120</v>
      </c>
      <c r="J4" s="301" t="s">
        <v>119</v>
      </c>
      <c r="K4" s="301" t="s">
        <v>226</v>
      </c>
      <c r="L4" s="301" t="s">
        <v>50</v>
      </c>
      <c r="M4" s="32" t="s">
        <v>695</v>
      </c>
      <c r="N4" s="32" t="s">
        <v>692</v>
      </c>
      <c r="O4" s="32" t="s">
        <v>693</v>
      </c>
      <c r="P4" s="32" t="s">
        <v>694</v>
      </c>
      <c r="U4" s="301" t="s">
        <v>120</v>
      </c>
      <c r="V4" s="301" t="s">
        <v>119</v>
      </c>
      <c r="W4" s="301" t="s">
        <v>226</v>
      </c>
      <c r="X4" s="301" t="s">
        <v>50</v>
      </c>
      <c r="Y4" s="32" t="s">
        <v>695</v>
      </c>
      <c r="Z4" s="32" t="s">
        <v>692</v>
      </c>
      <c r="AA4" s="32" t="s">
        <v>693</v>
      </c>
      <c r="AB4" s="32" t="s">
        <v>694</v>
      </c>
      <c r="AG4" s="301" t="s">
        <v>120</v>
      </c>
      <c r="AH4" s="301" t="s">
        <v>119</v>
      </c>
      <c r="AI4" s="301" t="s">
        <v>226</v>
      </c>
      <c r="AJ4" s="301" t="s">
        <v>50</v>
      </c>
      <c r="AK4" s="32" t="s">
        <v>695</v>
      </c>
      <c r="AL4" s="32" t="s">
        <v>692</v>
      </c>
      <c r="AM4" s="32" t="s">
        <v>693</v>
      </c>
      <c r="AN4" s="32" t="s">
        <v>694</v>
      </c>
      <c r="AS4" s="301" t="s">
        <v>120</v>
      </c>
      <c r="AT4" s="301" t="s">
        <v>119</v>
      </c>
      <c r="AU4" s="301" t="s">
        <v>226</v>
      </c>
      <c r="AV4" s="301" t="s">
        <v>50</v>
      </c>
      <c r="AW4" s="32" t="s">
        <v>695</v>
      </c>
      <c r="AX4" s="32" t="s">
        <v>692</v>
      </c>
      <c r="AY4" s="32" t="s">
        <v>693</v>
      </c>
      <c r="AZ4" s="32" t="s">
        <v>694</v>
      </c>
    </row>
    <row r="5" spans="1:55" x14ac:dyDescent="0.2">
      <c r="A5" s="32" t="s">
        <v>179</v>
      </c>
      <c r="B5" s="32">
        <v>1</v>
      </c>
      <c r="C5" s="32">
        <v>1</v>
      </c>
      <c r="E5" s="32" t="s">
        <v>178</v>
      </c>
      <c r="F5" s="32">
        <v>1</v>
      </c>
      <c r="I5" s="32">
        <f>'Invoer Lokaal Type 1'!C7</f>
        <v>0</v>
      </c>
      <c r="J5" s="32">
        <f>'Invoer Lokaal Type 1'!D7</f>
        <v>0</v>
      </c>
      <c r="K5" s="32">
        <v>1</v>
      </c>
      <c r="L5" s="32">
        <f>'Invoer Lokaal Type 1'!F7</f>
        <v>0</v>
      </c>
      <c r="M5" s="312">
        <f>IF(B5=3,I5*7.5*L5/10000,IF(B5=2,I5*J5*L5/20000,0))</f>
        <v>0</v>
      </c>
      <c r="N5" s="302">
        <f>IF($K5=2,$M5,0)</f>
        <v>0</v>
      </c>
      <c r="O5" s="303">
        <f>IF($K5=3,$M5,0)</f>
        <v>0</v>
      </c>
      <c r="P5" s="304">
        <f>IF($K5=4,$M5,0)</f>
        <v>0</v>
      </c>
      <c r="U5" s="32">
        <f>'Invoer Lokaal Type 1'!L7</f>
        <v>0</v>
      </c>
      <c r="V5" s="32">
        <f>'Invoer Lokaal Type 1'!M7</f>
        <v>0</v>
      </c>
      <c r="W5" s="32">
        <v>1</v>
      </c>
      <c r="X5" s="32">
        <f>'Invoer Lokaal Type 1'!O7</f>
        <v>0</v>
      </c>
      <c r="Y5" s="312">
        <f>IF(C5=3,U5*7.5*X5/10000,IF(C5=2,U5*V5*X5/20000,0))</f>
        <v>0</v>
      </c>
      <c r="Z5" s="302">
        <f>IF($W5=2,$Y5,0)</f>
        <v>0</v>
      </c>
      <c r="AA5" s="302">
        <f>IF($W5=3,$Y5,0)</f>
        <v>0</v>
      </c>
      <c r="AB5" s="302">
        <f>IF($W5=4,$Y5,0)</f>
        <v>0</v>
      </c>
      <c r="AG5" s="32">
        <f>'Invoer Lokaal Type 1'!C13</f>
        <v>0</v>
      </c>
      <c r="AH5" s="32">
        <f>'Invoer Lokaal Type 1'!D13</f>
        <v>0</v>
      </c>
      <c r="AI5" s="32">
        <v>1</v>
      </c>
      <c r="AJ5" s="32">
        <f>'Invoer Lokaal Type 1'!F13</f>
        <v>0</v>
      </c>
      <c r="AK5" s="312">
        <f>IF(B10=3,AG5*7.5*AJ5/10000,IF(B10=2,AG5*AH5*AJ5/20000,AG5*AH5*AJ5/10000))</f>
        <v>0</v>
      </c>
      <c r="AL5" s="302">
        <f>IF($AI5=2,$AK5,0)</f>
        <v>0</v>
      </c>
      <c r="AM5" s="302">
        <f>IF($AI5=3,$AK5,0)</f>
        <v>0</v>
      </c>
      <c r="AN5" s="302">
        <f>IF($AI5=4,$AK5,0)</f>
        <v>0</v>
      </c>
      <c r="AS5" s="32">
        <f>'Invoer Lokaal Type 1'!L13</f>
        <v>0</v>
      </c>
      <c r="AT5" s="32">
        <f>'Invoer Lokaal Type 1'!M13</f>
        <v>0</v>
      </c>
      <c r="AU5" s="32">
        <v>1</v>
      </c>
      <c r="AV5" s="32">
        <f>'Invoer Lokaal Type 1'!O13</f>
        <v>0</v>
      </c>
      <c r="AW5" s="312">
        <f>IF(C10=3,AS5*7.5*AV5/10000,IF(C10=2,AS5*AT5*AV5/20000,AS5*AT5*AV5/10000))</f>
        <v>0</v>
      </c>
      <c r="AX5" s="302">
        <f>IF($AU5=2,$AW5,0)</f>
        <v>0</v>
      </c>
      <c r="AY5" s="302">
        <f>IF($AU5=3,$AW5,0)</f>
        <v>0</v>
      </c>
      <c r="AZ5" s="302">
        <f>IF($AU5=4,$AW5,0)</f>
        <v>0</v>
      </c>
    </row>
    <row r="6" spans="1:55" x14ac:dyDescent="0.2">
      <c r="A6" s="32" t="s">
        <v>177</v>
      </c>
      <c r="B6" s="32">
        <v>1</v>
      </c>
      <c r="C6" s="32">
        <v>1</v>
      </c>
      <c r="E6" s="32" t="s">
        <v>176</v>
      </c>
      <c r="F6" s="32">
        <v>1</v>
      </c>
      <c r="I6" s="32">
        <f>'Invoer Lokaal Type 1'!C8</f>
        <v>0</v>
      </c>
      <c r="J6" s="32">
        <f>'Invoer Lokaal Type 1'!D8</f>
        <v>0</v>
      </c>
      <c r="K6" s="32">
        <v>1</v>
      </c>
      <c r="L6" s="32">
        <f>'Invoer Lokaal Type 1'!F8</f>
        <v>0</v>
      </c>
      <c r="M6" s="312">
        <f>IF(B6=3,I6*7.5*L6/10000,IF(B6=2,I6*J6*L6/20000,0))</f>
        <v>0</v>
      </c>
      <c r="N6" s="305">
        <f>IF($K6=2,$M6,0)</f>
        <v>0</v>
      </c>
      <c r="O6" s="306">
        <f>IF($K6=3,$M6,0)</f>
        <v>0</v>
      </c>
      <c r="P6" s="307">
        <f>IF($K6=4,$M6,0)</f>
        <v>0</v>
      </c>
      <c r="U6" s="32">
        <f>'Invoer Lokaal Type 1'!L8</f>
        <v>0</v>
      </c>
      <c r="V6" s="32">
        <f>'Invoer Lokaal Type 1'!M8</f>
        <v>0</v>
      </c>
      <c r="W6" s="32">
        <v>1</v>
      </c>
      <c r="X6" s="32">
        <f>'Invoer Lokaal Type 1'!O8</f>
        <v>0</v>
      </c>
      <c r="Y6" s="312">
        <f>IF(C6=3,U6*7.5*X6/10000,IF(C6=2,U6*V6*X6/20000,0))</f>
        <v>0</v>
      </c>
      <c r="Z6" s="302">
        <f>IF($W6=2,$Y6,0)</f>
        <v>0</v>
      </c>
      <c r="AA6" s="302">
        <f>IF($W6=3,$Y6,0)</f>
        <v>0</v>
      </c>
      <c r="AB6" s="302">
        <f>IF($W6=4,$Y6,0)</f>
        <v>0</v>
      </c>
      <c r="AG6" s="32">
        <f>'Invoer Lokaal Type 1'!C14</f>
        <v>0</v>
      </c>
      <c r="AH6" s="32">
        <f>'Invoer Lokaal Type 1'!D14</f>
        <v>0</v>
      </c>
      <c r="AI6" s="32">
        <v>1</v>
      </c>
      <c r="AJ6" s="32">
        <f>'Invoer Lokaal Type 1'!F14</f>
        <v>0</v>
      </c>
      <c r="AK6" s="312">
        <f>IF(B11=3,AG6*7.5*AJ6/10000,IF(B11=2,AG6*AH6*AJ6/20000,AG6*AH6*AJ6/10000))</f>
        <v>0</v>
      </c>
      <c r="AL6" s="302">
        <f>IF($AI6=2,$AK6,0)</f>
        <v>0</v>
      </c>
      <c r="AM6" s="302">
        <f>IF($AI6=3,$AK6,0)</f>
        <v>0</v>
      </c>
      <c r="AN6" s="302">
        <f>IF($AI6=4,$AK6,0)</f>
        <v>0</v>
      </c>
      <c r="AS6" s="32">
        <f>'Invoer Lokaal Type 1'!L14</f>
        <v>0</v>
      </c>
      <c r="AT6" s="32">
        <f>'Invoer Lokaal Type 1'!M14</f>
        <v>0</v>
      </c>
      <c r="AU6" s="32">
        <v>1</v>
      </c>
      <c r="AV6" s="32">
        <f>'Invoer Lokaal Type 1'!O14</f>
        <v>0</v>
      </c>
      <c r="AW6" s="312">
        <f>IF(C11=3,AS6*7.5*AV6/10000,IF(C11=2,AS6*AT6*AV6/20000,AS6*AT6*AV6/10000))</f>
        <v>0</v>
      </c>
      <c r="AX6" s="302">
        <f>IF($AU6=2,$AW6,0)</f>
        <v>0</v>
      </c>
      <c r="AY6" s="302">
        <f>IF($AU6=3,$AW6,0)</f>
        <v>0</v>
      </c>
      <c r="AZ6" s="302">
        <f>IF($AU6=4,$AW6,0)</f>
        <v>0</v>
      </c>
    </row>
    <row r="7" spans="1:55" x14ac:dyDescent="0.2">
      <c r="A7" s="32" t="s">
        <v>175</v>
      </c>
      <c r="B7" s="32">
        <v>1</v>
      </c>
      <c r="C7" s="32">
        <v>1</v>
      </c>
      <c r="I7" s="32">
        <f>'Invoer Lokaal Type 1'!C9</f>
        <v>0</v>
      </c>
      <c r="J7" s="32">
        <f>'Invoer Lokaal Type 1'!D9</f>
        <v>0</v>
      </c>
      <c r="K7" s="32">
        <v>1</v>
      </c>
      <c r="L7" s="32">
        <f>'Invoer Lokaal Type 1'!F9</f>
        <v>0</v>
      </c>
      <c r="M7" s="312">
        <f>IF(B7=3,I7*7.5*L7/10000,IF(B7=2,I7*J7*L7/20000,0))</f>
        <v>0</v>
      </c>
      <c r="N7" s="305">
        <f>IF($K7=2,$M7,0)</f>
        <v>0</v>
      </c>
      <c r="O7" s="306">
        <f>IF($K7=3,$M7,0)</f>
        <v>0</v>
      </c>
      <c r="P7" s="307">
        <f>IF($K7=4,$M7,0)</f>
        <v>0</v>
      </c>
      <c r="U7" s="32">
        <f>'Invoer Lokaal Type 1'!L9</f>
        <v>0</v>
      </c>
      <c r="V7" s="32">
        <f>'Invoer Lokaal Type 1'!M9</f>
        <v>0</v>
      </c>
      <c r="W7" s="32">
        <v>1</v>
      </c>
      <c r="X7" s="32">
        <f>'Invoer Lokaal Type 1'!O9</f>
        <v>0</v>
      </c>
      <c r="Y7" s="312">
        <f>IF(C7=3,U7*7.5*X7/10000,IF(C7=2,U7*V7*X7/20000,0))</f>
        <v>0</v>
      </c>
      <c r="Z7" s="302">
        <f>IF($W7=2,$Y7,0)</f>
        <v>0</v>
      </c>
      <c r="AA7" s="302">
        <f>IF($W7=3,$Y7,0)</f>
        <v>0</v>
      </c>
      <c r="AB7" s="302">
        <f>IF($W7=4,$Y7,0)</f>
        <v>0</v>
      </c>
      <c r="AG7" s="32">
        <f>'Invoer Lokaal Type 1'!C15</f>
        <v>0</v>
      </c>
      <c r="AH7" s="32">
        <f>'Invoer Lokaal Type 1'!D15</f>
        <v>0</v>
      </c>
      <c r="AI7" s="32">
        <v>1</v>
      </c>
      <c r="AJ7" s="32">
        <f>'Invoer Lokaal Type 1'!F15</f>
        <v>0</v>
      </c>
      <c r="AK7" s="312">
        <f>IF(B12=3,AG7*7.5*AJ7/10000,IF(B12=2,AG7*AH7*AJ7/20000,AG7*AH7*AJ7/10000))</f>
        <v>0</v>
      </c>
      <c r="AL7" s="302">
        <f>IF($AI7=2,$AK7,0)</f>
        <v>0</v>
      </c>
      <c r="AM7" s="302">
        <f>IF($AI7=3,$AK7,0)</f>
        <v>0</v>
      </c>
      <c r="AN7" s="302">
        <f>IF($AI7=4,$AK7,0)</f>
        <v>0</v>
      </c>
      <c r="AS7" s="32">
        <f>'Invoer Lokaal Type 1'!L15</f>
        <v>0</v>
      </c>
      <c r="AT7" s="32">
        <f>'Invoer Lokaal Type 1'!M15</f>
        <v>0</v>
      </c>
      <c r="AU7" s="32">
        <v>1</v>
      </c>
      <c r="AV7" s="32">
        <f>'Invoer Lokaal Type 1'!O15</f>
        <v>0</v>
      </c>
      <c r="AW7" s="312">
        <f>IF(C12=3,AS7*7.5*AV7/10000,IF(C12=2,AS7*AT7*AV7/20000,AS7*AT7*AV7/10000))</f>
        <v>0</v>
      </c>
      <c r="AX7" s="302">
        <f>IF($AU7=2,$AW7,0)</f>
        <v>0</v>
      </c>
      <c r="AY7" s="302">
        <f>IF($AU7=3,$AW7,0)</f>
        <v>0</v>
      </c>
      <c r="AZ7" s="302">
        <f>IF($AU7=4,$AW7,0)</f>
        <v>0</v>
      </c>
    </row>
    <row r="8" spans="1:55" x14ac:dyDescent="0.2">
      <c r="A8" s="32" t="s">
        <v>696</v>
      </c>
      <c r="B8" s="32">
        <v>1</v>
      </c>
      <c r="C8" s="32">
        <v>1</v>
      </c>
      <c r="I8" s="32">
        <f>'Invoer Lokaal Type 1'!C10</f>
        <v>0</v>
      </c>
      <c r="J8" s="32">
        <f>'Invoer Lokaal Type 1'!D10</f>
        <v>0</v>
      </c>
      <c r="K8" s="32">
        <v>1</v>
      </c>
      <c r="L8" s="32">
        <f>'Invoer Lokaal Type 1'!F10</f>
        <v>0</v>
      </c>
      <c r="M8" s="312">
        <f>IF(B8=3,I8*7.5*L8/10000,IF(B8=2,I8*J8*L8/20000,0))</f>
        <v>0</v>
      </c>
      <c r="N8" s="305">
        <f>IF($K8=2,$M8,0)</f>
        <v>0</v>
      </c>
      <c r="O8" s="306">
        <f>IF($K8=3,$M8,0)</f>
        <v>0</v>
      </c>
      <c r="P8" s="307">
        <f>IF($K8=4,$M8,0)</f>
        <v>0</v>
      </c>
      <c r="U8" s="32">
        <f>'Invoer Lokaal Type 1'!L10</f>
        <v>0</v>
      </c>
      <c r="V8" s="32">
        <f>'Invoer Lokaal Type 1'!M10</f>
        <v>0</v>
      </c>
      <c r="W8" s="32">
        <v>1</v>
      </c>
      <c r="X8" s="32">
        <f>'Invoer Lokaal Type 1'!O10</f>
        <v>0</v>
      </c>
      <c r="Y8" s="312">
        <f>IF(C8=3,U8*7.5*X8/10000,IF(C8=2,U8*V8*X8/20000,0))</f>
        <v>0</v>
      </c>
      <c r="Z8" s="302">
        <f>IF($W8=2,$Y8,0)</f>
        <v>0</v>
      </c>
      <c r="AA8" s="302">
        <f>IF($W8=3,$Y8,0)</f>
        <v>0</v>
      </c>
      <c r="AB8" s="302">
        <f>IF($W8=4,$Y8,0)</f>
        <v>0</v>
      </c>
      <c r="AK8" s="312"/>
      <c r="AL8" s="305">
        <v>0</v>
      </c>
      <c r="AM8" s="306">
        <v>0</v>
      </c>
      <c r="AN8" s="307">
        <v>0</v>
      </c>
      <c r="AW8" s="312"/>
      <c r="AX8" s="302">
        <v>0</v>
      </c>
      <c r="AY8" s="302">
        <v>0</v>
      </c>
      <c r="AZ8" s="302">
        <v>0</v>
      </c>
    </row>
    <row r="9" spans="1:55" x14ac:dyDescent="0.2">
      <c r="A9" s="32" t="s">
        <v>697</v>
      </c>
      <c r="B9" s="32">
        <v>1</v>
      </c>
      <c r="C9" s="32">
        <v>1</v>
      </c>
      <c r="I9" s="32">
        <f>'Invoer Lokaal Type 1'!C11</f>
        <v>0</v>
      </c>
      <c r="J9" s="32">
        <f>'Invoer Lokaal Type 1'!D11</f>
        <v>0</v>
      </c>
      <c r="K9" s="32">
        <v>1</v>
      </c>
      <c r="L9" s="32">
        <f>'Invoer Lokaal Type 1'!F11</f>
        <v>0</v>
      </c>
      <c r="M9" s="312">
        <f>IF(B9=3,I9*7.5*L9/10000,IF(B9=2,I9*J9*L9/20000,0))</f>
        <v>0</v>
      </c>
      <c r="N9" s="305">
        <f>IF($K9=2,$M9,0)</f>
        <v>0</v>
      </c>
      <c r="O9" s="306">
        <f>IF($K9=3,$M9,0)</f>
        <v>0</v>
      </c>
      <c r="P9" s="307">
        <f>IF($K9=4,$M9,0)</f>
        <v>0</v>
      </c>
      <c r="U9" s="32">
        <f>'Invoer Lokaal Type 1'!L11</f>
        <v>0</v>
      </c>
      <c r="V9" s="32">
        <f>'Invoer Lokaal Type 1'!M11</f>
        <v>0</v>
      </c>
      <c r="W9" s="32">
        <v>1</v>
      </c>
      <c r="X9" s="32">
        <f>'Invoer Lokaal Type 1'!O11</f>
        <v>0</v>
      </c>
      <c r="Y9" s="312">
        <f>IF(C9=3,U9*7.5*X9/10000,IF(C9=2,U9*V9*X9/20000,0))</f>
        <v>0</v>
      </c>
      <c r="Z9" s="302">
        <f>IF($W9=2,$Y9,0)</f>
        <v>0</v>
      </c>
      <c r="AA9" s="302">
        <f>IF($W9=3,$Y9,0)</f>
        <v>0</v>
      </c>
      <c r="AB9" s="302">
        <f>IF($W9=4,$Y9,0)</f>
        <v>0</v>
      </c>
      <c r="AK9" s="312"/>
      <c r="AL9" s="305">
        <v>0</v>
      </c>
      <c r="AM9" s="306">
        <v>0</v>
      </c>
      <c r="AN9" s="307">
        <v>0</v>
      </c>
      <c r="AW9" s="312"/>
      <c r="AX9" s="302">
        <v>0</v>
      </c>
      <c r="AY9" s="302">
        <v>0</v>
      </c>
      <c r="AZ9" s="302">
        <v>0</v>
      </c>
    </row>
    <row r="10" spans="1:55" x14ac:dyDescent="0.2">
      <c r="A10" s="32" t="s">
        <v>174</v>
      </c>
      <c r="B10" s="32">
        <v>1</v>
      </c>
      <c r="C10" s="32">
        <v>1</v>
      </c>
      <c r="N10" s="308">
        <f>SUM(N5:N9)</f>
        <v>0</v>
      </c>
      <c r="O10" s="309">
        <f>SUM(O5:O9)</f>
        <v>0</v>
      </c>
      <c r="P10" s="310">
        <f>SUM(P5:P9)</f>
        <v>0</v>
      </c>
      <c r="R10" s="32">
        <f>IF(N10&gt;=O10,O10*3600+(N10-O10)*720+P10*720,N10*3600+(O10-N10)*720+P10*720)</f>
        <v>0</v>
      </c>
      <c r="S10" s="32" t="s">
        <v>115</v>
      </c>
      <c r="Z10" s="308">
        <f>SUM(Z5:Z9)</f>
        <v>0</v>
      </c>
      <c r="AA10" s="309">
        <f>SUM(AA5:AA9)</f>
        <v>0</v>
      </c>
      <c r="AB10" s="310">
        <f>SUM(AB5:AB9)</f>
        <v>0</v>
      </c>
      <c r="AD10" s="32">
        <f>IF((N10+Z10)&gt;=(O10+AA10),(O10+AA10)*3600+(Z10+N10-AA10-O10)*720+(P10+AB10)*720,(N10+Z10)*3600+(AA10+O10-Z10-N10)*720+(AB10+P10)*720)</f>
        <v>0</v>
      </c>
      <c r="AE10" s="32" t="s">
        <v>115</v>
      </c>
      <c r="AL10" s="308">
        <f>SUM(AL5:AL9)</f>
        <v>0</v>
      </c>
      <c r="AM10" s="309">
        <f>SUM(AM5:AM9)</f>
        <v>0</v>
      </c>
      <c r="AN10" s="310">
        <f>SUM(AN5:AN9)</f>
        <v>0</v>
      </c>
      <c r="AP10" s="32">
        <f>IF(AL10&gt;=AM10,AM10*3600+(AL10-AM10)*720+AN10*720,AL10*3600+(AM10-AL10)*720+AN10*720)</f>
        <v>0</v>
      </c>
      <c r="AQ10" s="32" t="s">
        <v>115</v>
      </c>
      <c r="AX10" s="308">
        <f>SUM(AX5:AX9)</f>
        <v>0</v>
      </c>
      <c r="AY10" s="309">
        <f>SUM(AY5:AY9)</f>
        <v>0</v>
      </c>
      <c r="AZ10" s="310">
        <f>SUM(AZ5:AZ9)</f>
        <v>0</v>
      </c>
      <c r="BB10" s="32">
        <f>IF((AL10+AX10)&gt;=(AM10+AY10),(AM10+AY10)*3600+(AX10+AL10-AY10-AM10)*720+(AN10+AZ10)*720,(AL10+AX10)*3600+(AY10+AM10-AX10-AL10)*720+(AZ10+AN10)*720)</f>
        <v>0</v>
      </c>
      <c r="BC10" s="32" t="s">
        <v>115</v>
      </c>
    </row>
    <row r="11" spans="1:55" x14ac:dyDescent="0.2">
      <c r="A11" s="32" t="s">
        <v>173</v>
      </c>
      <c r="B11" s="32">
        <v>1</v>
      </c>
      <c r="C11" s="32">
        <v>1</v>
      </c>
    </row>
    <row r="12" spans="1:55" x14ac:dyDescent="0.2">
      <c r="A12" s="32" t="s">
        <v>172</v>
      </c>
      <c r="B12" s="32">
        <v>1</v>
      </c>
      <c r="C12" s="32">
        <v>1</v>
      </c>
    </row>
    <row r="13" spans="1:55" x14ac:dyDescent="0.2">
      <c r="A13" s="32" t="s">
        <v>826</v>
      </c>
      <c r="B13" s="32">
        <v>7</v>
      </c>
      <c r="C13" s="32">
        <v>1</v>
      </c>
    </row>
    <row r="14" spans="1:55" x14ac:dyDescent="0.2">
      <c r="A14" s="32" t="s">
        <v>827</v>
      </c>
      <c r="B14" s="32">
        <v>1</v>
      </c>
      <c r="C14" s="32">
        <v>1</v>
      </c>
    </row>
    <row r="15" spans="1:55" x14ac:dyDescent="0.2">
      <c r="A15" s="32" t="s">
        <v>171</v>
      </c>
      <c r="B15" s="32">
        <v>1</v>
      </c>
      <c r="C15" s="32">
        <v>1</v>
      </c>
    </row>
    <row r="16" spans="1:55" x14ac:dyDescent="0.2">
      <c r="A16" s="32" t="s">
        <v>828</v>
      </c>
      <c r="B16" s="32">
        <v>1</v>
      </c>
      <c r="C16" s="32">
        <v>3</v>
      </c>
    </row>
    <row r="17" spans="1:16" x14ac:dyDescent="0.2">
      <c r="A17" s="32" t="s">
        <v>104</v>
      </c>
      <c r="B17" s="32">
        <v>1</v>
      </c>
      <c r="C17" s="32">
        <v>1</v>
      </c>
      <c r="F17" s="32">
        <v>1</v>
      </c>
    </row>
    <row r="18" spans="1:16" x14ac:dyDescent="0.2">
      <c r="A18" s="32" t="s">
        <v>103</v>
      </c>
      <c r="B18" s="32">
        <v>1</v>
      </c>
      <c r="C18" s="32">
        <v>1</v>
      </c>
    </row>
    <row r="19" spans="1:16" x14ac:dyDescent="0.2">
      <c r="A19" s="32" t="s">
        <v>135</v>
      </c>
      <c r="B19" s="32">
        <v>1</v>
      </c>
      <c r="C19" s="32">
        <v>1</v>
      </c>
      <c r="E19" s="32" t="s">
        <v>169</v>
      </c>
    </row>
    <row r="20" spans="1:16" x14ac:dyDescent="0.2">
      <c r="B20" s="639" t="s">
        <v>842</v>
      </c>
      <c r="C20" s="639"/>
      <c r="D20" s="639"/>
      <c r="E20" s="32" t="s">
        <v>843</v>
      </c>
      <c r="F20" s="32" t="s">
        <v>832</v>
      </c>
      <c r="G20" s="32" t="s">
        <v>176</v>
      </c>
      <c r="H20" s="32" t="s">
        <v>844</v>
      </c>
      <c r="I20" s="32" t="s">
        <v>644</v>
      </c>
      <c r="J20" s="32" t="s">
        <v>210</v>
      </c>
      <c r="K20" s="32" t="s">
        <v>209</v>
      </c>
      <c r="L20" s="32" t="s">
        <v>837</v>
      </c>
      <c r="M20" s="32" t="s">
        <v>838</v>
      </c>
      <c r="N20" s="32" t="s">
        <v>839</v>
      </c>
      <c r="O20" s="32" t="s">
        <v>841</v>
      </c>
      <c r="P20" s="32" t="s">
        <v>845</v>
      </c>
    </row>
    <row r="21" spans="1:16" x14ac:dyDescent="0.2">
      <c r="A21" s="33" t="s">
        <v>208</v>
      </c>
    </row>
    <row r="22" spans="1:16" x14ac:dyDescent="0.2">
      <c r="A22" s="32" t="s">
        <v>207</v>
      </c>
      <c r="I22" s="32" t="s">
        <v>206</v>
      </c>
      <c r="J22" s="32" t="s">
        <v>206</v>
      </c>
      <c r="K22" s="32" t="s">
        <v>206</v>
      </c>
    </row>
    <row r="23" spans="1:16" x14ac:dyDescent="0.2">
      <c r="A23" s="32" t="s">
        <v>205</v>
      </c>
      <c r="B23" s="32" t="str">
        <f>IF('binnenklimaatlabel type 1'!B2&lt;3,"C","B")</f>
        <v>B</v>
      </c>
      <c r="I23" s="32">
        <f>IF('binnenklimaatlabel type 1'!B5=2,'Invoer Lokaal Type 1'!G7,0)</f>
        <v>0</v>
      </c>
      <c r="J23" s="32">
        <f>I23</f>
        <v>0</v>
      </c>
      <c r="K23" s="32">
        <f>I23</f>
        <v>0</v>
      </c>
      <c r="P23" s="32" t="str">
        <f>IF('binnenklimaatlabel type 1'!C2&lt;3,"C","B")</f>
        <v>C</v>
      </c>
    </row>
    <row r="24" spans="1:16" x14ac:dyDescent="0.2">
      <c r="A24" s="32" t="s">
        <v>204</v>
      </c>
      <c r="B24" s="32" t="str">
        <f>IF('binnenklimaatlabel type 1'!B18=1,"nee","ja")</f>
        <v>nee</v>
      </c>
      <c r="I24" s="32">
        <f>IF('binnenklimaatlabel type 1'!B6=2,'Invoer Lokaal Type 1'!G8,0)</f>
        <v>0</v>
      </c>
      <c r="J24" s="32">
        <f>I24</f>
        <v>0</v>
      </c>
      <c r="K24" s="32">
        <f>I24</f>
        <v>0</v>
      </c>
      <c r="P24" s="32" t="str">
        <f>IF('binnenklimaatlabel type 1'!C18=1,"nee","ja")</f>
        <v>nee</v>
      </c>
    </row>
    <row r="25" spans="1:16" x14ac:dyDescent="0.2">
      <c r="A25" s="32" t="s">
        <v>203</v>
      </c>
      <c r="B25" s="32" t="str">
        <f>IF('binnenklimaatlabel type 1'!B18=2,"A",B23)</f>
        <v>B</v>
      </c>
      <c r="I25" s="32">
        <f>IF('binnenklimaatlabel type 1'!B7=2,'Invoer Lokaal Type 1'!G9,0)</f>
        <v>0</v>
      </c>
      <c r="J25" s="32">
        <f>I25</f>
        <v>0</v>
      </c>
      <c r="K25" s="32">
        <f>I25</f>
        <v>0</v>
      </c>
      <c r="P25" s="32" t="str">
        <f>IF('binnenklimaatlabel type 1'!C18=2,"A",P23)</f>
        <v>C</v>
      </c>
    </row>
    <row r="26" spans="1:16" x14ac:dyDescent="0.2">
      <c r="I26" s="32" t="s">
        <v>202</v>
      </c>
      <c r="J26" s="32" t="s">
        <v>202</v>
      </c>
      <c r="K26" s="32" t="s">
        <v>202</v>
      </c>
    </row>
    <row r="27" spans="1:16" x14ac:dyDescent="0.2">
      <c r="A27" s="32" t="s">
        <v>201</v>
      </c>
      <c r="B27" s="32" t="str">
        <f>IF('binnenklimaatlabel type 1'!B16=4,"nee",IF('binnenklimaatlabel type 1'!B15&lt;3,"ja",IF(AND('binnenklimaatlabel type 1'!B15=5,'binnenklimaatlabel type 1'!B16=1),"ja","nee")))</f>
        <v>ja</v>
      </c>
      <c r="I27" s="32">
        <f>10*'Invoer Lokaal Type 1'!$B$2-(I23+I24+I25)</f>
        <v>300</v>
      </c>
      <c r="J27" s="32">
        <f>15*'Invoer Lokaal Type 1'!$B$2-(J23+J24+J25)</f>
        <v>450</v>
      </c>
      <c r="K27" s="32">
        <f>20*'Invoer Lokaal Type 1'!$B$2-(K23+K24+K25)</f>
        <v>600</v>
      </c>
      <c r="M27" s="32" t="s">
        <v>37</v>
      </c>
      <c r="N27" s="32" t="str">
        <f>B27</f>
        <v>ja</v>
      </c>
      <c r="P27" s="32" t="str">
        <f>IF('binnenklimaatlabel type 1'!C16=4,"nee",IF('binnenklimaatlabel type 1'!C15&lt;3,"ja",IF(AND('binnenklimaatlabel type 1'!C15=5,'binnenklimaatlabel type 1'!C16=1),"ja","nee")))</f>
        <v>ja</v>
      </c>
    </row>
    <row r="28" spans="1:16" x14ac:dyDescent="0.2">
      <c r="A28" s="32" t="s">
        <v>200</v>
      </c>
      <c r="B28" s="32" t="str">
        <f>IF('binnenklimaatlabel type 1'!B17=1,"nee",IF('binnenklimaatlabel type 1'!B17&lt;6,"ja","nee"))</f>
        <v>nee</v>
      </c>
      <c r="M28" s="32" t="str">
        <f>B28</f>
        <v>nee</v>
      </c>
      <c r="N28" s="32" t="s">
        <v>37</v>
      </c>
      <c r="P28" s="32" t="str">
        <f>IF('binnenklimaatlabel type 1'!C17=1,"nee",IF('binnenklimaatlabel type 1'!C17&lt;6,"ja","nee"))</f>
        <v>nee</v>
      </c>
    </row>
    <row r="29" spans="1:16" x14ac:dyDescent="0.2">
      <c r="A29" s="32" t="s">
        <v>196</v>
      </c>
      <c r="B29" s="32" t="str">
        <f>IF(OR(B27="ja",B28="ja"),"ja","nee")</f>
        <v>ja</v>
      </c>
      <c r="M29" s="32" t="str">
        <f>IF(OR(M27="ja",M28="ja"),"ja","nee")</f>
        <v>nee</v>
      </c>
      <c r="N29" s="32" t="str">
        <f>IF(OR(N27="ja",N28="ja"),"ja","nee")</f>
        <v>ja</v>
      </c>
      <c r="P29" s="32" t="str">
        <f>IF(OR(P27="ja",P28="ja"),"ja","nee")</f>
        <v>ja</v>
      </c>
    </row>
    <row r="30" spans="1:16" x14ac:dyDescent="0.2">
      <c r="A30" s="32" t="s">
        <v>199</v>
      </c>
      <c r="B30" s="32" t="str">
        <f>IF('binnenklimaatlabel type 1'!B18=2,"A",IF(AND('binnenklimaatlabel type 1'!B29="ja",'binnenklimaatlabel type 1'!B25="B"),"C",IF(AND('binnenklimaatlabel type 1'!B29="ja",'binnenklimaatlabel type 1'!B25="C"),"D",'binnenklimaatlabel type 1'!B25)))</f>
        <v>C</v>
      </c>
      <c r="M30" s="32" t="str">
        <f>IF('binnenklimaatlabel type 1'!B18=2,"A",IF(AND('binnenklimaatlabel type 1'!M29="ja",'binnenklimaatlabel type 1'!B25="B"),"C",IF(AND('binnenklimaatlabel type 1'!M29="ja",'binnenklimaatlabel type 1'!B25="C"),"D",'binnenklimaatlabel type 1'!B25)))</f>
        <v>B</v>
      </c>
      <c r="N30" s="32" t="str">
        <f>IF('binnenklimaatlabel type 1'!B18=2,"A",IF(AND('binnenklimaatlabel type 1'!N29="ja",'binnenklimaatlabel type 1'!B25="B"),"C",IF(AND('binnenklimaatlabel type 1'!N29="ja",'binnenklimaatlabel type 1'!B25="C"),"D",'binnenklimaatlabel type 1'!B25)))</f>
        <v>C</v>
      </c>
      <c r="P30" s="32" t="str">
        <f>IF('binnenklimaatlabel type 1'!C18=2,"A",IF(AND('binnenklimaatlabel type 1'!P29="ja",'binnenklimaatlabel type 1'!P25="B"),"C",IF(AND('binnenklimaatlabel type 1'!P29="ja",'binnenklimaatlabel type 1'!P25="C"),"D",'binnenklimaatlabel type 1'!P25)))</f>
        <v>D</v>
      </c>
    </row>
    <row r="32" spans="1:16" x14ac:dyDescent="0.2">
      <c r="A32" s="32" t="s">
        <v>198</v>
      </c>
      <c r="B32" s="32" t="str">
        <f>IF('binnenklimaatlabel type 1'!B13&lt;5,"ja",IF(AND('binnenklimaatlabel type 1'!B13=7,'Invoer Lokaal Type 1'!B18&lt;551),"ja","nee"))</f>
        <v>nee</v>
      </c>
      <c r="G32" s="32" t="str">
        <f>B32</f>
        <v>nee</v>
      </c>
      <c r="I32" s="32" t="s">
        <v>37</v>
      </c>
      <c r="J32" s="32" t="s">
        <v>37</v>
      </c>
      <c r="K32" s="32" t="s">
        <v>37</v>
      </c>
      <c r="M32" s="32" t="str">
        <f>B32</f>
        <v>nee</v>
      </c>
      <c r="N32" s="32" t="str">
        <f>B32</f>
        <v>nee</v>
      </c>
      <c r="P32" s="32" t="str">
        <f>IF('binnenklimaatlabel type 1'!C13&lt;5,"ja",IF(AND('binnenklimaatlabel type 1'!C13=7,'Invoer Lokaal Type 1'!K18&lt;551),"ja","nee"))</f>
        <v>ja</v>
      </c>
    </row>
    <row r="33" spans="1:18" x14ac:dyDescent="0.2">
      <c r="A33" s="32" t="s">
        <v>197</v>
      </c>
      <c r="B33" s="32" t="str">
        <f>IF(('Invoer Lokaal Type 1'!G15)&gt;2000,"ja","nee")</f>
        <v>nee</v>
      </c>
      <c r="G33" s="32" t="s">
        <v>36</v>
      </c>
      <c r="I33" s="32" t="str">
        <f>B33</f>
        <v>nee</v>
      </c>
      <c r="J33" s="32" t="str">
        <f>B33</f>
        <v>nee</v>
      </c>
      <c r="K33" s="32" t="str">
        <f>B33</f>
        <v>nee</v>
      </c>
      <c r="M33" s="32" t="str">
        <f>B33</f>
        <v>nee</v>
      </c>
      <c r="N33" s="32" t="str">
        <f>B33</f>
        <v>nee</v>
      </c>
      <c r="P33" s="32" t="str">
        <f>IF('Invoer Lokaal Type 1'!P15&gt;2000,"ja","nee")</f>
        <v>nee</v>
      </c>
    </row>
    <row r="34" spans="1:18" x14ac:dyDescent="0.2">
      <c r="A34" s="32" t="s">
        <v>196</v>
      </c>
      <c r="B34" s="32" t="str">
        <f>IF('binnenklimaatlabel type 1'!B2&lt;3,"nee",IF(OR(B32="nee",B33="ja"),"nee","ja"))</f>
        <v>nee</v>
      </c>
      <c r="G34" s="32" t="str">
        <f>IF('binnenklimaatlabel type 1'!B2&lt;3,"nee",IF(OR(G32="nee",G33="ja"),"nee","ja"))</f>
        <v>nee</v>
      </c>
      <c r="I34" s="32" t="str">
        <f>IF('binnenklimaatlabel type 1'!B2&lt;3,"nee",IF(OR(I32="nee",I33="ja"),"nee","ja"))</f>
        <v>nee</v>
      </c>
      <c r="J34" s="32" t="str">
        <f>IF('binnenklimaatlabel type 1'!B2&lt;3,"nee",IF(OR(J32="nee",J33="ja"),"nee","ja"))</f>
        <v>nee</v>
      </c>
      <c r="K34" s="32" t="str">
        <f>IF('binnenklimaatlabel type 1'!B2&lt;3,"nee",IF(OR(K32="nee",K33="ja"),"nee","ja"))</f>
        <v>nee</v>
      </c>
      <c r="M34" s="32" t="str">
        <f>IF('binnenklimaatlabel type 1'!B2&lt;3,"nee",IF(OR(M32="nee",M33="ja"),"nee","ja"))</f>
        <v>nee</v>
      </c>
      <c r="N34" s="32" t="str">
        <f>IF('binnenklimaatlabel type 1'!B2&lt;3,"nee",IF(OR(N32="nee",N33="ja"),"nee","ja"))</f>
        <v>nee</v>
      </c>
      <c r="P34" s="32" t="str">
        <f>IF('binnenklimaatlabel type 1'!C2&lt;3,"nee",IF(OR(P32="nee",P33="ja"),"nee","ja"))</f>
        <v>nee</v>
      </c>
    </row>
    <row r="35" spans="1:18" x14ac:dyDescent="0.2">
      <c r="A35" s="32" t="s">
        <v>187</v>
      </c>
      <c r="B35" s="33" t="str">
        <f>IF('binnenklimaatlabel type 1'!B2&lt;3,B30,IF(AND(B34="ja",B30="B"),"C",IF(AND(B34="ja",B30="C"),"D",B30)))</f>
        <v>C</v>
      </c>
      <c r="F35" s="33"/>
      <c r="G35" s="33" t="str">
        <f>IF('binnenklimaatlabel type 1'!B2&lt;3,B30,IF(AND(G34="ja",B30="B"),"C",IF(AND(G34="ja",B30="C"),"D",B30)))</f>
        <v>C</v>
      </c>
      <c r="H35" s="33"/>
      <c r="I35" s="33" t="str">
        <f>IF('binnenklimaatlabel type 1'!B2&lt;3,B30,IF(AND(I34="ja",B30="B"),"C",IF(AND(I34="ja",B30="C"),"D",B30)))</f>
        <v>C</v>
      </c>
      <c r="J35" s="33" t="str">
        <f>IF('binnenklimaatlabel type 1'!B2&lt;3,B30,IF(AND(J34="ja",B30="B"),"C",IF(AND(J34="ja",B30="C"),"D",B30)))</f>
        <v>C</v>
      </c>
      <c r="K35" s="33" t="str">
        <f>IF('binnenklimaatlabel type 1'!B2&lt;3,B30,IF(AND(K34="ja",B30="B"),"C",IF(AND(K34="ja",B30="C"),"D",B30)))</f>
        <v>C</v>
      </c>
      <c r="M35" s="33" t="str">
        <f>IF('binnenklimaatlabel type 1'!B2&lt;3,B30,IF(AND(M34="ja",B30="B"),"C",IF(AND(M34="ja",B30="C"),"D",B30)))</f>
        <v>C</v>
      </c>
      <c r="N35" s="33" t="str">
        <f>IF('binnenklimaatlabel type 1'!B2&lt;3,B30,IF(AND(N34="ja",B30="B"),"C",IF(AND(N34="ja",B30="C"),"D",B30)))</f>
        <v>C</v>
      </c>
      <c r="P35" s="33" t="str">
        <f>IF('binnenklimaatlabel type 1'!C2&lt;3,P30,IF(AND(P34="ja",P30="B"),"C",IF(AND(P34="ja",P30="C"),"D",P30)))</f>
        <v>D</v>
      </c>
    </row>
    <row r="37" spans="1:18" x14ac:dyDescent="0.2">
      <c r="A37" s="33" t="s">
        <v>195</v>
      </c>
      <c r="C37" s="32">
        <f>IF('binnenklimaatlabel type 1'!B13=1,0,IF('binnenklimaatlabel type 1'!B13&lt;4,299,IF('binnenklimaatlabel type 1'!B13=4,10*'Invoer Lokaal Type 1'!B2+1,IF('binnenklimaatlabel type 1'!B13=5,15*'Invoer Lokaal Type 1'!B2+1,IF('binnenklimaatlabel type 1'!B13=6,'Invoer Lokaal Type 1'!B2*20+1,'Invoer Lokaal Type 1'!B18)))))</f>
        <v>1000</v>
      </c>
      <c r="I37" s="32">
        <f>10*'Invoer Lokaal Type 1'!$B$2</f>
        <v>300</v>
      </c>
      <c r="J37" s="32">
        <f>15*'Invoer Lokaal Type 1'!$B$2</f>
        <v>450</v>
      </c>
      <c r="K37" s="32">
        <f>20*'Invoer Lokaal Type 1'!$B$2</f>
        <v>600</v>
      </c>
      <c r="Q37" s="32">
        <f>IF('binnenklimaatlabel type 1'!C13=1,0,IF('binnenklimaatlabel type 1'!C13&lt;4,299,IF('binnenklimaatlabel type 1'!C13=4,10*'Invoer Lokaal Type 1'!B2+1,IF('binnenklimaatlabel type 1'!C13=5,15*'Invoer Lokaal Type 1'!B2+1,IF('binnenklimaatlabel type 1'!C13=6,20*'Invoer Lokaal Type 1'!B2+1,'Invoer Lokaal Type 1'!K18)))))</f>
        <v>0</v>
      </c>
    </row>
    <row r="38" spans="1:18" x14ac:dyDescent="0.2">
      <c r="A38" s="32" t="s">
        <v>194</v>
      </c>
      <c r="B38" s="32" t="str">
        <f>IF('binnenklimaatlabel type 1'!B2&gt;3,"ja","nee")</f>
        <v>ja</v>
      </c>
      <c r="C38" s="32">
        <f>IF($B$2&gt;3,C37,0)</f>
        <v>1000</v>
      </c>
      <c r="D38" s="32" t="s">
        <v>115</v>
      </c>
      <c r="F38" s="32">
        <f>C38</f>
        <v>1000</v>
      </c>
      <c r="I38" s="32">
        <f>IF($B$2&gt;3,I37,0)</f>
        <v>300</v>
      </c>
      <c r="J38" s="32">
        <f>IF($B$2&gt;3,J37,0)</f>
        <v>450</v>
      </c>
      <c r="K38" s="32">
        <f>IF($B$2&gt;3,K37,0)</f>
        <v>600</v>
      </c>
      <c r="L38" s="32">
        <f>C38</f>
        <v>1000</v>
      </c>
      <c r="O38" s="32">
        <f>C38</f>
        <v>1000</v>
      </c>
      <c r="P38" s="32" t="str">
        <f>IF('binnenklimaatlabel type 1'!C2&gt;3,"ja","nee")</f>
        <v>nee</v>
      </c>
      <c r="Q38" s="32">
        <f>IF($C$2&gt;3,Q37,0)</f>
        <v>0</v>
      </c>
      <c r="R38" s="32" t="s">
        <v>115</v>
      </c>
    </row>
    <row r="39" spans="1:18" x14ac:dyDescent="0.2">
      <c r="A39" s="32" t="s">
        <v>193</v>
      </c>
      <c r="B39" s="32" t="str">
        <f>IF('Invoer Lokaal Type 1'!G11&gt;0,"ja","nee")</f>
        <v>nee</v>
      </c>
      <c r="C39" s="32">
        <f>IF(AND($B$2=3,C37&gt;R10),C37,IF($B$2=4,0,$R$10))</f>
        <v>0</v>
      </c>
      <c r="D39" s="32" t="s">
        <v>115</v>
      </c>
      <c r="F39" s="32">
        <f>551-F38</f>
        <v>-449</v>
      </c>
      <c r="I39" s="32">
        <f>IF($B$2=3,I37,IF($B$2=4,0,$R$10))</f>
        <v>0</v>
      </c>
      <c r="J39" s="32">
        <f>IF($B$2=3,J37,IF($B$2=4,0,$R$10))</f>
        <v>0</v>
      </c>
      <c r="K39" s="32">
        <f>IF($B$2=3,K37,IF($B$2=4,0,$R$10))</f>
        <v>0</v>
      </c>
      <c r="L39" s="32">
        <f>C39</f>
        <v>0</v>
      </c>
      <c r="O39" s="32">
        <f>C39</f>
        <v>0</v>
      </c>
      <c r="P39" s="32" t="str">
        <f>IF(('Invoer Lokaal Type 1'!P11)&gt;0,"ja","nee")</f>
        <v>nee</v>
      </c>
      <c r="Q39" s="32">
        <f>IF(AND($C$2=3,Q37&gt;AD10),Q37,IF($C$2=4,0,$AD$10))</f>
        <v>0</v>
      </c>
      <c r="R39" s="32" t="s">
        <v>115</v>
      </c>
    </row>
    <row r="40" spans="1:18" x14ac:dyDescent="0.2">
      <c r="A40" s="32" t="s">
        <v>192</v>
      </c>
      <c r="B40" s="32" t="str">
        <f>IF(('Invoer Lokaal Type 1'!G13+'Invoer Lokaal Type 1'!G14+'Invoer Lokaal Type 1'!G15)&gt;0,"ja","nee")</f>
        <v>nee</v>
      </c>
      <c r="C40" s="32">
        <f>'Invoer Lokaal Type 1'!G15</f>
        <v>0</v>
      </c>
      <c r="D40" s="32" t="s">
        <v>115</v>
      </c>
      <c r="F40" s="32">
        <f>C40</f>
        <v>0</v>
      </c>
      <c r="I40" s="32">
        <f>C40</f>
        <v>0</v>
      </c>
      <c r="J40" s="32">
        <f>C40</f>
        <v>0</v>
      </c>
      <c r="K40" s="32">
        <f>C40</f>
        <v>0</v>
      </c>
      <c r="L40" s="32">
        <f>C40</f>
        <v>0</v>
      </c>
      <c r="O40" s="32">
        <f>C40</f>
        <v>0</v>
      </c>
      <c r="P40" s="32" t="str">
        <f>IF(('Invoer Lokaal Type 1'!G15)&gt;0,"ja","nee")</f>
        <v>nee</v>
      </c>
      <c r="Q40" s="32">
        <f>'Invoer Lokaal Type 1'!G15</f>
        <v>0</v>
      </c>
      <c r="R40" s="32" t="s">
        <v>115</v>
      </c>
    </row>
    <row r="42" spans="1:18" x14ac:dyDescent="0.2">
      <c r="A42" s="32" t="s">
        <v>829</v>
      </c>
      <c r="B42" s="32" t="str">
        <f>IF(C38&gt;300,"A",IF(AND(C38&gt;0,(C38+C39)&gt;300),"B",IF(AND(C38&lt;300,(C38+C39)&lt;300,C40&gt;100),"D",IF(AND(C38=0,C39&gt;300,),"C",IF(AND(C39&lt;300,C40&gt;100),"D","C")))))</f>
        <v>A</v>
      </c>
      <c r="E42" s="32" t="str">
        <f>B42</f>
        <v>A</v>
      </c>
      <c r="F42" s="32" t="str">
        <f>IF(F38&gt;300,"A",IF(AND(F38&gt;0,(F38+F39)&gt;300),"B",IF(AND(F38&lt;300,(F38+F39)&lt;300,F40&gt;100),"D",IF(AND(F38=0,F39&gt;300,),"C",IF(AND(F39&lt;300,F40&gt;100),"D","C")))))</f>
        <v>A</v>
      </c>
      <c r="I42" s="32" t="str">
        <f>IF(I38&gt;300,"A",IF(AND(I38&gt;0,(I38+I39)&gt;300),"B",IF(AND(I38&lt;300,(I38+I39)&lt;300,I40&gt;100),"D",IF(AND(I38=0,I39&gt;300,),"C",IF(AND(I39&lt;300,I40&gt;100),"D","C")))))</f>
        <v>C</v>
      </c>
      <c r="J42" s="32" t="str">
        <f>IF(J38&gt;300,"A",IF(AND(J38&gt;0,(J38+J39)&gt;300),"B",IF(AND(J38&lt;300,(J38+J39)&lt;300,J40&gt;100),"D",IF(AND(J38=0,J39&gt;300,),"C",IF(AND(J39&lt;300,J40&gt;100),"D","C")))))</f>
        <v>A</v>
      </c>
      <c r="K42" s="32" t="str">
        <f>IF(K38&gt;300,"A",IF(AND(K38&gt;0,(K38+K39)&gt;300),"B",IF(AND(K38&lt;300,(K38+K39)&lt;300,K40&gt;100),"D",IF(AND(K38=0,K39&gt;300,),"C",IF(AND(K39&lt;300,K40&gt;100),"D","C")))))</f>
        <v>A</v>
      </c>
      <c r="L42" s="32" t="str">
        <f>B42</f>
        <v>A</v>
      </c>
      <c r="O42" s="32" t="str">
        <f>B42</f>
        <v>A</v>
      </c>
      <c r="P42" s="32" t="str">
        <f>IF(Q38&gt;300,"A",IF(AND(Q38&gt;0,(Q38+Q39)&gt;300),"B",IF(AND(Q38&lt;300,(Q38+Q39)&lt;300,Q40&gt;100),"D",IF(AND(Q38=0,Q39&gt;300,),"C",IF(AND(Q39&lt;300,Q40&gt;100),"D","C")))))</f>
        <v>C</v>
      </c>
    </row>
    <row r="43" spans="1:18" x14ac:dyDescent="0.2">
      <c r="A43" s="32" t="s">
        <v>829</v>
      </c>
      <c r="B43" s="32">
        <f>IF(B42="D",4,IF(B42="C",3,IF(B42="B",2,1)))</f>
        <v>1</v>
      </c>
      <c r="E43" s="32">
        <f>B43</f>
        <v>1</v>
      </c>
      <c r="F43" s="32">
        <f>IF(F42="D",4,IF(F42="C",3,IF(F42="B",2,1)))</f>
        <v>1</v>
      </c>
      <c r="I43" s="32">
        <f>IF(I42="D",4,IF(I42="C",3,IF(I42="B",2,1)))</f>
        <v>3</v>
      </c>
      <c r="J43" s="32">
        <f>IF(J42="D",4,IF(J42="C",3,IF(J42="B",2,1)))</f>
        <v>1</v>
      </c>
      <c r="K43" s="32">
        <f>IF(K42="D",4,IF(K42="C",3,IF(K42="B",2,1)))</f>
        <v>1</v>
      </c>
      <c r="L43" s="32">
        <f>B43</f>
        <v>1</v>
      </c>
      <c r="O43" s="32">
        <f>B43</f>
        <v>1</v>
      </c>
      <c r="P43" s="32">
        <f>IF(P42="D",4,IF(P42="C",3,IF(P42="B",2,1)))</f>
        <v>3</v>
      </c>
    </row>
    <row r="44" spans="1:18" x14ac:dyDescent="0.2">
      <c r="A44" s="32" t="s">
        <v>830</v>
      </c>
      <c r="B44" s="32">
        <f>IF(AND('binnenklimaatlabel type 1'!B2&lt;4,'binnenklimaatlabel type 1'!B4&gt;1),1,0)</f>
        <v>0</v>
      </c>
      <c r="E44" s="32">
        <v>1</v>
      </c>
      <c r="F44" s="32">
        <f>B44</f>
        <v>0</v>
      </c>
      <c r="I44" s="32">
        <f>B44</f>
        <v>0</v>
      </c>
      <c r="J44" s="32">
        <f>B44</f>
        <v>0</v>
      </c>
      <c r="K44" s="32">
        <f>B44</f>
        <v>0</v>
      </c>
      <c r="L44" s="32">
        <f>B44</f>
        <v>0</v>
      </c>
      <c r="O44" s="32">
        <f>B44</f>
        <v>0</v>
      </c>
      <c r="P44" s="32">
        <f>IF(AND('binnenklimaatlabel type 1'!C2&lt;4,'binnenklimaatlabel type 1'!C4&gt;1),1,0)</f>
        <v>0</v>
      </c>
    </row>
    <row r="45" spans="1:18" x14ac:dyDescent="0.2">
      <c r="A45" s="32" t="s">
        <v>191</v>
      </c>
      <c r="B45" s="32">
        <f>IF('binnenklimaatlabel type 1'!B19=1,-1,IF(OR('binnenklimaatlabel type 1'!B19=2,'binnenklimaatlabel type 1'!B19=3),0,1))</f>
        <v>-1</v>
      </c>
      <c r="E45" s="32">
        <f>B45</f>
        <v>-1</v>
      </c>
      <c r="F45" s="32">
        <f>B45</f>
        <v>-1</v>
      </c>
      <c r="I45" s="32">
        <f>B45</f>
        <v>-1</v>
      </c>
      <c r="J45" s="32">
        <f>B45</f>
        <v>-1</v>
      </c>
      <c r="K45" s="32">
        <f>B45</f>
        <v>-1</v>
      </c>
      <c r="L45" s="32">
        <f>B45</f>
        <v>-1</v>
      </c>
      <c r="O45" s="32">
        <f>IF('binnenklimaatlabel type 1'!F17=1,'binnenklimaatlabel type 1'!B45,IF('binnenklimaatlabel type 1'!F17=2,0,1))</f>
        <v>-1</v>
      </c>
      <c r="P45" s="32">
        <f>IF('binnenklimaatlabel type 1'!C19=1,-1,IF(OR('binnenklimaatlabel type 1'!C19=2,'binnenklimaatlabel type 1'!C19=3),0,1))</f>
        <v>-1</v>
      </c>
    </row>
    <row r="46" spans="1:18" x14ac:dyDescent="0.2">
      <c r="A46" s="32" t="s">
        <v>190</v>
      </c>
      <c r="B46" s="32">
        <f>IF('binnenklimaatlabel type 1'!B14=1,-1,IF('binnenklimaatlabel type 1'!B14=2,0,1))</f>
        <v>-1</v>
      </c>
      <c r="E46" s="32">
        <f>B46</f>
        <v>-1</v>
      </c>
      <c r="F46" s="32">
        <f>B46</f>
        <v>-1</v>
      </c>
      <c r="I46" s="32">
        <f>B46</f>
        <v>-1</v>
      </c>
      <c r="J46" s="32">
        <f>B46</f>
        <v>-1</v>
      </c>
      <c r="K46" s="32">
        <f>B46</f>
        <v>-1</v>
      </c>
      <c r="L46" s="32">
        <v>1</v>
      </c>
      <c r="O46" s="32">
        <f>B46</f>
        <v>-1</v>
      </c>
      <c r="P46" s="32">
        <f>IF('binnenklimaatlabel type 1'!C14=1,-1,IF('binnenklimaatlabel type 1'!C14=2,0,1))</f>
        <v>-1</v>
      </c>
    </row>
    <row r="47" spans="1:18" x14ac:dyDescent="0.2">
      <c r="A47" s="32" t="s">
        <v>189</v>
      </c>
      <c r="B47" s="32">
        <f>IF((B44+B45+B46)&gt;0,1,IF((B44+B45+B46)&lt;0,-1,0))</f>
        <v>-1</v>
      </c>
      <c r="E47" s="32">
        <f>IF((E44+E45+E46)&gt;0,1,IF((E44+E45+E46)&lt;0,-1,0))</f>
        <v>-1</v>
      </c>
      <c r="F47" s="32">
        <f>IF((F44+F45+F46)&gt;0,1,IF((F44+F45+F46)&lt;0,-1,0))</f>
        <v>-1</v>
      </c>
      <c r="I47" s="32">
        <f>IF((I44+I45+I46)&gt;0,1,IF((I44+I45+I46)&lt;0,-1,0))</f>
        <v>-1</v>
      </c>
      <c r="J47" s="32">
        <f>IF((J44+J45+J46)&gt;0,1,IF((J44+J45+J46)&lt;0,-1,0))</f>
        <v>-1</v>
      </c>
      <c r="K47" s="32">
        <f>IF((K44+K45+K46)&gt;0,1,IF((K44+K45+K46)&lt;0,-1,0))</f>
        <v>-1</v>
      </c>
      <c r="L47" s="32">
        <f>IF((L44+L45+L46)&gt;0,1,IF((L44+L45+L46)&lt;0,-1,0))</f>
        <v>0</v>
      </c>
      <c r="O47" s="32">
        <f>IF((O44+O45+O46)&gt;0,1,IF((O44+O45+O46)&lt;0,-1,0))</f>
        <v>-1</v>
      </c>
      <c r="P47" s="32">
        <f>IF((P44+P45+P46)&gt;0,1,IF((P44+P45+P46)&lt;0,-1,0))</f>
        <v>-1</v>
      </c>
    </row>
    <row r="48" spans="1:18" x14ac:dyDescent="0.2">
      <c r="A48" s="32" t="s">
        <v>187</v>
      </c>
      <c r="B48" s="32">
        <f>B43-B47</f>
        <v>2</v>
      </c>
      <c r="E48" s="32">
        <f>E43-E47</f>
        <v>2</v>
      </c>
      <c r="F48" s="32">
        <f>F43-F47</f>
        <v>2</v>
      </c>
      <c r="I48" s="32">
        <f>I43-I47</f>
        <v>4</v>
      </c>
      <c r="J48" s="32">
        <f>J43-J47</f>
        <v>2</v>
      </c>
      <c r="K48" s="32">
        <f>K43-K47</f>
        <v>2</v>
      </c>
      <c r="L48" s="32">
        <f>L43-L47</f>
        <v>1</v>
      </c>
      <c r="O48" s="32">
        <f>O43-O47</f>
        <v>2</v>
      </c>
      <c r="P48" s="32">
        <f>P43-P47</f>
        <v>4</v>
      </c>
    </row>
    <row r="49" spans="1:16" x14ac:dyDescent="0.2">
      <c r="A49" s="32" t="s">
        <v>187</v>
      </c>
      <c r="B49" s="33" t="str">
        <f>IF(B48&gt;3,"D",IF(B48=3,"C",IF(B48=2,"B","A")))</f>
        <v>B</v>
      </c>
      <c r="C49" s="33"/>
      <c r="D49" s="33"/>
      <c r="E49" s="33" t="str">
        <f>IF(E48&gt;3,"D",IF(E48=3,"C",IF(E48=2,"B","A")))</f>
        <v>B</v>
      </c>
      <c r="F49" s="33" t="str">
        <f>IF(F48&gt;3,"D",IF(F48=3,"C",IF(F48=2,"B","A")))</f>
        <v>B</v>
      </c>
      <c r="I49" s="33" t="str">
        <f>IF(I48&gt;3,"D",IF(I48=3,"C",IF(I48=2,"B","A")))</f>
        <v>D</v>
      </c>
      <c r="J49" s="33" t="str">
        <f>IF(J48&gt;3,"D",IF(J48=3,"C",IF(J48=2,"B","A")))</f>
        <v>B</v>
      </c>
      <c r="K49" s="33" t="str">
        <f>IF(K48&gt;3,"D",IF(K48=3,"C",IF(K48=2,"B","A")))</f>
        <v>B</v>
      </c>
      <c r="L49" s="33" t="str">
        <f>IF(L48&gt;3,"D",IF(L48=3,"C",IF(L48=2,"B","A")))</f>
        <v>A</v>
      </c>
      <c r="O49" s="33" t="str">
        <f>IF(O48&gt;3,"D",IF(O48=3,"C",IF(O48=2,"B","A")))</f>
        <v>B</v>
      </c>
      <c r="P49" s="33" t="str">
        <f>IF(P48&gt;3,"D",IF(P48=3,"C",IF(P48=2,"B","A")))</f>
        <v>D</v>
      </c>
    </row>
    <row r="51" spans="1:16" x14ac:dyDescent="0.2">
      <c r="A51" s="33" t="s">
        <v>96</v>
      </c>
    </row>
    <row r="52" spans="1:16" x14ac:dyDescent="0.2">
      <c r="A52" s="32" t="s">
        <v>188</v>
      </c>
      <c r="B52" s="32" t="str">
        <f>IF((C38+C39)&gt;43.2*'Invoer Lokaal Type 1'!$B$2,"A",IF(AND((C38+C39)&lt;=43.2*'Invoer Lokaal Type 1'!$B$2,(C38+C39)&gt;30.6*'Invoer Lokaal Type 1'!$B$2),"B",IF(AND((C38+C39)&lt;=30.6*'Invoer Lokaal Type 1'!$B$2,(C38+C39)&gt;21.6*'Invoer Lokaal Type 1'!$B$2),"C","D")))</f>
        <v>B</v>
      </c>
      <c r="F52" s="32" t="str">
        <f>IF((F38+F39)&gt;43.2*'Invoer Lokaal Type 1'!$B$2,"A",IF(AND((F38+F39)&lt;=43.2*'Invoer Lokaal Type 1'!$B$2,(F38+F39)&gt;30.6*'Invoer Lokaal Type 1'!$B$2),"B",IF(AND((F38+F39)&lt;=30.6*'Invoer Lokaal Type 1'!$B$2,(F38+F39)&gt;21.6*'Invoer Lokaal Type 1'!$B$2),"C","D")))</f>
        <v>D</v>
      </c>
      <c r="G52" s="32" t="str">
        <f>B52</f>
        <v>B</v>
      </c>
      <c r="I52" s="32" t="str">
        <f>IF((I38+I39)&gt;43.2*'Invoer Lokaal Type 1'!$B$2,"A",IF(AND((I38+I39)&lt;=43.2*'Invoer Lokaal Type 1'!$B$2,(I38+I39)&gt;30.6*'Invoer Lokaal Type 1'!$B$2),"B",IF(AND((I38+I39)&lt;=30.6*'Invoer Lokaal Type 1'!$B$2,(I38+I39)&gt;21.6*'Invoer Lokaal Type 1'!$B$2),"C","D")))</f>
        <v>D</v>
      </c>
      <c r="J52" s="32" t="str">
        <f>IF((J38+J39)&gt;43.2*'Invoer Lokaal Type 1'!$B$2,"A",IF(AND((J38+J39)&lt;=43.2*'Invoer Lokaal Type 1'!$B$2,(J38+J39)&gt;30.6*'Invoer Lokaal Type 1'!$B$2),"B",IF(AND((J38+J39)&lt;=30.6*'Invoer Lokaal Type 1'!$B$2,(J38+J39)&gt;21.6*'Invoer Lokaal Type 1'!$B$2),"C","D")))</f>
        <v>D</v>
      </c>
      <c r="K52" s="32" t="str">
        <f>IF((K38+K39)&gt;43.2*'Invoer Lokaal Type 1'!$B$2,"A",IF(AND((K38+K39)&lt;=43.2*'Invoer Lokaal Type 1'!$B$2,(K38+K39)&gt;30.6*'Invoer Lokaal Type 1'!$B$2),"B",IF(AND((K38+K39)&lt;=30.6*'Invoer Lokaal Type 1'!$B$2,(K38+K39)&gt;21.6*'Invoer Lokaal Type 1'!$B$2),"C","D")))</f>
        <v>D</v>
      </c>
      <c r="P52" s="32" t="str">
        <f>IF((Q38+Q39)&gt;43.2*'Invoer Lokaal Type 1'!$B$2,"A",IF(AND((Q38+Q39)&lt;=43.2*'Invoer Lokaal Type 1'!$B$2,(Q38+Q39)&gt;30.6*'Invoer Lokaal Type 1'!$B$2),"B",IF(AND((Q38+Q39)&lt;=30.6*'Invoer Lokaal Type 1'!$B$2,(Q38+Q39)&gt;21.6*'Invoer Lokaal Type 1'!$B$2),"C","D")))</f>
        <v>D</v>
      </c>
    </row>
    <row r="54" spans="1:16" x14ac:dyDescent="0.2">
      <c r="A54" s="113"/>
      <c r="B54" s="113"/>
    </row>
    <row r="56" spans="1:16" x14ac:dyDescent="0.2">
      <c r="B56" s="33"/>
      <c r="F56" s="33"/>
      <c r="G56" s="33"/>
      <c r="H56" s="33"/>
      <c r="I56" s="33"/>
      <c r="J56" s="33"/>
      <c r="K56" s="33"/>
      <c r="P56" s="33"/>
    </row>
    <row r="59" spans="1:16" x14ac:dyDescent="0.2">
      <c r="A59" s="32" t="s">
        <v>831</v>
      </c>
      <c r="B59" s="32" t="s">
        <v>186</v>
      </c>
      <c r="C59" s="32" t="s">
        <v>185</v>
      </c>
      <c r="D59" s="32" t="s">
        <v>89</v>
      </c>
      <c r="E59" s="32" t="s">
        <v>184</v>
      </c>
      <c r="F59" s="32" t="s">
        <v>56</v>
      </c>
    </row>
    <row r="60" spans="1:16" x14ac:dyDescent="0.2">
      <c r="A60" s="32" t="s">
        <v>180</v>
      </c>
      <c r="B60" s="32" t="str">
        <f>B35</f>
        <v>C</v>
      </c>
      <c r="C60" s="32" t="str">
        <f>E49</f>
        <v>B</v>
      </c>
      <c r="D60" s="32" t="str">
        <f>B52</f>
        <v>B</v>
      </c>
      <c r="E60" s="32" t="str">
        <f>IF('Invoer Lokaal Type 1'!I5="geen","nee","ja")</f>
        <v>nee</v>
      </c>
      <c r="F60" s="32" t="str">
        <f>'Invoer Lokaal Type 1'!J5</f>
        <v>Low-budget</v>
      </c>
    </row>
    <row r="61" spans="1:16" x14ac:dyDescent="0.2">
      <c r="A61" s="32" t="s">
        <v>832</v>
      </c>
      <c r="B61" s="32" t="str">
        <f>B35</f>
        <v>C</v>
      </c>
      <c r="C61" s="32" t="str">
        <f>F49</f>
        <v>B</v>
      </c>
      <c r="D61" s="32" t="str">
        <f>F52</f>
        <v>D</v>
      </c>
      <c r="E61" s="32" t="str">
        <f>IF('binnenklimaatlabel type 1'!F5=1,"nee","ja")</f>
        <v>nee</v>
      </c>
      <c r="F61" s="32">
        <f>'Invoer Lokaal Type 1'!J7</f>
        <v>0</v>
      </c>
    </row>
    <row r="62" spans="1:16" x14ac:dyDescent="0.2">
      <c r="A62" s="32" t="s">
        <v>176</v>
      </c>
      <c r="B62" s="32" t="str">
        <f>G35</f>
        <v>C</v>
      </c>
      <c r="C62" s="32" t="str">
        <f>B49</f>
        <v>B</v>
      </c>
      <c r="D62" s="32" t="str">
        <f>G52</f>
        <v>B</v>
      </c>
      <c r="E62" s="32" t="str">
        <f>IF('binnenklimaatlabel type 1'!F6=1,"nee","ja")</f>
        <v>nee</v>
      </c>
      <c r="F62" s="32">
        <f>'Invoer Lokaal Type 1'!J13</f>
        <v>0</v>
      </c>
    </row>
    <row r="63" spans="1:16" x14ac:dyDescent="0.2">
      <c r="A63" s="32" t="s">
        <v>833</v>
      </c>
      <c r="F63" s="32" t="str">
        <f>'Invoer Lokaal Type 1'!J16</f>
        <v>n.v.t.</v>
      </c>
    </row>
    <row r="64" spans="1:16" x14ac:dyDescent="0.2">
      <c r="A64" s="32" t="s">
        <v>834</v>
      </c>
      <c r="B64" s="32" t="str">
        <f>I35</f>
        <v>C</v>
      </c>
      <c r="C64" s="32" t="str">
        <f>I49</f>
        <v>D</v>
      </c>
      <c r="D64" s="32" t="str">
        <f>I52</f>
        <v>D</v>
      </c>
      <c r="E64" s="32" t="str">
        <f>IF('Invoer Lokaal Type 1'!J18="n.v.t.","nee","ja")</f>
        <v>nee</v>
      </c>
      <c r="F64" s="32" t="str">
        <f>'Invoer Lokaal Type 1'!J18</f>
        <v>n.v.t.</v>
      </c>
    </row>
    <row r="65" spans="1:6" x14ac:dyDescent="0.2">
      <c r="A65" s="32" t="s">
        <v>835</v>
      </c>
      <c r="B65" s="32" t="str">
        <f>J35</f>
        <v>C</v>
      </c>
      <c r="C65" s="32" t="str">
        <f>J49</f>
        <v>B</v>
      </c>
      <c r="D65" s="32" t="str">
        <f>J52</f>
        <v>D</v>
      </c>
      <c r="E65" s="32" t="str">
        <f>IF('Invoer Lokaal Type 1'!J19="n.v.t.","nee","ja")</f>
        <v>nee</v>
      </c>
      <c r="F65" s="32" t="str">
        <f>'Invoer Lokaal Type 1'!J19</f>
        <v>n.v.t.</v>
      </c>
    </row>
    <row r="66" spans="1:6" x14ac:dyDescent="0.2">
      <c r="A66" s="32" t="s">
        <v>836</v>
      </c>
      <c r="B66" s="32" t="str">
        <f>K35</f>
        <v>C</v>
      </c>
      <c r="C66" s="32" t="str">
        <f>K49</f>
        <v>B</v>
      </c>
      <c r="D66" s="32" t="str">
        <f>K52</f>
        <v>D</v>
      </c>
      <c r="E66" s="32" t="str">
        <f>IF('Invoer Lokaal Type 1'!J20="n.v.t.","nee","ja")</f>
        <v>nee</v>
      </c>
      <c r="F66" s="32" t="str">
        <f>'Invoer Lokaal Type 1'!J20</f>
        <v>n.v.t.</v>
      </c>
    </row>
    <row r="67" spans="1:6" x14ac:dyDescent="0.2">
      <c r="A67" s="32" t="s">
        <v>837</v>
      </c>
      <c r="B67" s="32" t="str">
        <f>B35</f>
        <v>C</v>
      </c>
      <c r="C67" s="32" t="str">
        <f>L49</f>
        <v>A</v>
      </c>
      <c r="D67" s="32" t="str">
        <f>B52</f>
        <v>B</v>
      </c>
      <c r="E67" s="32" t="str">
        <f>IF('Invoer Lokaal Type 1'!J22&gt;0,"ja","nee")</f>
        <v>nee</v>
      </c>
      <c r="F67" s="32">
        <f>'Invoer Lokaal Type 1'!J21</f>
        <v>0</v>
      </c>
    </row>
    <row r="68" spans="1:6" x14ac:dyDescent="0.2">
      <c r="A68" s="32" t="s">
        <v>838</v>
      </c>
      <c r="B68" s="32" t="str">
        <f>M35</f>
        <v>C</v>
      </c>
      <c r="C68" s="32" t="str">
        <f>B49</f>
        <v>B</v>
      </c>
      <c r="D68" s="32" t="str">
        <f>B52</f>
        <v>B</v>
      </c>
      <c r="E68" s="32" t="str">
        <f>IF('Invoer Lokaal Type 1'!J22&gt;0,"ja","nee")</f>
        <v>nee</v>
      </c>
      <c r="F68" s="32">
        <f>'Invoer Lokaal Type 1'!J22</f>
        <v>0</v>
      </c>
    </row>
    <row r="69" spans="1:6" x14ac:dyDescent="0.2">
      <c r="A69" s="32" t="s">
        <v>839</v>
      </c>
      <c r="B69" s="32" t="str">
        <f>N35</f>
        <v>C</v>
      </c>
      <c r="C69" s="32" t="str">
        <f>B49</f>
        <v>B</v>
      </c>
      <c r="D69" s="32" t="str">
        <f>B52</f>
        <v>B</v>
      </c>
      <c r="E69" s="32" t="str">
        <f>IF('Invoer Lokaal Type 1'!J24="n.b.","ja","nee")</f>
        <v>nee</v>
      </c>
      <c r="F69" s="32" t="str">
        <f>'Invoer Lokaal Type 1'!J24</f>
        <v>zie E*</v>
      </c>
    </row>
    <row r="70" spans="1:6" x14ac:dyDescent="0.2">
      <c r="A70" s="32" t="s">
        <v>840</v>
      </c>
      <c r="B70" s="32" t="s">
        <v>183</v>
      </c>
      <c r="C70" s="32" t="str">
        <f>B49</f>
        <v>B</v>
      </c>
      <c r="D70" s="32" t="str">
        <f>B52</f>
        <v>B</v>
      </c>
      <c r="E70" s="32" t="str">
        <f>IF('Invoer Lokaal Type 1'!J25&gt;0,"ja","nee")</f>
        <v>ja</v>
      </c>
      <c r="F70" s="32">
        <f>'Invoer Lokaal Type 1'!J25</f>
        <v>3500</v>
      </c>
    </row>
    <row r="71" spans="1:6" x14ac:dyDescent="0.2">
      <c r="A71" s="32" t="s">
        <v>841</v>
      </c>
      <c r="B71" s="32" t="str">
        <f>B35</f>
        <v>C</v>
      </c>
      <c r="C71" s="32" t="str">
        <f>O49</f>
        <v>B</v>
      </c>
      <c r="D71" s="32" t="str">
        <f>B52</f>
        <v>B</v>
      </c>
      <c r="E71" s="32" t="str">
        <f>IF('Invoer Lokaal Type 1'!J27="n.b.","ja","nee")</f>
        <v>nee</v>
      </c>
      <c r="F71" s="32" t="str">
        <f>'Invoer Lokaal Type 1'!J27</f>
        <v>zie E*</v>
      </c>
    </row>
  </sheetData>
  <mergeCells count="1">
    <mergeCell ref="B20:D20"/>
  </mergeCells>
  <phoneticPr fontId="0" type="noConversion"/>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1"/>
  <sheetViews>
    <sheetView zoomScaleNormal="100" workbookViewId="0">
      <selection activeCell="B24" sqref="B24"/>
    </sheetView>
  </sheetViews>
  <sheetFormatPr defaultRowHeight="12.75" x14ac:dyDescent="0.2"/>
  <cols>
    <col min="1" max="1" width="14.7109375" customWidth="1"/>
    <col min="2" max="2" width="27.42578125" customWidth="1"/>
    <col min="10" max="10" width="10.7109375" customWidth="1"/>
    <col min="11" max="11" width="23.85546875" customWidth="1"/>
    <col min="12" max="12" width="12.7109375" customWidth="1"/>
  </cols>
  <sheetData>
    <row r="1" spans="1:17" ht="18" x14ac:dyDescent="0.25">
      <c r="A1" s="429" t="s">
        <v>317</v>
      </c>
      <c r="B1" s="108"/>
      <c r="C1" s="108"/>
      <c r="D1" s="108"/>
      <c r="E1" s="108"/>
      <c r="F1" s="108"/>
      <c r="G1" s="108"/>
      <c r="H1" s="108"/>
      <c r="I1" s="108"/>
      <c r="J1" s="108"/>
      <c r="K1" s="108"/>
      <c r="L1" s="108"/>
      <c r="M1" s="50"/>
      <c r="N1" s="50"/>
      <c r="O1" s="50"/>
      <c r="P1" s="50"/>
      <c r="Q1" s="50"/>
    </row>
    <row r="2" spans="1:17" x14ac:dyDescent="0.2">
      <c r="A2" s="108"/>
      <c r="B2" s="108"/>
      <c r="C2" s="108"/>
      <c r="D2" s="108"/>
      <c r="E2" s="108"/>
      <c r="F2" s="108"/>
      <c r="G2" s="108"/>
      <c r="H2" s="108"/>
      <c r="I2" s="108"/>
      <c r="J2" s="108"/>
      <c r="K2" s="108"/>
      <c r="L2" s="108"/>
      <c r="M2" s="50"/>
      <c r="N2" s="50"/>
      <c r="O2" s="50"/>
      <c r="P2" s="50"/>
      <c r="Q2" s="50"/>
    </row>
    <row r="3" spans="1:17" x14ac:dyDescent="0.2">
      <c r="A3" s="108" t="s">
        <v>313</v>
      </c>
      <c r="B3" s="546"/>
      <c r="C3" s="546"/>
      <c r="D3" s="546"/>
      <c r="E3" s="546"/>
      <c r="F3" s="546"/>
      <c r="G3" s="108"/>
      <c r="H3" s="108"/>
      <c r="I3" s="108"/>
      <c r="J3" s="108"/>
      <c r="K3" s="108"/>
      <c r="L3" s="108"/>
      <c r="M3" s="50"/>
      <c r="N3" s="50"/>
      <c r="O3" s="50"/>
      <c r="P3" s="50"/>
      <c r="Q3" s="50"/>
    </row>
    <row r="4" spans="1:17" x14ac:dyDescent="0.2">
      <c r="A4" s="108"/>
      <c r="B4" s="108"/>
      <c r="C4" s="108"/>
      <c r="D4" s="108"/>
      <c r="E4" s="108"/>
      <c r="F4" s="108"/>
      <c r="G4" s="108"/>
      <c r="H4" s="108"/>
      <c r="I4" s="108"/>
      <c r="J4" s="108"/>
      <c r="K4" s="108"/>
      <c r="L4" s="108"/>
      <c r="M4" s="50"/>
      <c r="N4" s="50"/>
      <c r="O4" s="50"/>
      <c r="P4" s="50"/>
      <c r="Q4" s="50"/>
    </row>
    <row r="5" spans="1:17" x14ac:dyDescent="0.2">
      <c r="A5" s="108" t="s">
        <v>316</v>
      </c>
      <c r="B5" s="108"/>
      <c r="C5" s="108"/>
      <c r="D5" s="108"/>
      <c r="E5" s="108"/>
      <c r="F5" s="108"/>
      <c r="G5" s="108"/>
      <c r="H5" s="108"/>
      <c r="I5" s="108"/>
      <c r="J5" s="108"/>
      <c r="K5" s="108"/>
      <c r="L5" s="108"/>
      <c r="M5" s="50"/>
      <c r="N5" s="50"/>
      <c r="O5" s="50"/>
      <c r="P5" s="50"/>
      <c r="Q5" s="50"/>
    </row>
    <row r="6" spans="1:17" x14ac:dyDescent="0.2">
      <c r="A6" s="108"/>
      <c r="B6" s="108"/>
      <c r="C6" s="108"/>
      <c r="D6" s="108"/>
      <c r="E6" s="108"/>
      <c r="F6" s="108"/>
      <c r="G6" s="108"/>
      <c r="H6" s="108"/>
      <c r="I6" s="108"/>
      <c r="J6" s="108"/>
      <c r="K6" s="108"/>
      <c r="L6" s="108"/>
      <c r="M6" s="50"/>
      <c r="N6" s="50"/>
      <c r="O6" s="50"/>
      <c r="P6" s="50"/>
      <c r="Q6" s="50"/>
    </row>
    <row r="7" spans="1:17" x14ac:dyDescent="0.2">
      <c r="A7" s="108" t="s">
        <v>314</v>
      </c>
      <c r="B7" s="546"/>
      <c r="C7" s="546"/>
      <c r="D7" s="546"/>
      <c r="E7" s="546"/>
      <c r="F7" s="546"/>
      <c r="G7" s="108"/>
      <c r="H7" s="108"/>
      <c r="I7" s="108"/>
      <c r="J7" s="108"/>
      <c r="K7" s="108"/>
      <c r="L7" s="108"/>
      <c r="M7" s="50"/>
      <c r="N7" s="50"/>
      <c r="O7" s="50"/>
      <c r="P7" s="50"/>
      <c r="Q7" s="50"/>
    </row>
    <row r="8" spans="1:17" x14ac:dyDescent="0.2">
      <c r="A8" s="108" t="s">
        <v>324</v>
      </c>
      <c r="B8" s="109"/>
      <c r="C8" s="108" t="s">
        <v>315</v>
      </c>
      <c r="D8" s="386"/>
      <c r="E8" s="387"/>
      <c r="F8" s="387"/>
      <c r="G8" s="108"/>
      <c r="H8" s="108"/>
      <c r="I8" s="108"/>
      <c r="J8" s="108"/>
      <c r="K8" s="108"/>
      <c r="L8" s="108"/>
      <c r="M8" s="50"/>
      <c r="N8" s="50"/>
      <c r="O8" s="50"/>
      <c r="P8" s="50"/>
      <c r="Q8" s="50"/>
    </row>
    <row r="9" spans="1:17" x14ac:dyDescent="0.2">
      <c r="A9" s="108"/>
      <c r="B9" s="108"/>
      <c r="C9" s="108"/>
      <c r="D9" s="108"/>
      <c r="E9" s="108"/>
      <c r="F9" s="108"/>
      <c r="G9" s="108"/>
      <c r="H9" s="108"/>
      <c r="I9" s="108"/>
      <c r="J9" s="108"/>
      <c r="K9" s="108"/>
      <c r="L9" s="108"/>
      <c r="M9" s="50"/>
      <c r="N9" s="50"/>
      <c r="O9" s="50"/>
      <c r="P9" s="50"/>
      <c r="Q9" s="50"/>
    </row>
    <row r="10" spans="1:17" ht="13.5" thickBot="1" x14ac:dyDescent="0.25">
      <c r="A10" s="108"/>
      <c r="B10" s="108"/>
      <c r="C10" s="108"/>
      <c r="D10" s="108"/>
      <c r="E10" s="108"/>
      <c r="F10" s="108"/>
      <c r="G10" s="108"/>
      <c r="H10" s="108"/>
      <c r="I10" s="108"/>
      <c r="J10" s="108"/>
      <c r="K10" s="108"/>
      <c r="L10" s="108"/>
      <c r="M10" s="50"/>
      <c r="N10" s="50"/>
      <c r="O10" s="50"/>
      <c r="P10" s="50"/>
      <c r="Q10" s="50"/>
    </row>
    <row r="11" spans="1:17" ht="15" customHeight="1" thickBot="1" x14ac:dyDescent="0.3">
      <c r="A11" s="542" t="s">
        <v>325</v>
      </c>
      <c r="B11" s="543"/>
      <c r="C11" s="110" t="s">
        <v>318</v>
      </c>
      <c r="D11" s="110" t="s">
        <v>319</v>
      </c>
      <c r="E11" s="110" t="s">
        <v>320</v>
      </c>
      <c r="F11" s="110" t="s">
        <v>326</v>
      </c>
      <c r="G11" s="252" t="s">
        <v>673</v>
      </c>
      <c r="H11" s="108"/>
      <c r="I11" s="108"/>
      <c r="J11" s="108"/>
      <c r="K11" s="108"/>
      <c r="L11" s="108"/>
      <c r="M11" s="50"/>
      <c r="N11" s="50"/>
      <c r="O11" s="50"/>
      <c r="P11" s="50"/>
      <c r="Q11" s="50"/>
    </row>
    <row r="12" spans="1:17" x14ac:dyDescent="0.2">
      <c r="A12" s="108"/>
      <c r="B12" s="108"/>
      <c r="C12" s="108"/>
      <c r="D12" s="108"/>
      <c r="E12" s="108"/>
      <c r="F12" s="108"/>
      <c r="G12" s="108"/>
      <c r="H12" s="108"/>
      <c r="I12" s="108"/>
      <c r="J12" s="108"/>
      <c r="K12" s="108"/>
      <c r="L12" s="108"/>
      <c r="M12" s="50"/>
      <c r="N12" s="50"/>
      <c r="O12" s="50"/>
      <c r="P12" s="50"/>
      <c r="Q12" s="50"/>
    </row>
    <row r="13" spans="1:17" x14ac:dyDescent="0.2">
      <c r="A13" s="108"/>
      <c r="B13" s="108"/>
      <c r="C13" s="108"/>
      <c r="D13" s="108"/>
      <c r="E13" s="108"/>
      <c r="F13" s="108"/>
      <c r="G13" s="108"/>
      <c r="H13" s="108"/>
      <c r="I13" s="108"/>
      <c r="J13" s="108"/>
      <c r="K13" s="108"/>
      <c r="L13" s="108"/>
      <c r="M13" s="50"/>
      <c r="N13" s="50"/>
      <c r="O13" s="50"/>
      <c r="P13" s="50"/>
      <c r="Q13" s="50"/>
    </row>
    <row r="14" spans="1:17" x14ac:dyDescent="0.2">
      <c r="A14" s="50"/>
      <c r="B14" s="50"/>
      <c r="C14" s="51" t="s">
        <v>59</v>
      </c>
      <c r="D14" s="540" t="s">
        <v>331</v>
      </c>
      <c r="E14" s="403" t="s">
        <v>1012</v>
      </c>
      <c r="F14" s="544" t="s">
        <v>299</v>
      </c>
      <c r="G14" s="545"/>
      <c r="H14" s="545"/>
      <c r="I14" s="545"/>
      <c r="J14" s="545"/>
      <c r="K14" s="50"/>
      <c r="L14" s="50"/>
      <c r="M14" s="50"/>
      <c r="N14" s="50"/>
      <c r="O14" s="50"/>
      <c r="P14" s="50"/>
      <c r="Q14" s="50"/>
    </row>
    <row r="15" spans="1:17" x14ac:dyDescent="0.2">
      <c r="A15" s="52"/>
      <c r="B15" s="53" t="s">
        <v>34</v>
      </c>
      <c r="C15" s="54"/>
      <c r="D15" s="541"/>
      <c r="E15" s="55" t="s">
        <v>61</v>
      </c>
      <c r="F15" s="122" t="s">
        <v>318</v>
      </c>
      <c r="G15" s="122" t="s">
        <v>319</v>
      </c>
      <c r="H15" s="122" t="s">
        <v>320</v>
      </c>
      <c r="I15" s="122" t="s">
        <v>326</v>
      </c>
      <c r="J15" s="59" t="s">
        <v>215</v>
      </c>
      <c r="K15" s="122" t="s">
        <v>494</v>
      </c>
      <c r="L15" s="65" t="s">
        <v>719</v>
      </c>
      <c r="M15" s="50"/>
      <c r="N15" s="50"/>
      <c r="O15" s="50"/>
      <c r="P15" s="50"/>
      <c r="Q15" s="50"/>
    </row>
    <row r="16" spans="1:17" ht="15" customHeight="1" x14ac:dyDescent="0.2">
      <c r="A16" s="58" t="s">
        <v>67</v>
      </c>
      <c r="B16" s="388"/>
      <c r="C16" s="64"/>
      <c r="D16" s="404"/>
      <c r="E16" s="390"/>
      <c r="F16" s="66"/>
      <c r="G16" s="66"/>
      <c r="H16" s="66"/>
      <c r="I16" s="66"/>
      <c r="J16" s="65">
        <f>F16+G16+H16+I16</f>
        <v>0</v>
      </c>
      <c r="K16" s="50"/>
      <c r="L16" s="50"/>
      <c r="M16" s="50"/>
      <c r="N16" s="50"/>
      <c r="O16" s="50"/>
      <c r="P16" s="50"/>
      <c r="Q16" s="50"/>
    </row>
    <row r="17" spans="1:17" ht="15" customHeight="1" x14ac:dyDescent="0.2">
      <c r="A17" s="58" t="s">
        <v>68</v>
      </c>
      <c r="B17" s="388"/>
      <c r="C17" s="63"/>
      <c r="D17" s="389"/>
      <c r="E17" s="390"/>
      <c r="F17" s="66"/>
      <c r="G17" s="66"/>
      <c r="H17" s="66"/>
      <c r="I17" s="66"/>
      <c r="J17" s="65">
        <f>F17+G17+H17+I17</f>
        <v>0</v>
      </c>
      <c r="K17" s="50"/>
      <c r="L17" s="50"/>
      <c r="M17" s="50"/>
      <c r="N17" s="50"/>
      <c r="O17" s="50"/>
      <c r="P17" s="50"/>
      <c r="Q17" s="50"/>
    </row>
    <row r="18" spans="1:17" ht="15" customHeight="1" x14ac:dyDescent="0.2">
      <c r="A18" s="58" t="s">
        <v>69</v>
      </c>
      <c r="B18" s="388"/>
      <c r="C18" s="63"/>
      <c r="D18" s="389"/>
      <c r="E18" s="390"/>
      <c r="F18" s="66"/>
      <c r="G18" s="66"/>
      <c r="H18" s="66"/>
      <c r="I18" s="66"/>
      <c r="J18" s="65">
        <f>F18+G18+H18+I18</f>
        <v>0</v>
      </c>
      <c r="K18" s="50"/>
      <c r="L18" s="50"/>
      <c r="M18" s="50"/>
      <c r="N18" s="50"/>
      <c r="O18" s="50"/>
      <c r="P18" s="50"/>
      <c r="Q18" s="50"/>
    </row>
    <row r="19" spans="1:17" ht="15" customHeight="1" x14ac:dyDescent="0.2">
      <c r="A19" s="58" t="s">
        <v>70</v>
      </c>
      <c r="B19" s="63"/>
      <c r="C19" s="63"/>
      <c r="D19" s="389"/>
      <c r="E19" s="390"/>
      <c r="F19" s="66"/>
      <c r="G19" s="66"/>
      <c r="H19" s="66"/>
      <c r="I19" s="66"/>
      <c r="J19" s="65">
        <f>F19+G19+H19+I19</f>
        <v>0</v>
      </c>
      <c r="K19" s="50"/>
      <c r="L19" s="50"/>
      <c r="M19" s="50"/>
      <c r="N19" s="50"/>
      <c r="O19" s="50"/>
      <c r="P19" s="50"/>
      <c r="Q19" s="50"/>
    </row>
    <row r="20" spans="1:17" x14ac:dyDescent="0.2">
      <c r="A20" s="50"/>
      <c r="B20" s="50"/>
      <c r="C20" s="50"/>
      <c r="D20" s="271">
        <f>SUM(D16:D19)</f>
        <v>0</v>
      </c>
      <c r="E20" s="50"/>
      <c r="F20" s="271">
        <f>F16+F17+F18+F19</f>
        <v>0</v>
      </c>
      <c r="G20" s="271">
        <f>G16+G17+G18+G19</f>
        <v>0</v>
      </c>
      <c r="H20" s="271">
        <f>H16+H17+H18+H19</f>
        <v>0</v>
      </c>
      <c r="I20" s="271">
        <f>I16+I17+I18+I19</f>
        <v>0</v>
      </c>
      <c r="J20" s="50"/>
      <c r="K20" s="50"/>
      <c r="L20" s="50"/>
      <c r="M20" s="50"/>
      <c r="N20" s="50"/>
      <c r="O20" s="50"/>
      <c r="P20" s="50"/>
      <c r="Q20" s="50"/>
    </row>
    <row r="21" spans="1:17" x14ac:dyDescent="0.2">
      <c r="A21" s="50"/>
      <c r="B21" s="50"/>
      <c r="C21" s="50"/>
      <c r="D21" s="50"/>
      <c r="E21" s="50"/>
      <c r="F21" s="50"/>
      <c r="G21" s="50"/>
      <c r="H21" s="50"/>
      <c r="I21" s="50"/>
      <c r="J21" s="50"/>
      <c r="K21" s="50"/>
      <c r="L21" s="50"/>
      <c r="M21" s="50"/>
      <c r="N21" s="50"/>
      <c r="O21" s="50"/>
      <c r="P21" s="50"/>
      <c r="Q21" s="50"/>
    </row>
    <row r="22" spans="1:17" x14ac:dyDescent="0.2">
      <c r="A22" s="50"/>
      <c r="B22" s="50"/>
      <c r="C22" s="50"/>
      <c r="D22" s="50"/>
      <c r="E22" s="50"/>
      <c r="F22" s="400" t="s">
        <v>1013</v>
      </c>
      <c r="G22" s="50"/>
      <c r="H22" s="50"/>
      <c r="I22" s="50"/>
      <c r="J22" s="50"/>
      <c r="K22" s="50"/>
      <c r="L22" s="50"/>
      <c r="M22" s="50"/>
      <c r="N22" s="50"/>
      <c r="O22" s="50"/>
      <c r="P22" s="50"/>
      <c r="Q22" s="50"/>
    </row>
    <row r="23" spans="1:17" x14ac:dyDescent="0.2">
      <c r="A23" s="50"/>
      <c r="B23" s="50"/>
      <c r="C23" s="50"/>
      <c r="D23" s="50"/>
      <c r="E23" s="50"/>
      <c r="F23" s="50"/>
      <c r="G23" s="50"/>
      <c r="H23" s="50"/>
      <c r="I23" s="50"/>
      <c r="J23" s="50"/>
      <c r="K23" s="50"/>
      <c r="L23" s="50"/>
      <c r="M23" s="50"/>
      <c r="N23" s="50"/>
      <c r="O23" s="50"/>
      <c r="P23" s="50"/>
      <c r="Q23" s="50"/>
    </row>
    <row r="24" spans="1:17" x14ac:dyDescent="0.2">
      <c r="A24" s="50"/>
      <c r="B24" s="50"/>
      <c r="C24" s="50"/>
      <c r="D24" s="50"/>
      <c r="E24" s="50"/>
      <c r="F24" s="50"/>
      <c r="G24" s="50"/>
      <c r="H24" s="50"/>
      <c r="I24" s="50"/>
      <c r="J24" s="50"/>
      <c r="K24" s="50"/>
      <c r="L24" s="50"/>
      <c r="M24" s="50"/>
      <c r="N24" s="50"/>
      <c r="O24" s="50"/>
      <c r="P24" s="50"/>
      <c r="Q24" s="50"/>
    </row>
    <row r="25" spans="1:17" x14ac:dyDescent="0.2">
      <c r="A25" s="50"/>
      <c r="B25" s="50"/>
      <c r="C25" s="50"/>
      <c r="D25" s="50"/>
      <c r="E25" s="50"/>
      <c r="F25" s="50"/>
      <c r="G25" s="50"/>
      <c r="H25" s="50"/>
      <c r="I25" s="50"/>
      <c r="J25" s="50"/>
      <c r="K25" s="50"/>
      <c r="L25" s="50"/>
      <c r="M25" s="50"/>
      <c r="N25" s="50"/>
      <c r="O25" s="50"/>
      <c r="P25" s="50"/>
      <c r="Q25" s="50"/>
    </row>
    <row r="26" spans="1:17" x14ac:dyDescent="0.2">
      <c r="A26" s="50"/>
      <c r="B26" s="50"/>
      <c r="C26" s="50"/>
      <c r="D26" s="50"/>
      <c r="E26" s="50"/>
      <c r="F26" s="50"/>
      <c r="G26" s="50"/>
      <c r="H26" s="50"/>
      <c r="I26" s="50"/>
      <c r="J26" s="50"/>
      <c r="K26" s="50"/>
      <c r="L26" s="50"/>
      <c r="M26" s="50"/>
      <c r="N26" s="50"/>
      <c r="O26" s="50"/>
      <c r="P26" s="50"/>
      <c r="Q26" s="50"/>
    </row>
    <row r="27" spans="1:17" x14ac:dyDescent="0.2">
      <c r="A27" s="50"/>
      <c r="B27" s="50"/>
      <c r="C27" s="50"/>
      <c r="D27" s="50"/>
      <c r="E27" s="50"/>
      <c r="F27" s="50"/>
      <c r="G27" s="50"/>
      <c r="H27" s="50"/>
      <c r="I27" s="50"/>
      <c r="J27" s="50"/>
      <c r="K27" s="50"/>
      <c r="L27" s="66"/>
      <c r="M27" s="242" t="s">
        <v>675</v>
      </c>
      <c r="N27" s="50"/>
      <c r="O27" s="50"/>
      <c r="P27" s="50"/>
      <c r="Q27" s="50"/>
    </row>
    <row r="28" spans="1:17" x14ac:dyDescent="0.2">
      <c r="A28" s="50"/>
      <c r="B28" s="50"/>
      <c r="C28" s="50"/>
      <c r="D28" s="50"/>
      <c r="E28" s="50"/>
      <c r="F28" s="50"/>
      <c r="G28" s="50"/>
      <c r="H28" s="50"/>
      <c r="I28" s="50"/>
      <c r="J28" s="50"/>
      <c r="K28" s="50"/>
      <c r="L28" s="65"/>
      <c r="M28" s="242" t="s">
        <v>676</v>
      </c>
      <c r="N28" s="50"/>
      <c r="O28" s="50"/>
      <c r="P28" s="50"/>
      <c r="Q28" s="50"/>
    </row>
    <row r="29" spans="1:17" x14ac:dyDescent="0.2">
      <c r="A29" s="50"/>
      <c r="B29" s="50"/>
      <c r="C29" s="50"/>
      <c r="D29" s="50"/>
      <c r="E29" s="50"/>
      <c r="F29" s="50"/>
      <c r="G29" s="50"/>
      <c r="H29" s="50"/>
      <c r="I29" s="50"/>
      <c r="J29" s="50"/>
      <c r="K29" s="50"/>
      <c r="L29" s="291"/>
      <c r="M29" s="242" t="s">
        <v>677</v>
      </c>
      <c r="N29" s="50"/>
      <c r="O29" s="50"/>
      <c r="P29" s="50"/>
      <c r="Q29" s="50"/>
    </row>
    <row r="30" spans="1:17" x14ac:dyDescent="0.2">
      <c r="A30" s="50"/>
      <c r="B30" s="50"/>
      <c r="C30" s="50"/>
      <c r="D30" s="50"/>
      <c r="E30" s="50"/>
      <c r="F30" s="50"/>
      <c r="G30" s="50"/>
      <c r="H30" s="50"/>
      <c r="I30" s="50"/>
      <c r="J30" s="50"/>
      <c r="K30" s="50"/>
      <c r="L30" s="50"/>
      <c r="M30" s="50"/>
      <c r="N30" s="50"/>
      <c r="O30" s="50"/>
      <c r="P30" s="50"/>
      <c r="Q30" s="50"/>
    </row>
    <row r="31" spans="1:17" x14ac:dyDescent="0.2">
      <c r="A31" s="50"/>
      <c r="B31" s="50"/>
      <c r="C31" s="50"/>
      <c r="D31" s="50"/>
      <c r="E31" s="50"/>
      <c r="F31" s="50"/>
      <c r="G31" s="50"/>
      <c r="H31" s="50"/>
      <c r="I31" s="50"/>
      <c r="J31" s="50"/>
      <c r="K31" s="50"/>
      <c r="L31" s="50"/>
      <c r="M31" s="50"/>
      <c r="N31" s="50"/>
      <c r="O31" s="50"/>
      <c r="P31" s="50"/>
      <c r="Q31" s="50"/>
    </row>
  </sheetData>
  <mergeCells count="5">
    <mergeCell ref="D14:D15"/>
    <mergeCell ref="A11:B11"/>
    <mergeCell ref="F14:J14"/>
    <mergeCell ref="B3:F3"/>
    <mergeCell ref="B7:F7"/>
  </mergeCells>
  <phoneticPr fontId="0" type="noConversion"/>
  <hyperlinks>
    <hyperlink ref="C11" location="'Invoer Lokaal Type 1'!A1" display="type 1"/>
    <hyperlink ref="D11" location="'Invoer Lokaal Type 2'!A1" display="typ 2"/>
    <hyperlink ref="E11" location="'Invoer Lokaal Type 3'!A1" display="Type 3"/>
    <hyperlink ref="F11" location="'Invoer Lokaal Type 4'!A1" display="Type 4"/>
  </hyperlinks>
  <pageMargins left="0.7" right="0.7" top="0.75" bottom="0.75" header="0.3" footer="0.3"/>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20481" r:id="rId3" name="Drop Down 1">
              <controlPr defaultSize="0" autoLine="0" autoPict="0">
                <anchor moveWithCells="1">
                  <from>
                    <xdr:col>1</xdr:col>
                    <xdr:colOff>9525</xdr:colOff>
                    <xdr:row>3</xdr:row>
                    <xdr:rowOff>152400</xdr:rowOff>
                  </from>
                  <to>
                    <xdr:col>2</xdr:col>
                    <xdr:colOff>0</xdr:colOff>
                    <xdr:row>5</xdr:row>
                    <xdr:rowOff>28575</xdr:rowOff>
                  </to>
                </anchor>
              </controlPr>
            </control>
          </mc:Choice>
        </mc:AlternateContent>
        <mc:AlternateContent xmlns:mc="http://schemas.openxmlformats.org/markup-compatibility/2006">
          <mc:Choice Requires="x14">
            <control shapeId="20486" r:id="rId4" name="Drop Down 6">
              <controlPr defaultSize="0" autoLine="0" autoPict="0">
                <anchor moveWithCells="1">
                  <from>
                    <xdr:col>10</xdr:col>
                    <xdr:colOff>0</xdr:colOff>
                    <xdr:row>17</xdr:row>
                    <xdr:rowOff>0</xdr:rowOff>
                  </from>
                  <to>
                    <xdr:col>11</xdr:col>
                    <xdr:colOff>0</xdr:colOff>
                    <xdr:row>18</xdr:row>
                    <xdr:rowOff>9525</xdr:rowOff>
                  </to>
                </anchor>
              </controlPr>
            </control>
          </mc:Choice>
        </mc:AlternateContent>
        <mc:AlternateContent xmlns:mc="http://schemas.openxmlformats.org/markup-compatibility/2006">
          <mc:Choice Requires="x14">
            <control shapeId="20487" r:id="rId5" name="Drop Down 7">
              <controlPr defaultSize="0" autoLine="0" autoPict="0">
                <anchor moveWithCells="1">
                  <from>
                    <xdr:col>10</xdr:col>
                    <xdr:colOff>0</xdr:colOff>
                    <xdr:row>18</xdr:row>
                    <xdr:rowOff>0</xdr:rowOff>
                  </from>
                  <to>
                    <xdr:col>11</xdr:col>
                    <xdr:colOff>0</xdr:colOff>
                    <xdr:row>19</xdr:row>
                    <xdr:rowOff>9525</xdr:rowOff>
                  </to>
                </anchor>
              </controlPr>
            </control>
          </mc:Choice>
        </mc:AlternateContent>
        <mc:AlternateContent xmlns:mc="http://schemas.openxmlformats.org/markup-compatibility/2006">
          <mc:Choice Requires="x14">
            <control shapeId="20488" r:id="rId6" name="Drop Down 8">
              <controlPr defaultSize="0" autoLine="0" autoPict="0">
                <anchor moveWithCells="1">
                  <from>
                    <xdr:col>10</xdr:col>
                    <xdr:colOff>0</xdr:colOff>
                    <xdr:row>16</xdr:row>
                    <xdr:rowOff>0</xdr:rowOff>
                  </from>
                  <to>
                    <xdr:col>11</xdr:col>
                    <xdr:colOff>0</xdr:colOff>
                    <xdr:row>17</xdr:row>
                    <xdr:rowOff>9525</xdr:rowOff>
                  </to>
                </anchor>
              </controlPr>
            </control>
          </mc:Choice>
        </mc:AlternateContent>
        <mc:AlternateContent xmlns:mc="http://schemas.openxmlformats.org/markup-compatibility/2006">
          <mc:Choice Requires="x14">
            <control shapeId="20489" r:id="rId7" name="Drop Down 9">
              <controlPr defaultSize="0" autoLine="0" autoPict="0">
                <anchor moveWithCells="1">
                  <from>
                    <xdr:col>10</xdr:col>
                    <xdr:colOff>0</xdr:colOff>
                    <xdr:row>14</xdr:row>
                    <xdr:rowOff>152400</xdr:rowOff>
                  </from>
                  <to>
                    <xdr:col>11</xdr:col>
                    <xdr:colOff>0</xdr:colOff>
                    <xdr:row>16</xdr:row>
                    <xdr:rowOff>0</xdr:rowOff>
                  </to>
                </anchor>
              </controlPr>
            </control>
          </mc:Choice>
        </mc:AlternateContent>
        <mc:AlternateContent xmlns:mc="http://schemas.openxmlformats.org/markup-compatibility/2006">
          <mc:Choice Requires="x14">
            <control shapeId="20490" r:id="rId8" name="Drop Down 10">
              <controlPr defaultSize="0" autoLine="0" autoPict="0">
                <anchor moveWithCells="1">
                  <from>
                    <xdr:col>11</xdr:col>
                    <xdr:colOff>0</xdr:colOff>
                    <xdr:row>14</xdr:row>
                    <xdr:rowOff>152400</xdr:rowOff>
                  </from>
                  <to>
                    <xdr:col>12</xdr:col>
                    <xdr:colOff>0</xdr:colOff>
                    <xdr:row>16</xdr:row>
                    <xdr:rowOff>0</xdr:rowOff>
                  </to>
                </anchor>
              </controlPr>
            </control>
          </mc:Choice>
        </mc:AlternateContent>
        <mc:AlternateContent xmlns:mc="http://schemas.openxmlformats.org/markup-compatibility/2006">
          <mc:Choice Requires="x14">
            <control shapeId="20491" r:id="rId9" name="Drop Down 11">
              <controlPr defaultSize="0" autoLine="0" autoPict="0">
                <anchor moveWithCells="1">
                  <from>
                    <xdr:col>11</xdr:col>
                    <xdr:colOff>0</xdr:colOff>
                    <xdr:row>16</xdr:row>
                    <xdr:rowOff>0</xdr:rowOff>
                  </from>
                  <to>
                    <xdr:col>12</xdr:col>
                    <xdr:colOff>0</xdr:colOff>
                    <xdr:row>17</xdr:row>
                    <xdr:rowOff>9525</xdr:rowOff>
                  </to>
                </anchor>
              </controlPr>
            </control>
          </mc:Choice>
        </mc:AlternateContent>
        <mc:AlternateContent xmlns:mc="http://schemas.openxmlformats.org/markup-compatibility/2006">
          <mc:Choice Requires="x14">
            <control shapeId="20492" r:id="rId10" name="Drop Down 12">
              <controlPr defaultSize="0" autoLine="0" autoPict="0">
                <anchor moveWithCells="1">
                  <from>
                    <xdr:col>11</xdr:col>
                    <xdr:colOff>0</xdr:colOff>
                    <xdr:row>17</xdr:row>
                    <xdr:rowOff>9525</xdr:rowOff>
                  </from>
                  <to>
                    <xdr:col>12</xdr:col>
                    <xdr:colOff>0</xdr:colOff>
                    <xdr:row>18</xdr:row>
                    <xdr:rowOff>19050</xdr:rowOff>
                  </to>
                </anchor>
              </controlPr>
            </control>
          </mc:Choice>
        </mc:AlternateContent>
        <mc:AlternateContent xmlns:mc="http://schemas.openxmlformats.org/markup-compatibility/2006">
          <mc:Choice Requires="x14">
            <control shapeId="20493" r:id="rId11" name="Drop Down 13">
              <controlPr defaultSize="0" autoLine="0" autoPict="0">
                <anchor moveWithCells="1">
                  <from>
                    <xdr:col>11</xdr:col>
                    <xdr:colOff>0</xdr:colOff>
                    <xdr:row>18</xdr:row>
                    <xdr:rowOff>9525</xdr:rowOff>
                  </from>
                  <to>
                    <xdr:col>12</xdr:col>
                    <xdr:colOff>0</xdr:colOff>
                    <xdr:row>19</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1"/>
  <sheetViews>
    <sheetView topLeftCell="G19" workbookViewId="0">
      <selection activeCell="W52" sqref="W52"/>
    </sheetView>
  </sheetViews>
  <sheetFormatPr defaultRowHeight="11.25" x14ac:dyDescent="0.2"/>
  <cols>
    <col min="1" max="1" width="38.5703125" style="32" customWidth="1"/>
    <col min="2" max="2" width="12" style="32" customWidth="1"/>
    <col min="3" max="3" width="5.85546875" style="32" customWidth="1"/>
    <col min="4" max="4" width="5.140625" style="32" customWidth="1"/>
    <col min="5" max="5" width="25" style="32" customWidth="1"/>
    <col min="6" max="6" width="30.42578125" style="32" customWidth="1"/>
    <col min="7" max="7" width="24" style="32" customWidth="1"/>
    <col min="8" max="8" width="26.5703125" style="32" customWidth="1"/>
    <col min="9" max="10" width="12.140625" style="32" customWidth="1"/>
    <col min="11" max="11" width="12.7109375" style="32" customWidth="1"/>
    <col min="12" max="12" width="24.7109375" style="32" customWidth="1"/>
    <col min="13" max="13" width="13.42578125" style="32" customWidth="1"/>
    <col min="14" max="14" width="17.85546875" style="32" customWidth="1"/>
    <col min="15" max="15" width="24.7109375" style="32" customWidth="1"/>
    <col min="16" max="16" width="19.28515625" style="32" customWidth="1"/>
    <col min="17" max="16384" width="9.140625" style="32"/>
  </cols>
  <sheetData>
    <row r="1" spans="1:55" x14ac:dyDescent="0.2">
      <c r="B1" s="32" t="s">
        <v>129</v>
      </c>
      <c r="C1" s="32" t="s">
        <v>182</v>
      </c>
    </row>
    <row r="2" spans="1:55" x14ac:dyDescent="0.2">
      <c r="A2" s="32" t="s">
        <v>181</v>
      </c>
      <c r="B2" s="32">
        <v>1</v>
      </c>
      <c r="C2" s="32">
        <v>1</v>
      </c>
      <c r="I2" s="33" t="s">
        <v>871</v>
      </c>
      <c r="U2" s="33" t="s">
        <v>681</v>
      </c>
      <c r="AG2" s="33" t="s">
        <v>781</v>
      </c>
      <c r="AS2" s="33" t="s">
        <v>121</v>
      </c>
    </row>
    <row r="3" spans="1:55" x14ac:dyDescent="0.2">
      <c r="A3" s="32" t="s">
        <v>825</v>
      </c>
      <c r="B3" s="32">
        <v>1</v>
      </c>
      <c r="C3" s="32">
        <v>1</v>
      </c>
      <c r="AG3" s="300"/>
      <c r="AH3" s="300"/>
      <c r="AI3" s="300"/>
      <c r="AJ3" s="300"/>
    </row>
    <row r="4" spans="1:55" x14ac:dyDescent="0.2">
      <c r="A4" s="32" t="s">
        <v>180</v>
      </c>
      <c r="B4" s="32">
        <v>1</v>
      </c>
      <c r="C4" s="32">
        <v>1</v>
      </c>
      <c r="I4" s="301" t="s">
        <v>120</v>
      </c>
      <c r="J4" s="301" t="s">
        <v>119</v>
      </c>
      <c r="K4" s="301" t="s">
        <v>226</v>
      </c>
      <c r="L4" s="301" t="s">
        <v>50</v>
      </c>
      <c r="M4" s="32" t="s">
        <v>695</v>
      </c>
      <c r="N4" s="32" t="s">
        <v>692</v>
      </c>
      <c r="O4" s="32" t="s">
        <v>693</v>
      </c>
      <c r="P4" s="32" t="s">
        <v>694</v>
      </c>
      <c r="U4" s="301" t="s">
        <v>120</v>
      </c>
      <c r="V4" s="301" t="s">
        <v>119</v>
      </c>
      <c r="W4" s="301" t="s">
        <v>226</v>
      </c>
      <c r="X4" s="301" t="s">
        <v>50</v>
      </c>
      <c r="Y4" s="32" t="s">
        <v>695</v>
      </c>
      <c r="Z4" s="32" t="s">
        <v>692</v>
      </c>
      <c r="AA4" s="32" t="s">
        <v>693</v>
      </c>
      <c r="AB4" s="32" t="s">
        <v>694</v>
      </c>
      <c r="AG4" s="301" t="s">
        <v>120</v>
      </c>
      <c r="AH4" s="301" t="s">
        <v>119</v>
      </c>
      <c r="AI4" s="301" t="s">
        <v>226</v>
      </c>
      <c r="AJ4" s="301" t="s">
        <v>50</v>
      </c>
      <c r="AK4" s="32" t="s">
        <v>695</v>
      </c>
      <c r="AL4" s="32" t="s">
        <v>692</v>
      </c>
      <c r="AM4" s="32" t="s">
        <v>693</v>
      </c>
      <c r="AN4" s="32" t="s">
        <v>694</v>
      </c>
      <c r="AS4" s="301" t="s">
        <v>120</v>
      </c>
      <c r="AT4" s="301" t="s">
        <v>119</v>
      </c>
      <c r="AU4" s="301" t="s">
        <v>226</v>
      </c>
      <c r="AV4" s="301" t="s">
        <v>50</v>
      </c>
      <c r="AW4" s="32" t="s">
        <v>695</v>
      </c>
      <c r="AX4" s="32" t="s">
        <v>692</v>
      </c>
      <c r="AY4" s="32" t="s">
        <v>693</v>
      </c>
      <c r="AZ4" s="32" t="s">
        <v>694</v>
      </c>
    </row>
    <row r="5" spans="1:55" x14ac:dyDescent="0.2">
      <c r="A5" s="32" t="s">
        <v>179</v>
      </c>
      <c r="B5" s="32">
        <v>1</v>
      </c>
      <c r="C5" s="32">
        <v>1</v>
      </c>
      <c r="E5" s="32" t="s">
        <v>178</v>
      </c>
      <c r="F5" s="32">
        <v>1</v>
      </c>
      <c r="I5" s="32">
        <f>'Invoer Lokaal Type 2'!C7</f>
        <v>0</v>
      </c>
      <c r="J5" s="32">
        <f>'Invoer Lokaal Type 2'!D7</f>
        <v>0</v>
      </c>
      <c r="K5" s="32">
        <v>1</v>
      </c>
      <c r="L5" s="32">
        <f>'Invoer Lokaal Type 2'!F7</f>
        <v>0</v>
      </c>
      <c r="M5" s="312">
        <f>IF(B5=3,I5*7.5*L5/10000,IF(B5=2,I5*J5*L5/20000,0))</f>
        <v>0</v>
      </c>
      <c r="N5" s="302">
        <f>IF($K5=2,$M5,0)</f>
        <v>0</v>
      </c>
      <c r="O5" s="303">
        <f>IF($K5=3,$M5,0)</f>
        <v>0</v>
      </c>
      <c r="P5" s="304">
        <f>IF($K5=4,$M5,0)</f>
        <v>0</v>
      </c>
      <c r="U5" s="32">
        <f>'Invoer Lokaal Type 2'!L7</f>
        <v>0</v>
      </c>
      <c r="V5" s="32">
        <f>'Invoer Lokaal Type 2'!M7</f>
        <v>0</v>
      </c>
      <c r="W5" s="32">
        <v>1</v>
      </c>
      <c r="X5" s="32">
        <f>'Invoer Lokaal Type 2'!O7</f>
        <v>0</v>
      </c>
      <c r="Y5" s="312">
        <f>IF(C5=3,U5*7.5*X5/10000,IF(C5=2,U5*V5*X5/20000,0))</f>
        <v>0</v>
      </c>
      <c r="Z5" s="302">
        <f>IF($W5=2,$Y5,0)</f>
        <v>0</v>
      </c>
      <c r="AA5" s="302">
        <f>IF($W5=3,$Y5,0)</f>
        <v>0</v>
      </c>
      <c r="AB5" s="302">
        <f>IF($W5=4,$Y5,0)</f>
        <v>0</v>
      </c>
      <c r="AG5" s="32">
        <f>'Invoer Lokaal Type 2'!C13</f>
        <v>0</v>
      </c>
      <c r="AH5" s="32">
        <f>'Invoer Lokaal Type 2'!D13</f>
        <v>0</v>
      </c>
      <c r="AI5" s="32">
        <v>1</v>
      </c>
      <c r="AJ5" s="32">
        <f>'Invoer Lokaal Type 2'!F13</f>
        <v>0</v>
      </c>
      <c r="AK5" s="312">
        <f>IF(B10=3,AG5*7.5*AJ5/10000,IF(B10=2,AG5*AH5*AJ5/20000,AG5*AH5*AJ5/10000))</f>
        <v>0</v>
      </c>
      <c r="AL5" s="302">
        <f>IF($AI5=2,$AK5,0)</f>
        <v>0</v>
      </c>
      <c r="AM5" s="302">
        <f>IF($AI5=3,$AK5,0)</f>
        <v>0</v>
      </c>
      <c r="AN5" s="302">
        <f>IF($AI5=4,$AK5,0)</f>
        <v>0</v>
      </c>
      <c r="AS5" s="32">
        <f>'Invoer Lokaal Type 2'!L13</f>
        <v>0</v>
      </c>
      <c r="AT5" s="32">
        <f>'Invoer Lokaal Type 2'!M13</f>
        <v>0</v>
      </c>
      <c r="AU5" s="32">
        <v>1</v>
      </c>
      <c r="AV5" s="32">
        <f>'Invoer Lokaal Type 2'!O13</f>
        <v>0</v>
      </c>
      <c r="AW5" s="312">
        <f>IF(C10=3,AS5*7.5*AV5/10000,IF(C10=2,AS5*AT5*AV5/20000,AS5*AT5*AV5/10000))</f>
        <v>0</v>
      </c>
      <c r="AX5" s="302">
        <f>IF($AU5=2,$AW5,0)</f>
        <v>0</v>
      </c>
      <c r="AY5" s="302">
        <f>IF($AU5=3,$AW5,0)</f>
        <v>0</v>
      </c>
      <c r="AZ5" s="302">
        <f>IF($AU5=4,$AW5,0)</f>
        <v>0</v>
      </c>
    </row>
    <row r="6" spans="1:55" x14ac:dyDescent="0.2">
      <c r="A6" s="32" t="s">
        <v>177</v>
      </c>
      <c r="B6" s="32">
        <v>1</v>
      </c>
      <c r="C6" s="32">
        <v>1</v>
      </c>
      <c r="E6" s="32" t="s">
        <v>176</v>
      </c>
      <c r="F6" s="32">
        <v>1</v>
      </c>
      <c r="I6" s="32">
        <f>'Invoer Lokaal Type 2'!C8</f>
        <v>0</v>
      </c>
      <c r="J6" s="32">
        <f>'Invoer Lokaal Type 2'!D8</f>
        <v>0</v>
      </c>
      <c r="K6" s="32">
        <v>1</v>
      </c>
      <c r="L6" s="32">
        <f>'Invoer Lokaal Type 2'!F8</f>
        <v>0</v>
      </c>
      <c r="M6" s="312">
        <f>IF(B6=3,I6*7.5*L6/10000,IF(B6=2,I6*J6*L6/20000,0))</f>
        <v>0</v>
      </c>
      <c r="N6" s="305">
        <f>IF($K6=2,$M6,0)</f>
        <v>0</v>
      </c>
      <c r="O6" s="306">
        <f>IF($K6=3,$M6,0)</f>
        <v>0</v>
      </c>
      <c r="P6" s="307">
        <f>IF($K6=4,$M6,0)</f>
        <v>0</v>
      </c>
      <c r="U6" s="32">
        <f>'Invoer Lokaal Type 2'!L8</f>
        <v>0</v>
      </c>
      <c r="V6" s="32">
        <f>'Invoer Lokaal Type 2'!M8</f>
        <v>0</v>
      </c>
      <c r="W6" s="32">
        <v>1</v>
      </c>
      <c r="X6" s="32">
        <f>'Invoer Lokaal Type 2'!O8</f>
        <v>0</v>
      </c>
      <c r="Y6" s="312">
        <f>IF(C6=3,U6*7.5*X6/10000,IF(C6=2,U6*V6*X6/20000,0))</f>
        <v>0</v>
      </c>
      <c r="Z6" s="302">
        <f>IF($W6=2,$Y6,0)</f>
        <v>0</v>
      </c>
      <c r="AA6" s="302">
        <f>IF($W6=3,$Y6,0)</f>
        <v>0</v>
      </c>
      <c r="AB6" s="302">
        <f>IF($W6=4,$Y6,0)</f>
        <v>0</v>
      </c>
      <c r="AG6" s="32">
        <f>'Invoer Lokaal Type 2'!C14</f>
        <v>0</v>
      </c>
      <c r="AH6" s="32">
        <f>'Invoer Lokaal Type 2'!D14</f>
        <v>0</v>
      </c>
      <c r="AI6" s="32">
        <v>1</v>
      </c>
      <c r="AJ6" s="32">
        <f>'Invoer Lokaal Type 2'!F14</f>
        <v>0</v>
      </c>
      <c r="AK6" s="312">
        <f>IF(B11=3,AG6*7.5*AJ6/10000,IF(B11=2,AG6*AH6*AJ6/20000,AG6*AH6*AJ6/10000))</f>
        <v>0</v>
      </c>
      <c r="AL6" s="302">
        <f>IF($AI6=2,$AK6,0)</f>
        <v>0</v>
      </c>
      <c r="AM6" s="302">
        <f>IF($AI6=3,$AK6,0)</f>
        <v>0</v>
      </c>
      <c r="AN6" s="302">
        <f>IF($AI6=4,$AK6,0)</f>
        <v>0</v>
      </c>
      <c r="AS6" s="32">
        <f>'Invoer Lokaal Type 2'!L14</f>
        <v>0</v>
      </c>
      <c r="AT6" s="32">
        <f>'Invoer Lokaal Type 2'!M14</f>
        <v>0</v>
      </c>
      <c r="AU6" s="32">
        <v>1</v>
      </c>
      <c r="AV6" s="32">
        <f>'Invoer Lokaal Type 2'!O14</f>
        <v>0</v>
      </c>
      <c r="AW6" s="312">
        <f>IF(C11=3,AS6*7.5*AV6/10000,IF(C11=2,AS6*AT6*AV6/20000,AS6*AT6*AV6/10000))</f>
        <v>0</v>
      </c>
      <c r="AX6" s="302">
        <f>IF($AU6=2,$AW6,0)</f>
        <v>0</v>
      </c>
      <c r="AY6" s="302">
        <f>IF($AU6=3,$AW6,0)</f>
        <v>0</v>
      </c>
      <c r="AZ6" s="302">
        <f>IF($AU6=4,$AW6,0)</f>
        <v>0</v>
      </c>
    </row>
    <row r="7" spans="1:55" x14ac:dyDescent="0.2">
      <c r="A7" s="32" t="s">
        <v>175</v>
      </c>
      <c r="B7" s="32">
        <v>1</v>
      </c>
      <c r="C7" s="32">
        <v>1</v>
      </c>
      <c r="I7" s="32">
        <f>'Invoer Lokaal Type 2'!C9</f>
        <v>0</v>
      </c>
      <c r="J7" s="32">
        <f>'Invoer Lokaal Type 2'!D9</f>
        <v>0</v>
      </c>
      <c r="K7" s="32">
        <v>1</v>
      </c>
      <c r="L7" s="32">
        <f>'Invoer Lokaal Type 2'!F9</f>
        <v>0</v>
      </c>
      <c r="M7" s="312">
        <f>IF(B7=3,I7*7.5*L7/10000,IF(B7=2,I7*J7*L7/20000,0))</f>
        <v>0</v>
      </c>
      <c r="N7" s="305">
        <f>IF($K7=2,$M7,0)</f>
        <v>0</v>
      </c>
      <c r="O7" s="306">
        <f>IF($K7=3,$M7,0)</f>
        <v>0</v>
      </c>
      <c r="P7" s="307">
        <f>IF($K7=4,$M7,0)</f>
        <v>0</v>
      </c>
      <c r="U7" s="32">
        <f>'Invoer Lokaal Type 2'!L9</f>
        <v>0</v>
      </c>
      <c r="V7" s="32">
        <f>'Invoer Lokaal Type 2'!M9</f>
        <v>0</v>
      </c>
      <c r="W7" s="32">
        <v>1</v>
      </c>
      <c r="X7" s="32">
        <f>'Invoer Lokaal Type 2'!O9</f>
        <v>0</v>
      </c>
      <c r="Y7" s="312">
        <f>IF(C7=3,U7*7.5*X7/10000,IF(C7=2,U7*V7*X7/20000,0))</f>
        <v>0</v>
      </c>
      <c r="Z7" s="302">
        <f>IF($W7=2,$Y7,0)</f>
        <v>0</v>
      </c>
      <c r="AA7" s="302">
        <f>IF($W7=3,$Y7,0)</f>
        <v>0</v>
      </c>
      <c r="AB7" s="302">
        <f>IF($W7=4,$Y7,0)</f>
        <v>0</v>
      </c>
      <c r="AG7" s="32">
        <f>'Invoer Lokaal Type 2'!C15</f>
        <v>0</v>
      </c>
      <c r="AH7" s="32">
        <f>'Invoer Lokaal Type 2'!D15</f>
        <v>0</v>
      </c>
      <c r="AI7" s="32">
        <v>1</v>
      </c>
      <c r="AJ7" s="32">
        <f>'Invoer Lokaal Type 2'!F15</f>
        <v>0</v>
      </c>
      <c r="AK7" s="312">
        <f>IF(B12=3,AG7*7.5*AJ7/10000,IF(B12=2,AG7*AH7*AJ7/20000,AG7*AH7*AJ7/10000))</f>
        <v>0</v>
      </c>
      <c r="AL7" s="302">
        <f>IF($AI7=2,$AK7,0)</f>
        <v>0</v>
      </c>
      <c r="AM7" s="302">
        <f>IF($AI7=3,$AK7,0)</f>
        <v>0</v>
      </c>
      <c r="AN7" s="302">
        <f>IF($AI7=4,$AK7,0)</f>
        <v>0</v>
      </c>
      <c r="AS7" s="32">
        <f>'Invoer Lokaal Type 2'!L15</f>
        <v>0</v>
      </c>
      <c r="AT7" s="32">
        <f>'Invoer Lokaal Type 2'!M15</f>
        <v>0</v>
      </c>
      <c r="AU7" s="32">
        <v>1</v>
      </c>
      <c r="AV7" s="32">
        <f>'Invoer Lokaal Type 2'!O15</f>
        <v>0</v>
      </c>
      <c r="AW7" s="312">
        <f>IF(C12=3,AS7*7.5*AV7/10000,IF(C12=2,AS7*AT7*AV7/20000,AS7*AT7*AV7/10000))</f>
        <v>0</v>
      </c>
      <c r="AX7" s="302">
        <f>IF($AU7=2,$AW7,0)</f>
        <v>0</v>
      </c>
      <c r="AY7" s="302">
        <f>IF($AU7=3,$AW7,0)</f>
        <v>0</v>
      </c>
      <c r="AZ7" s="302">
        <f>IF($AU7=4,$AW7,0)</f>
        <v>0</v>
      </c>
    </row>
    <row r="8" spans="1:55" x14ac:dyDescent="0.2">
      <c r="A8" s="32" t="s">
        <v>696</v>
      </c>
      <c r="B8" s="32">
        <v>1</v>
      </c>
      <c r="C8" s="32">
        <v>1</v>
      </c>
      <c r="I8" s="32">
        <f>'Invoer Lokaal Type 2'!C10</f>
        <v>0</v>
      </c>
      <c r="J8" s="32">
        <f>'Invoer Lokaal Type 2'!D10</f>
        <v>0</v>
      </c>
      <c r="K8" s="32">
        <v>1</v>
      </c>
      <c r="L8" s="32">
        <f>'Invoer Lokaal Type 2'!F10</f>
        <v>0</v>
      </c>
      <c r="M8" s="312">
        <f>IF(B8=3,I8*7.5*L8/10000,IF(B8=2,I8*J8*L8/20000,0))</f>
        <v>0</v>
      </c>
      <c r="N8" s="305">
        <f>IF($K8=2,$M8,0)</f>
        <v>0</v>
      </c>
      <c r="O8" s="306">
        <f>IF($K8=3,$M8,0)</f>
        <v>0</v>
      </c>
      <c r="P8" s="307">
        <f>IF($K8=4,$M8,0)</f>
        <v>0</v>
      </c>
      <c r="U8" s="32">
        <f>'Invoer Lokaal Type 2'!L10</f>
        <v>0</v>
      </c>
      <c r="V8" s="32">
        <f>'Invoer Lokaal Type 2'!M10</f>
        <v>0</v>
      </c>
      <c r="W8" s="32">
        <v>1</v>
      </c>
      <c r="X8" s="32">
        <f>'Invoer Lokaal Type 2'!O10</f>
        <v>0</v>
      </c>
      <c r="Y8" s="312">
        <f>IF(C8=3,U8*7.5*X8/10000,IF(C8=2,U8*V8*X8/20000,0))</f>
        <v>0</v>
      </c>
      <c r="Z8" s="302">
        <f>IF($W8=2,$Y8,0)</f>
        <v>0</v>
      </c>
      <c r="AA8" s="302">
        <f>IF($W8=3,$Y8,0)</f>
        <v>0</v>
      </c>
      <c r="AB8" s="302">
        <f>IF($W8=4,$Y8,0)</f>
        <v>0</v>
      </c>
      <c r="AK8" s="312"/>
      <c r="AL8" s="305">
        <v>0</v>
      </c>
      <c r="AM8" s="306">
        <v>0</v>
      </c>
      <c r="AN8" s="307">
        <v>0</v>
      </c>
      <c r="AW8" s="312"/>
      <c r="AX8" s="302">
        <v>0</v>
      </c>
      <c r="AY8" s="302">
        <v>0</v>
      </c>
      <c r="AZ8" s="302">
        <v>0</v>
      </c>
    </row>
    <row r="9" spans="1:55" x14ac:dyDescent="0.2">
      <c r="A9" s="32" t="s">
        <v>697</v>
      </c>
      <c r="B9" s="32">
        <v>1</v>
      </c>
      <c r="C9" s="32">
        <v>1</v>
      </c>
      <c r="I9" s="32">
        <f>'Invoer Lokaal Type 2'!C11</f>
        <v>0</v>
      </c>
      <c r="J9" s="32">
        <f>'Invoer Lokaal Type 2'!D11</f>
        <v>0</v>
      </c>
      <c r="K9" s="32">
        <v>1</v>
      </c>
      <c r="L9" s="32">
        <f>'Invoer Lokaal Type 2'!F11</f>
        <v>0</v>
      </c>
      <c r="M9" s="312">
        <f>IF(B9=3,I9*7.5*L9/10000,IF(B9=2,I9*J9*L9/20000,0))</f>
        <v>0</v>
      </c>
      <c r="N9" s="305">
        <f>IF($K9=2,$M9,0)</f>
        <v>0</v>
      </c>
      <c r="O9" s="306">
        <f>IF($K9=3,$M9,0)</f>
        <v>0</v>
      </c>
      <c r="P9" s="307">
        <f>IF($K9=4,$M9,0)</f>
        <v>0</v>
      </c>
      <c r="U9" s="32">
        <f>'Invoer Lokaal Type 2'!L11</f>
        <v>0</v>
      </c>
      <c r="V9" s="32">
        <f>'Invoer Lokaal Type 2'!M11</f>
        <v>0</v>
      </c>
      <c r="W9" s="32">
        <v>1</v>
      </c>
      <c r="X9" s="32">
        <f>'Invoer Lokaal Type 2'!O11</f>
        <v>0</v>
      </c>
      <c r="Y9" s="312">
        <f>IF(C9=3,U9*7.5*X9/10000,IF(C9=2,U9*V9*X9/20000,0))</f>
        <v>0</v>
      </c>
      <c r="Z9" s="302">
        <f>IF($W9=2,$Y9,0)</f>
        <v>0</v>
      </c>
      <c r="AA9" s="302">
        <f>IF($W9=3,$Y9,0)</f>
        <v>0</v>
      </c>
      <c r="AB9" s="302">
        <f>IF($W9=4,$Y9,0)</f>
        <v>0</v>
      </c>
      <c r="AK9" s="312"/>
      <c r="AL9" s="305">
        <v>0</v>
      </c>
      <c r="AM9" s="306">
        <v>0</v>
      </c>
      <c r="AN9" s="307">
        <v>0</v>
      </c>
      <c r="AW9" s="312"/>
      <c r="AX9" s="302">
        <v>0</v>
      </c>
      <c r="AY9" s="302">
        <v>0</v>
      </c>
      <c r="AZ9" s="302">
        <v>0</v>
      </c>
    </row>
    <row r="10" spans="1:55" x14ac:dyDescent="0.2">
      <c r="A10" s="32" t="s">
        <v>174</v>
      </c>
      <c r="B10" s="32">
        <v>1</v>
      </c>
      <c r="C10" s="32">
        <v>1</v>
      </c>
      <c r="N10" s="308">
        <f>SUM(N5:N9)</f>
        <v>0</v>
      </c>
      <c r="O10" s="309">
        <f>SUM(O5:O9)</f>
        <v>0</v>
      </c>
      <c r="P10" s="310">
        <f>SUM(P5:P9)</f>
        <v>0</v>
      </c>
      <c r="R10" s="32">
        <f>IF(N10&gt;=O10,O10*3600+(N10-O10)*720+P10*720,N10*3600+(O10-N10)*720+P10*720)</f>
        <v>0</v>
      </c>
      <c r="S10" s="32" t="s">
        <v>115</v>
      </c>
      <c r="Z10" s="308">
        <f>SUM(Z5:Z9)</f>
        <v>0</v>
      </c>
      <c r="AA10" s="309">
        <f>SUM(AA5:AA9)</f>
        <v>0</v>
      </c>
      <c r="AB10" s="310">
        <f>SUM(AB5:AB9)</f>
        <v>0</v>
      </c>
      <c r="AD10" s="32">
        <f>IF((N10+Z10)&gt;=(O10+AA10),(O10+AA10)*3600+(Z10+N10-AA10-O10)*720+(P10+AB10)*720,(N10+Z10)*3600+(AA10+O10-Z10-N10)*720+(AB10+P10)*720)</f>
        <v>0</v>
      </c>
      <c r="AE10" s="32" t="s">
        <v>115</v>
      </c>
      <c r="AL10" s="308">
        <f>SUM(AL5:AL9)</f>
        <v>0</v>
      </c>
      <c r="AM10" s="309">
        <f>SUM(AM5:AM9)</f>
        <v>0</v>
      </c>
      <c r="AN10" s="310">
        <f>SUM(AN5:AN9)</f>
        <v>0</v>
      </c>
      <c r="AP10" s="32">
        <f>IF(AL10&gt;=AM10,AM10*3600+(AL10-AM10)*720+AN10*720,AL10*3600+(AM10-AL10)*720+AN10*720)</f>
        <v>0</v>
      </c>
      <c r="AQ10" s="32" t="s">
        <v>115</v>
      </c>
      <c r="AX10" s="308">
        <f>SUM(AX5:AX9)</f>
        <v>0</v>
      </c>
      <c r="AY10" s="309">
        <f>SUM(AY5:AY9)</f>
        <v>0</v>
      </c>
      <c r="AZ10" s="310">
        <f>SUM(AZ5:AZ9)</f>
        <v>0</v>
      </c>
      <c r="BB10" s="32">
        <f>IF((AL10+AX10)&gt;=(AM10+AY10),(AM10+AY10)*3600+(AX10+AL10-AY10-AM10)*720+(AN10+AZ10)*720,(AL10+AX10)*3600+(AY10+AM10-AX10-AL10)*720+(AZ10+AN10)*720)</f>
        <v>0</v>
      </c>
      <c r="BC10" s="32" t="s">
        <v>115</v>
      </c>
    </row>
    <row r="11" spans="1:55" x14ac:dyDescent="0.2">
      <c r="A11" s="32" t="s">
        <v>173</v>
      </c>
      <c r="B11" s="32">
        <v>1</v>
      </c>
      <c r="C11" s="32">
        <v>1</v>
      </c>
    </row>
    <row r="12" spans="1:55" x14ac:dyDescent="0.2">
      <c r="A12" s="32" t="s">
        <v>172</v>
      </c>
      <c r="B12" s="32">
        <v>1</v>
      </c>
      <c r="C12" s="32">
        <v>1</v>
      </c>
    </row>
    <row r="13" spans="1:55" x14ac:dyDescent="0.2">
      <c r="A13" s="32" t="s">
        <v>826</v>
      </c>
      <c r="B13" s="32">
        <v>1</v>
      </c>
      <c r="C13" s="32">
        <v>1</v>
      </c>
    </row>
    <row r="14" spans="1:55" x14ac:dyDescent="0.2">
      <c r="A14" s="32" t="s">
        <v>827</v>
      </c>
      <c r="B14" s="32">
        <v>1</v>
      </c>
      <c r="C14" s="32">
        <v>1</v>
      </c>
    </row>
    <row r="15" spans="1:55" x14ac:dyDescent="0.2">
      <c r="A15" s="32" t="s">
        <v>171</v>
      </c>
      <c r="B15" s="32">
        <v>1</v>
      </c>
      <c r="C15" s="32">
        <v>1</v>
      </c>
    </row>
    <row r="16" spans="1:55" x14ac:dyDescent="0.2">
      <c r="A16" s="32" t="s">
        <v>828</v>
      </c>
      <c r="B16" s="32">
        <v>3</v>
      </c>
      <c r="C16" s="32">
        <v>3</v>
      </c>
    </row>
    <row r="17" spans="1:16" x14ac:dyDescent="0.2">
      <c r="A17" s="32" t="s">
        <v>104</v>
      </c>
      <c r="B17" s="32">
        <v>1</v>
      </c>
      <c r="C17" s="32">
        <v>1</v>
      </c>
      <c r="F17" s="32">
        <v>1</v>
      </c>
    </row>
    <row r="18" spans="1:16" x14ac:dyDescent="0.2">
      <c r="A18" s="32" t="s">
        <v>103</v>
      </c>
      <c r="B18" s="32">
        <v>1</v>
      </c>
      <c r="C18" s="32">
        <v>1</v>
      </c>
    </row>
    <row r="19" spans="1:16" x14ac:dyDescent="0.2">
      <c r="A19" s="32" t="s">
        <v>135</v>
      </c>
      <c r="B19" s="32">
        <v>1</v>
      </c>
      <c r="C19" s="32">
        <v>1</v>
      </c>
      <c r="E19" s="32" t="s">
        <v>870</v>
      </c>
    </row>
    <row r="20" spans="1:16" x14ac:dyDescent="0.2">
      <c r="B20" s="639" t="s">
        <v>842</v>
      </c>
      <c r="C20" s="639"/>
      <c r="D20" s="639"/>
      <c r="E20" s="32" t="s">
        <v>843</v>
      </c>
      <c r="F20" s="32" t="s">
        <v>832</v>
      </c>
      <c r="G20" s="32" t="s">
        <v>176</v>
      </c>
      <c r="H20" s="32" t="s">
        <v>844</v>
      </c>
      <c r="I20" s="32" t="s">
        <v>644</v>
      </c>
      <c r="J20" s="32" t="s">
        <v>210</v>
      </c>
      <c r="K20" s="32" t="s">
        <v>209</v>
      </c>
      <c r="L20" s="32" t="s">
        <v>837</v>
      </c>
      <c r="M20" s="32" t="s">
        <v>838</v>
      </c>
      <c r="N20" s="32" t="s">
        <v>839</v>
      </c>
      <c r="O20" s="32" t="s">
        <v>841</v>
      </c>
      <c r="P20" s="32" t="s">
        <v>845</v>
      </c>
    </row>
    <row r="21" spans="1:16" x14ac:dyDescent="0.2">
      <c r="A21" s="33" t="s">
        <v>208</v>
      </c>
    </row>
    <row r="22" spans="1:16" x14ac:dyDescent="0.2">
      <c r="A22" s="32" t="s">
        <v>207</v>
      </c>
      <c r="I22" s="32" t="s">
        <v>206</v>
      </c>
      <c r="J22" s="32" t="s">
        <v>206</v>
      </c>
      <c r="K22" s="32" t="s">
        <v>206</v>
      </c>
    </row>
    <row r="23" spans="1:16" x14ac:dyDescent="0.2">
      <c r="A23" s="32" t="s">
        <v>205</v>
      </c>
      <c r="B23" s="32" t="str">
        <f>IF('binnenklimaatlabel type 2'!B2&lt;3,"C","B")</f>
        <v>C</v>
      </c>
      <c r="I23" s="32">
        <f>IF('binnenklimaatlabel type 2'!B5=2,'Invoer Lokaal Type 2'!G7,0)</f>
        <v>0</v>
      </c>
      <c r="J23" s="32">
        <f>I23</f>
        <v>0</v>
      </c>
      <c r="K23" s="32">
        <f>I23</f>
        <v>0</v>
      </c>
      <c r="P23" s="32" t="str">
        <f>IF('binnenklimaatlabel type 2'!C2&lt;3,"C","B")</f>
        <v>C</v>
      </c>
    </row>
    <row r="24" spans="1:16" x14ac:dyDescent="0.2">
      <c r="A24" s="32" t="s">
        <v>204</v>
      </c>
      <c r="B24" s="32" t="str">
        <f>IF('binnenklimaatlabel type 2'!B18=1,"nee","ja")</f>
        <v>nee</v>
      </c>
      <c r="I24" s="32">
        <f>IF('binnenklimaatlabel type 2'!B6=2,'Invoer Lokaal Type 2'!G8,0)</f>
        <v>0</v>
      </c>
      <c r="J24" s="32">
        <f>I24</f>
        <v>0</v>
      </c>
      <c r="K24" s="32">
        <f>I24</f>
        <v>0</v>
      </c>
      <c r="P24" s="32" t="str">
        <f>IF('binnenklimaatlabel type 2'!C18=1,"nee","ja")</f>
        <v>nee</v>
      </c>
    </row>
    <row r="25" spans="1:16" x14ac:dyDescent="0.2">
      <c r="A25" s="32" t="s">
        <v>203</v>
      </c>
      <c r="B25" s="32" t="str">
        <f>IF('binnenklimaatlabel type 2'!B18=2,"A",B23)</f>
        <v>C</v>
      </c>
      <c r="I25" s="32">
        <f>IF('binnenklimaatlabel type 2'!B7=2,'Invoer Lokaal Type 2'!G9,0)</f>
        <v>0</v>
      </c>
      <c r="J25" s="32">
        <f>I25</f>
        <v>0</v>
      </c>
      <c r="K25" s="32">
        <f>I25</f>
        <v>0</v>
      </c>
      <c r="P25" s="32" t="str">
        <f>IF('binnenklimaatlabel type 2'!C18=2,"A",P23)</f>
        <v>C</v>
      </c>
    </row>
    <row r="26" spans="1:16" x14ac:dyDescent="0.2">
      <c r="I26" s="32" t="s">
        <v>202</v>
      </c>
      <c r="J26" s="32" t="s">
        <v>202</v>
      </c>
      <c r="K26" s="32" t="s">
        <v>202</v>
      </c>
    </row>
    <row r="27" spans="1:16" x14ac:dyDescent="0.2">
      <c r="A27" s="32" t="s">
        <v>201</v>
      </c>
      <c r="B27" s="32" t="str">
        <f>IF('binnenklimaatlabel type 2'!B16=4,"nee",IF('binnenklimaatlabel type 2'!B15&lt;3,"ja",IF(AND('binnenklimaatlabel type 2'!B15=5,'binnenklimaatlabel type 2'!B16=1),"ja","nee")))</f>
        <v>ja</v>
      </c>
      <c r="I27" s="32">
        <f>10*'Invoer Lokaal Type 2'!$B$2-(I23+I24+I25)</f>
        <v>300</v>
      </c>
      <c r="J27" s="32">
        <f>15*'Invoer Lokaal Type 2'!$B$2-(J23+J24+J25)</f>
        <v>450</v>
      </c>
      <c r="K27" s="32">
        <f>20*'Invoer Lokaal Type 2'!$B$2-(K23+K24+K25)</f>
        <v>600</v>
      </c>
      <c r="M27" s="32" t="s">
        <v>37</v>
      </c>
      <c r="N27" s="32" t="str">
        <f>B27</f>
        <v>ja</v>
      </c>
      <c r="P27" s="32" t="str">
        <f>IF('binnenklimaatlabel type 2'!C16=4,"nee",IF('binnenklimaatlabel type 2'!C15&lt;3,"ja",IF(AND('binnenklimaatlabel type 2'!C15=5,'binnenklimaatlabel type 2'!C16=1),"ja","nee")))</f>
        <v>ja</v>
      </c>
    </row>
    <row r="28" spans="1:16" x14ac:dyDescent="0.2">
      <c r="A28" s="32" t="s">
        <v>200</v>
      </c>
      <c r="B28" s="32" t="str">
        <f>IF('binnenklimaatlabel type 2'!B17=1,"nee",IF('binnenklimaatlabel type 2'!B17&lt;6,"ja","nee"))</f>
        <v>nee</v>
      </c>
      <c r="M28" s="32" t="str">
        <f>B28</f>
        <v>nee</v>
      </c>
      <c r="N28" s="32" t="s">
        <v>37</v>
      </c>
      <c r="P28" s="32" t="str">
        <f>IF('binnenklimaatlabel type 2'!C17=1,"nee",IF('binnenklimaatlabel type 2'!C17&lt;6,"ja","nee"))</f>
        <v>nee</v>
      </c>
    </row>
    <row r="29" spans="1:16" x14ac:dyDescent="0.2">
      <c r="A29" s="32" t="s">
        <v>196</v>
      </c>
      <c r="B29" s="32" t="str">
        <f>IF(OR(B27="ja",B28="ja"),"ja","nee")</f>
        <v>ja</v>
      </c>
      <c r="M29" s="32" t="str">
        <f>IF(OR(M27="ja",M28="ja"),"ja","nee")</f>
        <v>nee</v>
      </c>
      <c r="N29" s="32" t="str">
        <f>IF(OR(N27="ja",N28="ja"),"ja","nee")</f>
        <v>ja</v>
      </c>
      <c r="P29" s="32" t="str">
        <f>IF(OR(P27="ja",P28="ja"),"ja","nee")</f>
        <v>ja</v>
      </c>
    </row>
    <row r="30" spans="1:16" x14ac:dyDescent="0.2">
      <c r="A30" s="32" t="s">
        <v>199</v>
      </c>
      <c r="B30" s="32" t="str">
        <f>IF('binnenklimaatlabel type 2'!B18=2,"A",IF(AND('binnenklimaatlabel type 2'!B29="ja",'binnenklimaatlabel type 2'!B25="B"),"C",IF(AND('binnenklimaatlabel type 2'!B29="ja",'binnenklimaatlabel type 2'!B25="C"),"D",'binnenklimaatlabel type 2'!B25)))</f>
        <v>D</v>
      </c>
      <c r="M30" s="32" t="str">
        <f>IF('binnenklimaatlabel type 2'!B18=2,"A",IF(AND('binnenklimaatlabel type 2'!M29="ja",'binnenklimaatlabel type 2'!B25="B"),"C",IF(AND('binnenklimaatlabel type 2'!M29="ja",'binnenklimaatlabel type 2'!B25="C"),"D",'binnenklimaatlabel type 2'!B25)))</f>
        <v>C</v>
      </c>
      <c r="N30" s="32" t="str">
        <f>IF('binnenklimaatlabel type 2'!B18=2,"A",IF(AND('binnenklimaatlabel type 2'!N29="ja",'binnenklimaatlabel type 2'!B25="B"),"C",IF(AND('binnenklimaatlabel type 2'!N29="ja",'binnenklimaatlabel type 2'!B25="C"),"D",'binnenklimaatlabel type 2'!B25)))</f>
        <v>D</v>
      </c>
      <c r="P30" s="32" t="str">
        <f>IF('binnenklimaatlabel type 2'!C18=2,"A",IF(AND('binnenklimaatlabel type 2'!P29="ja",'binnenklimaatlabel type 2'!P25="B"),"C",IF(AND('binnenklimaatlabel type 2'!P29="ja",'binnenklimaatlabel type 2'!P25="C"),"D",'binnenklimaatlabel type 2'!P25)))</f>
        <v>D</v>
      </c>
    </row>
    <row r="32" spans="1:16" x14ac:dyDescent="0.2">
      <c r="A32" s="32" t="s">
        <v>198</v>
      </c>
      <c r="B32" s="32" t="str">
        <f>IF('binnenklimaatlabel type 2'!B13&lt;5,"ja",IF(AND('binnenklimaatlabel type 2'!B13=7,'Invoer Lokaal Type 2'!B18&lt;551),"ja","nee"))</f>
        <v>ja</v>
      </c>
      <c r="G32" s="32" t="str">
        <f>B32</f>
        <v>ja</v>
      </c>
      <c r="I32" s="32" t="s">
        <v>37</v>
      </c>
      <c r="J32" s="32" t="s">
        <v>37</v>
      </c>
      <c r="K32" s="32" t="s">
        <v>37</v>
      </c>
      <c r="M32" s="32" t="str">
        <f>B32</f>
        <v>ja</v>
      </c>
      <c r="N32" s="32" t="str">
        <f>B32</f>
        <v>ja</v>
      </c>
      <c r="P32" s="32" t="str">
        <f>IF('binnenklimaatlabel type 2'!C13&lt;5,"ja",IF(AND('binnenklimaatlabel type 2'!C13=7,'Invoer Lokaal Type 1'!K18&lt;551),"ja","nee"))</f>
        <v>ja</v>
      </c>
    </row>
    <row r="33" spans="1:18" x14ac:dyDescent="0.2">
      <c r="A33" s="32" t="s">
        <v>197</v>
      </c>
      <c r="B33" s="32" t="str">
        <f>IF(('Invoer Lokaal Type 2'!G15)&gt;2000,"ja","nee")</f>
        <v>nee</v>
      </c>
      <c r="G33" s="32" t="s">
        <v>36</v>
      </c>
      <c r="I33" s="32" t="str">
        <f>B33</f>
        <v>nee</v>
      </c>
      <c r="J33" s="32" t="str">
        <f>B33</f>
        <v>nee</v>
      </c>
      <c r="K33" s="32" t="str">
        <f>B33</f>
        <v>nee</v>
      </c>
      <c r="M33" s="32" t="str">
        <f>B33</f>
        <v>nee</v>
      </c>
      <c r="N33" s="32" t="str">
        <f>B33</f>
        <v>nee</v>
      </c>
      <c r="P33" s="32" t="str">
        <f>IF('Invoer Lokaal Type 2'!P15&gt;2000,"ja","nee")</f>
        <v>nee</v>
      </c>
    </row>
    <row r="34" spans="1:18" x14ac:dyDescent="0.2">
      <c r="A34" s="32" t="s">
        <v>196</v>
      </c>
      <c r="B34" s="32" t="str">
        <f>IF('binnenklimaatlabel type 2'!B2&lt;3,"nee",IF(OR(B32="nee",B33="ja"),"nee","ja"))</f>
        <v>nee</v>
      </c>
      <c r="G34" s="32" t="str">
        <f>IF('binnenklimaatlabel type 2'!B2&lt;3,"nee",IF(OR(G32="nee",G33="ja"),"nee","ja"))</f>
        <v>nee</v>
      </c>
      <c r="I34" s="32" t="str">
        <f>IF('binnenklimaatlabel type 2'!B2&lt;3,"nee",IF(OR(I32="nee",I33="ja"),"nee","ja"))</f>
        <v>nee</v>
      </c>
      <c r="J34" s="32" t="str">
        <f>IF('binnenklimaatlabel type 2'!B2&lt;3,"nee",IF(OR(J32="nee",J33="ja"),"nee","ja"))</f>
        <v>nee</v>
      </c>
      <c r="K34" s="32" t="str">
        <f>IF('binnenklimaatlabel type 2'!B2&lt;3,"nee",IF(OR(K32="nee",K33="ja"),"nee","ja"))</f>
        <v>nee</v>
      </c>
      <c r="M34" s="32" t="str">
        <f>IF('binnenklimaatlabel type 2'!B2&lt;3,"nee",IF(OR(M32="nee",M33="ja"),"nee","ja"))</f>
        <v>nee</v>
      </c>
      <c r="N34" s="32" t="str">
        <f>IF('binnenklimaatlabel type 2'!B2&lt;3,"nee",IF(OR(N32="nee",N33="ja"),"nee","ja"))</f>
        <v>nee</v>
      </c>
      <c r="P34" s="32" t="str">
        <f>IF('binnenklimaatlabel type 2'!C2&lt;3,"nee",IF(OR(P32="nee",P33="ja"),"nee","ja"))</f>
        <v>nee</v>
      </c>
    </row>
    <row r="35" spans="1:18" x14ac:dyDescent="0.2">
      <c r="A35" s="32" t="s">
        <v>187</v>
      </c>
      <c r="B35" s="33" t="str">
        <f>IF('binnenklimaatlabel type 2'!B2&lt;3,B30,IF(AND(B34="ja",B30="B"),"C",IF(AND(B34="ja",B30="C"),"D",B30)))</f>
        <v>D</v>
      </c>
      <c r="F35" s="33"/>
      <c r="G35" s="33" t="str">
        <f>IF('binnenklimaatlabel type 2'!B2&lt;3,B30,IF(AND(G34="ja",B30="B"),"C",IF(AND(G34="ja",B30="C"),"D",B30)))</f>
        <v>D</v>
      </c>
      <c r="H35" s="33"/>
      <c r="I35" s="33" t="str">
        <f>IF('binnenklimaatlabel type 2'!B2&lt;3,B30,IF(AND(I34="ja",B30="B"),"C",IF(AND(I34="ja",B30="C"),"D",B30)))</f>
        <v>D</v>
      </c>
      <c r="J35" s="33" t="str">
        <f>IF('binnenklimaatlabel type 2'!B2&lt;3,B30,IF(AND(J34="ja",B30="B"),"C",IF(AND(J34="ja",B30="C"),"D",B30)))</f>
        <v>D</v>
      </c>
      <c r="K35" s="33" t="str">
        <f>IF('binnenklimaatlabel type 2'!B2&lt;3,B30,IF(AND(K34="ja",B30="B"),"C",IF(AND(K34="ja",B30="C"),"D",B30)))</f>
        <v>D</v>
      </c>
      <c r="M35" s="33" t="str">
        <f>IF('binnenklimaatlabel type 2'!B2&lt;3,B30,IF(AND(M34="ja",B30="B"),"C",IF(AND(M34="ja",B30="C"),"D",B30)))</f>
        <v>D</v>
      </c>
      <c r="N35" s="33" t="str">
        <f>IF('binnenklimaatlabel type 2'!B2&lt;3,B30,IF(AND(N34="ja",B30="B"),"C",IF(AND(N34="ja",B30="C"),"D",B30)))</f>
        <v>D</v>
      </c>
      <c r="P35" s="33" t="str">
        <f>IF('binnenklimaatlabel type 2'!C2&lt;3,P30,IF(AND(P34="ja",P30="B"),"C",IF(AND(P34="ja",P30="C"),"D",P30)))</f>
        <v>D</v>
      </c>
    </row>
    <row r="37" spans="1:18" x14ac:dyDescent="0.2">
      <c r="A37" s="33" t="s">
        <v>195</v>
      </c>
      <c r="C37" s="32">
        <f>IF('binnenklimaatlabel type 2'!B13=1,0,IF('binnenklimaatlabel type 2'!B13&lt;4,299,IF('binnenklimaatlabel type 2'!B13=4,10*'Invoer Lokaal Type 2'!B2+1,IF('binnenklimaatlabel type 2'!B13=5,15*'Invoer Lokaal Type 2'!B2+1,IF('binnenklimaatlabel type 2'!B13=6,'Invoer Lokaal Type 2'!B2*20+1,'Invoer Lokaal Type 2'!B18)))))</f>
        <v>0</v>
      </c>
      <c r="Q37" s="32">
        <f>IF('binnenklimaatlabel type 2'!C13=1,0,IF('binnenklimaatlabel type 2'!C13&lt;4,299,IF('binnenklimaatlabel type 2'!C13=4,10*'Invoer Lokaal Type 2'!B2+1,IF('binnenklimaatlabel type 2'!C13=5,15*'Invoer Lokaal Type 2'!B2+1,IF('binnenklimaatlabel type 2'!C13=6,20*'Invoer Lokaal Type 2'!B2+1,'Invoer Lokaal Type 2'!K18)))))</f>
        <v>0</v>
      </c>
    </row>
    <row r="38" spans="1:18" x14ac:dyDescent="0.2">
      <c r="A38" s="32" t="s">
        <v>194</v>
      </c>
      <c r="B38" s="32" t="str">
        <f>IF('binnenklimaatlabel type 2'!B2&gt;3,"ja","nee")</f>
        <v>nee</v>
      </c>
      <c r="C38" s="32">
        <f>IF($B$2&gt;3,C37,0)</f>
        <v>0</v>
      </c>
      <c r="D38" s="32" t="s">
        <v>115</v>
      </c>
      <c r="F38" s="32">
        <f>C38</f>
        <v>0</v>
      </c>
      <c r="I38" s="32">
        <f>10*'Invoer Lokaal Type 2'!$B$2</f>
        <v>300</v>
      </c>
      <c r="J38" s="32">
        <f>15*'Invoer Lokaal Type 2'!$B$2</f>
        <v>450</v>
      </c>
      <c r="K38" s="32">
        <f>20*'Invoer Lokaal Type 2'!$B$2</f>
        <v>600</v>
      </c>
      <c r="L38" s="32">
        <f>C38</f>
        <v>0</v>
      </c>
      <c r="O38" s="32">
        <f>C38</f>
        <v>0</v>
      </c>
      <c r="P38" s="32" t="str">
        <f>IF('binnenklimaatlabel type 2'!C2&gt;3,"ja","nee")</f>
        <v>nee</v>
      </c>
      <c r="Q38" s="32">
        <f>IF($C$2&gt;3,Q37,0)</f>
        <v>0</v>
      </c>
      <c r="R38" s="32" t="s">
        <v>115</v>
      </c>
    </row>
    <row r="39" spans="1:18" x14ac:dyDescent="0.2">
      <c r="A39" s="32" t="s">
        <v>193</v>
      </c>
      <c r="B39" s="32" t="str">
        <f>IF('Invoer Lokaal Type 2'!G11&gt;0,"ja","nee")</f>
        <v>nee</v>
      </c>
      <c r="C39" s="32">
        <f>IF(AND($B$2=3,C37&gt;R10),C37,IF($B$2=4,0,$R$10))</f>
        <v>0</v>
      </c>
      <c r="D39" s="32" t="s">
        <v>115</v>
      </c>
      <c r="F39" s="32">
        <f>551-F38</f>
        <v>551</v>
      </c>
      <c r="I39" s="32">
        <f>C39</f>
        <v>0</v>
      </c>
      <c r="J39" s="32">
        <f>C39</f>
        <v>0</v>
      </c>
      <c r="K39" s="32">
        <f>C39</f>
        <v>0</v>
      </c>
      <c r="L39" s="32">
        <f>C39</f>
        <v>0</v>
      </c>
      <c r="O39" s="32">
        <f>C39</f>
        <v>0</v>
      </c>
      <c r="P39" s="32" t="str">
        <f>IF(('Invoer Lokaal Type 2'!P7+'Invoer Lokaal Type 2'!P8+'Invoer Lokaal Type 2'!P9)&gt;0,"ja","nee")</f>
        <v>nee</v>
      </c>
      <c r="Q39" s="32">
        <f>IF(AND($C$2=3,Q37&gt;AD10),Q37,IF($C$2=4,0,$AD$10))</f>
        <v>0</v>
      </c>
      <c r="R39" s="32" t="s">
        <v>115</v>
      </c>
    </row>
    <row r="40" spans="1:18" x14ac:dyDescent="0.2">
      <c r="A40" s="32" t="s">
        <v>192</v>
      </c>
      <c r="B40" s="32" t="str">
        <f>IF(('Invoer Lokaal Type 2'!G13+'Invoer Lokaal Type 2'!G14+'Invoer Lokaal Type 2'!G15)&gt;0,"ja","nee")</f>
        <v>nee</v>
      </c>
      <c r="C40" s="32">
        <f>'Invoer Lokaal Type 2'!G15</f>
        <v>0</v>
      </c>
      <c r="D40" s="32" t="s">
        <v>115</v>
      </c>
      <c r="F40" s="32">
        <f>C40</f>
        <v>0</v>
      </c>
      <c r="I40" s="32">
        <f>C40</f>
        <v>0</v>
      </c>
      <c r="J40" s="32">
        <f>C40</f>
        <v>0</v>
      </c>
      <c r="K40" s="32">
        <f>C40</f>
        <v>0</v>
      </c>
      <c r="L40" s="32">
        <f>C40</f>
        <v>0</v>
      </c>
      <c r="O40" s="32">
        <f>C40</f>
        <v>0</v>
      </c>
      <c r="P40" s="32" t="str">
        <f>IF(('Invoer Lokaal Type 2'!G15)&gt;0,"ja","nee")</f>
        <v>nee</v>
      </c>
      <c r="Q40" s="32">
        <f>'Invoer Lokaal Type 2'!G15</f>
        <v>0</v>
      </c>
      <c r="R40" s="32" t="s">
        <v>115</v>
      </c>
    </row>
    <row r="42" spans="1:18" x14ac:dyDescent="0.2">
      <c r="A42" s="32" t="s">
        <v>829</v>
      </c>
      <c r="B42" s="32" t="str">
        <f>IF(C38&gt;300,"A",IF(AND(C38&gt;0,(C38+C39)&gt;300),"B",IF(AND(C38&lt;300,(C38+C39)&lt;300,C40&gt;100),"D",IF(AND(C38=0,C39&gt;300,),"C",IF(AND(C39&lt;300,C40&gt;100),"D","C")))))</f>
        <v>C</v>
      </c>
      <c r="E42" s="32" t="str">
        <f>B42</f>
        <v>C</v>
      </c>
      <c r="F42" s="32" t="str">
        <f>IF(F38&gt;300,"A",IF(AND(F38&gt;0,(F38+F39)&gt;300),"B",IF(AND(F38&lt;300,(F38+F39)&lt;300,F40&gt;100),"D",IF(AND(F38=0,F39&gt;300,),"C",IF(AND(F39&lt;300,F40&gt;100),"D","C")))))</f>
        <v>C</v>
      </c>
      <c r="I42" s="32" t="str">
        <f>IF(I38&gt;300,"A",IF(AND(I38&gt;0,(I38+I39)&gt;300),"B",IF(AND(I38&lt;300,(I38+I39)&lt;300,I40&gt;100),"D",IF(AND(I38=0,I39&gt;300,),"C",IF(AND(I39&lt;300,I40&gt;100),"D","C")))))</f>
        <v>C</v>
      </c>
      <c r="J42" s="32" t="str">
        <f>IF(J38&gt;300,"A",IF(AND(J38&gt;0,(J38+J39)&gt;300),"B",IF(AND(J38&lt;300,(J38+J39)&lt;300,J40&gt;100),"D",IF(AND(J38=0,J39&gt;300,),"C",IF(AND(J39&lt;300,J40&gt;100),"D","C")))))</f>
        <v>A</v>
      </c>
      <c r="K42" s="32" t="str">
        <f>IF(K38&gt;300,"A",IF(AND(K38&gt;0,(K38+K39)&gt;300),"B",IF(AND(K38&lt;300,(K38+K39)&lt;300,K40&gt;100),"D",IF(AND(K38=0,K39&gt;300,),"C",IF(AND(K39&lt;300,K40&gt;100),"D","C")))))</f>
        <v>A</v>
      </c>
      <c r="L42" s="32" t="str">
        <f>B42</f>
        <v>C</v>
      </c>
      <c r="O42" s="32" t="str">
        <f>B42</f>
        <v>C</v>
      </c>
      <c r="P42" s="32" t="str">
        <f>IF(Q38&gt;300,"A",IF(AND(Q38&gt;0,(Q38+Q39)&gt;300),"B",IF(AND(Q38&lt;300,(Q38+Q39)&lt;300,Q40&gt;100),"D",IF(AND(Q38=0,Q39&gt;300,),"C",IF(AND(Q39&lt;300,Q40&gt;100),"D","C")))))</f>
        <v>C</v>
      </c>
    </row>
    <row r="43" spans="1:18" x14ac:dyDescent="0.2">
      <c r="A43" s="32" t="s">
        <v>829</v>
      </c>
      <c r="B43" s="32">
        <f>IF(B42="D",4,IF(B42="C",3,IF(B42="B",2,1)))</f>
        <v>3</v>
      </c>
      <c r="E43" s="32">
        <f>B43</f>
        <v>3</v>
      </c>
      <c r="F43" s="32">
        <f>IF(F42="D",4,IF(F42="C",3,IF(F42="B",2,1)))</f>
        <v>3</v>
      </c>
      <c r="I43" s="32">
        <f>IF(I42="D",4,IF(I42="C",3,IF(I42="B",2,1)))</f>
        <v>3</v>
      </c>
      <c r="J43" s="32">
        <f>IF(J42="D",4,IF(J42="C",3,IF(J42="B",2,1)))</f>
        <v>1</v>
      </c>
      <c r="K43" s="32">
        <f>IF(K42="D",4,IF(K42="C",3,IF(K42="B",2,1)))</f>
        <v>1</v>
      </c>
      <c r="L43" s="32">
        <f>B43</f>
        <v>3</v>
      </c>
      <c r="O43" s="32">
        <f>B43</f>
        <v>3</v>
      </c>
      <c r="P43" s="32">
        <f>IF(P42="D",4,IF(P42="C",3,IF(P42="B",2,1)))</f>
        <v>3</v>
      </c>
    </row>
    <row r="44" spans="1:18" x14ac:dyDescent="0.2">
      <c r="A44" s="32" t="s">
        <v>830</v>
      </c>
      <c r="B44" s="32">
        <f>IF(AND('binnenklimaatlabel type 2'!B2&lt;4,'binnenklimaatlabel type 2'!B4&gt;1),1,0)</f>
        <v>0</v>
      </c>
      <c r="E44" s="32">
        <v>1</v>
      </c>
      <c r="F44" s="32">
        <f>B44</f>
        <v>0</v>
      </c>
      <c r="I44" s="32">
        <f>B44</f>
        <v>0</v>
      </c>
      <c r="J44" s="32">
        <f>B44</f>
        <v>0</v>
      </c>
      <c r="K44" s="32">
        <f>B44</f>
        <v>0</v>
      </c>
      <c r="L44" s="32">
        <f>B44</f>
        <v>0</v>
      </c>
      <c r="O44" s="32">
        <f>B44</f>
        <v>0</v>
      </c>
      <c r="P44" s="32">
        <f>IF(AND('binnenklimaatlabel type 2'!C2&lt;4,'binnenklimaatlabel type 2'!C4&gt;1),1,0)</f>
        <v>0</v>
      </c>
    </row>
    <row r="45" spans="1:18" x14ac:dyDescent="0.2">
      <c r="A45" s="32" t="s">
        <v>191</v>
      </c>
      <c r="B45" s="32">
        <f>IF('binnenklimaatlabel type 2'!B19=1,-1,IF(OR('binnenklimaatlabel type 2'!B19=2,'binnenklimaatlabel type 2'!B19=3),0,1))</f>
        <v>-1</v>
      </c>
      <c r="E45" s="32">
        <f>B45</f>
        <v>-1</v>
      </c>
      <c r="F45" s="32">
        <f>B45</f>
        <v>-1</v>
      </c>
      <c r="I45" s="32">
        <f>B45</f>
        <v>-1</v>
      </c>
      <c r="J45" s="32">
        <f>B45</f>
        <v>-1</v>
      </c>
      <c r="K45" s="32">
        <f>B45</f>
        <v>-1</v>
      </c>
      <c r="L45" s="32">
        <f>B45</f>
        <v>-1</v>
      </c>
      <c r="O45" s="32">
        <f>IF('binnenklimaatlabel type 2'!F17=1,'binnenklimaatlabel type 2'!B45,IF('binnenklimaatlabel type 2'!F17=2,0,1))</f>
        <v>-1</v>
      </c>
      <c r="P45" s="32">
        <f>IF('binnenklimaatlabel type 2'!C19=1,-1,IF(OR('binnenklimaatlabel type 2'!C19=2,'binnenklimaatlabel type 2'!C19=3),0,1))</f>
        <v>-1</v>
      </c>
    </row>
    <row r="46" spans="1:18" x14ac:dyDescent="0.2">
      <c r="A46" s="32" t="s">
        <v>190</v>
      </c>
      <c r="B46" s="32">
        <f>IF('binnenklimaatlabel type 2'!B14=1,-1,IF('binnenklimaatlabel type 2'!B14=2,0,1))</f>
        <v>-1</v>
      </c>
      <c r="E46" s="32">
        <f>B46</f>
        <v>-1</v>
      </c>
      <c r="F46" s="32">
        <f>B46</f>
        <v>-1</v>
      </c>
      <c r="I46" s="32">
        <f>B46</f>
        <v>-1</v>
      </c>
      <c r="J46" s="32">
        <f>B46</f>
        <v>-1</v>
      </c>
      <c r="K46" s="32">
        <f>B46</f>
        <v>-1</v>
      </c>
      <c r="L46" s="32">
        <v>1</v>
      </c>
      <c r="O46" s="32">
        <f>B46</f>
        <v>-1</v>
      </c>
      <c r="P46" s="32">
        <f>IF('binnenklimaatlabel type 2'!C14=1,-1,IF('binnenklimaatlabel type 2'!C14=2,0,1))</f>
        <v>-1</v>
      </c>
    </row>
    <row r="47" spans="1:18" x14ac:dyDescent="0.2">
      <c r="A47" s="32" t="s">
        <v>189</v>
      </c>
      <c r="B47" s="32">
        <f>IF((B44+B45+B46)&gt;0,1,IF((B44+B45+B46)&lt;0,-1,0))</f>
        <v>-1</v>
      </c>
      <c r="E47" s="32">
        <f>IF((E44+E45+E46)&gt;0,1,IF((E44+E45+E46)&lt;0,-1,0))</f>
        <v>-1</v>
      </c>
      <c r="F47" s="32">
        <f>IF((F44+F45+F46)&gt;0,1,IF((F44+F45+F46)&lt;0,-1,0))</f>
        <v>-1</v>
      </c>
      <c r="I47" s="32">
        <f>IF((I44+I45+I46)&gt;0,1,IF((I44+I45+I46)&lt;0,-1,0))</f>
        <v>-1</v>
      </c>
      <c r="J47" s="32">
        <f>IF((J44+J45+J46)&gt;0,1,IF((J44+J45+J46)&lt;0,-1,0))</f>
        <v>-1</v>
      </c>
      <c r="K47" s="32">
        <f>IF((K44+K45+K46)&gt;0,1,IF((K44+K45+K46)&lt;0,-1,0))</f>
        <v>-1</v>
      </c>
      <c r="L47" s="32">
        <f>IF((L44+L45+L46)&gt;0,1,IF((L44+L45+L46)&lt;0,-1,0))</f>
        <v>0</v>
      </c>
      <c r="O47" s="32">
        <f>IF((O44+O45+O46)&gt;0,1,IF((O44+O45+O46)&lt;0,-1,0))</f>
        <v>-1</v>
      </c>
      <c r="P47" s="32">
        <f>IF((P44+P45+P46)&gt;0,1,IF((P44+P45+P46)&lt;0,-1,0))</f>
        <v>-1</v>
      </c>
    </row>
    <row r="48" spans="1:18" x14ac:dyDescent="0.2">
      <c r="A48" s="32" t="s">
        <v>187</v>
      </c>
      <c r="B48" s="32">
        <f>B43-B47</f>
        <v>4</v>
      </c>
      <c r="E48" s="32">
        <f>E43-E47</f>
        <v>4</v>
      </c>
      <c r="F48" s="32">
        <f>F43-F47</f>
        <v>4</v>
      </c>
      <c r="I48" s="32">
        <f>I43-I47</f>
        <v>4</v>
      </c>
      <c r="J48" s="32">
        <f>J43-J47</f>
        <v>2</v>
      </c>
      <c r="K48" s="32">
        <f>K43-K47</f>
        <v>2</v>
      </c>
      <c r="L48" s="32">
        <f>L43-L47</f>
        <v>3</v>
      </c>
      <c r="O48" s="32">
        <f>O43-O47</f>
        <v>4</v>
      </c>
      <c r="P48" s="32">
        <f>P43-P47</f>
        <v>4</v>
      </c>
    </row>
    <row r="49" spans="1:16" x14ac:dyDescent="0.2">
      <c r="A49" s="32" t="s">
        <v>187</v>
      </c>
      <c r="B49" s="33" t="str">
        <f>IF(B48&gt;3,"D",IF(B48=3,"C",IF(B48=2,"B","A")))</f>
        <v>D</v>
      </c>
      <c r="C49" s="33"/>
      <c r="D49" s="33"/>
      <c r="E49" s="33" t="str">
        <f>IF(E48&gt;3,"D",IF(E48=3,"C",IF(E48=2,"B","A")))</f>
        <v>D</v>
      </c>
      <c r="F49" s="33" t="str">
        <f>IF(F48&gt;3,"D",IF(F48=3,"C",IF(F48=2,"B","A")))</f>
        <v>D</v>
      </c>
      <c r="I49" s="33" t="str">
        <f>IF(I48&gt;3,"D",IF(I48=3,"C",IF(I48=2,"B","A")))</f>
        <v>D</v>
      </c>
      <c r="J49" s="33" t="str">
        <f>IF(J48&gt;3,"D",IF(J48=3,"C",IF(J48=2,"B","A")))</f>
        <v>B</v>
      </c>
      <c r="K49" s="33" t="str">
        <f>IF(K48&gt;3,"D",IF(K48=3,"C",IF(K48=2,"B","A")))</f>
        <v>B</v>
      </c>
      <c r="L49" s="33" t="str">
        <f>IF(L48&gt;3,"D",IF(L48=3,"C",IF(L48=2,"B","A")))</f>
        <v>C</v>
      </c>
      <c r="O49" s="33" t="str">
        <f>IF(O48&gt;3,"D",IF(O48=3,"C",IF(O48=2,"B","A")))</f>
        <v>D</v>
      </c>
      <c r="P49" s="33" t="str">
        <f>IF(P48&gt;3,"D",IF(P48=3,"C",IF(P48=2,"B","A")))</f>
        <v>D</v>
      </c>
    </row>
    <row r="51" spans="1:16" x14ac:dyDescent="0.2">
      <c r="A51" s="33" t="s">
        <v>96</v>
      </c>
    </row>
    <row r="52" spans="1:16" x14ac:dyDescent="0.2">
      <c r="A52" s="32" t="s">
        <v>188</v>
      </c>
      <c r="B52" s="32" t="str">
        <f>IF((C38+C39)&gt;43.2*'Invoer Lokaal Type 2'!$B$2,"A",IF(AND((C38+C39)&lt;=43.2*'Invoer Lokaal Type 2'!$B$2,(C38+C39)&gt;30.6*'Invoer Lokaal Type 2'!$B$2),"B",IF(AND((C38+C39)&lt;=30.6*'Invoer Lokaal Type 2'!$B$2,(C38+C39)&gt;21.6*'Invoer Lokaal Type 2'!$B$2),"C","D")))</f>
        <v>D</v>
      </c>
      <c r="F52" s="32" t="str">
        <f>IF((F38+F39)&gt;43.2*'Invoer Lokaal Type 2'!$B$2,"A",IF(AND((F38+F39)&lt;=43.2*'Invoer Lokaal Type 2'!$B$2,(F38+F39)&gt;30.6*'Invoer Lokaal Type 2'!$B$2),"B",IF(AND((F38+F39)&lt;=30.6*'Invoer Lokaal Type 2'!$B$2,(F38+F39)&gt;21.6*'Invoer Lokaal Type 2'!$B$2),"C","D")))</f>
        <v>D</v>
      </c>
      <c r="G52" s="32" t="str">
        <f>B52</f>
        <v>D</v>
      </c>
      <c r="I52" s="32" t="str">
        <f>IF((I38+I39)&gt;43.2*'Invoer Lokaal Type 2'!$B$2,"A",IF(AND((I38+I39)&lt;=43.2*'Invoer Lokaal Type 2'!$B$2,(I38+I39)&gt;30.6*'Invoer Lokaal Type 2'!$B$2),"B",IF(AND((I38+I39)&lt;=30.6*'Invoer Lokaal Type 2'!$B$2,(I38+I39)&gt;21.6*'Invoer Lokaal Type 2'!$B$2),"C","D")))</f>
        <v>D</v>
      </c>
      <c r="J52" s="32" t="str">
        <f>IF((J38+J39)&gt;43.2*'Invoer Lokaal Type 2'!$B$2,"A",IF(AND((J38+J39)&lt;=43.2*'Invoer Lokaal Type 2'!$B$2,(J38+J39)&gt;30.6*'Invoer Lokaal Type 2'!$B$2),"B",IF(AND((J38+J39)&lt;=30.6*'Invoer Lokaal Type 2'!$B$2,(J38+J39)&gt;21.6*'Invoer Lokaal Type 2'!$B$2),"C","D")))</f>
        <v>D</v>
      </c>
      <c r="K52" s="32" t="str">
        <f>IF((K38+K39)&gt;43.2*'Invoer Lokaal Type 2'!$B$2,"A",IF(AND((K38+K39)&lt;=43.2*'Invoer Lokaal Type 2'!$B$2,(K38+K39)&gt;30.6*'Invoer Lokaal Type 2'!$B$2),"B",IF(AND((K38+K39)&lt;=30.6*'Invoer Lokaal Type 2'!$B$2,(K38+K39)&gt;21.6*'Invoer Lokaal Type 2'!$B$2),"C","D")))</f>
        <v>D</v>
      </c>
      <c r="P52" s="32" t="str">
        <f>IF((Q38+Q39)&gt;43.2*'Invoer Lokaal Type 2'!$B$2,"A",IF(AND((Q38+Q39)&lt;=43.2*'Invoer Lokaal Type 2'!$B$2,(Q38+Q39)&gt;30.6*'Invoer Lokaal Type 2'!$B$2),"B",IF(AND((Q38+Q39)&lt;=30.6*'Invoer Lokaal Type 2'!$B$2,(Q38+Q39)&gt;21.6*'Invoer Lokaal Type 2'!$B$2),"C","D")))</f>
        <v>D</v>
      </c>
    </row>
    <row r="56" spans="1:16" x14ac:dyDescent="0.2">
      <c r="B56" s="33"/>
      <c r="F56" s="33"/>
      <c r="G56" s="33"/>
      <c r="H56" s="33"/>
      <c r="I56" s="33"/>
      <c r="J56" s="33"/>
      <c r="K56" s="33"/>
      <c r="P56" s="33"/>
    </row>
    <row r="59" spans="1:16" x14ac:dyDescent="0.2">
      <c r="A59" s="32" t="s">
        <v>831</v>
      </c>
      <c r="B59" s="32" t="s">
        <v>186</v>
      </c>
      <c r="C59" s="32" t="s">
        <v>185</v>
      </c>
      <c r="D59" s="32" t="s">
        <v>89</v>
      </c>
      <c r="E59" s="32" t="s">
        <v>184</v>
      </c>
      <c r="F59" s="32" t="s">
        <v>56</v>
      </c>
    </row>
    <row r="60" spans="1:16" x14ac:dyDescent="0.2">
      <c r="A60" s="32" t="s">
        <v>180</v>
      </c>
      <c r="B60" s="32" t="str">
        <f>B35</f>
        <v>D</v>
      </c>
      <c r="C60" s="32" t="str">
        <f>E49</f>
        <v>D</v>
      </c>
      <c r="D60" s="32" t="str">
        <f>B52</f>
        <v>D</v>
      </c>
      <c r="E60" s="32" t="str">
        <f>IF('Invoer Lokaal Type 1'!I5="geen","nee","ja")</f>
        <v>nee</v>
      </c>
      <c r="F60" s="32" t="str">
        <f>'Invoer Lokaal Type 2'!J5</f>
        <v>Low-budget</v>
      </c>
    </row>
    <row r="61" spans="1:16" x14ac:dyDescent="0.2">
      <c r="A61" s="32" t="s">
        <v>832</v>
      </c>
      <c r="B61" s="32" t="str">
        <f>B35</f>
        <v>D</v>
      </c>
      <c r="C61" s="32" t="str">
        <f>F49</f>
        <v>D</v>
      </c>
      <c r="D61" s="32" t="str">
        <f>F52</f>
        <v>D</v>
      </c>
      <c r="E61" s="32" t="str">
        <f>IF('binnenklimaatlabel type 2'!F5=1,"nee","ja")</f>
        <v>nee</v>
      </c>
      <c r="F61" s="32">
        <f>'Invoer Lokaal Type 2'!J7</f>
        <v>0</v>
      </c>
    </row>
    <row r="62" spans="1:16" x14ac:dyDescent="0.2">
      <c r="A62" s="32" t="s">
        <v>176</v>
      </c>
      <c r="B62" s="32" t="str">
        <f>G35</f>
        <v>D</v>
      </c>
      <c r="C62" s="32" t="str">
        <f>B49</f>
        <v>D</v>
      </c>
      <c r="D62" s="32" t="str">
        <f>G52</f>
        <v>D</v>
      </c>
      <c r="E62" s="32" t="str">
        <f>IF('binnenklimaatlabel type 2'!F6=1,"nee","ja")</f>
        <v>nee</v>
      </c>
      <c r="F62" s="32">
        <f>'Invoer Lokaal Type 2'!J13</f>
        <v>0</v>
      </c>
    </row>
    <row r="63" spans="1:16" x14ac:dyDescent="0.2">
      <c r="A63" s="32" t="s">
        <v>833</v>
      </c>
      <c r="F63" s="32">
        <f>'Invoer Lokaal Type 2'!J16</f>
        <v>3000</v>
      </c>
    </row>
    <row r="64" spans="1:16" x14ac:dyDescent="0.2">
      <c r="A64" s="32" t="s">
        <v>834</v>
      </c>
      <c r="B64" s="32" t="str">
        <f>I35</f>
        <v>D</v>
      </c>
      <c r="C64" s="32" t="str">
        <f>I49</f>
        <v>D</v>
      </c>
      <c r="D64" s="32" t="str">
        <f>I52</f>
        <v>D</v>
      </c>
      <c r="E64" s="32" t="str">
        <f>IF('Invoer Lokaal Type 1'!J18="n.v.t.","nee","ja")</f>
        <v>nee</v>
      </c>
      <c r="F64" s="32">
        <f>'Invoer Lokaal Type 2'!J18</f>
        <v>9000</v>
      </c>
    </row>
    <row r="65" spans="1:6" x14ac:dyDescent="0.2">
      <c r="A65" s="32" t="s">
        <v>835</v>
      </c>
      <c r="B65" s="32" t="str">
        <f>J35</f>
        <v>D</v>
      </c>
      <c r="C65" s="32" t="str">
        <f>J49</f>
        <v>B</v>
      </c>
      <c r="D65" s="32" t="str">
        <f>J52</f>
        <v>D</v>
      </c>
      <c r="E65" s="32" t="str">
        <f>IF('Invoer Lokaal Type 1'!J19="n.v.t.","nee","ja")</f>
        <v>nee</v>
      </c>
      <c r="F65" s="32">
        <f>'Invoer Lokaal Type 2'!J19</f>
        <v>10000</v>
      </c>
    </row>
    <row r="66" spans="1:6" x14ac:dyDescent="0.2">
      <c r="A66" s="32" t="s">
        <v>836</v>
      </c>
      <c r="B66" s="32" t="str">
        <f>K35</f>
        <v>D</v>
      </c>
      <c r="C66" s="32" t="str">
        <f>K49</f>
        <v>B</v>
      </c>
      <c r="D66" s="32" t="str">
        <f>K52</f>
        <v>D</v>
      </c>
      <c r="E66" s="32" t="str">
        <f>IF('Invoer Lokaal Type 1'!J20="n.v.t.","nee","ja")</f>
        <v>nee</v>
      </c>
      <c r="F66" s="32">
        <f>'Invoer Lokaal Type 2'!J20</f>
        <v>12000</v>
      </c>
    </row>
    <row r="67" spans="1:6" x14ac:dyDescent="0.2">
      <c r="A67" s="32" t="s">
        <v>837</v>
      </c>
      <c r="B67" s="32" t="str">
        <f>B35</f>
        <v>D</v>
      </c>
      <c r="C67" s="32" t="str">
        <f>L49</f>
        <v>C</v>
      </c>
      <c r="D67" s="32" t="str">
        <f>B52</f>
        <v>D</v>
      </c>
      <c r="E67" s="32" t="str">
        <f>IF('Invoer Lokaal Type 1'!J22&gt;0,"ja","nee")</f>
        <v>nee</v>
      </c>
      <c r="F67" s="32">
        <f>'Invoer Lokaal Type 2'!J21</f>
        <v>0</v>
      </c>
    </row>
    <row r="68" spans="1:6" x14ac:dyDescent="0.2">
      <c r="A68" s="32" t="s">
        <v>838</v>
      </c>
      <c r="B68" s="32" t="str">
        <f>M35</f>
        <v>D</v>
      </c>
      <c r="C68" s="32" t="str">
        <f>B49</f>
        <v>D</v>
      </c>
      <c r="D68" s="32" t="str">
        <f>B52</f>
        <v>D</v>
      </c>
      <c r="E68" s="32" t="str">
        <f>IF('Invoer Lokaal Type 1'!J22&gt;0,"ja","nee")</f>
        <v>nee</v>
      </c>
      <c r="F68" s="32">
        <f>'Invoer Lokaal Type 2'!J22</f>
        <v>0</v>
      </c>
    </row>
    <row r="69" spans="1:6" x14ac:dyDescent="0.2">
      <c r="A69" s="32" t="s">
        <v>839</v>
      </c>
      <c r="B69" s="32" t="str">
        <f>N35</f>
        <v>D</v>
      </c>
      <c r="C69" s="32" t="str">
        <f>B49</f>
        <v>D</v>
      </c>
      <c r="D69" s="32" t="str">
        <f>B52</f>
        <v>D</v>
      </c>
      <c r="E69" s="32" t="str">
        <f>IF('Invoer Lokaal Type 1'!J24="n.b.","ja","nee")</f>
        <v>nee</v>
      </c>
      <c r="F69" s="32" t="str">
        <f>'Invoer Lokaal Type 2'!J24</f>
        <v>zie E*</v>
      </c>
    </row>
    <row r="70" spans="1:6" x14ac:dyDescent="0.2">
      <c r="A70" s="32" t="s">
        <v>869</v>
      </c>
      <c r="B70" s="32" t="s">
        <v>183</v>
      </c>
      <c r="C70" s="32" t="str">
        <f>B49</f>
        <v>D</v>
      </c>
      <c r="D70" s="32" t="str">
        <f>B52</f>
        <v>D</v>
      </c>
      <c r="E70" s="32" t="str">
        <f>IF('Invoer Lokaal Type 1'!J25&gt;0,"ja","nee")</f>
        <v>ja</v>
      </c>
      <c r="F70" s="32">
        <f>'Invoer Lokaal Type 2'!J25</f>
        <v>3500</v>
      </c>
    </row>
    <row r="71" spans="1:6" x14ac:dyDescent="0.2">
      <c r="A71" s="32" t="s">
        <v>841</v>
      </c>
      <c r="B71" s="32" t="str">
        <f>B35</f>
        <v>D</v>
      </c>
      <c r="C71" s="32" t="str">
        <f>O49</f>
        <v>D</v>
      </c>
      <c r="D71" s="32" t="str">
        <f>B52</f>
        <v>D</v>
      </c>
      <c r="E71" s="32" t="str">
        <f>IF('Invoer Lokaal Type 1'!J27="n.b.","ja","nee")</f>
        <v>nee</v>
      </c>
      <c r="F71" s="32" t="str">
        <f>'Invoer Lokaal Type 2'!J27</f>
        <v>zie E*</v>
      </c>
    </row>
  </sheetData>
  <mergeCells count="1">
    <mergeCell ref="B20:D20"/>
  </mergeCells>
  <phoneticPr fontId="0" type="noConversion"/>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1"/>
  <sheetViews>
    <sheetView topLeftCell="F19" workbookViewId="0">
      <selection activeCell="T52" sqref="T52"/>
    </sheetView>
  </sheetViews>
  <sheetFormatPr defaultRowHeight="11.25" x14ac:dyDescent="0.2"/>
  <cols>
    <col min="1" max="1" width="38.5703125" style="32" customWidth="1"/>
    <col min="2" max="2" width="12" style="32" customWidth="1"/>
    <col min="3" max="3" width="5.85546875" style="32" customWidth="1"/>
    <col min="4" max="4" width="5.140625" style="32" customWidth="1"/>
    <col min="5" max="5" width="25" style="32" customWidth="1"/>
    <col min="6" max="6" width="30.42578125" style="32" customWidth="1"/>
    <col min="7" max="7" width="24" style="32" customWidth="1"/>
    <col min="8" max="8" width="26.5703125" style="32" customWidth="1"/>
    <col min="9" max="10" width="12.140625" style="32" customWidth="1"/>
    <col min="11" max="11" width="12.7109375" style="32" customWidth="1"/>
    <col min="12" max="12" width="24.7109375" style="32" customWidth="1"/>
    <col min="13" max="13" width="13.42578125" style="32" customWidth="1"/>
    <col min="14" max="14" width="17.85546875" style="32" customWidth="1"/>
    <col min="15" max="15" width="24.7109375" style="32" customWidth="1"/>
    <col min="16" max="16" width="19.28515625" style="32" customWidth="1"/>
    <col min="17" max="16384" width="9.140625" style="32"/>
  </cols>
  <sheetData>
    <row r="1" spans="1:55" x14ac:dyDescent="0.2">
      <c r="B1" s="32" t="s">
        <v>129</v>
      </c>
      <c r="C1" s="32" t="s">
        <v>182</v>
      </c>
    </row>
    <row r="2" spans="1:55" x14ac:dyDescent="0.2">
      <c r="A2" s="32" t="s">
        <v>181</v>
      </c>
      <c r="B2" s="32">
        <v>1</v>
      </c>
      <c r="C2" s="32">
        <v>1</v>
      </c>
      <c r="I2" s="33" t="s">
        <v>871</v>
      </c>
      <c r="U2" s="33" t="s">
        <v>178</v>
      </c>
      <c r="AG2" s="33" t="s">
        <v>872</v>
      </c>
      <c r="AS2" s="33" t="s">
        <v>176</v>
      </c>
    </row>
    <row r="3" spans="1:55" x14ac:dyDescent="0.2">
      <c r="A3" s="32" t="s">
        <v>825</v>
      </c>
      <c r="B3" s="32">
        <v>1</v>
      </c>
      <c r="C3" s="32">
        <v>1</v>
      </c>
      <c r="AG3" s="300"/>
      <c r="AH3" s="300"/>
      <c r="AI3" s="300"/>
      <c r="AJ3" s="300"/>
    </row>
    <row r="4" spans="1:55" x14ac:dyDescent="0.2">
      <c r="A4" s="32" t="s">
        <v>180</v>
      </c>
      <c r="B4" s="32">
        <v>1</v>
      </c>
      <c r="C4" s="32">
        <v>1</v>
      </c>
      <c r="I4" s="301" t="s">
        <v>120</v>
      </c>
      <c r="J4" s="301" t="s">
        <v>119</v>
      </c>
      <c r="K4" s="301" t="s">
        <v>226</v>
      </c>
      <c r="L4" s="301" t="s">
        <v>50</v>
      </c>
      <c r="M4" s="32" t="s">
        <v>695</v>
      </c>
      <c r="N4" s="32" t="s">
        <v>692</v>
      </c>
      <c r="O4" s="32" t="s">
        <v>693</v>
      </c>
      <c r="P4" s="32" t="s">
        <v>694</v>
      </c>
      <c r="U4" s="301" t="s">
        <v>120</v>
      </c>
      <c r="V4" s="301" t="s">
        <v>119</v>
      </c>
      <c r="W4" s="301" t="s">
        <v>226</v>
      </c>
      <c r="X4" s="301" t="s">
        <v>50</v>
      </c>
      <c r="Y4" s="32" t="s">
        <v>695</v>
      </c>
      <c r="Z4" s="32" t="s">
        <v>692</v>
      </c>
      <c r="AA4" s="32" t="s">
        <v>693</v>
      </c>
      <c r="AB4" s="32" t="s">
        <v>694</v>
      </c>
      <c r="AG4" s="301" t="s">
        <v>120</v>
      </c>
      <c r="AH4" s="301" t="s">
        <v>119</v>
      </c>
      <c r="AI4" s="301" t="s">
        <v>226</v>
      </c>
      <c r="AJ4" s="301" t="s">
        <v>50</v>
      </c>
      <c r="AK4" s="32" t="s">
        <v>695</v>
      </c>
      <c r="AL4" s="32" t="s">
        <v>692</v>
      </c>
      <c r="AM4" s="32" t="s">
        <v>693</v>
      </c>
      <c r="AN4" s="32" t="s">
        <v>694</v>
      </c>
      <c r="AS4" s="301" t="s">
        <v>120</v>
      </c>
      <c r="AT4" s="301" t="s">
        <v>119</v>
      </c>
      <c r="AU4" s="301" t="s">
        <v>226</v>
      </c>
      <c r="AV4" s="301" t="s">
        <v>50</v>
      </c>
      <c r="AW4" s="32" t="s">
        <v>695</v>
      </c>
      <c r="AX4" s="32" t="s">
        <v>692</v>
      </c>
      <c r="AY4" s="32" t="s">
        <v>693</v>
      </c>
      <c r="AZ4" s="32" t="s">
        <v>694</v>
      </c>
    </row>
    <row r="5" spans="1:55" x14ac:dyDescent="0.2">
      <c r="A5" s="32" t="s">
        <v>179</v>
      </c>
      <c r="B5" s="32">
        <v>1</v>
      </c>
      <c r="C5" s="32">
        <v>1</v>
      </c>
      <c r="E5" s="32" t="s">
        <v>178</v>
      </c>
      <c r="F5" s="32">
        <v>1</v>
      </c>
      <c r="I5" s="32">
        <f>'Invoer Lokaal Type 3'!C7</f>
        <v>0</v>
      </c>
      <c r="J5" s="32">
        <f>'Invoer Lokaal Type 3'!D7</f>
        <v>0</v>
      </c>
      <c r="K5" s="32">
        <v>1</v>
      </c>
      <c r="L5" s="32">
        <f>'Invoer Lokaal Type 3'!F7</f>
        <v>0</v>
      </c>
      <c r="M5" s="312">
        <f>IF(B5=3,I5*7.5*L5/10000,IF(B5=2,I5*J5*L5/20000,0))</f>
        <v>0</v>
      </c>
      <c r="N5" s="302">
        <f>IF($K5=2,$M5,0)</f>
        <v>0</v>
      </c>
      <c r="O5" s="303">
        <f>IF($K5=3,$M5,0)</f>
        <v>0</v>
      </c>
      <c r="P5" s="304">
        <f>IF($K5=4,$M5,0)</f>
        <v>0</v>
      </c>
      <c r="U5" s="32">
        <f>'Invoer Lokaal Type 3'!L7</f>
        <v>0</v>
      </c>
      <c r="V5" s="32">
        <f>'Invoer Lokaal Type 3'!M7</f>
        <v>0</v>
      </c>
      <c r="W5" s="32">
        <v>1</v>
      </c>
      <c r="X5" s="32">
        <f>'Invoer Lokaal Type 3'!O7</f>
        <v>0</v>
      </c>
      <c r="Y5" s="312">
        <f>IF(C5=3,U5*7.5*X5/10000,IF(C5=2,U5*V5*X5/20000,0))</f>
        <v>0</v>
      </c>
      <c r="Z5" s="302">
        <f>IF($W5=2,$Y5,0)</f>
        <v>0</v>
      </c>
      <c r="AA5" s="302">
        <f>IF($W5=3,$Y5,0)</f>
        <v>0</v>
      </c>
      <c r="AB5" s="302">
        <f>IF($W5=4,$Y5,0)</f>
        <v>0</v>
      </c>
      <c r="AG5" s="32">
        <f>'Invoer Lokaal Type 3'!C13</f>
        <v>0</v>
      </c>
      <c r="AH5" s="32">
        <f>'Invoer Lokaal Type 3'!D13</f>
        <v>0</v>
      </c>
      <c r="AI5" s="32">
        <v>1</v>
      </c>
      <c r="AJ5" s="32">
        <f>'Invoer Lokaal Type 3'!F13</f>
        <v>0</v>
      </c>
      <c r="AK5" s="312">
        <f>IF(B10=3,AG5*7.5*AJ5/10000,IF(B10=2,AG5*AH5*AJ5/20000,AG5*AH5*AJ5/10000))</f>
        <v>0</v>
      </c>
      <c r="AL5" s="302">
        <f>IF($AI5=2,$AK5,0)</f>
        <v>0</v>
      </c>
      <c r="AM5" s="302">
        <f>IF($AI5=3,$AK5,0)</f>
        <v>0</v>
      </c>
      <c r="AN5" s="302">
        <f>IF($AI5=4,$AK5,0)</f>
        <v>0</v>
      </c>
      <c r="AS5" s="32">
        <f>'Invoer Lokaal Type 3'!L13</f>
        <v>0</v>
      </c>
      <c r="AT5" s="32">
        <f>'Invoer Lokaal Type 3'!M13</f>
        <v>0</v>
      </c>
      <c r="AU5" s="32">
        <v>1</v>
      </c>
      <c r="AV5" s="32">
        <f>'Invoer Lokaal Type 3'!O13</f>
        <v>0</v>
      </c>
      <c r="AW5" s="312">
        <f>IF(C10=3,AS5*7.5*AV5/10000,IF(C10=2,AS5*AT5*AV5/20000,AS5*AT5*AV5/10000))</f>
        <v>0</v>
      </c>
      <c r="AX5" s="302">
        <f>IF($AU5=2,$AW5,0)</f>
        <v>0</v>
      </c>
      <c r="AY5" s="302">
        <f>IF($AU5=3,$AW5,0)</f>
        <v>0</v>
      </c>
      <c r="AZ5" s="302">
        <f>IF($AU5=4,$AW5,0)</f>
        <v>0</v>
      </c>
    </row>
    <row r="6" spans="1:55" x14ac:dyDescent="0.2">
      <c r="A6" s="32" t="s">
        <v>177</v>
      </c>
      <c r="B6" s="32">
        <v>1</v>
      </c>
      <c r="C6" s="32">
        <v>1</v>
      </c>
      <c r="E6" s="32" t="s">
        <v>176</v>
      </c>
      <c r="F6" s="32">
        <v>1</v>
      </c>
      <c r="I6" s="32">
        <f>'Invoer Lokaal Type 3'!C8</f>
        <v>0</v>
      </c>
      <c r="J6" s="32">
        <f>'Invoer Lokaal Type 3'!D8</f>
        <v>0</v>
      </c>
      <c r="K6" s="32">
        <v>1</v>
      </c>
      <c r="L6" s="32">
        <f>'Invoer Lokaal Type 3'!F8</f>
        <v>0</v>
      </c>
      <c r="M6" s="312">
        <f>IF(B6=3,I6*7.5*L6/10000,IF(B6=2,I6*J6*L6/20000,0))</f>
        <v>0</v>
      </c>
      <c r="N6" s="305">
        <f>IF($K6=2,$M6,0)</f>
        <v>0</v>
      </c>
      <c r="O6" s="306">
        <f>IF($K6=3,$M6,0)</f>
        <v>0</v>
      </c>
      <c r="P6" s="307">
        <f>IF($K6=4,$M6,0)</f>
        <v>0</v>
      </c>
      <c r="U6" s="32">
        <f>'Invoer Lokaal Type 3'!L8</f>
        <v>0</v>
      </c>
      <c r="V6" s="32">
        <f>'Invoer Lokaal Type 3'!M8</f>
        <v>0</v>
      </c>
      <c r="W6" s="32">
        <v>1</v>
      </c>
      <c r="X6" s="32">
        <f>'Invoer Lokaal Type 3'!O8</f>
        <v>0</v>
      </c>
      <c r="Y6" s="312">
        <f>IF(C6=3,U6*7.5*X6/10000,IF(C6=2,U6*V6*X6/20000,0))</f>
        <v>0</v>
      </c>
      <c r="Z6" s="302">
        <f>IF($W6=2,$Y6,0)</f>
        <v>0</v>
      </c>
      <c r="AA6" s="302">
        <f>IF($W6=3,$Y6,0)</f>
        <v>0</v>
      </c>
      <c r="AB6" s="302">
        <f>IF($W6=4,$Y6,0)</f>
        <v>0</v>
      </c>
      <c r="AG6" s="32">
        <f>'Invoer Lokaal Type 3'!C14</f>
        <v>0</v>
      </c>
      <c r="AH6" s="32">
        <f>'Invoer Lokaal Type 3'!D14</f>
        <v>0</v>
      </c>
      <c r="AI6" s="32">
        <v>1</v>
      </c>
      <c r="AJ6" s="32">
        <f>'Invoer Lokaal Type 3'!F14</f>
        <v>0</v>
      </c>
      <c r="AK6" s="312">
        <f>IF(B11=3,AG6*7.5*AJ6/10000,IF(B11=2,AG6*AH6*AJ6/20000,AG6*AH6*AJ6/10000))</f>
        <v>0</v>
      </c>
      <c r="AL6" s="302">
        <f>IF($AI6=2,$AK6,0)</f>
        <v>0</v>
      </c>
      <c r="AM6" s="302">
        <f>IF($AI6=3,$AK6,0)</f>
        <v>0</v>
      </c>
      <c r="AN6" s="302">
        <f>IF($AI6=4,$AK6,0)</f>
        <v>0</v>
      </c>
      <c r="AS6" s="32">
        <f>'Invoer Lokaal Type 3'!L14</f>
        <v>0</v>
      </c>
      <c r="AT6" s="32">
        <f>'Invoer Lokaal Type 3'!M14</f>
        <v>0</v>
      </c>
      <c r="AU6" s="32">
        <v>1</v>
      </c>
      <c r="AV6" s="32">
        <f>'Invoer Lokaal Type 3'!O14</f>
        <v>0</v>
      </c>
      <c r="AW6" s="312">
        <f>IF(C11=3,AS6*7.5*AV6/10000,IF(C11=2,AS6*AT6*AV6/20000,AS6*AT6*AV6/10000))</f>
        <v>0</v>
      </c>
      <c r="AX6" s="302">
        <f>IF($AU6=2,$AW6,0)</f>
        <v>0</v>
      </c>
      <c r="AY6" s="302">
        <f>IF($AU6=3,$AW6,0)</f>
        <v>0</v>
      </c>
      <c r="AZ6" s="302">
        <f>IF($AU6=4,$AW6,0)</f>
        <v>0</v>
      </c>
    </row>
    <row r="7" spans="1:55" x14ac:dyDescent="0.2">
      <c r="A7" s="32" t="s">
        <v>175</v>
      </c>
      <c r="B7" s="32">
        <v>1</v>
      </c>
      <c r="C7" s="32">
        <v>1</v>
      </c>
      <c r="I7" s="32">
        <f>'Invoer Lokaal Type 3'!C9</f>
        <v>0</v>
      </c>
      <c r="J7" s="32">
        <f>'Invoer Lokaal Type 3'!D9</f>
        <v>0</v>
      </c>
      <c r="K7" s="32">
        <v>1</v>
      </c>
      <c r="L7" s="32">
        <f>'Invoer Lokaal Type 3'!F9</f>
        <v>0</v>
      </c>
      <c r="M7" s="312">
        <f>IF(B7=3,I7*7.5*L7/10000,IF(B7=2,I7*J7*L7/20000,0))</f>
        <v>0</v>
      </c>
      <c r="N7" s="305">
        <f>IF($K7=2,$M7,0)</f>
        <v>0</v>
      </c>
      <c r="O7" s="306">
        <f>IF($K7=3,$M7,0)</f>
        <v>0</v>
      </c>
      <c r="P7" s="307">
        <f>IF($K7=4,$M7,0)</f>
        <v>0</v>
      </c>
      <c r="U7" s="32">
        <f>'Invoer Lokaal Type 3'!L9</f>
        <v>0</v>
      </c>
      <c r="V7" s="32">
        <f>'Invoer Lokaal Type 3'!M9</f>
        <v>0</v>
      </c>
      <c r="W7" s="32">
        <v>1</v>
      </c>
      <c r="X7" s="32">
        <f>'Invoer Lokaal Type 3'!O9</f>
        <v>0</v>
      </c>
      <c r="Y7" s="312">
        <f>IF(C7=3,U7*7.5*X7/10000,IF(C7=2,U7*V7*X7/20000,0))</f>
        <v>0</v>
      </c>
      <c r="Z7" s="302">
        <f>IF($W7=2,$Y7,0)</f>
        <v>0</v>
      </c>
      <c r="AA7" s="302">
        <f>IF($W7=3,$Y7,0)</f>
        <v>0</v>
      </c>
      <c r="AB7" s="302">
        <f>IF($W7=4,$Y7,0)</f>
        <v>0</v>
      </c>
      <c r="AG7" s="32">
        <f>'Invoer Lokaal Type 3'!C15</f>
        <v>0</v>
      </c>
      <c r="AH7" s="32">
        <f>'Invoer Lokaal Type 3'!D15</f>
        <v>0</v>
      </c>
      <c r="AI7" s="32">
        <v>1</v>
      </c>
      <c r="AJ7" s="32">
        <f>'Invoer Lokaal Type 3'!F15</f>
        <v>0</v>
      </c>
      <c r="AK7" s="312">
        <f>IF(B12=3,AG7*7.5*AJ7/10000,IF(B12=2,AG7*AH7*AJ7/20000,AG7*AH7*AJ7/10000))</f>
        <v>0</v>
      </c>
      <c r="AL7" s="302">
        <f>IF($AI7=2,$AK7,0)</f>
        <v>0</v>
      </c>
      <c r="AM7" s="302">
        <f>IF($AI7=3,$AK7,0)</f>
        <v>0</v>
      </c>
      <c r="AN7" s="302">
        <f>IF($AI7=4,$AK7,0)</f>
        <v>0</v>
      </c>
      <c r="AS7" s="32">
        <f>'Invoer Lokaal Type 3'!L15</f>
        <v>0</v>
      </c>
      <c r="AT7" s="32">
        <f>'Invoer Lokaal Type 3'!M15</f>
        <v>0</v>
      </c>
      <c r="AU7" s="32">
        <v>1</v>
      </c>
      <c r="AV7" s="32">
        <f>'Invoer Lokaal Type 3'!O15</f>
        <v>0</v>
      </c>
      <c r="AW7" s="312">
        <f>IF(C12=3,AS7*7.5*AV7/10000,IF(C12=2,AS7*AT7*AV7/20000,AS7*AT7*AV7/10000))</f>
        <v>0</v>
      </c>
      <c r="AX7" s="302">
        <f>IF($AU7=2,$AW7,0)</f>
        <v>0</v>
      </c>
      <c r="AY7" s="302">
        <f>IF($AU7=3,$AW7,0)</f>
        <v>0</v>
      </c>
      <c r="AZ7" s="302">
        <f>IF($AU7=4,$AW7,0)</f>
        <v>0</v>
      </c>
    </row>
    <row r="8" spans="1:55" x14ac:dyDescent="0.2">
      <c r="A8" s="32" t="s">
        <v>696</v>
      </c>
      <c r="B8" s="32">
        <v>1</v>
      </c>
      <c r="C8" s="32">
        <v>1</v>
      </c>
      <c r="I8" s="32">
        <f>'Invoer Lokaal Type 3'!C10</f>
        <v>0</v>
      </c>
      <c r="J8" s="32">
        <f>'Invoer Lokaal Type 3'!D10</f>
        <v>0</v>
      </c>
      <c r="K8" s="32">
        <v>1</v>
      </c>
      <c r="L8" s="32">
        <f>'Invoer Lokaal Type 3'!F10</f>
        <v>0</v>
      </c>
      <c r="M8" s="312">
        <f>IF(B8=3,I8*7.5*L8/10000,IF(B8=2,I8*J8*L8/20000,0))</f>
        <v>0</v>
      </c>
      <c r="N8" s="305">
        <f>IF($K8=2,$M8,0)</f>
        <v>0</v>
      </c>
      <c r="O8" s="306">
        <f>IF($K8=3,$M8,0)</f>
        <v>0</v>
      </c>
      <c r="P8" s="307">
        <f>IF($K8=4,$M8,0)</f>
        <v>0</v>
      </c>
      <c r="U8" s="32">
        <f>'Invoer Lokaal Type 3'!L10</f>
        <v>0</v>
      </c>
      <c r="V8" s="32">
        <f>'Invoer Lokaal Type 3'!M10</f>
        <v>0</v>
      </c>
      <c r="W8" s="32">
        <v>1</v>
      </c>
      <c r="X8" s="32">
        <f>'Invoer Lokaal Type 3'!O10</f>
        <v>0</v>
      </c>
      <c r="Y8" s="312">
        <f>IF(C8=3,U8*7.5*X8/10000,IF(C8=2,U8*V8*X8/20000,0))</f>
        <v>0</v>
      </c>
      <c r="Z8" s="302">
        <f>IF($W8=2,$Y8,0)</f>
        <v>0</v>
      </c>
      <c r="AA8" s="302">
        <f>IF($W8=3,$Y8,0)</f>
        <v>0</v>
      </c>
      <c r="AB8" s="302">
        <f>IF($W8=4,$Y8,0)</f>
        <v>0</v>
      </c>
      <c r="AK8" s="312"/>
      <c r="AL8" s="305">
        <v>0</v>
      </c>
      <c r="AM8" s="306">
        <v>0</v>
      </c>
      <c r="AN8" s="307">
        <v>0</v>
      </c>
      <c r="AW8" s="312"/>
      <c r="AX8" s="302">
        <v>0</v>
      </c>
      <c r="AY8" s="302">
        <v>0</v>
      </c>
      <c r="AZ8" s="302">
        <v>0</v>
      </c>
    </row>
    <row r="9" spans="1:55" x14ac:dyDescent="0.2">
      <c r="A9" s="32" t="s">
        <v>697</v>
      </c>
      <c r="B9" s="32">
        <v>1</v>
      </c>
      <c r="C9" s="32">
        <v>1</v>
      </c>
      <c r="I9" s="32">
        <f>'Invoer Lokaal Type 3'!C11</f>
        <v>0</v>
      </c>
      <c r="J9" s="32">
        <f>'Invoer Lokaal Type 3'!D11</f>
        <v>0</v>
      </c>
      <c r="K9" s="32">
        <v>1</v>
      </c>
      <c r="L9" s="32">
        <f>'Invoer Lokaal Type 3'!F11</f>
        <v>0</v>
      </c>
      <c r="M9" s="312">
        <f>IF(B9=3,I9*7.5*L9/10000,IF(B9=2,I9*J9*L9/20000,0))</f>
        <v>0</v>
      </c>
      <c r="N9" s="305">
        <f>IF($K9=2,$M9,0)</f>
        <v>0</v>
      </c>
      <c r="O9" s="306">
        <f>IF($K9=3,$M9,0)</f>
        <v>0</v>
      </c>
      <c r="P9" s="307">
        <f>IF($K9=4,$M9,0)</f>
        <v>0</v>
      </c>
      <c r="U9" s="32">
        <f>'Invoer Lokaal Type 3'!L11</f>
        <v>0</v>
      </c>
      <c r="V9" s="32">
        <f>'Invoer Lokaal Type 3'!M11</f>
        <v>0</v>
      </c>
      <c r="W9" s="32">
        <v>1</v>
      </c>
      <c r="X9" s="32">
        <f>'Invoer Lokaal Type 3'!O11</f>
        <v>0</v>
      </c>
      <c r="Y9" s="312">
        <f>IF(C9=3,U9*7.5*X9/10000,IF(C9=2,U9*V9*X9/20000,0))</f>
        <v>0</v>
      </c>
      <c r="Z9" s="302">
        <f>IF($W9=2,$Y9,0)</f>
        <v>0</v>
      </c>
      <c r="AA9" s="302">
        <f>IF($W9=3,$Y9,0)</f>
        <v>0</v>
      </c>
      <c r="AB9" s="302">
        <f>IF($W9=4,$Y9,0)</f>
        <v>0</v>
      </c>
      <c r="AK9" s="312"/>
      <c r="AL9" s="305">
        <v>0</v>
      </c>
      <c r="AM9" s="306">
        <v>0</v>
      </c>
      <c r="AN9" s="307">
        <v>0</v>
      </c>
      <c r="AW9" s="312"/>
      <c r="AX9" s="302">
        <v>0</v>
      </c>
      <c r="AY9" s="302">
        <v>0</v>
      </c>
      <c r="AZ9" s="302">
        <v>0</v>
      </c>
    </row>
    <row r="10" spans="1:55" x14ac:dyDescent="0.2">
      <c r="A10" s="32" t="s">
        <v>174</v>
      </c>
      <c r="B10" s="32">
        <v>1</v>
      </c>
      <c r="C10" s="32">
        <v>1</v>
      </c>
      <c r="N10" s="308">
        <f>SUM(N5:N9)</f>
        <v>0</v>
      </c>
      <c r="O10" s="309">
        <f>SUM(O5:O9)</f>
        <v>0</v>
      </c>
      <c r="P10" s="310">
        <f>SUM(P5:P9)</f>
        <v>0</v>
      </c>
      <c r="R10" s="32">
        <f>IF(N10&gt;=O10,O10*3600+(N10-O10)*720+P10*720,N10*3600+(O10-N10)*720+P10*720)</f>
        <v>0</v>
      </c>
      <c r="S10" s="32" t="s">
        <v>115</v>
      </c>
      <c r="Z10" s="308">
        <f>SUM(Z5:Z9)</f>
        <v>0</v>
      </c>
      <c r="AA10" s="309">
        <f>SUM(AA5:AA9)</f>
        <v>0</v>
      </c>
      <c r="AB10" s="310">
        <f>SUM(AB5:AB9)</f>
        <v>0</v>
      </c>
      <c r="AD10" s="32">
        <f>IF((N10+Z10)&gt;=(O10+AA10),(O10+AA10)*3600+(Z10+N10-AA10-O10)*720+(P10+AB10)*720,(N10+Z10)*3600+(AA10+O10-Z10-N10)*720+(AB10+P10)*720)</f>
        <v>0</v>
      </c>
      <c r="AE10" s="32" t="s">
        <v>115</v>
      </c>
      <c r="AL10" s="308">
        <f>SUM(AL5:AL9)</f>
        <v>0</v>
      </c>
      <c r="AM10" s="309">
        <f>SUM(AM5:AM9)</f>
        <v>0</v>
      </c>
      <c r="AN10" s="310">
        <f>SUM(AN5:AN9)</f>
        <v>0</v>
      </c>
      <c r="AP10" s="32">
        <f>IF(AL10&gt;=AM10,AM10*3600+(AL10-AM10)*720+AN10*720,AL10*3600+(AM10-AL10)*720+AN10*720)</f>
        <v>0</v>
      </c>
      <c r="AQ10" s="32" t="s">
        <v>115</v>
      </c>
      <c r="AX10" s="308">
        <f>SUM(AX5:AX9)</f>
        <v>0</v>
      </c>
      <c r="AY10" s="309">
        <f>SUM(AY5:AY9)</f>
        <v>0</v>
      </c>
      <c r="AZ10" s="310">
        <f>SUM(AZ5:AZ9)</f>
        <v>0</v>
      </c>
      <c r="BB10" s="32">
        <f>IF((AL10+AX10)&gt;=(AM10+AY10),(AM10+AY10)*3600+(AX10+AL10-AY10-AM10)*720+(AN10+AZ10)*720,(AL10+AX10)*3600+(AY10+AM10-AX10-AL10)*720+(AZ10+AN10)*720)</f>
        <v>0</v>
      </c>
      <c r="BC10" s="32" t="s">
        <v>115</v>
      </c>
    </row>
    <row r="11" spans="1:55" x14ac:dyDescent="0.2">
      <c r="A11" s="32" t="s">
        <v>173</v>
      </c>
      <c r="B11" s="32">
        <v>1</v>
      </c>
      <c r="C11" s="32">
        <v>1</v>
      </c>
    </row>
    <row r="12" spans="1:55" x14ac:dyDescent="0.2">
      <c r="A12" s="32" t="s">
        <v>172</v>
      </c>
      <c r="B12" s="32">
        <v>1</v>
      </c>
      <c r="C12" s="32">
        <v>1</v>
      </c>
    </row>
    <row r="13" spans="1:55" x14ac:dyDescent="0.2">
      <c r="A13" s="32" t="s">
        <v>826</v>
      </c>
      <c r="B13" s="32">
        <v>1</v>
      </c>
      <c r="C13" s="32">
        <v>1</v>
      </c>
    </row>
    <row r="14" spans="1:55" x14ac:dyDescent="0.2">
      <c r="A14" s="32" t="s">
        <v>827</v>
      </c>
      <c r="B14" s="32">
        <v>1</v>
      </c>
      <c r="C14" s="32">
        <v>1</v>
      </c>
    </row>
    <row r="15" spans="1:55" x14ac:dyDescent="0.2">
      <c r="A15" s="32" t="s">
        <v>171</v>
      </c>
      <c r="B15" s="32">
        <v>1</v>
      </c>
      <c r="C15" s="32">
        <v>1</v>
      </c>
    </row>
    <row r="16" spans="1:55" x14ac:dyDescent="0.2">
      <c r="A16" s="32" t="s">
        <v>828</v>
      </c>
      <c r="B16" s="32">
        <v>3</v>
      </c>
      <c r="C16" s="32">
        <v>3</v>
      </c>
    </row>
    <row r="17" spans="1:16" x14ac:dyDescent="0.2">
      <c r="A17" s="32" t="s">
        <v>104</v>
      </c>
      <c r="B17" s="32">
        <v>1</v>
      </c>
      <c r="C17" s="32">
        <v>1</v>
      </c>
      <c r="F17" s="32">
        <v>1</v>
      </c>
    </row>
    <row r="18" spans="1:16" x14ac:dyDescent="0.2">
      <c r="A18" s="32" t="s">
        <v>103</v>
      </c>
      <c r="B18" s="32">
        <v>1</v>
      </c>
      <c r="C18" s="32">
        <v>1</v>
      </c>
    </row>
    <row r="19" spans="1:16" x14ac:dyDescent="0.2">
      <c r="A19" s="32" t="s">
        <v>135</v>
      </c>
      <c r="B19" s="32">
        <v>1</v>
      </c>
      <c r="C19" s="32">
        <v>1</v>
      </c>
      <c r="E19" s="32" t="s">
        <v>870</v>
      </c>
    </row>
    <row r="20" spans="1:16" x14ac:dyDescent="0.2">
      <c r="B20" s="639" t="s">
        <v>129</v>
      </c>
      <c r="C20" s="639"/>
      <c r="D20" s="639"/>
      <c r="E20" s="32" t="s">
        <v>843</v>
      </c>
      <c r="F20" s="32" t="s">
        <v>832</v>
      </c>
      <c r="G20" s="32" t="s">
        <v>176</v>
      </c>
      <c r="H20" s="32" t="s">
        <v>844</v>
      </c>
      <c r="I20" s="32" t="s">
        <v>644</v>
      </c>
      <c r="J20" s="32" t="s">
        <v>210</v>
      </c>
      <c r="K20" s="32" t="s">
        <v>209</v>
      </c>
      <c r="L20" s="32" t="s">
        <v>837</v>
      </c>
      <c r="M20" s="32" t="s">
        <v>838</v>
      </c>
      <c r="N20" s="32" t="s">
        <v>839</v>
      </c>
      <c r="O20" s="32" t="s">
        <v>841</v>
      </c>
      <c r="P20" s="32" t="s">
        <v>845</v>
      </c>
    </row>
    <row r="21" spans="1:16" x14ac:dyDescent="0.2">
      <c r="A21" s="33" t="s">
        <v>860</v>
      </c>
    </row>
    <row r="22" spans="1:16" x14ac:dyDescent="0.2">
      <c r="A22" s="32" t="s">
        <v>207</v>
      </c>
      <c r="I22" s="32" t="s">
        <v>206</v>
      </c>
      <c r="J22" s="32" t="s">
        <v>206</v>
      </c>
      <c r="K22" s="32" t="s">
        <v>206</v>
      </c>
    </row>
    <row r="23" spans="1:16" x14ac:dyDescent="0.2">
      <c r="A23" s="32" t="s">
        <v>205</v>
      </c>
      <c r="B23" s="32" t="str">
        <f>IF('binnenklimaatlabel type 3'!B2&lt;3,"C","B")</f>
        <v>C</v>
      </c>
      <c r="I23" s="32">
        <f>IF('binnenklimaatlabel type 3'!B5=2,'Invoer Lokaal Type 3'!G7,0)</f>
        <v>0</v>
      </c>
      <c r="J23" s="32">
        <f>I23</f>
        <v>0</v>
      </c>
      <c r="K23" s="32">
        <f>I23</f>
        <v>0</v>
      </c>
      <c r="P23" s="32" t="str">
        <f>IF('binnenklimaatlabel type 3'!C2&lt;3,"C","B")</f>
        <v>C</v>
      </c>
    </row>
    <row r="24" spans="1:16" x14ac:dyDescent="0.2">
      <c r="A24" s="32" t="s">
        <v>204</v>
      </c>
      <c r="B24" s="32" t="str">
        <f>IF('binnenklimaatlabel type 3'!B18=1,"nee","ja")</f>
        <v>nee</v>
      </c>
      <c r="I24" s="32">
        <f>IF('binnenklimaatlabel type 3'!B6=2,'Invoer Lokaal Type 3'!G8,0)</f>
        <v>0</v>
      </c>
      <c r="J24" s="32">
        <f>I24</f>
        <v>0</v>
      </c>
      <c r="K24" s="32">
        <f>I24</f>
        <v>0</v>
      </c>
      <c r="P24" s="32" t="str">
        <f>IF('binnenklimaatlabel type 3'!C18=1,"nee","ja")</f>
        <v>nee</v>
      </c>
    </row>
    <row r="25" spans="1:16" x14ac:dyDescent="0.2">
      <c r="A25" s="32" t="s">
        <v>203</v>
      </c>
      <c r="B25" s="32" t="str">
        <f>IF('binnenklimaatlabel type 3'!B18=2,"A",B23)</f>
        <v>C</v>
      </c>
      <c r="I25" s="32">
        <f>IF('binnenklimaatlabel type 3'!B7=2,'Invoer Lokaal Type 3'!G9,0)</f>
        <v>0</v>
      </c>
      <c r="J25" s="32">
        <f>I25</f>
        <v>0</v>
      </c>
      <c r="K25" s="32">
        <f>I25</f>
        <v>0</v>
      </c>
      <c r="P25" s="32" t="str">
        <f>IF('binnenklimaatlabel type 3'!C18=2,"A",P23)</f>
        <v>C</v>
      </c>
    </row>
    <row r="26" spans="1:16" x14ac:dyDescent="0.2">
      <c r="I26" s="32" t="s">
        <v>202</v>
      </c>
      <c r="J26" s="32" t="s">
        <v>202</v>
      </c>
      <c r="K26" s="32" t="s">
        <v>202</v>
      </c>
    </row>
    <row r="27" spans="1:16" x14ac:dyDescent="0.2">
      <c r="A27" s="32" t="s">
        <v>201</v>
      </c>
      <c r="B27" s="32" t="str">
        <f>IF('binnenklimaatlabel type 3'!B16=4,"nee",IF('binnenklimaatlabel type 3'!B15&lt;3,"ja",IF(AND('binnenklimaatlabel type 3'!B15=5,'binnenklimaatlabel type 3'!B16=1),"ja","nee")))</f>
        <v>ja</v>
      </c>
      <c r="I27" s="32">
        <f>10*'Invoer Lokaal Type 3'!$B$2-(I23+I24+I25)</f>
        <v>300</v>
      </c>
      <c r="J27" s="32">
        <f>15*'Invoer Lokaal Type 3'!$B$2-(J23+J24+J25)</f>
        <v>450</v>
      </c>
      <c r="K27" s="32">
        <f>20*'Invoer Lokaal Type 3'!$B$2-(K23+K24+K25)</f>
        <v>600</v>
      </c>
      <c r="M27" s="32" t="s">
        <v>37</v>
      </c>
      <c r="N27" s="32" t="str">
        <f>B27</f>
        <v>ja</v>
      </c>
      <c r="P27" s="32" t="str">
        <f>IF('binnenklimaatlabel type 3'!C16=4,"nee",IF('binnenklimaatlabel type 3'!C15&lt;3,"ja",IF(AND('binnenklimaatlabel type 3'!C15=5,'binnenklimaatlabel type 3'!C16=1),"ja","nee")))</f>
        <v>ja</v>
      </c>
    </row>
    <row r="28" spans="1:16" x14ac:dyDescent="0.2">
      <c r="A28" s="32" t="s">
        <v>200</v>
      </c>
      <c r="B28" s="32" t="str">
        <f>IF('binnenklimaatlabel type 3'!B17=1,"nee",IF('binnenklimaatlabel type 3'!B17&lt;6,"ja","nee"))</f>
        <v>nee</v>
      </c>
      <c r="M28" s="32" t="str">
        <f>B28</f>
        <v>nee</v>
      </c>
      <c r="N28" s="32" t="s">
        <v>37</v>
      </c>
      <c r="P28" s="32" t="str">
        <f>IF('binnenklimaatlabel type 3'!C17=1,"nee",IF('binnenklimaatlabel type 3'!C17&lt;6,"ja","nee"))</f>
        <v>nee</v>
      </c>
    </row>
    <row r="29" spans="1:16" x14ac:dyDescent="0.2">
      <c r="A29" s="32" t="s">
        <v>196</v>
      </c>
      <c r="B29" s="32" t="str">
        <f>IF(OR(B27="ja",B28="ja"),"ja","nee")</f>
        <v>ja</v>
      </c>
      <c r="M29" s="32" t="str">
        <f>IF(OR(M27="ja",M28="ja"),"ja","nee")</f>
        <v>nee</v>
      </c>
      <c r="N29" s="32" t="str">
        <f>IF(OR(N27="ja",N28="ja"),"ja","nee")</f>
        <v>ja</v>
      </c>
      <c r="P29" s="32" t="str">
        <f>IF(OR(P27="ja",P28="ja"),"ja","nee")</f>
        <v>ja</v>
      </c>
    </row>
    <row r="30" spans="1:16" x14ac:dyDescent="0.2">
      <c r="A30" s="32" t="s">
        <v>199</v>
      </c>
      <c r="B30" s="32" t="str">
        <f>IF('binnenklimaatlabel type 3'!B18=2,"A",IF(AND('binnenklimaatlabel type 3'!B29="ja",'binnenklimaatlabel type 3'!B25="B"),"C",IF(AND('binnenklimaatlabel type 3'!B29="ja",'binnenklimaatlabel type 3'!B25="C"),"D",'binnenklimaatlabel type 3'!B25)))</f>
        <v>D</v>
      </c>
      <c r="M30" s="32" t="str">
        <f>IF('binnenklimaatlabel type 3'!B18=2,"A",IF(AND('binnenklimaatlabel type 3'!M29="ja",'binnenklimaatlabel type 3'!B25="B"),"C",IF(AND('binnenklimaatlabel type 3'!M29="ja",'binnenklimaatlabel type 3'!B25="C"),"D",'binnenklimaatlabel type 3'!B25)))</f>
        <v>C</v>
      </c>
      <c r="N30" s="32" t="str">
        <f>IF('binnenklimaatlabel type 3'!B18=2,"A",IF(AND('binnenklimaatlabel type 3'!N29="ja",'binnenklimaatlabel type 3'!B25="B"),"C",IF(AND('binnenklimaatlabel type 3'!N29="ja",'binnenklimaatlabel type 3'!B25="C"),"D",'binnenklimaatlabel type 3'!B25)))</f>
        <v>D</v>
      </c>
      <c r="P30" s="32" t="str">
        <f>IF('binnenklimaatlabel type 3'!C18=2,"A",IF(AND('binnenklimaatlabel type 3'!P29="ja",'binnenklimaatlabel type 3'!P25="B"),"C",IF(AND('binnenklimaatlabel type 3'!P29="ja",'binnenklimaatlabel type 3'!P25="C"),"D",'binnenklimaatlabel type 3'!P25)))</f>
        <v>D</v>
      </c>
    </row>
    <row r="32" spans="1:16" x14ac:dyDescent="0.2">
      <c r="A32" s="32" t="s">
        <v>198</v>
      </c>
      <c r="B32" s="32" t="str">
        <f>IF('binnenklimaatlabel type 3'!B13&lt;5,"ja",IF(AND('binnenklimaatlabel type 3'!B13=7,'Invoer Lokaal Type 3'!B18&lt;551),"ja","nee"))</f>
        <v>ja</v>
      </c>
      <c r="G32" s="32" t="str">
        <f>B32</f>
        <v>ja</v>
      </c>
      <c r="I32" s="32" t="s">
        <v>37</v>
      </c>
      <c r="J32" s="32" t="s">
        <v>37</v>
      </c>
      <c r="K32" s="32" t="s">
        <v>37</v>
      </c>
      <c r="M32" s="32" t="str">
        <f>B32</f>
        <v>ja</v>
      </c>
      <c r="N32" s="32" t="str">
        <f>B32</f>
        <v>ja</v>
      </c>
      <c r="P32" s="32" t="str">
        <f>IF('binnenklimaatlabel type 3'!C13&lt;5,"ja",IF(AND('binnenklimaatlabel type 3'!C13=7,'Invoer Lokaal Type 3'!K18&lt;551),"ja","nee"))</f>
        <v>ja</v>
      </c>
    </row>
    <row r="33" spans="1:18" x14ac:dyDescent="0.2">
      <c r="A33" s="32" t="s">
        <v>197</v>
      </c>
      <c r="B33" s="32" t="str">
        <f>IF(('Invoer Lokaal Type 3'!G15)&gt;2000,"ja","nee")</f>
        <v>nee</v>
      </c>
      <c r="G33" s="32" t="s">
        <v>36</v>
      </c>
      <c r="I33" s="32" t="str">
        <f>B33</f>
        <v>nee</v>
      </c>
      <c r="J33" s="32" t="str">
        <f>B33</f>
        <v>nee</v>
      </c>
      <c r="K33" s="32" t="str">
        <f>B33</f>
        <v>nee</v>
      </c>
      <c r="M33" s="32" t="str">
        <f>B33</f>
        <v>nee</v>
      </c>
      <c r="N33" s="32" t="str">
        <f>B33</f>
        <v>nee</v>
      </c>
      <c r="P33" s="32" t="str">
        <f>IF('Invoer Lokaal Type 3'!P15&gt;2000,"ja","nee")</f>
        <v>nee</v>
      </c>
    </row>
    <row r="34" spans="1:18" x14ac:dyDescent="0.2">
      <c r="A34" s="32" t="s">
        <v>196</v>
      </c>
      <c r="B34" s="32" t="str">
        <f>IF('binnenklimaatlabel type 3'!B2&lt;3,"nee",IF(OR(B32="nee",B33="ja"),"nee","ja"))</f>
        <v>nee</v>
      </c>
      <c r="G34" s="32" t="str">
        <f>IF('binnenklimaatlabel type 3'!B2&lt;3,"nee",IF(OR(G32="nee",G33="ja"),"nee","ja"))</f>
        <v>nee</v>
      </c>
      <c r="I34" s="32" t="str">
        <f>IF('binnenklimaatlabel type 3'!B2&lt;3,"nee",IF(OR(I32="nee",I33="ja"),"nee","ja"))</f>
        <v>nee</v>
      </c>
      <c r="J34" s="32" t="str">
        <f>IF('binnenklimaatlabel type 3'!B2&lt;3,"nee",IF(OR(J32="nee",J33="ja"),"nee","ja"))</f>
        <v>nee</v>
      </c>
      <c r="K34" s="32" t="str">
        <f>IF('binnenklimaatlabel type 3'!B2&lt;3,"nee",IF(OR(K32="nee",K33="ja"),"nee","ja"))</f>
        <v>nee</v>
      </c>
      <c r="M34" s="32" t="str">
        <f>IF('binnenklimaatlabel type 3'!B2&lt;3,"nee",IF(OR(M32="nee",M33="ja"),"nee","ja"))</f>
        <v>nee</v>
      </c>
      <c r="N34" s="32" t="str">
        <f>IF('binnenklimaatlabel type 3'!B2&lt;3,"nee",IF(OR(N32="nee",N33="ja"),"nee","ja"))</f>
        <v>nee</v>
      </c>
      <c r="P34" s="32" t="str">
        <f>IF('binnenklimaatlabel type 3'!C2&lt;3,"nee",IF(OR(P32="nee",P33="ja"),"nee","ja"))</f>
        <v>nee</v>
      </c>
    </row>
    <row r="35" spans="1:18" x14ac:dyDescent="0.2">
      <c r="A35" s="32" t="s">
        <v>187</v>
      </c>
      <c r="B35" s="33" t="str">
        <f>IF('binnenklimaatlabel type 3'!B2&lt;3,B30,IF(AND(B34="ja",B30="B"),"C",IF(AND(B34="ja",B30="C"),"D",B30)))</f>
        <v>D</v>
      </c>
      <c r="F35" s="33"/>
      <c r="G35" s="33" t="str">
        <f>IF('binnenklimaatlabel type 3'!B2&lt;3,B30,IF(AND(G34="ja",B30="B"),"C",IF(AND(G34="ja",B30="C"),"D",B30)))</f>
        <v>D</v>
      </c>
      <c r="H35" s="33"/>
      <c r="I35" s="33" t="str">
        <f>IF('binnenklimaatlabel type 3'!B2&lt;3,B30,IF(AND(I34="ja",B30="B"),"C",IF(AND(I34="ja",B30="C"),"D",B30)))</f>
        <v>D</v>
      </c>
      <c r="J35" s="33" t="str">
        <f>IF('binnenklimaatlabel type 3'!B2&lt;3,B30,IF(AND(J34="ja",B30="B"),"C",IF(AND(J34="ja",B30="C"),"D",B30)))</f>
        <v>D</v>
      </c>
      <c r="K35" s="33" t="str">
        <f>IF('binnenklimaatlabel type 3'!B2&lt;3,B30,IF(AND(K34="ja",B30="B"),"C",IF(AND(K34="ja",B30="C"),"D",B30)))</f>
        <v>D</v>
      </c>
      <c r="M35" s="33" t="str">
        <f>IF('binnenklimaatlabel type 3'!B2&lt;3,B30,IF(AND(M34="ja",B30="B"),"C",IF(AND(M34="ja",B30="C"),"D",B30)))</f>
        <v>D</v>
      </c>
      <c r="N35" s="33" t="str">
        <f>IF('binnenklimaatlabel type 3'!B2&lt;3,B30,IF(AND(N34="ja",B30="B"),"C",IF(AND(N34="ja",B30="C"),"D",B30)))</f>
        <v>D</v>
      </c>
      <c r="P35" s="33" t="str">
        <f>IF('binnenklimaatlabel type 3'!C2&lt;3,P30,IF(AND(P34="ja",P30="B"),"C",IF(AND(P34="ja",P30="C"),"D",P30)))</f>
        <v>D</v>
      </c>
    </row>
    <row r="37" spans="1:18" x14ac:dyDescent="0.2">
      <c r="A37" s="33" t="s">
        <v>859</v>
      </c>
      <c r="C37" s="32">
        <f>IF('binnenklimaatlabel type 3'!B13=1,0,IF('binnenklimaatlabel type 3'!B13&lt;4,299,IF('binnenklimaatlabel type 3'!B13=4,10*'Invoer Lokaal Type 3'!B2+1,IF('binnenklimaatlabel type 3'!B13=5,15*'Invoer Lokaal Type 3'!B2+1,IF('binnenklimaatlabel type 3'!B13=6,'Invoer Lokaal Type 3'!B2*20+1,'Invoer Lokaal Type 3'!B18)))))</f>
        <v>0</v>
      </c>
      <c r="Q37" s="32">
        <f>IF('binnenklimaatlabel type 3'!C13=1,0,IF('binnenklimaatlabel type 3'!C13&lt;4,299,IF('binnenklimaatlabel type 3'!C13=4,10*'Invoer Lokaal Type 3'!B2+1,IF('binnenklimaatlabel type 3'!C13=5,15*'Invoer Lokaal Type 3'!B2+1,IF('binnenklimaatlabel type 3'!C13=6,20*'Invoer Lokaal Type 3'!B2+1,'Invoer Lokaal Type 3'!K18)))))</f>
        <v>0</v>
      </c>
    </row>
    <row r="38" spans="1:18" x14ac:dyDescent="0.2">
      <c r="A38" s="32" t="s">
        <v>194</v>
      </c>
      <c r="B38" s="32" t="str">
        <f>IF('binnenklimaatlabel type 3'!B2&gt;3,"ja","nee")</f>
        <v>nee</v>
      </c>
      <c r="C38" s="32">
        <f>IF(B2&gt;3,C37,0)</f>
        <v>0</v>
      </c>
      <c r="D38" s="32" t="s">
        <v>115</v>
      </c>
      <c r="F38" s="32">
        <f>C38</f>
        <v>0</v>
      </c>
      <c r="I38" s="32">
        <f>10*'Invoer Lokaal Type 3'!$B$2</f>
        <v>300</v>
      </c>
      <c r="J38" s="32">
        <f>15*'Invoer Lokaal Type 3'!$B$2</f>
        <v>450</v>
      </c>
      <c r="K38" s="32">
        <f>20*'Invoer Lokaal Type 3'!$B$2</f>
        <v>600</v>
      </c>
      <c r="L38" s="32">
        <f>C38</f>
        <v>0</v>
      </c>
      <c r="O38" s="32">
        <f>C38</f>
        <v>0</v>
      </c>
      <c r="P38" s="32" t="str">
        <f>IF('binnenklimaatlabel type 3'!C2&gt;3,"ja","nee")</f>
        <v>nee</v>
      </c>
      <c r="Q38" s="32">
        <f>IF($C$2&gt;3,Q37,0)</f>
        <v>0</v>
      </c>
      <c r="R38" s="32" t="s">
        <v>115</v>
      </c>
    </row>
    <row r="39" spans="1:18" x14ac:dyDescent="0.2">
      <c r="A39" s="32" t="s">
        <v>193</v>
      </c>
      <c r="B39" s="32" t="str">
        <f>IF('Invoer Lokaal Type 3'!G11&gt;0,"ja","nee")</f>
        <v>nee</v>
      </c>
      <c r="C39" s="32">
        <f>IF(AND($B$2=3,C37&gt;R10),C37,IF($B$2=4,0,$R$10))</f>
        <v>0</v>
      </c>
      <c r="D39" s="32" t="s">
        <v>115</v>
      </c>
      <c r="F39" s="32">
        <f>551-F38</f>
        <v>551</v>
      </c>
      <c r="I39" s="32">
        <f>C39</f>
        <v>0</v>
      </c>
      <c r="J39" s="32">
        <f>C39</f>
        <v>0</v>
      </c>
      <c r="K39" s="32">
        <f>C39</f>
        <v>0</v>
      </c>
      <c r="L39" s="32">
        <f>C39</f>
        <v>0</v>
      </c>
      <c r="O39" s="32">
        <f>C39</f>
        <v>0</v>
      </c>
      <c r="P39" s="32" t="str">
        <f>IF(('Invoer Lokaal Type 3'!P7+'Invoer Lokaal Type 3'!P8+'Invoer Lokaal Type 3'!P9)&gt;0,"ja","nee")</f>
        <v>nee</v>
      </c>
      <c r="Q39" s="32">
        <f>IF(AND($C$2=3,Q37&gt;AD10),Q37,IF($C$2=4,0,$AD$10))</f>
        <v>0</v>
      </c>
      <c r="R39" s="32" t="s">
        <v>115</v>
      </c>
    </row>
    <row r="40" spans="1:18" x14ac:dyDescent="0.2">
      <c r="A40" s="32" t="s">
        <v>192</v>
      </c>
      <c r="B40" s="32" t="str">
        <f>IF(('Invoer Lokaal Type 3'!G13+'Invoer Lokaal Type 3'!G14+'Invoer Lokaal Type 3'!G15)&gt;0,"ja","nee")</f>
        <v>nee</v>
      </c>
      <c r="C40" s="32">
        <f>'Invoer Lokaal Type 3'!G15</f>
        <v>0</v>
      </c>
      <c r="D40" s="32" t="s">
        <v>115</v>
      </c>
      <c r="F40" s="32">
        <f>C40</f>
        <v>0</v>
      </c>
      <c r="I40" s="32">
        <f>C40</f>
        <v>0</v>
      </c>
      <c r="J40" s="32">
        <f>C40</f>
        <v>0</v>
      </c>
      <c r="K40" s="32">
        <f>C40</f>
        <v>0</v>
      </c>
      <c r="L40" s="32">
        <f>C40</f>
        <v>0</v>
      </c>
      <c r="O40" s="32">
        <f>C40</f>
        <v>0</v>
      </c>
      <c r="P40" s="32" t="str">
        <f>IF(('Invoer Lokaal Type 3'!G15)&gt;0,"ja","nee")</f>
        <v>nee</v>
      </c>
      <c r="Q40" s="32">
        <f>'Invoer Lokaal Type 3'!G15</f>
        <v>0</v>
      </c>
      <c r="R40" s="32" t="s">
        <v>115</v>
      </c>
    </row>
    <row r="42" spans="1:18" x14ac:dyDescent="0.2">
      <c r="A42" s="32" t="s">
        <v>829</v>
      </c>
      <c r="B42" s="32" t="str">
        <f>IF(C38&gt;300,"A",IF(AND(C38&gt;0,(C38+C39)&gt;300),"B",IF(AND(C38&lt;300,(C38+C39)&lt;300,C40&gt;100),"D",IF(AND(C38=0,C39&gt;300,),"C",IF(AND(C39&lt;300,C40&gt;100),"D","C")))))</f>
        <v>C</v>
      </c>
      <c r="E42" s="32" t="str">
        <f>B42</f>
        <v>C</v>
      </c>
      <c r="F42" s="32" t="str">
        <f>IF(F38&gt;300,"A",IF(AND(F38&gt;0,(F38+F39)&gt;300),"B",IF(AND(F38&lt;300,(F38+F39)&lt;300,F40&gt;100),"D",IF(AND(F38=0,F39&gt;300,),"C",IF(AND(F39&lt;300,F40&gt;100),"D","C")))))</f>
        <v>C</v>
      </c>
      <c r="I42" s="32" t="str">
        <f>IF(I38&gt;300,"A",IF(AND(I38&gt;0,(I38+I39)&gt;300),"B",IF(AND(I38&lt;300,(I38+I39)&lt;300,I40&gt;100),"D",IF(AND(I38=0,I39&gt;300,),"C",IF(AND(I39&lt;300,I40&gt;100),"D","C")))))</f>
        <v>C</v>
      </c>
      <c r="J42" s="32" t="str">
        <f>IF(J38&gt;300,"A",IF(AND(J38&gt;0,(J38+J39)&gt;300),"B",IF(AND(J38&lt;300,(J38+J39)&lt;300,J40&gt;100),"D",IF(AND(J38=0,J39&gt;300,),"C",IF(AND(J39&lt;300,J40&gt;100),"D","C")))))</f>
        <v>A</v>
      </c>
      <c r="K42" s="32" t="str">
        <f>IF(K38&gt;300,"A",IF(AND(K38&gt;0,(K38+K39)&gt;300),"B",IF(AND(K38&lt;300,(K38+K39)&lt;300,K40&gt;100),"D",IF(AND(K38=0,K39&gt;300,),"C",IF(AND(K39&lt;300,K40&gt;100),"D","C")))))</f>
        <v>A</v>
      </c>
      <c r="L42" s="32" t="str">
        <f>B42</f>
        <v>C</v>
      </c>
      <c r="O42" s="32" t="str">
        <f>B42</f>
        <v>C</v>
      </c>
      <c r="P42" s="32" t="str">
        <f>IF(Q38&gt;300,"A",IF(AND(Q38&gt;0,(Q38+Q39)&gt;300),"B",IF(AND(Q38&lt;300,(Q38+Q39)&lt;300,Q40&gt;100),"D",IF(AND(Q38=0,Q39&gt;300,),"C",IF(AND(Q39&lt;300,Q40&gt;100),"D","C")))))</f>
        <v>C</v>
      </c>
    </row>
    <row r="43" spans="1:18" x14ac:dyDescent="0.2">
      <c r="A43" s="32" t="s">
        <v>829</v>
      </c>
      <c r="B43" s="32">
        <f>IF(B42="D",4,IF(B42="C",3,IF(B42="B",2,1)))</f>
        <v>3</v>
      </c>
      <c r="E43" s="32">
        <f>B43</f>
        <v>3</v>
      </c>
      <c r="F43" s="32">
        <f>IF(F42="D",4,IF(F42="C",3,IF(F42="B",2,1)))</f>
        <v>3</v>
      </c>
      <c r="I43" s="32">
        <f>IF(I42="D",4,IF(I42="C",3,IF(I42="B",2,1)))</f>
        <v>3</v>
      </c>
      <c r="J43" s="32">
        <f>IF(J42="D",4,IF(J42="C",3,IF(J42="B",2,1)))</f>
        <v>1</v>
      </c>
      <c r="K43" s="32">
        <f>IF(K42="D",4,IF(K42="C",3,IF(K42="B",2,1)))</f>
        <v>1</v>
      </c>
      <c r="L43" s="32">
        <f>B43</f>
        <v>3</v>
      </c>
      <c r="O43" s="32">
        <f>B43</f>
        <v>3</v>
      </c>
      <c r="P43" s="32">
        <f>IF(P42="D",4,IF(P42="C",3,IF(P42="B",2,1)))</f>
        <v>3</v>
      </c>
    </row>
    <row r="44" spans="1:18" x14ac:dyDescent="0.2">
      <c r="A44" s="32" t="s">
        <v>830</v>
      </c>
      <c r="B44" s="32">
        <f>IF(AND('binnenklimaatlabel type 3'!B2&lt;4,'binnenklimaatlabel type 3'!B4&gt;1),1,0)</f>
        <v>0</v>
      </c>
      <c r="E44" s="32">
        <v>1</v>
      </c>
      <c r="F44" s="32">
        <f>B44</f>
        <v>0</v>
      </c>
      <c r="I44" s="32">
        <f>B44</f>
        <v>0</v>
      </c>
      <c r="J44" s="32">
        <f>B44</f>
        <v>0</v>
      </c>
      <c r="K44" s="32">
        <f>B44</f>
        <v>0</v>
      </c>
      <c r="L44" s="32">
        <f>B44</f>
        <v>0</v>
      </c>
      <c r="O44" s="32">
        <f>B44</f>
        <v>0</v>
      </c>
      <c r="P44" s="32">
        <f>IF(AND('binnenklimaatlabel type 3'!C2&lt;4,'binnenklimaatlabel type 3'!C4&gt;1),1,0)</f>
        <v>0</v>
      </c>
    </row>
    <row r="45" spans="1:18" x14ac:dyDescent="0.2">
      <c r="A45" s="32" t="s">
        <v>191</v>
      </c>
      <c r="B45" s="32">
        <f>IF('binnenklimaatlabel type 3'!B19=1,-1,IF(OR('binnenklimaatlabel type 3'!B19=2,'binnenklimaatlabel type 3'!B19=3),0,1))</f>
        <v>-1</v>
      </c>
      <c r="E45" s="32">
        <f>B45</f>
        <v>-1</v>
      </c>
      <c r="F45" s="32">
        <f>B45</f>
        <v>-1</v>
      </c>
      <c r="I45" s="32">
        <f>B45</f>
        <v>-1</v>
      </c>
      <c r="J45" s="32">
        <f>B45</f>
        <v>-1</v>
      </c>
      <c r="K45" s="32">
        <f>B45</f>
        <v>-1</v>
      </c>
      <c r="L45" s="32">
        <f>B45</f>
        <v>-1</v>
      </c>
      <c r="O45" s="32">
        <f>IF('binnenklimaatlabel type 3'!F17=1,'binnenklimaatlabel type 3'!B45,IF('binnenklimaatlabel type 3'!F17=2,0,1))</f>
        <v>-1</v>
      </c>
      <c r="P45" s="32">
        <f>IF('binnenklimaatlabel type 3'!C19=1,-1,IF(OR('binnenklimaatlabel type 3'!C19=2,'binnenklimaatlabel type 3'!C19=3),0,1))</f>
        <v>-1</v>
      </c>
    </row>
    <row r="46" spans="1:18" x14ac:dyDescent="0.2">
      <c r="A46" s="32" t="s">
        <v>190</v>
      </c>
      <c r="B46" s="32">
        <f>IF('binnenklimaatlabel type 3'!B14=1,-1,IF('binnenklimaatlabel type 3'!B14=2,0,1))</f>
        <v>-1</v>
      </c>
      <c r="E46" s="32">
        <f>B46</f>
        <v>-1</v>
      </c>
      <c r="F46" s="32">
        <f>B46</f>
        <v>-1</v>
      </c>
      <c r="I46" s="32">
        <f>B46</f>
        <v>-1</v>
      </c>
      <c r="J46" s="32">
        <f>B46</f>
        <v>-1</v>
      </c>
      <c r="K46" s="32">
        <f>B46</f>
        <v>-1</v>
      </c>
      <c r="L46" s="32">
        <v>1</v>
      </c>
      <c r="O46" s="32">
        <f>B46</f>
        <v>-1</v>
      </c>
      <c r="P46" s="32">
        <f>IF('binnenklimaatlabel type 3'!C14=1,-1,IF('binnenklimaatlabel type 3'!C14=2,0,1))</f>
        <v>-1</v>
      </c>
    </row>
    <row r="47" spans="1:18" x14ac:dyDescent="0.2">
      <c r="A47" s="32" t="s">
        <v>189</v>
      </c>
      <c r="B47" s="32">
        <f>IF((B44+B45+B46)&gt;0,1,IF((B44+B45+B46)&lt;0,-1,0))</f>
        <v>-1</v>
      </c>
      <c r="E47" s="32">
        <f>IF((E44+E45+E46)&gt;0,1,IF((E44+E45+E46)&lt;0,-1,0))</f>
        <v>-1</v>
      </c>
      <c r="F47" s="32">
        <f>IF((F44+F45+F46)&gt;0,1,IF((F44+F45+F46)&lt;0,-1,0))</f>
        <v>-1</v>
      </c>
      <c r="I47" s="32">
        <f>IF((I44+I45+I46)&gt;0,1,IF((I44+I45+I46)&lt;0,-1,0))</f>
        <v>-1</v>
      </c>
      <c r="J47" s="32">
        <f>IF((J44+J45+J46)&gt;0,1,IF((J44+J45+J46)&lt;0,-1,0))</f>
        <v>-1</v>
      </c>
      <c r="K47" s="32">
        <f>IF((K44+K45+K46)&gt;0,1,IF((K44+K45+K46)&lt;0,-1,0))</f>
        <v>-1</v>
      </c>
      <c r="L47" s="32">
        <f>IF((L44+L45+L46)&gt;0,1,IF((L44+L45+L46)&lt;0,-1,0))</f>
        <v>0</v>
      </c>
      <c r="O47" s="32">
        <f>IF((O44+O45+O46)&gt;0,1,IF((O44+O45+O46)&lt;0,-1,0))</f>
        <v>-1</v>
      </c>
      <c r="P47" s="32">
        <f>IF((P44+P45+P46)&gt;0,1,IF((P44+P45+P46)&lt;0,-1,0))</f>
        <v>-1</v>
      </c>
    </row>
    <row r="48" spans="1:18" x14ac:dyDescent="0.2">
      <c r="A48" s="32" t="s">
        <v>187</v>
      </c>
      <c r="B48" s="32">
        <f>B43-B47</f>
        <v>4</v>
      </c>
      <c r="E48" s="32">
        <f>E43-E47</f>
        <v>4</v>
      </c>
      <c r="F48" s="32">
        <f>F43-F47</f>
        <v>4</v>
      </c>
      <c r="I48" s="32">
        <f>I43-I47</f>
        <v>4</v>
      </c>
      <c r="J48" s="32">
        <f>J43-J47</f>
        <v>2</v>
      </c>
      <c r="K48" s="32">
        <f>K43-K47</f>
        <v>2</v>
      </c>
      <c r="L48" s="32">
        <f>L43-L47</f>
        <v>3</v>
      </c>
      <c r="O48" s="32">
        <f>O43-O47</f>
        <v>4</v>
      </c>
      <c r="P48" s="32">
        <f>P43-P47</f>
        <v>4</v>
      </c>
    </row>
    <row r="49" spans="1:16" x14ac:dyDescent="0.2">
      <c r="A49" s="32" t="s">
        <v>187</v>
      </c>
      <c r="B49" s="33" t="str">
        <f>IF(B48&gt;3,"D",IF(B48=3,"C",IF(B48=2,"B","A")))</f>
        <v>D</v>
      </c>
      <c r="C49" s="33"/>
      <c r="D49" s="33"/>
      <c r="E49" s="33" t="str">
        <f>IF(E48&gt;3,"D",IF(E48=3,"C",IF(E48=2,"B","A")))</f>
        <v>D</v>
      </c>
      <c r="F49" s="33" t="str">
        <f>IF(F48&gt;3,"D",IF(F48=3,"C",IF(F48=2,"B","A")))</f>
        <v>D</v>
      </c>
      <c r="I49" s="33" t="str">
        <f>IF(I48&gt;3,"D",IF(I48=3,"C",IF(I48=2,"B","A")))</f>
        <v>D</v>
      </c>
      <c r="J49" s="33" t="str">
        <f>IF(J48&gt;3,"D",IF(J48=3,"C",IF(J48=2,"B","A")))</f>
        <v>B</v>
      </c>
      <c r="K49" s="33" t="str">
        <f>IF(K48&gt;3,"D",IF(K48=3,"C",IF(K48=2,"B","A")))</f>
        <v>B</v>
      </c>
      <c r="L49" s="33" t="str">
        <f>IF(L48&gt;3,"D",IF(L48=3,"C",IF(L48=2,"B","A")))</f>
        <v>C</v>
      </c>
      <c r="O49" s="33" t="str">
        <f>IF(O48&gt;3,"D",IF(O48=3,"C",IF(O48=2,"B","A")))</f>
        <v>D</v>
      </c>
      <c r="P49" s="33" t="str">
        <f>IF(P48&gt;3,"D",IF(P48=3,"C",IF(P48=2,"B","A")))</f>
        <v>D</v>
      </c>
    </row>
    <row r="51" spans="1:16" x14ac:dyDescent="0.2">
      <c r="A51" s="33" t="s">
        <v>873</v>
      </c>
    </row>
    <row r="52" spans="1:16" x14ac:dyDescent="0.2">
      <c r="A52" s="32" t="s">
        <v>188</v>
      </c>
      <c r="B52" s="32" t="str">
        <f>IF((C38+C39)&gt;43.2*'Invoer Lokaal Type 3'!$B$2,"A",IF(AND((C38+C39)&lt;=43.2*'Invoer Lokaal Type 3'!$B$2,(C38+C39)&gt;30.6*'Invoer Lokaal Type 3'!$B$2),"B",IF(AND((C38+C39)&lt;=30.6*'Invoer Lokaal Type 3'!$B$2,(C38+C39)&gt;21.6*'Invoer Lokaal Type 3'!$B$2),"C","D")))</f>
        <v>D</v>
      </c>
      <c r="F52" s="32" t="str">
        <f>IF((F38+F39)&gt;43.2*'Invoer Lokaal Type 3'!$B$2,"A",IF(AND((F38+F39)&lt;=43.2*'Invoer Lokaal Type 3'!$B$2,(F38+F39)&gt;30.6*'Invoer Lokaal Type 3'!$B$2),"B",IF(AND((F38+F39)&lt;=30.6*'Invoer Lokaal Type 3'!$B$2,(F38+F39)&gt;21.6*'Invoer Lokaal Type 3'!$B$2),"C","D")))</f>
        <v>D</v>
      </c>
      <c r="G52" s="32" t="str">
        <f>B52</f>
        <v>D</v>
      </c>
      <c r="I52" s="32" t="str">
        <f>IF((I38+I39)&gt;43.2*'Invoer Lokaal Type 3'!$B$2,"A",IF(AND((I38+I39)&lt;=43.2*'Invoer Lokaal Type 3'!$B$2,(I38+I39)&gt;30.6*'Invoer Lokaal Type 3'!$B$2),"B",IF(AND((I38+I39)&lt;=30.6*'Invoer Lokaal Type 3'!$B$2,(I38+I39)&gt;21.6*'Invoer Lokaal Type 3'!$B$2),"C","D")))</f>
        <v>D</v>
      </c>
      <c r="J52" s="32" t="str">
        <f>IF((J38+J39)&gt;43.2*'Invoer Lokaal Type 3'!$B$2,"A",IF(AND((J38+J39)&lt;=43.2*'Invoer Lokaal Type 3'!$B$2,(J38+J39)&gt;30.6*'Invoer Lokaal Type 3'!$B$2),"B",IF(AND((J38+J39)&lt;=30.6*'Invoer Lokaal Type 3'!$B$2,(J38+J39)&gt;21.6*'Invoer Lokaal Type 3'!$B$2),"C","D")))</f>
        <v>D</v>
      </c>
      <c r="K52" s="32" t="str">
        <f>IF((K38+K39)&gt;43.2*'Invoer Lokaal Type 3'!$B$2,"A",IF(AND((K38+K39)&lt;=43.2*'Invoer Lokaal Type 3'!$B$2,(K38+K39)&gt;30.6*'Invoer Lokaal Type 3'!$B$2),"B",IF(AND((K38+K39)&lt;=30.6*'Invoer Lokaal Type 3'!$B$2,(K38+K39)&gt;21.6*'Invoer Lokaal Type 3'!$B$2),"C","D")))</f>
        <v>D</v>
      </c>
      <c r="P52" s="32" t="str">
        <f>IF((Q38+Q39)&gt;43.2*'Invoer Lokaal Type 3'!$B$2,"A",IF(AND((Q38+Q39)&lt;=43.2*'Invoer Lokaal Type 3'!$B$2,(Q38+Q39)&gt;30.6*'Invoer Lokaal Type 3'!$B$2),"B",IF(AND((Q38+Q39)&lt;=30.6*'Invoer Lokaal Type 3'!$B$2,(Q38+Q39)&gt;21.6*'Invoer Lokaal Type 3'!$B$2),"C","D")))</f>
        <v>D</v>
      </c>
    </row>
    <row r="56" spans="1:16" x14ac:dyDescent="0.2">
      <c r="B56" s="33"/>
      <c r="F56" s="33"/>
      <c r="G56" s="33"/>
      <c r="H56" s="33"/>
      <c r="I56" s="33"/>
      <c r="J56" s="33"/>
      <c r="K56" s="33"/>
      <c r="P56" s="33"/>
    </row>
    <row r="59" spans="1:16" x14ac:dyDescent="0.2">
      <c r="A59" s="32" t="s">
        <v>831</v>
      </c>
      <c r="B59" s="32" t="s">
        <v>186</v>
      </c>
      <c r="C59" s="32" t="s">
        <v>185</v>
      </c>
      <c r="D59" s="32" t="s">
        <v>89</v>
      </c>
      <c r="E59" s="32" t="s">
        <v>184</v>
      </c>
      <c r="F59" s="32" t="s">
        <v>56</v>
      </c>
    </row>
    <row r="60" spans="1:16" x14ac:dyDescent="0.2">
      <c r="A60" s="32" t="s">
        <v>180</v>
      </c>
      <c r="B60" s="32" t="str">
        <f>B35</f>
        <v>D</v>
      </c>
      <c r="C60" s="32" t="str">
        <f>E49</f>
        <v>D</v>
      </c>
      <c r="D60" s="32" t="str">
        <f>B52</f>
        <v>D</v>
      </c>
      <c r="E60" s="32" t="str">
        <f>IF('Invoer Lokaal Type 3'!I5="geen","nee","ja")</f>
        <v>nee</v>
      </c>
      <c r="F60" s="32" t="str">
        <f>'Invoer Lokaal Type 3'!J5</f>
        <v>Low-budget</v>
      </c>
    </row>
    <row r="61" spans="1:16" x14ac:dyDescent="0.2">
      <c r="A61" s="32" t="s">
        <v>832</v>
      </c>
      <c r="B61" s="32" t="str">
        <f>B35</f>
        <v>D</v>
      </c>
      <c r="C61" s="32" t="str">
        <f>F49</f>
        <v>D</v>
      </c>
      <c r="D61" s="32" t="str">
        <f>F52</f>
        <v>D</v>
      </c>
      <c r="E61" s="32" t="str">
        <f>IF('binnenklimaatlabel type 3'!F5=1,"nee","ja")</f>
        <v>nee</v>
      </c>
      <c r="F61" s="32">
        <f>'Invoer Lokaal Type 3'!J7</f>
        <v>0</v>
      </c>
    </row>
    <row r="62" spans="1:16" x14ac:dyDescent="0.2">
      <c r="A62" s="32" t="s">
        <v>176</v>
      </c>
      <c r="B62" s="32" t="str">
        <f>G35</f>
        <v>D</v>
      </c>
      <c r="C62" s="32" t="str">
        <f>B49</f>
        <v>D</v>
      </c>
      <c r="D62" s="32" t="str">
        <f>G52</f>
        <v>D</v>
      </c>
      <c r="E62" s="32" t="str">
        <f>IF('binnenklimaatlabel type 3'!F6=1,"nee","ja")</f>
        <v>nee</v>
      </c>
      <c r="F62" s="32">
        <f>'Invoer Lokaal Type 3'!J13</f>
        <v>0</v>
      </c>
    </row>
    <row r="63" spans="1:16" x14ac:dyDescent="0.2">
      <c r="A63" s="32" t="s">
        <v>874</v>
      </c>
      <c r="F63" s="32">
        <f>'Invoer Lokaal Type 3'!J16</f>
        <v>3000</v>
      </c>
    </row>
    <row r="64" spans="1:16" x14ac:dyDescent="0.2">
      <c r="A64" s="32" t="s">
        <v>875</v>
      </c>
      <c r="B64" s="32" t="str">
        <f>I35</f>
        <v>D</v>
      </c>
      <c r="C64" s="32" t="str">
        <f>I49</f>
        <v>D</v>
      </c>
      <c r="D64" s="32" t="str">
        <f>I52</f>
        <v>D</v>
      </c>
      <c r="E64" s="32" t="str">
        <f>IF('Invoer Lokaal Type 3'!J18="n.v.t.","nee","ja")</f>
        <v>ja</v>
      </c>
      <c r="F64" s="32">
        <f>'Invoer Lokaal Type 3'!J18</f>
        <v>9000</v>
      </c>
    </row>
    <row r="65" spans="1:6" x14ac:dyDescent="0.2">
      <c r="A65" s="32" t="s">
        <v>876</v>
      </c>
      <c r="B65" s="32" t="str">
        <f>J35</f>
        <v>D</v>
      </c>
      <c r="C65" s="32" t="str">
        <f>J49</f>
        <v>B</v>
      </c>
      <c r="D65" s="32" t="str">
        <f>J52</f>
        <v>D</v>
      </c>
      <c r="E65" s="32" t="str">
        <f>IF('Invoer Lokaal Type 3'!J19="n.v.t.","nee","ja")</f>
        <v>ja</v>
      </c>
      <c r="F65" s="32">
        <f>'Invoer Lokaal Type 3'!J19</f>
        <v>10000</v>
      </c>
    </row>
    <row r="66" spans="1:6" x14ac:dyDescent="0.2">
      <c r="A66" s="32" t="s">
        <v>877</v>
      </c>
      <c r="B66" s="32" t="str">
        <f>K35</f>
        <v>D</v>
      </c>
      <c r="C66" s="32" t="str">
        <f>K49</f>
        <v>B</v>
      </c>
      <c r="D66" s="32" t="str">
        <f>K52</f>
        <v>D</v>
      </c>
      <c r="E66" s="32" t="str">
        <f>IF('Invoer Lokaal Type 3'!J20="n.v.t.","nee","ja")</f>
        <v>ja</v>
      </c>
      <c r="F66" s="32">
        <f>'Invoer Lokaal Type 3'!J20</f>
        <v>12000</v>
      </c>
    </row>
    <row r="67" spans="1:6" x14ac:dyDescent="0.2">
      <c r="A67" s="32" t="s">
        <v>837</v>
      </c>
      <c r="B67" s="32" t="str">
        <f>B35</f>
        <v>D</v>
      </c>
      <c r="C67" s="32" t="str">
        <f>L49</f>
        <v>C</v>
      </c>
      <c r="D67" s="32" t="str">
        <f>B52</f>
        <v>D</v>
      </c>
      <c r="E67" s="32" t="str">
        <f>IF('Invoer Lokaal Type 3'!J22&gt;0,"ja","nee")</f>
        <v>nee</v>
      </c>
      <c r="F67" s="32">
        <f>'Invoer Lokaal Type 3'!J21</f>
        <v>0</v>
      </c>
    </row>
    <row r="68" spans="1:6" x14ac:dyDescent="0.2">
      <c r="A68" s="32" t="s">
        <v>838</v>
      </c>
      <c r="B68" s="32" t="str">
        <f>M35</f>
        <v>D</v>
      </c>
      <c r="C68" s="32" t="str">
        <f>B49</f>
        <v>D</v>
      </c>
      <c r="D68" s="32" t="str">
        <f>B52</f>
        <v>D</v>
      </c>
      <c r="E68" s="32" t="str">
        <f>IF('Invoer Lokaal Type 3'!J22&gt;0,"ja","nee")</f>
        <v>nee</v>
      </c>
      <c r="F68" s="32">
        <f>'Invoer Lokaal Type 3'!J22</f>
        <v>0</v>
      </c>
    </row>
    <row r="69" spans="1:6" x14ac:dyDescent="0.2">
      <c r="A69" s="32" t="s">
        <v>839</v>
      </c>
      <c r="B69" s="32" t="str">
        <f>N35</f>
        <v>D</v>
      </c>
      <c r="C69" s="32" t="str">
        <f>B49</f>
        <v>D</v>
      </c>
      <c r="D69" s="32" t="str">
        <f>B52</f>
        <v>D</v>
      </c>
      <c r="E69" s="32" t="str">
        <f>IF('Invoer Lokaal Type 3'!J24="n.b.","ja","nee")</f>
        <v>nee</v>
      </c>
      <c r="F69" s="32" t="str">
        <f>'Invoer Lokaal Type 3'!J24</f>
        <v>zie E*</v>
      </c>
    </row>
    <row r="70" spans="1:6" x14ac:dyDescent="0.2">
      <c r="A70" s="32" t="s">
        <v>869</v>
      </c>
      <c r="B70" s="32" t="s">
        <v>183</v>
      </c>
      <c r="C70" s="32" t="str">
        <f>B49</f>
        <v>D</v>
      </c>
      <c r="D70" s="32" t="str">
        <f>B52</f>
        <v>D</v>
      </c>
      <c r="E70" s="32" t="str">
        <f>IF('Invoer Lokaal Type 3'!J25&gt;0,"ja","nee")</f>
        <v>ja</v>
      </c>
      <c r="F70" s="32">
        <f>'Invoer Lokaal Type 3'!J25</f>
        <v>3500</v>
      </c>
    </row>
    <row r="71" spans="1:6" x14ac:dyDescent="0.2">
      <c r="A71" s="32" t="s">
        <v>841</v>
      </c>
      <c r="B71" s="32" t="str">
        <f>B35</f>
        <v>D</v>
      </c>
      <c r="C71" s="32" t="str">
        <f>O49</f>
        <v>D</v>
      </c>
      <c r="D71" s="32" t="str">
        <f>B52</f>
        <v>D</v>
      </c>
      <c r="E71" s="32" t="str">
        <f>IF('Invoer Lokaal Type 3'!J27="n.b.","ja","nee")</f>
        <v>nee</v>
      </c>
      <c r="F71" s="32" t="str">
        <f>'Invoer Lokaal Type 3'!J27</f>
        <v>zie E*</v>
      </c>
    </row>
  </sheetData>
  <mergeCells count="1">
    <mergeCell ref="B20:D20"/>
  </mergeCells>
  <phoneticPr fontId="0" type="noConversion"/>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1"/>
  <sheetViews>
    <sheetView topLeftCell="F16" workbookViewId="0">
      <selection activeCell="T52" sqref="T52"/>
    </sheetView>
  </sheetViews>
  <sheetFormatPr defaultRowHeight="11.25" x14ac:dyDescent="0.2"/>
  <cols>
    <col min="1" max="1" width="38.5703125" style="32" customWidth="1"/>
    <col min="2" max="2" width="12" style="32" customWidth="1"/>
    <col min="3" max="3" width="5.85546875" style="32" customWidth="1"/>
    <col min="4" max="4" width="5.140625" style="32" customWidth="1"/>
    <col min="5" max="5" width="25" style="32" customWidth="1"/>
    <col min="6" max="6" width="30.42578125" style="32" customWidth="1"/>
    <col min="7" max="7" width="24" style="32" customWidth="1"/>
    <col min="8" max="8" width="26.5703125" style="32" customWidth="1"/>
    <col min="9" max="10" width="12.140625" style="32" customWidth="1"/>
    <col min="11" max="11" width="12.7109375" style="32" customWidth="1"/>
    <col min="12" max="12" width="24.7109375" style="32" customWidth="1"/>
    <col min="13" max="13" width="13.42578125" style="32" customWidth="1"/>
    <col min="14" max="14" width="17.85546875" style="32" customWidth="1"/>
    <col min="15" max="15" width="24.7109375" style="32" customWidth="1"/>
    <col min="16" max="16" width="19.28515625" style="32" customWidth="1"/>
    <col min="17" max="16384" width="9.140625" style="32"/>
  </cols>
  <sheetData>
    <row r="1" spans="1:55" x14ac:dyDescent="0.2">
      <c r="B1" s="32" t="s">
        <v>129</v>
      </c>
      <c r="C1" s="32" t="s">
        <v>182</v>
      </c>
    </row>
    <row r="2" spans="1:55" x14ac:dyDescent="0.2">
      <c r="A2" s="32" t="s">
        <v>181</v>
      </c>
      <c r="B2" s="32">
        <v>1</v>
      </c>
      <c r="C2" s="32">
        <v>1</v>
      </c>
      <c r="I2" s="33" t="s">
        <v>871</v>
      </c>
      <c r="U2" s="33" t="s">
        <v>178</v>
      </c>
      <c r="AG2" s="33" t="s">
        <v>872</v>
      </c>
      <c r="AS2" s="33" t="s">
        <v>176</v>
      </c>
    </row>
    <row r="3" spans="1:55" x14ac:dyDescent="0.2">
      <c r="A3" s="32" t="s">
        <v>825</v>
      </c>
      <c r="B3" s="32">
        <v>1</v>
      </c>
      <c r="C3" s="32">
        <v>1</v>
      </c>
      <c r="AG3" s="300"/>
      <c r="AH3" s="300"/>
      <c r="AI3" s="300"/>
      <c r="AJ3" s="300"/>
    </row>
    <row r="4" spans="1:55" x14ac:dyDescent="0.2">
      <c r="A4" s="32" t="s">
        <v>180</v>
      </c>
      <c r="B4" s="32">
        <v>1</v>
      </c>
      <c r="C4" s="32">
        <v>1</v>
      </c>
      <c r="I4" s="301" t="s">
        <v>120</v>
      </c>
      <c r="J4" s="301" t="s">
        <v>119</v>
      </c>
      <c r="K4" s="301" t="s">
        <v>226</v>
      </c>
      <c r="L4" s="301" t="s">
        <v>50</v>
      </c>
      <c r="M4" s="32" t="s">
        <v>695</v>
      </c>
      <c r="N4" s="32" t="s">
        <v>692</v>
      </c>
      <c r="O4" s="32" t="s">
        <v>693</v>
      </c>
      <c r="P4" s="32" t="s">
        <v>694</v>
      </c>
      <c r="U4" s="301" t="s">
        <v>120</v>
      </c>
      <c r="V4" s="301" t="s">
        <v>119</v>
      </c>
      <c r="W4" s="301" t="s">
        <v>226</v>
      </c>
      <c r="X4" s="301" t="s">
        <v>50</v>
      </c>
      <c r="Y4" s="32" t="s">
        <v>695</v>
      </c>
      <c r="Z4" s="32" t="s">
        <v>692</v>
      </c>
      <c r="AA4" s="32" t="s">
        <v>693</v>
      </c>
      <c r="AB4" s="32" t="s">
        <v>694</v>
      </c>
      <c r="AG4" s="301" t="s">
        <v>120</v>
      </c>
      <c r="AH4" s="301" t="s">
        <v>119</v>
      </c>
      <c r="AI4" s="301" t="s">
        <v>226</v>
      </c>
      <c r="AJ4" s="301" t="s">
        <v>50</v>
      </c>
      <c r="AK4" s="32" t="s">
        <v>695</v>
      </c>
      <c r="AL4" s="32" t="s">
        <v>692</v>
      </c>
      <c r="AM4" s="32" t="s">
        <v>693</v>
      </c>
      <c r="AN4" s="32" t="s">
        <v>694</v>
      </c>
      <c r="AS4" s="301" t="s">
        <v>120</v>
      </c>
      <c r="AT4" s="301" t="s">
        <v>119</v>
      </c>
      <c r="AU4" s="301" t="s">
        <v>226</v>
      </c>
      <c r="AV4" s="301" t="s">
        <v>50</v>
      </c>
      <c r="AW4" s="32" t="s">
        <v>695</v>
      </c>
      <c r="AX4" s="32" t="s">
        <v>692</v>
      </c>
      <c r="AY4" s="32" t="s">
        <v>693</v>
      </c>
      <c r="AZ4" s="32" t="s">
        <v>694</v>
      </c>
    </row>
    <row r="5" spans="1:55" x14ac:dyDescent="0.2">
      <c r="A5" s="32" t="s">
        <v>179</v>
      </c>
      <c r="B5" s="32">
        <v>1</v>
      </c>
      <c r="C5" s="32">
        <v>1</v>
      </c>
      <c r="E5" s="32" t="s">
        <v>178</v>
      </c>
      <c r="F5" s="32">
        <v>1</v>
      </c>
      <c r="I5" s="32">
        <f>'Invoer Lokaal Type 4'!C7</f>
        <v>0</v>
      </c>
      <c r="J5" s="32">
        <f>'Invoer Lokaal Type 4'!D7</f>
        <v>0</v>
      </c>
      <c r="K5" s="32">
        <v>1</v>
      </c>
      <c r="L5" s="32">
        <f>'Invoer Lokaal Type 4'!F7</f>
        <v>0</v>
      </c>
      <c r="M5" s="312">
        <f>IF(B5=3,I5*7.5*L5/10000,IF(B5=2,I5*J5*L5/20000,0))</f>
        <v>0</v>
      </c>
      <c r="N5" s="302">
        <f>IF($K5=2,$M5,0)</f>
        <v>0</v>
      </c>
      <c r="O5" s="303">
        <f>IF($K5=3,$M5,0)</f>
        <v>0</v>
      </c>
      <c r="P5" s="304">
        <f>IF($K5=4,$M5,0)</f>
        <v>0</v>
      </c>
      <c r="U5" s="32">
        <f>'Invoer Lokaal Type 4'!L7</f>
        <v>0</v>
      </c>
      <c r="V5" s="32">
        <f>'Invoer Lokaal Type 4'!M7</f>
        <v>0</v>
      </c>
      <c r="W5" s="32">
        <v>1</v>
      </c>
      <c r="X5" s="32">
        <f>'Invoer Lokaal Type 4'!O7</f>
        <v>0</v>
      </c>
      <c r="Y5" s="312">
        <f>IF(C5=3,U5*7.5*X5/10000,IF(C5=2,U5*V5*X5/20000,0))</f>
        <v>0</v>
      </c>
      <c r="Z5" s="302">
        <f>IF($W5=2,$Y5,0)</f>
        <v>0</v>
      </c>
      <c r="AA5" s="302">
        <f>IF($W5=3,$Y5,0)</f>
        <v>0</v>
      </c>
      <c r="AB5" s="302">
        <f>IF($W5=4,$Y5,0)</f>
        <v>0</v>
      </c>
      <c r="AG5" s="32">
        <f>'Invoer Lokaal Type 4'!C13</f>
        <v>0</v>
      </c>
      <c r="AH5" s="32">
        <f>'Invoer Lokaal Type 4'!D13</f>
        <v>0</v>
      </c>
      <c r="AI5" s="32">
        <v>1</v>
      </c>
      <c r="AJ5" s="32">
        <f>'Invoer Lokaal Type 4'!F13</f>
        <v>0</v>
      </c>
      <c r="AK5" s="312">
        <f>IF(B10=3,AG5*7.5*AJ5/10000,IF(B10=2,AG5*AH5*AJ5/20000,AG5*AH5*AJ5/10000))</f>
        <v>0</v>
      </c>
      <c r="AL5" s="302">
        <f>IF($AI5=2,$AK5,0)</f>
        <v>0</v>
      </c>
      <c r="AM5" s="302">
        <f>IF($AI5=3,$AK5,0)</f>
        <v>0</v>
      </c>
      <c r="AN5" s="302">
        <f>IF($AI5=4,$AK5,0)</f>
        <v>0</v>
      </c>
      <c r="AS5" s="32">
        <f>'Invoer Lokaal Type 4'!L13</f>
        <v>0</v>
      </c>
      <c r="AT5" s="32">
        <f>'Invoer Lokaal Type 4'!M13</f>
        <v>0</v>
      </c>
      <c r="AU5" s="32">
        <v>1</v>
      </c>
      <c r="AV5" s="32">
        <f>'Invoer Lokaal Type 4'!O13</f>
        <v>0</v>
      </c>
      <c r="AW5" s="312">
        <f>IF(C10=3,AS5*7.5*AV5/10000,IF(C10=2,AS5*AT5*AV5/20000,AS5*AT5*AV5/10000))</f>
        <v>0</v>
      </c>
      <c r="AX5" s="302">
        <f>IF($AU5=2,$AW5,0)</f>
        <v>0</v>
      </c>
      <c r="AY5" s="302">
        <f>IF($AU5=3,$AW5,0)</f>
        <v>0</v>
      </c>
      <c r="AZ5" s="302">
        <f>IF($AU5=4,$AW5,0)</f>
        <v>0</v>
      </c>
    </row>
    <row r="6" spans="1:55" x14ac:dyDescent="0.2">
      <c r="A6" s="32" t="s">
        <v>177</v>
      </c>
      <c r="B6" s="32">
        <v>1</v>
      </c>
      <c r="C6" s="32">
        <v>1</v>
      </c>
      <c r="E6" s="32" t="s">
        <v>176</v>
      </c>
      <c r="F6" s="32">
        <v>1</v>
      </c>
      <c r="I6" s="32">
        <f>'Invoer Lokaal Type 4'!C8</f>
        <v>0</v>
      </c>
      <c r="J6" s="32">
        <f>'Invoer Lokaal Type 4'!D8</f>
        <v>0</v>
      </c>
      <c r="K6" s="32">
        <v>1</v>
      </c>
      <c r="L6" s="32">
        <f>'Invoer Lokaal Type 4'!F8</f>
        <v>0</v>
      </c>
      <c r="M6" s="312">
        <f>IF(B6=3,I6*7.5*L6/10000,IF(B6=2,I6*J6*L6/20000,0))</f>
        <v>0</v>
      </c>
      <c r="N6" s="305">
        <f>IF($K6=2,$M6,0)</f>
        <v>0</v>
      </c>
      <c r="O6" s="306">
        <f>IF($K6=3,$M6,0)</f>
        <v>0</v>
      </c>
      <c r="P6" s="307">
        <f>IF($K6=4,$M6,0)</f>
        <v>0</v>
      </c>
      <c r="U6" s="32">
        <f>'Invoer Lokaal Type 4'!L8</f>
        <v>0</v>
      </c>
      <c r="V6" s="32">
        <f>'Invoer Lokaal Type 4'!M8</f>
        <v>0</v>
      </c>
      <c r="W6" s="32">
        <v>1</v>
      </c>
      <c r="X6" s="32">
        <f>'Invoer Lokaal Type 4'!O8</f>
        <v>0</v>
      </c>
      <c r="Y6" s="312">
        <f>IF(C6=3,U6*7.5*X6/10000,IF(C6=2,U6*V6*X6/20000,0))</f>
        <v>0</v>
      </c>
      <c r="Z6" s="302">
        <f>IF($W6=2,$Y6,0)</f>
        <v>0</v>
      </c>
      <c r="AA6" s="302">
        <f>IF($W6=3,$Y6,0)</f>
        <v>0</v>
      </c>
      <c r="AB6" s="302">
        <f>IF($W6=4,$Y6,0)</f>
        <v>0</v>
      </c>
      <c r="AG6" s="32">
        <f>'Invoer Lokaal Type 4'!C14</f>
        <v>0</v>
      </c>
      <c r="AH6" s="32">
        <f>'Invoer Lokaal Type 4'!D14</f>
        <v>0</v>
      </c>
      <c r="AI6" s="32">
        <v>1</v>
      </c>
      <c r="AJ6" s="32">
        <f>'Invoer Lokaal Type 4'!F14</f>
        <v>0</v>
      </c>
      <c r="AK6" s="312">
        <f>IF(B11=3,AG6*7.5*AJ6/10000,IF(B11=2,AG6*AH6*AJ6/20000,AG6*AH6*AJ6/10000))</f>
        <v>0</v>
      </c>
      <c r="AL6" s="302">
        <f>IF($AI6=2,$AK6,0)</f>
        <v>0</v>
      </c>
      <c r="AM6" s="302">
        <f>IF($AI6=3,$AK6,0)</f>
        <v>0</v>
      </c>
      <c r="AN6" s="302">
        <f>IF($AI6=4,$AK6,0)</f>
        <v>0</v>
      </c>
      <c r="AS6" s="32">
        <f>'Invoer Lokaal Type 4'!L14</f>
        <v>0</v>
      </c>
      <c r="AT6" s="32">
        <f>'Invoer Lokaal Type 4'!M14</f>
        <v>0</v>
      </c>
      <c r="AU6" s="32">
        <v>1</v>
      </c>
      <c r="AV6" s="32">
        <f>'Invoer Lokaal Type 4'!O14</f>
        <v>0</v>
      </c>
      <c r="AW6" s="312">
        <f>IF(C11=3,AS6*7.5*AV6/10000,IF(C11=2,AS6*AT6*AV6/20000,AS6*AT6*AV6/10000))</f>
        <v>0</v>
      </c>
      <c r="AX6" s="302">
        <f>IF($AU6=2,$AW6,0)</f>
        <v>0</v>
      </c>
      <c r="AY6" s="302">
        <f>IF($AU6=3,$AW6,0)</f>
        <v>0</v>
      </c>
      <c r="AZ6" s="302">
        <f>IF($AU6=4,$AW6,0)</f>
        <v>0</v>
      </c>
    </row>
    <row r="7" spans="1:55" x14ac:dyDescent="0.2">
      <c r="A7" s="32" t="s">
        <v>175</v>
      </c>
      <c r="B7" s="32">
        <v>1</v>
      </c>
      <c r="C7" s="32">
        <v>1</v>
      </c>
      <c r="I7" s="32">
        <f>'Invoer Lokaal Type 4'!C9</f>
        <v>0</v>
      </c>
      <c r="J7" s="32">
        <f>'Invoer Lokaal Type 4'!D9</f>
        <v>0</v>
      </c>
      <c r="K7" s="32">
        <v>1</v>
      </c>
      <c r="L7" s="32">
        <f>'Invoer Lokaal Type 4'!F9</f>
        <v>0</v>
      </c>
      <c r="M7" s="312">
        <f>IF(B7=3,I7*7.5*L7/10000,IF(B7=2,I7*J7*L7/20000,0))</f>
        <v>0</v>
      </c>
      <c r="N7" s="305">
        <f>IF($K7=2,$M7,0)</f>
        <v>0</v>
      </c>
      <c r="O7" s="306">
        <f>IF($K7=3,$M7,0)</f>
        <v>0</v>
      </c>
      <c r="P7" s="307">
        <f>IF($K7=4,$M7,0)</f>
        <v>0</v>
      </c>
      <c r="U7" s="32">
        <f>'Invoer Lokaal Type 4'!L9</f>
        <v>0</v>
      </c>
      <c r="V7" s="32">
        <f>'Invoer Lokaal Type 4'!M9</f>
        <v>0</v>
      </c>
      <c r="W7" s="32">
        <v>1</v>
      </c>
      <c r="X7" s="32">
        <f>'Invoer Lokaal Type 4'!O9</f>
        <v>0</v>
      </c>
      <c r="Y7" s="312">
        <f>IF(C7=3,U7*7.5*X7/10000,IF(C7=2,U7*V7*X7/20000,0))</f>
        <v>0</v>
      </c>
      <c r="Z7" s="302">
        <f>IF($W7=2,$Y7,0)</f>
        <v>0</v>
      </c>
      <c r="AA7" s="302">
        <f>IF($W7=3,$Y7,0)</f>
        <v>0</v>
      </c>
      <c r="AB7" s="302">
        <f>IF($W7=4,$Y7,0)</f>
        <v>0</v>
      </c>
      <c r="AG7" s="32">
        <f>'Invoer Lokaal Type 4'!C15</f>
        <v>0</v>
      </c>
      <c r="AH7" s="32">
        <f>'Invoer Lokaal Type 4'!D15</f>
        <v>0</v>
      </c>
      <c r="AI7" s="32">
        <v>1</v>
      </c>
      <c r="AJ7" s="32">
        <f>'Invoer Lokaal Type 4'!F15</f>
        <v>0</v>
      </c>
      <c r="AK7" s="312">
        <f>IF(B12=3,AG7*7.5*AJ7/10000,IF(B12=2,AG7*AH7*AJ7/20000,AG7*AH7*AJ7/10000))</f>
        <v>0</v>
      </c>
      <c r="AL7" s="302">
        <f>IF($AI7=2,$AK7,0)</f>
        <v>0</v>
      </c>
      <c r="AM7" s="302">
        <f>IF($AI7=3,$AK7,0)</f>
        <v>0</v>
      </c>
      <c r="AN7" s="302">
        <f>IF($AI7=4,$AK7,0)</f>
        <v>0</v>
      </c>
      <c r="AS7" s="32">
        <f>'Invoer Lokaal Type 4'!L15</f>
        <v>0</v>
      </c>
      <c r="AT7" s="32">
        <f>'Invoer Lokaal Type 4'!M15</f>
        <v>0</v>
      </c>
      <c r="AU7" s="32">
        <v>1</v>
      </c>
      <c r="AV7" s="32">
        <f>'Invoer Lokaal Type 4'!O15</f>
        <v>0</v>
      </c>
      <c r="AW7" s="312">
        <f>IF(C12=3,AS7*7.5*AV7/10000,IF(C12=2,AS7*AT7*AV7/20000,AS7*AT7*AV7/10000))</f>
        <v>0</v>
      </c>
      <c r="AX7" s="302">
        <f>IF($AU7=2,$AW7,0)</f>
        <v>0</v>
      </c>
      <c r="AY7" s="302">
        <f>IF($AU7=3,$AW7,0)</f>
        <v>0</v>
      </c>
      <c r="AZ7" s="302">
        <f>IF($AU7=4,$AW7,0)</f>
        <v>0</v>
      </c>
    </row>
    <row r="8" spans="1:55" x14ac:dyDescent="0.2">
      <c r="A8" s="32" t="s">
        <v>696</v>
      </c>
      <c r="B8" s="32">
        <v>1</v>
      </c>
      <c r="C8" s="32">
        <v>1</v>
      </c>
      <c r="I8" s="32">
        <f>'Invoer Lokaal Type 4'!C10</f>
        <v>0</v>
      </c>
      <c r="J8" s="32">
        <f>'Invoer Lokaal Type 4'!D10</f>
        <v>0</v>
      </c>
      <c r="K8" s="32">
        <v>1</v>
      </c>
      <c r="L8" s="32">
        <f>'Invoer Lokaal Type 4'!F10</f>
        <v>0</v>
      </c>
      <c r="M8" s="312">
        <f>IF(B8=3,I8*7.5*L8/10000,IF(B8=2,I8*J8*L8/20000,0))</f>
        <v>0</v>
      </c>
      <c r="N8" s="305">
        <f>IF($K8=2,$M8,0)</f>
        <v>0</v>
      </c>
      <c r="O8" s="306">
        <f>IF($K8=3,$M8,0)</f>
        <v>0</v>
      </c>
      <c r="P8" s="307">
        <f>IF($K8=4,$M8,0)</f>
        <v>0</v>
      </c>
      <c r="U8" s="32">
        <f>'Invoer Lokaal Type 4'!L10</f>
        <v>0</v>
      </c>
      <c r="V8" s="32">
        <f>'Invoer Lokaal Type 4'!M10</f>
        <v>0</v>
      </c>
      <c r="W8" s="32">
        <v>1</v>
      </c>
      <c r="X8" s="32">
        <f>'Invoer Lokaal Type 4'!O10</f>
        <v>0</v>
      </c>
      <c r="Y8" s="312">
        <f>IF(C8=3,U8*7.5*X8/10000,IF(C8=2,U8*V8*X8/20000,0))</f>
        <v>0</v>
      </c>
      <c r="Z8" s="302">
        <f>IF($W8=2,$Y8,0)</f>
        <v>0</v>
      </c>
      <c r="AA8" s="302">
        <f>IF($W8=3,$Y8,0)</f>
        <v>0</v>
      </c>
      <c r="AB8" s="302">
        <f>IF($W8=4,$Y8,0)</f>
        <v>0</v>
      </c>
      <c r="AK8" s="312"/>
      <c r="AL8" s="305">
        <v>0</v>
      </c>
      <c r="AM8" s="306">
        <v>0</v>
      </c>
      <c r="AN8" s="307">
        <v>0</v>
      </c>
      <c r="AW8" s="312"/>
      <c r="AX8" s="302">
        <v>0</v>
      </c>
      <c r="AY8" s="302">
        <v>0</v>
      </c>
      <c r="AZ8" s="302">
        <v>0</v>
      </c>
    </row>
    <row r="9" spans="1:55" x14ac:dyDescent="0.2">
      <c r="A9" s="32" t="s">
        <v>697</v>
      </c>
      <c r="B9" s="32">
        <v>1</v>
      </c>
      <c r="C9" s="32">
        <v>1</v>
      </c>
      <c r="I9" s="32">
        <f>'Invoer Lokaal Type 4'!C11</f>
        <v>0</v>
      </c>
      <c r="J9" s="32">
        <f>'Invoer Lokaal Type 4'!D11</f>
        <v>0</v>
      </c>
      <c r="K9" s="32">
        <v>1</v>
      </c>
      <c r="L9" s="32">
        <f>'Invoer Lokaal Type 4'!F11</f>
        <v>0</v>
      </c>
      <c r="M9" s="312">
        <f>IF(B9=3,I9*7.5*L9/10000,IF(B9=2,I9*J9*L9/20000,0))</f>
        <v>0</v>
      </c>
      <c r="N9" s="305">
        <f>IF($K9=2,$M9,0)</f>
        <v>0</v>
      </c>
      <c r="O9" s="306">
        <f>IF($K9=3,$M9,0)</f>
        <v>0</v>
      </c>
      <c r="P9" s="307">
        <f>IF($K9=4,$M9,0)</f>
        <v>0</v>
      </c>
      <c r="U9" s="32">
        <f>'Invoer Lokaal Type 4'!L11</f>
        <v>0</v>
      </c>
      <c r="V9" s="32">
        <f>'Invoer Lokaal Type 4'!M11</f>
        <v>0</v>
      </c>
      <c r="W9" s="32">
        <v>1</v>
      </c>
      <c r="X9" s="32">
        <f>'Invoer Lokaal Type 4'!O11</f>
        <v>0</v>
      </c>
      <c r="Y9" s="312">
        <f>IF(C9=3,U9*7.5*X9/10000,IF(C9=2,U9*V9*X9/20000,0))</f>
        <v>0</v>
      </c>
      <c r="Z9" s="302">
        <f>IF($W9=2,$Y9,0)</f>
        <v>0</v>
      </c>
      <c r="AA9" s="302">
        <f>IF($W9=3,$Y9,0)</f>
        <v>0</v>
      </c>
      <c r="AB9" s="302">
        <f>IF($W9=4,$Y9,0)</f>
        <v>0</v>
      </c>
      <c r="AK9" s="312"/>
      <c r="AL9" s="305">
        <v>0</v>
      </c>
      <c r="AM9" s="306">
        <v>0</v>
      </c>
      <c r="AN9" s="307">
        <v>0</v>
      </c>
      <c r="AW9" s="312"/>
      <c r="AX9" s="302">
        <v>0</v>
      </c>
      <c r="AY9" s="302">
        <v>0</v>
      </c>
      <c r="AZ9" s="302">
        <v>0</v>
      </c>
    </row>
    <row r="10" spans="1:55" x14ac:dyDescent="0.2">
      <c r="A10" s="32" t="s">
        <v>174</v>
      </c>
      <c r="B10" s="32">
        <v>1</v>
      </c>
      <c r="C10" s="32">
        <v>1</v>
      </c>
      <c r="N10" s="308">
        <f>SUM(N5:N9)</f>
        <v>0</v>
      </c>
      <c r="O10" s="309">
        <f>SUM(O5:O9)</f>
        <v>0</v>
      </c>
      <c r="P10" s="310">
        <f>SUM(P5:P9)</f>
        <v>0</v>
      </c>
      <c r="R10" s="32">
        <f>IF(N10&gt;=O10,O10*3600+(N10-O10)*720+P10*720,N10*3600+(O10-N10)*720+P10*720)</f>
        <v>0</v>
      </c>
      <c r="S10" s="32" t="s">
        <v>115</v>
      </c>
      <c r="Z10" s="308">
        <f>SUM(Z5:Z9)</f>
        <v>0</v>
      </c>
      <c r="AA10" s="309">
        <f>SUM(AA5:AA9)</f>
        <v>0</v>
      </c>
      <c r="AB10" s="310">
        <f>SUM(AB5:AB9)</f>
        <v>0</v>
      </c>
      <c r="AD10" s="32">
        <f>IF((N10+Z10)&gt;=(O10+AA10),(O10+AA10)*3600+(Z10+N10-AA10-O10)*720+(P10+AB10)*720,(N10+Z10)*3600+(AA10+O10-Z10-N10)*720+(AB10+P10)*720)</f>
        <v>0</v>
      </c>
      <c r="AE10" s="32" t="s">
        <v>115</v>
      </c>
      <c r="AL10" s="308">
        <f>SUM(AL5:AL9)</f>
        <v>0</v>
      </c>
      <c r="AM10" s="309">
        <f>SUM(AM5:AM9)</f>
        <v>0</v>
      </c>
      <c r="AN10" s="310">
        <f>SUM(AN5:AN9)</f>
        <v>0</v>
      </c>
      <c r="AP10" s="32">
        <f>IF(AL10&gt;=AM10,AM10*3600+(AL10-AM10)*720+AN10*720,AL10*3600+(AM10-AL10)*720+AN10*720)</f>
        <v>0</v>
      </c>
      <c r="AQ10" s="32" t="s">
        <v>115</v>
      </c>
      <c r="AX10" s="308">
        <f>SUM(AX5:AX9)</f>
        <v>0</v>
      </c>
      <c r="AY10" s="309">
        <f>SUM(AY5:AY9)</f>
        <v>0</v>
      </c>
      <c r="AZ10" s="310">
        <f>SUM(AZ5:AZ9)</f>
        <v>0</v>
      </c>
      <c r="BB10" s="32">
        <f>IF((AL10+AX10)&gt;=(AM10+AY10),(AM10+AY10)*3600+(AX10+AL10-AY10-AM10)*720+(AN10+AZ10)*720,(AL10+AX10)*3600+(AY10+AM10-AX10-AL10)*720+(AZ10+AN10)*720)</f>
        <v>0</v>
      </c>
      <c r="BC10" s="32" t="s">
        <v>115</v>
      </c>
    </row>
    <row r="11" spans="1:55" x14ac:dyDescent="0.2">
      <c r="A11" s="32" t="s">
        <v>173</v>
      </c>
      <c r="B11" s="32">
        <v>1</v>
      </c>
      <c r="C11" s="32">
        <v>1</v>
      </c>
    </row>
    <row r="12" spans="1:55" x14ac:dyDescent="0.2">
      <c r="A12" s="32" t="s">
        <v>172</v>
      </c>
      <c r="B12" s="32">
        <v>1</v>
      </c>
      <c r="C12" s="32">
        <v>1</v>
      </c>
    </row>
    <row r="13" spans="1:55" x14ac:dyDescent="0.2">
      <c r="A13" s="32" t="s">
        <v>826</v>
      </c>
      <c r="B13" s="32">
        <v>1</v>
      </c>
      <c r="C13" s="32">
        <v>1</v>
      </c>
    </row>
    <row r="14" spans="1:55" x14ac:dyDescent="0.2">
      <c r="A14" s="32" t="s">
        <v>827</v>
      </c>
      <c r="B14" s="32">
        <v>1</v>
      </c>
      <c r="C14" s="32">
        <v>1</v>
      </c>
    </row>
    <row r="15" spans="1:55" x14ac:dyDescent="0.2">
      <c r="A15" s="32" t="s">
        <v>171</v>
      </c>
      <c r="B15" s="32">
        <v>1</v>
      </c>
      <c r="C15" s="32">
        <v>1</v>
      </c>
    </row>
    <row r="16" spans="1:55" x14ac:dyDescent="0.2">
      <c r="A16" s="32" t="s">
        <v>828</v>
      </c>
      <c r="B16" s="32">
        <v>3</v>
      </c>
      <c r="C16" s="32">
        <v>3</v>
      </c>
    </row>
    <row r="17" spans="1:16" x14ac:dyDescent="0.2">
      <c r="A17" s="32" t="s">
        <v>104</v>
      </c>
      <c r="B17" s="32">
        <v>1</v>
      </c>
      <c r="C17" s="32">
        <v>1</v>
      </c>
      <c r="F17" s="32">
        <v>1</v>
      </c>
    </row>
    <row r="18" spans="1:16" x14ac:dyDescent="0.2">
      <c r="A18" s="32" t="s">
        <v>103</v>
      </c>
      <c r="B18" s="32">
        <v>1</v>
      </c>
      <c r="C18" s="32">
        <v>1</v>
      </c>
    </row>
    <row r="19" spans="1:16" x14ac:dyDescent="0.2">
      <c r="A19" s="32" t="s">
        <v>135</v>
      </c>
      <c r="B19" s="32">
        <v>1</v>
      </c>
      <c r="C19" s="32">
        <v>1</v>
      </c>
      <c r="E19" s="32" t="s">
        <v>870</v>
      </c>
    </row>
    <row r="20" spans="1:16" x14ac:dyDescent="0.2">
      <c r="B20" s="639" t="s">
        <v>842</v>
      </c>
      <c r="C20" s="639"/>
      <c r="D20" s="639"/>
      <c r="E20" s="32" t="s">
        <v>843</v>
      </c>
      <c r="F20" s="32" t="s">
        <v>832</v>
      </c>
      <c r="G20" s="32" t="s">
        <v>176</v>
      </c>
      <c r="H20" s="32" t="s">
        <v>844</v>
      </c>
      <c r="I20" s="32" t="s">
        <v>644</v>
      </c>
      <c r="J20" s="32" t="s">
        <v>210</v>
      </c>
      <c r="K20" s="32" t="s">
        <v>209</v>
      </c>
      <c r="L20" s="32" t="s">
        <v>837</v>
      </c>
      <c r="M20" s="32" t="s">
        <v>838</v>
      </c>
      <c r="N20" s="32" t="s">
        <v>839</v>
      </c>
      <c r="O20" s="32" t="s">
        <v>841</v>
      </c>
      <c r="P20" s="32" t="s">
        <v>845</v>
      </c>
    </row>
    <row r="21" spans="1:16" x14ac:dyDescent="0.2">
      <c r="A21" s="33" t="s">
        <v>208</v>
      </c>
    </row>
    <row r="22" spans="1:16" x14ac:dyDescent="0.2">
      <c r="A22" s="32" t="s">
        <v>207</v>
      </c>
      <c r="I22" s="32" t="s">
        <v>206</v>
      </c>
      <c r="J22" s="32" t="s">
        <v>206</v>
      </c>
      <c r="K22" s="32" t="s">
        <v>206</v>
      </c>
    </row>
    <row r="23" spans="1:16" x14ac:dyDescent="0.2">
      <c r="A23" s="32" t="s">
        <v>205</v>
      </c>
      <c r="B23" s="32" t="str">
        <f>IF('binnenklimaatlabel type 4'!B2&lt;3,"C","B")</f>
        <v>C</v>
      </c>
      <c r="I23" s="32">
        <f>IF('binnenklimaatlabel type 4'!B5=2,'Invoer Lokaal Type 1'!G7,0)</f>
        <v>0</v>
      </c>
      <c r="J23" s="32">
        <f>I23</f>
        <v>0</v>
      </c>
      <c r="K23" s="32">
        <f>I23</f>
        <v>0</v>
      </c>
      <c r="P23" s="32" t="str">
        <f>IF('binnenklimaatlabel type 4'!C2&lt;3,"C","B")</f>
        <v>C</v>
      </c>
    </row>
    <row r="24" spans="1:16" x14ac:dyDescent="0.2">
      <c r="A24" s="32" t="s">
        <v>204</v>
      </c>
      <c r="B24" s="32" t="str">
        <f>IF('binnenklimaatlabel type 4'!B18=1,"nee","ja")</f>
        <v>nee</v>
      </c>
      <c r="I24" s="32">
        <f>IF('binnenklimaatlabel type 4'!B6=2,'Invoer Lokaal Type 1'!G8,0)</f>
        <v>0</v>
      </c>
      <c r="J24" s="32">
        <f>I24</f>
        <v>0</v>
      </c>
      <c r="K24" s="32">
        <f>I24</f>
        <v>0</v>
      </c>
      <c r="P24" s="32" t="str">
        <f>IF('binnenklimaatlabel type 4'!C18=1,"nee","ja")</f>
        <v>nee</v>
      </c>
    </row>
    <row r="25" spans="1:16" x14ac:dyDescent="0.2">
      <c r="A25" s="32" t="s">
        <v>203</v>
      </c>
      <c r="B25" s="32" t="str">
        <f>IF('binnenklimaatlabel type 4'!B18=2,"A",B23)</f>
        <v>C</v>
      </c>
      <c r="I25" s="32">
        <f>IF('binnenklimaatlabel type 4'!B7=2,'Invoer Lokaal Type 1'!G9,0)</f>
        <v>0</v>
      </c>
      <c r="J25" s="32">
        <f>I25</f>
        <v>0</v>
      </c>
      <c r="K25" s="32">
        <f>I25</f>
        <v>0</v>
      </c>
      <c r="P25" s="32" t="str">
        <f>IF('binnenklimaatlabel type 4'!C18=2,"A",P23)</f>
        <v>C</v>
      </c>
    </row>
    <row r="26" spans="1:16" x14ac:dyDescent="0.2">
      <c r="I26" s="32" t="s">
        <v>202</v>
      </c>
      <c r="J26" s="32" t="s">
        <v>202</v>
      </c>
      <c r="K26" s="32" t="s">
        <v>202</v>
      </c>
    </row>
    <row r="27" spans="1:16" x14ac:dyDescent="0.2">
      <c r="A27" s="32" t="s">
        <v>201</v>
      </c>
      <c r="B27" s="32" t="str">
        <f>IF('binnenklimaatlabel type 4'!B16=4,"nee",IF('binnenklimaatlabel type 4'!B15&lt;3,"ja",IF(AND('binnenklimaatlabel type 4'!B15=5,'binnenklimaatlabel type 4'!B16=1),"ja","nee")))</f>
        <v>ja</v>
      </c>
      <c r="I27" s="32">
        <f>10*'Invoer Lokaal Type 4'!$B$2-(I23+I24+I25)</f>
        <v>300</v>
      </c>
      <c r="J27" s="32">
        <f>15*'Invoer Lokaal Type 4'!$B$2-(J23+J24+J25)</f>
        <v>450</v>
      </c>
      <c r="K27" s="32">
        <f>20*'Invoer Lokaal Type 4'!$B$2-(K23+K24+K25)</f>
        <v>600</v>
      </c>
      <c r="M27" s="32" t="s">
        <v>37</v>
      </c>
      <c r="N27" s="32" t="str">
        <f>B27</f>
        <v>ja</v>
      </c>
      <c r="P27" s="32" t="str">
        <f>IF('binnenklimaatlabel type 4'!C16=4,"nee",IF('binnenklimaatlabel type 4'!C15&lt;3,"ja",IF(AND('binnenklimaatlabel type 4'!C15=5,'binnenklimaatlabel type 4'!C16=1),"ja","nee")))</f>
        <v>ja</v>
      </c>
    </row>
    <row r="28" spans="1:16" x14ac:dyDescent="0.2">
      <c r="A28" s="32" t="s">
        <v>200</v>
      </c>
      <c r="B28" s="32" t="str">
        <f>IF('binnenklimaatlabel type 4'!B17=1,"nee",IF('binnenklimaatlabel type 4'!B17&lt;6,"ja","nee"))</f>
        <v>nee</v>
      </c>
      <c r="M28" s="32" t="str">
        <f>B28</f>
        <v>nee</v>
      </c>
      <c r="N28" s="32" t="s">
        <v>37</v>
      </c>
      <c r="P28" s="32" t="str">
        <f>IF('binnenklimaatlabel type 4'!C17=1,"nee",IF('binnenklimaatlabel type 4'!C17&lt;6,"ja","nee"))</f>
        <v>nee</v>
      </c>
    </row>
    <row r="29" spans="1:16" x14ac:dyDescent="0.2">
      <c r="A29" s="32" t="s">
        <v>196</v>
      </c>
      <c r="B29" s="32" t="str">
        <f>IF(OR(B27="ja",B28="ja"),"ja","nee")</f>
        <v>ja</v>
      </c>
      <c r="M29" s="32" t="str">
        <f>IF(OR(M27="ja",M28="ja"),"ja","nee")</f>
        <v>nee</v>
      </c>
      <c r="N29" s="32" t="str">
        <f>IF(OR(N27="ja",N28="ja"),"ja","nee")</f>
        <v>ja</v>
      </c>
      <c r="P29" s="32" t="str">
        <f>IF(OR(P27="ja",P28="ja"),"ja","nee")</f>
        <v>ja</v>
      </c>
    </row>
    <row r="30" spans="1:16" x14ac:dyDescent="0.2">
      <c r="A30" s="32" t="s">
        <v>199</v>
      </c>
      <c r="B30" s="32" t="str">
        <f>IF('binnenklimaatlabel type 4'!B18=2,"A",IF(AND('binnenklimaatlabel type 4'!B29="ja",'binnenklimaatlabel type 4'!B25="B"),"C",IF(AND('binnenklimaatlabel type 4'!B29="ja",'binnenklimaatlabel type 4'!B25="C"),"D",'binnenklimaatlabel type 4'!B25)))</f>
        <v>D</v>
      </c>
      <c r="M30" s="32" t="str">
        <f>IF('binnenklimaatlabel type 4'!B18=2,"A",IF(AND('binnenklimaatlabel type 4'!M29="ja",'binnenklimaatlabel type 4'!B25="B"),"C",IF(AND('binnenklimaatlabel type 4'!M29="ja",'binnenklimaatlabel type 4'!B25="C"),"D",'binnenklimaatlabel type 4'!B25)))</f>
        <v>C</v>
      </c>
      <c r="N30" s="32" t="str">
        <f>IF('binnenklimaatlabel type 4'!B18=2,"A",IF(AND('binnenklimaatlabel type 4'!N29="ja",'binnenklimaatlabel type 4'!B25="B"),"C",IF(AND('binnenklimaatlabel type 4'!N29="ja",'binnenklimaatlabel type 4'!B25="C"),"D",'binnenklimaatlabel type 4'!B25)))</f>
        <v>D</v>
      </c>
      <c r="P30" s="32" t="str">
        <f>IF('binnenklimaatlabel type 4'!C18=2,"A",IF(AND('binnenklimaatlabel type 4'!P29="ja",'binnenklimaatlabel type 4'!P25="B"),"C",IF(AND('binnenklimaatlabel type 4'!P29="ja",'binnenklimaatlabel type 4'!P25="C"),"D",'binnenklimaatlabel type 4'!P25)))</f>
        <v>D</v>
      </c>
    </row>
    <row r="32" spans="1:16" x14ac:dyDescent="0.2">
      <c r="A32" s="32" t="s">
        <v>198</v>
      </c>
      <c r="B32" s="32" t="str">
        <f>IF('binnenklimaatlabel type 4'!B13&lt;5,"ja",IF(AND('binnenklimaatlabel type 4'!B13=7,'Invoer Lokaal Type 4'!B18&lt;551),"ja","nee"))</f>
        <v>ja</v>
      </c>
      <c r="G32" s="32" t="str">
        <f>B32</f>
        <v>ja</v>
      </c>
      <c r="I32" s="32" t="s">
        <v>37</v>
      </c>
      <c r="J32" s="32" t="s">
        <v>37</v>
      </c>
      <c r="K32" s="32" t="s">
        <v>37</v>
      </c>
      <c r="M32" s="32" t="str">
        <f>B32</f>
        <v>ja</v>
      </c>
      <c r="N32" s="32" t="str">
        <f>B32</f>
        <v>ja</v>
      </c>
      <c r="P32" s="32" t="str">
        <f>IF('binnenklimaatlabel type 4'!C13&lt;5,"ja",IF(AND('binnenklimaatlabel type 4'!C13=7,'Invoer Lokaal Type 4'!K18&lt;551),"ja","nee"))</f>
        <v>ja</v>
      </c>
    </row>
    <row r="33" spans="1:18" x14ac:dyDescent="0.2">
      <c r="A33" s="32" t="s">
        <v>197</v>
      </c>
      <c r="B33" s="32" t="str">
        <f>IF(('Invoer Lokaal Type 4'!G15)&gt;2000,"ja","nee")</f>
        <v>nee</v>
      </c>
      <c r="G33" s="32" t="s">
        <v>36</v>
      </c>
      <c r="I33" s="32" t="str">
        <f>B33</f>
        <v>nee</v>
      </c>
      <c r="J33" s="32" t="str">
        <f>B33</f>
        <v>nee</v>
      </c>
      <c r="K33" s="32" t="str">
        <f>B33</f>
        <v>nee</v>
      </c>
      <c r="M33" s="32" t="str">
        <f>B33</f>
        <v>nee</v>
      </c>
      <c r="N33" s="32" t="str">
        <f>B33</f>
        <v>nee</v>
      </c>
      <c r="P33" s="32" t="str">
        <f>IF('Invoer Lokaal Type 4'!P15&gt;2000,"ja","nee")</f>
        <v>nee</v>
      </c>
    </row>
    <row r="34" spans="1:18" x14ac:dyDescent="0.2">
      <c r="A34" s="32" t="s">
        <v>196</v>
      </c>
      <c r="B34" s="32" t="str">
        <f>IF('binnenklimaatlabel type 4'!B2&lt;3,"nee",IF(OR(B32="nee",B33="ja"),"nee","ja"))</f>
        <v>nee</v>
      </c>
      <c r="G34" s="32" t="str">
        <f>IF('binnenklimaatlabel type 4'!B2&lt;3,"nee",IF(OR(G32="nee",G33="ja"),"nee","ja"))</f>
        <v>nee</v>
      </c>
      <c r="I34" s="32" t="str">
        <f>IF('binnenklimaatlabel type 4'!B2&lt;3,"nee",IF(OR(I32="nee",I33="ja"),"nee","ja"))</f>
        <v>nee</v>
      </c>
      <c r="J34" s="32" t="str">
        <f>IF('binnenklimaatlabel type 4'!B2&lt;3,"nee",IF(OR(J32="nee",J33="ja"),"nee","ja"))</f>
        <v>nee</v>
      </c>
      <c r="K34" s="32" t="str">
        <f>IF('binnenklimaatlabel type 4'!B2&lt;3,"nee",IF(OR(K32="nee",K33="ja"),"nee","ja"))</f>
        <v>nee</v>
      </c>
      <c r="M34" s="32" t="str">
        <f>IF('binnenklimaatlabel type 4'!B2&lt;3,"nee",IF(OR(M32="nee",M33="ja"),"nee","ja"))</f>
        <v>nee</v>
      </c>
      <c r="N34" s="32" t="str">
        <f>IF('binnenklimaatlabel type 4'!B2&lt;3,"nee",IF(OR(N32="nee",N33="ja"),"nee","ja"))</f>
        <v>nee</v>
      </c>
      <c r="P34" s="32" t="str">
        <f>IF('binnenklimaatlabel type 4'!C2&lt;3,"nee",IF(OR(P32="nee",P33="ja"),"nee","ja"))</f>
        <v>nee</v>
      </c>
    </row>
    <row r="35" spans="1:18" x14ac:dyDescent="0.2">
      <c r="A35" s="32" t="s">
        <v>187</v>
      </c>
      <c r="B35" s="33" t="str">
        <f>IF('binnenklimaatlabel type 4'!B2&lt;3,B30,IF(AND(B34="ja",B30="B"),"C",IF(AND(B34="ja",B30="C"),"D",B30)))</f>
        <v>D</v>
      </c>
      <c r="F35" s="33"/>
      <c r="G35" s="33" t="str">
        <f>IF('binnenklimaatlabel type 4'!B2&lt;3,B30,IF(AND(G34="ja",B30="B"),"C",IF(AND(G34="ja",B30="C"),"D",B30)))</f>
        <v>D</v>
      </c>
      <c r="H35" s="33"/>
      <c r="I35" s="33" t="str">
        <f>IF('binnenklimaatlabel type 4'!B2&lt;3,B30,IF(AND(I34="ja",B30="B"),"C",IF(AND(I34="ja",B30="C"),"D",B30)))</f>
        <v>D</v>
      </c>
      <c r="J35" s="33" t="str">
        <f>IF('binnenklimaatlabel type 4'!B2&lt;3,B30,IF(AND(J34="ja",B30="B"),"C",IF(AND(J34="ja",B30="C"),"D",B30)))</f>
        <v>D</v>
      </c>
      <c r="K35" s="33" t="str">
        <f>IF('binnenklimaatlabel type 4'!B2&lt;3,B30,IF(AND(K34="ja",B30="B"),"C",IF(AND(K34="ja",B30="C"),"D",B30)))</f>
        <v>D</v>
      </c>
      <c r="M35" s="33" t="str">
        <f>IF('binnenklimaatlabel type 4'!B2&lt;3,B30,IF(AND(M34="ja",B30="B"),"C",IF(AND(M34="ja",B30="C"),"D",B30)))</f>
        <v>D</v>
      </c>
      <c r="N35" s="33" t="str">
        <f>IF('binnenklimaatlabel type 4'!B2&lt;3,B30,IF(AND(N34="ja",B30="B"),"C",IF(AND(N34="ja",B30="C"),"D",B30)))</f>
        <v>D</v>
      </c>
      <c r="P35" s="33" t="str">
        <f>IF('binnenklimaatlabel type 4'!C2&lt;3,P30,IF(AND(P34="ja",P30="B"),"C",IF(AND(P34="ja",P30="C"),"D",P30)))</f>
        <v>D</v>
      </c>
    </row>
    <row r="37" spans="1:18" x14ac:dyDescent="0.2">
      <c r="A37" s="33" t="s">
        <v>859</v>
      </c>
      <c r="C37" s="32">
        <f>IF('binnenklimaatlabel type 4'!B13=1,0,IF('binnenklimaatlabel type 4'!B13&lt;4,299,IF('binnenklimaatlabel type 4'!B13=4,10*'Invoer Lokaal Type 4'!B2+1,IF('binnenklimaatlabel type 4'!B13=5,15*'Invoer Lokaal Type 4'!B2+1,IF('binnenklimaatlabel type 4'!B13=6,'Invoer Lokaal Type 4'!B2*20+1,'Invoer Lokaal Type 4'!B18)))))</f>
        <v>0</v>
      </c>
      <c r="Q37" s="32">
        <f>IF('binnenklimaatlabel type 4'!C13=1,0,IF('binnenklimaatlabel type 4'!C13&lt;4,299,IF('binnenklimaatlabel type 4'!C13=4,10*'Invoer Lokaal Type 4'!B2+1,IF('binnenklimaatlabel type 4'!C13=5,15*'Invoer Lokaal Type 4'!B2+1,IF('binnenklimaatlabel type 4'!C13=6,20*'Invoer Lokaal Type 4'!B2+1,'Invoer Lokaal Type 4'!K18)))))</f>
        <v>0</v>
      </c>
    </row>
    <row r="38" spans="1:18" x14ac:dyDescent="0.2">
      <c r="A38" s="32" t="s">
        <v>194</v>
      </c>
      <c r="B38" s="32" t="str">
        <f>IF('binnenklimaatlabel type 4'!B2&gt;3,"ja","nee")</f>
        <v>nee</v>
      </c>
      <c r="C38" s="32">
        <f>IF(B2&gt;3,C37,0)</f>
        <v>0</v>
      </c>
      <c r="D38" s="32" t="s">
        <v>115</v>
      </c>
      <c r="F38" s="32">
        <f>C38</f>
        <v>0</v>
      </c>
      <c r="I38" s="32">
        <f>10*'Invoer Lokaal Type 4'!$B$2</f>
        <v>300</v>
      </c>
      <c r="J38" s="32">
        <f>15*'Invoer Lokaal Type 4'!$B$2</f>
        <v>450</v>
      </c>
      <c r="K38" s="32">
        <f>20*'Invoer Lokaal Type 4'!$B$2</f>
        <v>600</v>
      </c>
      <c r="L38" s="32">
        <f>C38</f>
        <v>0</v>
      </c>
      <c r="O38" s="32">
        <f>C38</f>
        <v>0</v>
      </c>
      <c r="P38" s="32" t="str">
        <f>IF('binnenklimaatlabel type 4'!C2&gt;3,"ja","nee")</f>
        <v>nee</v>
      </c>
      <c r="Q38" s="32">
        <f>IF($C$2&gt;3,Q37,0)</f>
        <v>0</v>
      </c>
      <c r="R38" s="32" t="s">
        <v>115</v>
      </c>
    </row>
    <row r="39" spans="1:18" x14ac:dyDescent="0.2">
      <c r="A39" s="32" t="s">
        <v>193</v>
      </c>
      <c r="B39" s="32" t="str">
        <f>IF('Invoer Lokaal Type 4'!G11&gt;0,"ja","nee")</f>
        <v>nee</v>
      </c>
      <c r="C39" s="32">
        <f>IF(AND($B$2=3,C37&gt;R10),C37,IF($B$2=4,0,$R$10))</f>
        <v>0</v>
      </c>
      <c r="D39" s="32" t="s">
        <v>115</v>
      </c>
      <c r="F39" s="32">
        <f>551-F38</f>
        <v>551</v>
      </c>
      <c r="I39" s="32">
        <f>C39</f>
        <v>0</v>
      </c>
      <c r="J39" s="32">
        <f>C39</f>
        <v>0</v>
      </c>
      <c r="K39" s="32">
        <f>C39</f>
        <v>0</v>
      </c>
      <c r="L39" s="32">
        <f>C39</f>
        <v>0</v>
      </c>
      <c r="O39" s="32">
        <f>C39</f>
        <v>0</v>
      </c>
      <c r="P39" s="32" t="str">
        <f>IF(('Invoer Lokaal Type 4'!P7+'Invoer Lokaal Type 4'!P8+'Invoer Lokaal Type 4'!P9)&gt;0,"ja","nee")</f>
        <v>nee</v>
      </c>
      <c r="Q39" s="32">
        <f>IF(AND($C$2=3,Q37&gt;AD10),Q37,IF($C$2=4,0,$AD$10))</f>
        <v>0</v>
      </c>
      <c r="R39" s="32" t="s">
        <v>115</v>
      </c>
    </row>
    <row r="40" spans="1:18" x14ac:dyDescent="0.2">
      <c r="A40" s="32" t="s">
        <v>192</v>
      </c>
      <c r="B40" s="32" t="str">
        <f>IF(('Invoer Lokaal Type 4'!G13+'Invoer Lokaal Type 4'!G14+'Invoer Lokaal Type 4'!G15)&gt;0,"ja","nee")</f>
        <v>nee</v>
      </c>
      <c r="C40" s="32">
        <f>'Invoer Lokaal Type 4'!G15</f>
        <v>0</v>
      </c>
      <c r="D40" s="32" t="s">
        <v>115</v>
      </c>
      <c r="F40" s="32">
        <f>C40</f>
        <v>0</v>
      </c>
      <c r="I40" s="32">
        <f>C40</f>
        <v>0</v>
      </c>
      <c r="J40" s="32">
        <f>C40</f>
        <v>0</v>
      </c>
      <c r="K40" s="32">
        <f>C40</f>
        <v>0</v>
      </c>
      <c r="L40" s="32">
        <f>C40</f>
        <v>0</v>
      </c>
      <c r="O40" s="32">
        <f>C40</f>
        <v>0</v>
      </c>
      <c r="P40" s="32" t="str">
        <f>IF(('Invoer Lokaal Type 4'!G15)&gt;0,"ja","nee")</f>
        <v>nee</v>
      </c>
      <c r="Q40" s="32">
        <f>'Invoer Lokaal Type 4'!G15</f>
        <v>0</v>
      </c>
      <c r="R40" s="32" t="s">
        <v>115</v>
      </c>
    </row>
    <row r="42" spans="1:18" x14ac:dyDescent="0.2">
      <c r="A42" s="32" t="s">
        <v>829</v>
      </c>
      <c r="B42" s="32" t="str">
        <f>IF(C38&gt;300,"A",IF(AND(C38&gt;0,(C38+C39)&gt;300),"B",IF(AND(C38&lt;300,(C38+C39)&lt;300,C40&gt;100),"D",IF(AND(C38=0,C39&gt;300,),"C",IF(AND(C39&lt;300,C40&gt;100),"D","C")))))</f>
        <v>C</v>
      </c>
      <c r="E42" s="32" t="str">
        <f>B42</f>
        <v>C</v>
      </c>
      <c r="F42" s="32" t="str">
        <f>IF(F38&gt;300,"A",IF(AND(F38&gt;0,(F38+F39)&gt;300),"B",IF(AND(F38&lt;300,(F38+F39)&lt;300,F40&gt;100),"D",IF(AND(F38=0,F39&gt;300,),"C",IF(AND(F39&lt;300,F40&gt;100),"D","C")))))</f>
        <v>C</v>
      </c>
      <c r="I42" s="32" t="str">
        <f>IF(I38&gt;300,"A",IF(AND(I38&gt;0,(I38+I39)&gt;300),"B",IF(AND(I38&lt;300,(I38+I39)&lt;300,I40&gt;100),"D",IF(AND(I38=0,I39&gt;300,),"C",IF(AND(I39&lt;300,I40&gt;100),"D","C")))))</f>
        <v>C</v>
      </c>
      <c r="J42" s="32" t="str">
        <f>IF(J38&gt;300,"A",IF(AND(J38&gt;0,(J38+J39)&gt;300),"B",IF(AND(J38&lt;300,(J38+J39)&lt;300,J40&gt;100),"D",IF(AND(J38=0,J39&gt;300,),"C",IF(AND(J39&lt;300,J40&gt;100),"D","C")))))</f>
        <v>A</v>
      </c>
      <c r="K42" s="32" t="str">
        <f>IF(K38&gt;300,"A",IF(AND(K38&gt;0,(K38+K39)&gt;300),"B",IF(AND(K38&lt;300,(K38+K39)&lt;300,K40&gt;100),"D",IF(AND(K38=0,K39&gt;300,),"C",IF(AND(K39&lt;300,K40&gt;100),"D","C")))))</f>
        <v>A</v>
      </c>
      <c r="L42" s="32" t="str">
        <f>B42</f>
        <v>C</v>
      </c>
      <c r="O42" s="32" t="str">
        <f>B42</f>
        <v>C</v>
      </c>
      <c r="P42" s="32" t="str">
        <f>IF(Q38&gt;300,"A",IF(AND(Q38&gt;0,(Q38+Q39)&gt;300),"B",IF(AND(Q38&lt;300,(Q38+Q39)&lt;300,Q40&gt;100),"D",IF(AND(Q38=0,Q39&gt;300,),"C",IF(AND(Q39&lt;300,Q40&gt;100),"D","C")))))</f>
        <v>C</v>
      </c>
    </row>
    <row r="43" spans="1:18" x14ac:dyDescent="0.2">
      <c r="A43" s="32" t="s">
        <v>829</v>
      </c>
      <c r="B43" s="32">
        <f>IF(B42="D",4,IF(B42="C",3,IF(B42="B",2,1)))</f>
        <v>3</v>
      </c>
      <c r="E43" s="32">
        <f>B43</f>
        <v>3</v>
      </c>
      <c r="F43" s="32">
        <f>IF(F42="D",4,IF(F42="C",3,IF(F42="B",2,1)))</f>
        <v>3</v>
      </c>
      <c r="I43" s="32">
        <f>IF(I42="D",4,IF(I42="C",3,IF(I42="B",2,1)))</f>
        <v>3</v>
      </c>
      <c r="J43" s="32">
        <f>IF(J42="D",4,IF(J42="C",3,IF(J42="B",2,1)))</f>
        <v>1</v>
      </c>
      <c r="K43" s="32">
        <f>IF(K42="D",4,IF(K42="C",3,IF(K42="B",2,1)))</f>
        <v>1</v>
      </c>
      <c r="L43" s="32">
        <f>B43</f>
        <v>3</v>
      </c>
      <c r="O43" s="32">
        <f>B43</f>
        <v>3</v>
      </c>
      <c r="P43" s="32">
        <f>IF(P42="D",4,IF(P42="C",3,IF(P42="B",2,1)))</f>
        <v>3</v>
      </c>
    </row>
    <row r="44" spans="1:18" x14ac:dyDescent="0.2">
      <c r="A44" s="32" t="s">
        <v>830</v>
      </c>
      <c r="B44" s="32">
        <f>IF(AND('binnenklimaatlabel type 4'!B2&lt;4,'binnenklimaatlabel type 4'!B4&gt;1),1,0)</f>
        <v>0</v>
      </c>
      <c r="E44" s="32">
        <v>1</v>
      </c>
      <c r="F44" s="32">
        <f>B44</f>
        <v>0</v>
      </c>
      <c r="I44" s="32">
        <f>B44</f>
        <v>0</v>
      </c>
      <c r="J44" s="32">
        <f>B44</f>
        <v>0</v>
      </c>
      <c r="K44" s="32">
        <f>B44</f>
        <v>0</v>
      </c>
      <c r="L44" s="32">
        <f>B44</f>
        <v>0</v>
      </c>
      <c r="O44" s="32">
        <f>B44</f>
        <v>0</v>
      </c>
      <c r="P44" s="32">
        <f>IF(AND('binnenklimaatlabel type 4'!C2&lt;4,'binnenklimaatlabel type 4'!C4&gt;1),1,0)</f>
        <v>0</v>
      </c>
    </row>
    <row r="45" spans="1:18" x14ac:dyDescent="0.2">
      <c r="A45" s="32" t="s">
        <v>191</v>
      </c>
      <c r="B45" s="32">
        <f>IF('binnenklimaatlabel type 4'!B19=1,-1,IF(OR('binnenklimaatlabel type 4'!B19=2,'binnenklimaatlabel type 4'!B19=3),0,1))</f>
        <v>-1</v>
      </c>
      <c r="E45" s="32">
        <f>B45</f>
        <v>-1</v>
      </c>
      <c r="F45" s="32">
        <f>B45</f>
        <v>-1</v>
      </c>
      <c r="I45" s="32">
        <f>B45</f>
        <v>-1</v>
      </c>
      <c r="J45" s="32">
        <f>B45</f>
        <v>-1</v>
      </c>
      <c r="K45" s="32">
        <f>B45</f>
        <v>-1</v>
      </c>
      <c r="L45" s="32">
        <f>B45</f>
        <v>-1</v>
      </c>
      <c r="O45" s="32">
        <f>IF('binnenklimaatlabel type 4'!F17=1,'binnenklimaatlabel type 4'!B45,IF('binnenklimaatlabel type 4'!F17=2,0,1))</f>
        <v>-1</v>
      </c>
      <c r="P45" s="32">
        <f>IF('binnenklimaatlabel type 4'!C19=1,-1,IF(OR('binnenklimaatlabel type 4'!C19=2,'binnenklimaatlabel type 4'!C19=3),0,1))</f>
        <v>-1</v>
      </c>
    </row>
    <row r="46" spans="1:18" x14ac:dyDescent="0.2">
      <c r="A46" s="32" t="s">
        <v>190</v>
      </c>
      <c r="B46" s="32">
        <f>IF('binnenklimaatlabel type 4'!B14=1,-1,IF('binnenklimaatlabel type 4'!B14=2,0,1))</f>
        <v>-1</v>
      </c>
      <c r="E46" s="32">
        <f>B46</f>
        <v>-1</v>
      </c>
      <c r="F46" s="32">
        <f>B46</f>
        <v>-1</v>
      </c>
      <c r="I46" s="32">
        <f>B46</f>
        <v>-1</v>
      </c>
      <c r="J46" s="32">
        <f>B46</f>
        <v>-1</v>
      </c>
      <c r="K46" s="32">
        <f>B46</f>
        <v>-1</v>
      </c>
      <c r="L46" s="32">
        <v>1</v>
      </c>
      <c r="O46" s="32">
        <f>B46</f>
        <v>-1</v>
      </c>
      <c r="P46" s="32">
        <f>IF('binnenklimaatlabel type 4'!C14=1,-1,IF('binnenklimaatlabel type 4'!C14=2,0,1))</f>
        <v>-1</v>
      </c>
    </row>
    <row r="47" spans="1:18" x14ac:dyDescent="0.2">
      <c r="A47" s="32" t="s">
        <v>189</v>
      </c>
      <c r="B47" s="32">
        <f>IF((B44+B45+B46)&gt;0,1,IF((B44+B45+B46)&lt;0,-1,0))</f>
        <v>-1</v>
      </c>
      <c r="E47" s="32">
        <f>IF((E44+E45+E46)&gt;0,1,IF((E44+E45+E46)&lt;0,-1,0))</f>
        <v>-1</v>
      </c>
      <c r="F47" s="32">
        <f>IF((F44+F45+F46)&gt;0,1,IF((F44+F45+F46)&lt;0,-1,0))</f>
        <v>-1</v>
      </c>
      <c r="I47" s="32">
        <f>IF((I44+I45+I46)&gt;0,1,IF((I44+I45+I46)&lt;0,-1,0))</f>
        <v>-1</v>
      </c>
      <c r="J47" s="32">
        <f>IF((J44+J45+J46)&gt;0,1,IF((J44+J45+J46)&lt;0,-1,0))</f>
        <v>-1</v>
      </c>
      <c r="K47" s="32">
        <f>IF((K44+K45+K46)&gt;0,1,IF((K44+K45+K46)&lt;0,-1,0))</f>
        <v>-1</v>
      </c>
      <c r="L47" s="32">
        <f>IF((L44+L45+L46)&gt;0,1,IF((L44+L45+L46)&lt;0,-1,0))</f>
        <v>0</v>
      </c>
      <c r="O47" s="32">
        <f>IF((O44+O45+O46)&gt;0,1,IF((O44+O45+O46)&lt;0,-1,0))</f>
        <v>-1</v>
      </c>
      <c r="P47" s="32">
        <f>IF((P44+P45+P46)&gt;0,1,IF((P44+P45+P46)&lt;0,-1,0))</f>
        <v>-1</v>
      </c>
    </row>
    <row r="48" spans="1:18" x14ac:dyDescent="0.2">
      <c r="A48" s="32" t="s">
        <v>187</v>
      </c>
      <c r="B48" s="32">
        <f>B43-B47</f>
        <v>4</v>
      </c>
      <c r="E48" s="32">
        <f>E43-E47</f>
        <v>4</v>
      </c>
      <c r="F48" s="32">
        <f>F43-F47</f>
        <v>4</v>
      </c>
      <c r="I48" s="32">
        <f>I43-I47</f>
        <v>4</v>
      </c>
      <c r="J48" s="32">
        <f>J43-J47</f>
        <v>2</v>
      </c>
      <c r="K48" s="32">
        <f>K43-K47</f>
        <v>2</v>
      </c>
      <c r="L48" s="32">
        <f>L43-L47</f>
        <v>3</v>
      </c>
      <c r="O48" s="32">
        <f>O43-O47</f>
        <v>4</v>
      </c>
      <c r="P48" s="32">
        <f>P43-P47</f>
        <v>4</v>
      </c>
    </row>
    <row r="49" spans="1:16" x14ac:dyDescent="0.2">
      <c r="A49" s="32" t="s">
        <v>187</v>
      </c>
      <c r="B49" s="33" t="str">
        <f>IF(B48&gt;3,"D",IF(B48=3,"C",IF(B48=2,"B","A")))</f>
        <v>D</v>
      </c>
      <c r="C49" s="33"/>
      <c r="D49" s="33"/>
      <c r="E49" s="33" t="str">
        <f>IF(E48&gt;3,"D",IF(E48=3,"C",IF(E48=2,"B","A")))</f>
        <v>D</v>
      </c>
      <c r="F49" s="33" t="str">
        <f>IF(F48&gt;3,"D",IF(F48=3,"C",IF(F48=2,"B","A")))</f>
        <v>D</v>
      </c>
      <c r="I49" s="33" t="str">
        <f>IF(I48&gt;3,"D",IF(I48=3,"C",IF(I48=2,"B","A")))</f>
        <v>D</v>
      </c>
      <c r="J49" s="33" t="str">
        <f>IF(J48&gt;3,"D",IF(J48=3,"C",IF(J48=2,"B","A")))</f>
        <v>B</v>
      </c>
      <c r="K49" s="33" t="str">
        <f>IF(K48&gt;3,"D",IF(K48=3,"C",IF(K48=2,"B","A")))</f>
        <v>B</v>
      </c>
      <c r="L49" s="33" t="str">
        <f>IF(L48&gt;3,"D",IF(L48=3,"C",IF(L48=2,"B","A")))</f>
        <v>C</v>
      </c>
      <c r="O49" s="33" t="str">
        <f>IF(O48&gt;3,"D",IF(O48=3,"C",IF(O48=2,"B","A")))</f>
        <v>D</v>
      </c>
      <c r="P49" s="33" t="str">
        <f>IF(P48&gt;3,"D",IF(P48=3,"C",IF(P48=2,"B","A")))</f>
        <v>D</v>
      </c>
    </row>
    <row r="51" spans="1:16" x14ac:dyDescent="0.2">
      <c r="A51" s="33" t="s">
        <v>873</v>
      </c>
    </row>
    <row r="52" spans="1:16" x14ac:dyDescent="0.2">
      <c r="A52" s="32" t="s">
        <v>188</v>
      </c>
      <c r="B52" s="32" t="str">
        <f>IF((C38+C39)&gt;43.2*'Invoer Lokaal Type 4'!$B$2,"A",IF(AND((C38+C39)&lt;=43.2*'Invoer Lokaal Type 4'!$B$2,(C38+C39)&gt;30.6*'Invoer Lokaal Type 4'!$B$2),"B",IF(AND((C38+C39)&lt;=30.6*'Invoer Lokaal Type 4'!$B$2,(C38+C39)&gt;21.6*'Invoer Lokaal Type 4'!$B$2),"C","D")))</f>
        <v>D</v>
      </c>
      <c r="F52" s="32" t="str">
        <f>IF((F38+F39)&gt;43.2*'Invoer Lokaal Type 4'!$B$2,"A",IF(AND((F38+F39)&lt;=43.2*'Invoer Lokaal Type 4'!$B$2,(F38+F39)&gt;30.6*'Invoer Lokaal Type 4'!$B$2),"B",IF(AND((F38+F39)&lt;=30.6*'Invoer Lokaal Type 4'!$B$2,(F38+F39)&gt;21.6*'Invoer Lokaal Type 4'!$B$2),"C","D")))</f>
        <v>D</v>
      </c>
      <c r="G52" s="32" t="str">
        <f>B52</f>
        <v>D</v>
      </c>
      <c r="I52" s="32" t="str">
        <f>IF((I38+I39)&gt;43.2*'Invoer Lokaal Type 4'!$B$2,"A",IF(AND((I38+I39)&lt;=43.2*'Invoer Lokaal Type 4'!$B$2,(I38+I39)&gt;30.6*'Invoer Lokaal Type 4'!$B$2),"B",IF(AND((I38+I39)&lt;=30.6*'Invoer Lokaal Type 4'!$B$2,(I38+I39)&gt;21.6*'Invoer Lokaal Type 4'!$B$2),"C","D")))</f>
        <v>D</v>
      </c>
      <c r="J52" s="32" t="str">
        <f>IF((J38+J39)&gt;43.2*'Invoer Lokaal Type 4'!$B$2,"A",IF(AND((J38+J39)&lt;=43.2*'Invoer Lokaal Type 4'!$B$2,(J38+J39)&gt;30.6*'Invoer Lokaal Type 4'!$B$2),"B",IF(AND((J38+J39)&lt;=30.6*'Invoer Lokaal Type 4'!$B$2,(J38+J39)&gt;21.6*'Invoer Lokaal Type 4'!$B$2),"C","D")))</f>
        <v>D</v>
      </c>
      <c r="K52" s="32" t="str">
        <f>IF((K38+K39)&gt;43.2*'Invoer Lokaal Type 4'!$B$2,"A",IF(AND((K38+K39)&lt;=43.2*'Invoer Lokaal Type 4'!$B$2,(K38+K39)&gt;30.6*'Invoer Lokaal Type 4'!$B$2),"B",IF(AND((K38+K39)&lt;=30.6*'Invoer Lokaal Type 4'!$B$2,(K38+K39)&gt;21.6*'Invoer Lokaal Type 4'!$B$2),"C","D")))</f>
        <v>D</v>
      </c>
      <c r="P52" s="32" t="str">
        <f>IF((Q38+Q39)&gt;43.2*'Invoer Lokaal Type 4'!$B$2,"A",IF(AND((Q38+Q39)&lt;=43.2*'Invoer Lokaal Type 4'!$B$2,(Q38+Q39)&gt;30.6*'Invoer Lokaal Type 4'!$B$2),"B",IF(AND((Q38+Q39)&lt;=30.6*'Invoer Lokaal Type 4'!$B$2,(Q38+Q39)&gt;21.6*'Invoer Lokaal Type 4'!$B$2),"C","D")))</f>
        <v>D</v>
      </c>
    </row>
    <row r="56" spans="1:16" x14ac:dyDescent="0.2">
      <c r="B56" s="33"/>
      <c r="F56" s="33"/>
      <c r="G56" s="33"/>
      <c r="H56" s="33"/>
      <c r="I56" s="33"/>
      <c r="J56" s="33"/>
      <c r="K56" s="33"/>
      <c r="P56" s="33"/>
    </row>
    <row r="59" spans="1:16" x14ac:dyDescent="0.2">
      <c r="A59" s="32" t="s">
        <v>831</v>
      </c>
      <c r="B59" s="32" t="s">
        <v>186</v>
      </c>
      <c r="C59" s="32" t="s">
        <v>185</v>
      </c>
      <c r="D59" s="32" t="s">
        <v>89</v>
      </c>
      <c r="E59" s="32" t="s">
        <v>184</v>
      </c>
      <c r="F59" s="32" t="s">
        <v>56</v>
      </c>
    </row>
    <row r="60" spans="1:16" x14ac:dyDescent="0.2">
      <c r="A60" s="32" t="s">
        <v>180</v>
      </c>
      <c r="B60" s="32" t="str">
        <f>B35</f>
        <v>D</v>
      </c>
      <c r="C60" s="32" t="str">
        <f>E49</f>
        <v>D</v>
      </c>
      <c r="D60" s="32" t="str">
        <f>B52</f>
        <v>D</v>
      </c>
      <c r="E60" s="32" t="str">
        <f>IF('Invoer Lokaal Type 4'!I5="geen","nee","ja")</f>
        <v>nee</v>
      </c>
      <c r="F60" s="32" t="str">
        <f>'Invoer Lokaal Type 4'!J5</f>
        <v>Low-budget</v>
      </c>
    </row>
    <row r="61" spans="1:16" x14ac:dyDescent="0.2">
      <c r="A61" s="32" t="s">
        <v>832</v>
      </c>
      <c r="B61" s="32" t="str">
        <f>B35</f>
        <v>D</v>
      </c>
      <c r="C61" s="32" t="str">
        <f>F49</f>
        <v>D</v>
      </c>
      <c r="D61" s="32" t="str">
        <f>F52</f>
        <v>D</v>
      </c>
      <c r="E61" s="32" t="str">
        <f>IF('binnenklimaatlabel type 4'!F5=1,"nee","ja")</f>
        <v>nee</v>
      </c>
      <c r="F61" s="32">
        <f>'Invoer Lokaal Type 4'!J7</f>
        <v>0</v>
      </c>
    </row>
    <row r="62" spans="1:16" x14ac:dyDescent="0.2">
      <c r="A62" s="32" t="s">
        <v>176</v>
      </c>
      <c r="B62" s="32" t="str">
        <f>G35</f>
        <v>D</v>
      </c>
      <c r="C62" s="32" t="str">
        <f>B49</f>
        <v>D</v>
      </c>
      <c r="D62" s="32" t="str">
        <f>G52</f>
        <v>D</v>
      </c>
      <c r="E62" s="32" t="str">
        <f>IF('binnenklimaatlabel type 4'!F6=1,"nee","ja")</f>
        <v>nee</v>
      </c>
      <c r="F62" s="32">
        <f>'Invoer Lokaal Type 4'!J13</f>
        <v>0</v>
      </c>
    </row>
    <row r="63" spans="1:16" x14ac:dyDescent="0.2">
      <c r="A63" s="32" t="s">
        <v>833</v>
      </c>
      <c r="F63" s="32">
        <f>'Invoer Lokaal Type 4'!J16</f>
        <v>3000</v>
      </c>
    </row>
    <row r="64" spans="1:16" x14ac:dyDescent="0.2">
      <c r="A64" s="32" t="s">
        <v>834</v>
      </c>
      <c r="B64" s="32" t="str">
        <f>I35</f>
        <v>D</v>
      </c>
      <c r="C64" s="32" t="str">
        <f>I49</f>
        <v>D</v>
      </c>
      <c r="D64" s="32" t="str">
        <f>I52</f>
        <v>D</v>
      </c>
      <c r="E64" s="32" t="str">
        <f>IF('Invoer Lokaal Type 4'!J18="n.v.t.","nee","ja")</f>
        <v>ja</v>
      </c>
      <c r="F64" s="32">
        <f>'Invoer Lokaal Type 4'!J18</f>
        <v>9000</v>
      </c>
    </row>
    <row r="65" spans="1:6" x14ac:dyDescent="0.2">
      <c r="A65" s="32" t="s">
        <v>835</v>
      </c>
      <c r="B65" s="32" t="str">
        <f>J35</f>
        <v>D</v>
      </c>
      <c r="C65" s="32" t="str">
        <f>J49</f>
        <v>B</v>
      </c>
      <c r="D65" s="32" t="str">
        <f>J52</f>
        <v>D</v>
      </c>
      <c r="E65" s="32" t="str">
        <f>IF('Invoer Lokaal Type 4'!J19="n.v.t.","nee","ja")</f>
        <v>ja</v>
      </c>
      <c r="F65" s="32">
        <f>'Invoer Lokaal Type 4'!J19</f>
        <v>10000</v>
      </c>
    </row>
    <row r="66" spans="1:6" x14ac:dyDescent="0.2">
      <c r="A66" s="32" t="s">
        <v>836</v>
      </c>
      <c r="B66" s="32" t="str">
        <f>K35</f>
        <v>D</v>
      </c>
      <c r="C66" s="32" t="str">
        <f>K49</f>
        <v>B</v>
      </c>
      <c r="D66" s="32" t="str">
        <f>K52</f>
        <v>D</v>
      </c>
      <c r="E66" s="32" t="str">
        <f>IF('Invoer Lokaal Type 4'!J20="n.v.t.","nee","ja")</f>
        <v>ja</v>
      </c>
      <c r="F66" s="32">
        <f>'Invoer Lokaal Type 4'!J20</f>
        <v>12000</v>
      </c>
    </row>
    <row r="67" spans="1:6" x14ac:dyDescent="0.2">
      <c r="A67" s="32" t="s">
        <v>837</v>
      </c>
      <c r="B67" s="32" t="str">
        <f>B35</f>
        <v>D</v>
      </c>
      <c r="C67" s="32" t="str">
        <f>L49</f>
        <v>C</v>
      </c>
      <c r="D67" s="32" t="str">
        <f>B52</f>
        <v>D</v>
      </c>
      <c r="E67" s="32" t="str">
        <f>IF('Invoer Lokaal Type 4'!J22&gt;0,"ja","nee")</f>
        <v>nee</v>
      </c>
      <c r="F67" s="32">
        <f>'Invoer Lokaal Type 4'!J21</f>
        <v>0</v>
      </c>
    </row>
    <row r="68" spans="1:6" x14ac:dyDescent="0.2">
      <c r="A68" s="32" t="s">
        <v>838</v>
      </c>
      <c r="B68" s="32" t="str">
        <f>M35</f>
        <v>D</v>
      </c>
      <c r="C68" s="32" t="str">
        <f>B49</f>
        <v>D</v>
      </c>
      <c r="D68" s="32" t="str">
        <f>B52</f>
        <v>D</v>
      </c>
      <c r="E68" s="32" t="str">
        <f>IF('Invoer Lokaal Type 4'!J22&gt;0,"ja","nee")</f>
        <v>nee</v>
      </c>
      <c r="F68" s="32">
        <f>'Invoer Lokaal Type 4'!J22</f>
        <v>0</v>
      </c>
    </row>
    <row r="69" spans="1:6" x14ac:dyDescent="0.2">
      <c r="A69" s="32" t="s">
        <v>839</v>
      </c>
      <c r="B69" s="32" t="str">
        <f>N35</f>
        <v>D</v>
      </c>
      <c r="C69" s="32" t="str">
        <f>B49</f>
        <v>D</v>
      </c>
      <c r="D69" s="32" t="str">
        <f>B52</f>
        <v>D</v>
      </c>
      <c r="E69" s="32" t="str">
        <f>IF('Invoer Lokaal Type 4'!J24="n.b.","ja","nee")</f>
        <v>nee</v>
      </c>
      <c r="F69" s="32" t="str">
        <f>'Invoer Lokaal Type 4'!J24</f>
        <v>zie E*</v>
      </c>
    </row>
    <row r="70" spans="1:6" x14ac:dyDescent="0.2">
      <c r="A70" s="32" t="s">
        <v>869</v>
      </c>
      <c r="B70" s="32" t="s">
        <v>183</v>
      </c>
      <c r="C70" s="32" t="str">
        <f>B49</f>
        <v>D</v>
      </c>
      <c r="D70" s="32" t="str">
        <f>B52</f>
        <v>D</v>
      </c>
      <c r="E70" s="32" t="str">
        <f>IF('Invoer Lokaal Type 4'!J25&gt;0,"ja","nee")</f>
        <v>ja</v>
      </c>
      <c r="F70" s="32">
        <f>'Invoer Lokaal Type 4'!J25</f>
        <v>3500</v>
      </c>
    </row>
    <row r="71" spans="1:6" x14ac:dyDescent="0.2">
      <c r="A71" s="32" t="s">
        <v>841</v>
      </c>
      <c r="B71" s="32" t="str">
        <f>B35</f>
        <v>D</v>
      </c>
      <c r="C71" s="32" t="str">
        <f>O49</f>
        <v>D</v>
      </c>
      <c r="D71" s="32" t="str">
        <f>B52</f>
        <v>D</v>
      </c>
      <c r="E71" s="32" t="str">
        <f>IF('Invoer Lokaal Type 4'!J27="n.b.","ja","nee")</f>
        <v>nee</v>
      </c>
      <c r="F71" s="32" t="str">
        <f>'Invoer Lokaal Type 4'!J27</f>
        <v>zie E*</v>
      </c>
    </row>
  </sheetData>
  <mergeCells count="1">
    <mergeCell ref="B20:D20"/>
  </mergeCells>
  <phoneticPr fontId="0" type="noConversion"/>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1:G85"/>
  <sheetViews>
    <sheetView topLeftCell="A46" workbookViewId="0">
      <selection activeCell="D73" sqref="D73"/>
    </sheetView>
  </sheetViews>
  <sheetFormatPr defaultRowHeight="11.25" x14ac:dyDescent="0.2"/>
  <cols>
    <col min="1" max="1" width="9.140625" style="32"/>
    <col min="2" max="2" width="38" style="32" customWidth="1"/>
    <col min="3" max="3" width="12.140625" style="32" customWidth="1"/>
    <col min="4" max="4" width="19.42578125" style="32" customWidth="1"/>
    <col min="5" max="5" width="9.140625" style="32"/>
    <col min="6" max="6" width="27.42578125" style="32" customWidth="1"/>
    <col min="7" max="16384" width="9.140625" style="32"/>
  </cols>
  <sheetData>
    <row r="21" spans="2:6" x14ac:dyDescent="0.2">
      <c r="B21" s="32" t="s">
        <v>95</v>
      </c>
      <c r="D21" s="32" t="s">
        <v>878</v>
      </c>
      <c r="F21" s="32" t="s">
        <v>825</v>
      </c>
    </row>
    <row r="22" spans="2:6" x14ac:dyDescent="0.2">
      <c r="B22" s="32" t="s">
        <v>168</v>
      </c>
      <c r="D22" s="32" t="s">
        <v>158</v>
      </c>
      <c r="F22" s="32" t="s">
        <v>37</v>
      </c>
    </row>
    <row r="23" spans="2:6" x14ac:dyDescent="0.2">
      <c r="B23" s="32" t="s">
        <v>167</v>
      </c>
      <c r="D23" s="32" t="s">
        <v>166</v>
      </c>
      <c r="F23" s="32" t="s">
        <v>213</v>
      </c>
    </row>
    <row r="24" spans="2:6" x14ac:dyDescent="0.2">
      <c r="B24" s="32" t="s">
        <v>165</v>
      </c>
      <c r="D24" s="32" t="s">
        <v>164</v>
      </c>
      <c r="F24" s="32" t="s">
        <v>211</v>
      </c>
    </row>
    <row r="25" spans="2:6" x14ac:dyDescent="0.2">
      <c r="B25" s="32" t="s">
        <v>163</v>
      </c>
      <c r="F25" s="32" t="s">
        <v>212</v>
      </c>
    </row>
    <row r="26" spans="2:6" x14ac:dyDescent="0.2">
      <c r="B26" s="32" t="s">
        <v>162</v>
      </c>
      <c r="F26" s="32" t="s">
        <v>214</v>
      </c>
    </row>
    <row r="27" spans="2:6" x14ac:dyDescent="0.2">
      <c r="B27" s="32" t="s">
        <v>161</v>
      </c>
    </row>
    <row r="29" spans="2:6" x14ac:dyDescent="0.2">
      <c r="B29" s="32" t="s">
        <v>160</v>
      </c>
      <c r="D29" s="32" t="s">
        <v>879</v>
      </c>
    </row>
    <row r="30" spans="2:6" x14ac:dyDescent="0.2">
      <c r="B30" s="32" t="s">
        <v>85</v>
      </c>
      <c r="D30" s="32" t="s">
        <v>158</v>
      </c>
    </row>
    <row r="31" spans="2:6" x14ac:dyDescent="0.2">
      <c r="B31" s="32" t="s">
        <v>157</v>
      </c>
      <c r="D31" s="32" t="s">
        <v>880</v>
      </c>
    </row>
    <row r="32" spans="2:6" x14ac:dyDescent="0.2">
      <c r="B32" s="32" t="s">
        <v>156</v>
      </c>
      <c r="D32" s="32" t="s">
        <v>881</v>
      </c>
    </row>
    <row r="37" spans="2:7" x14ac:dyDescent="0.2">
      <c r="B37" s="32" t="s">
        <v>159</v>
      </c>
      <c r="D37" s="32" t="s">
        <v>882</v>
      </c>
      <c r="G37" s="32" t="s">
        <v>687</v>
      </c>
    </row>
    <row r="38" spans="2:7" x14ac:dyDescent="0.2">
      <c r="B38" s="32" t="s">
        <v>85</v>
      </c>
      <c r="D38" s="32" t="s">
        <v>158</v>
      </c>
      <c r="G38" s="32" t="s">
        <v>688</v>
      </c>
    </row>
    <row r="39" spans="2:7" x14ac:dyDescent="0.2">
      <c r="B39" s="32" t="s">
        <v>157</v>
      </c>
      <c r="D39" s="32" t="s">
        <v>880</v>
      </c>
      <c r="G39" s="32" t="s">
        <v>689</v>
      </c>
    </row>
    <row r="40" spans="2:7" x14ac:dyDescent="0.2">
      <c r="B40" s="32" t="s">
        <v>1029</v>
      </c>
      <c r="D40" s="32" t="s">
        <v>881</v>
      </c>
    </row>
    <row r="41" spans="2:7" x14ac:dyDescent="0.2">
      <c r="B41" s="32" t="s">
        <v>1030</v>
      </c>
    </row>
    <row r="42" spans="2:7" x14ac:dyDescent="0.2">
      <c r="B42" s="32" t="s">
        <v>155</v>
      </c>
    </row>
    <row r="44" spans="2:7" x14ac:dyDescent="0.2">
      <c r="B44" s="32" t="s">
        <v>826</v>
      </c>
    </row>
    <row r="45" spans="2:7" x14ac:dyDescent="0.2">
      <c r="B45" s="32" t="s">
        <v>91</v>
      </c>
    </row>
    <row r="46" spans="2:7" x14ac:dyDescent="0.2">
      <c r="B46" s="32" t="s">
        <v>154</v>
      </c>
    </row>
    <row r="47" spans="2:7" x14ac:dyDescent="0.2">
      <c r="B47" s="32" t="s">
        <v>700</v>
      </c>
    </row>
    <row r="48" spans="2:7" x14ac:dyDescent="0.2">
      <c r="B48" s="32" t="s">
        <v>701</v>
      </c>
    </row>
    <row r="49" spans="2:3" x14ac:dyDescent="0.2">
      <c r="B49" s="32" t="s">
        <v>702</v>
      </c>
    </row>
    <row r="50" spans="2:3" x14ac:dyDescent="0.2">
      <c r="B50" s="32" t="s">
        <v>703</v>
      </c>
    </row>
    <row r="51" spans="2:3" x14ac:dyDescent="0.2">
      <c r="B51" s="32" t="s">
        <v>153</v>
      </c>
    </row>
    <row r="53" spans="2:3" x14ac:dyDescent="0.2">
      <c r="B53" s="32" t="s">
        <v>827</v>
      </c>
    </row>
    <row r="54" spans="2:3" x14ac:dyDescent="0.2">
      <c r="B54" s="32" t="s">
        <v>152</v>
      </c>
    </row>
    <row r="55" spans="2:3" x14ac:dyDescent="0.2">
      <c r="B55" s="32" t="s">
        <v>151</v>
      </c>
    </row>
    <row r="56" spans="2:3" x14ac:dyDescent="0.2">
      <c r="B56" s="32" t="s">
        <v>150</v>
      </c>
    </row>
    <row r="57" spans="2:3" x14ac:dyDescent="0.2">
      <c r="B57" s="32" t="s">
        <v>718</v>
      </c>
    </row>
    <row r="58" spans="2:3" x14ac:dyDescent="0.2">
      <c r="B58" s="32" t="s">
        <v>149</v>
      </c>
    </row>
    <row r="60" spans="2:3" x14ac:dyDescent="0.2">
      <c r="B60" s="32" t="s">
        <v>282</v>
      </c>
      <c r="C60" s="32" t="s">
        <v>883</v>
      </c>
    </row>
    <row r="61" spans="2:3" x14ac:dyDescent="0.2">
      <c r="B61" s="32" t="s">
        <v>85</v>
      </c>
      <c r="C61" s="32" t="s">
        <v>979</v>
      </c>
    </row>
    <row r="62" spans="2:3" x14ac:dyDescent="0.2">
      <c r="B62" s="32" t="s">
        <v>147</v>
      </c>
      <c r="C62" s="32" t="s">
        <v>980</v>
      </c>
    </row>
    <row r="63" spans="2:3" x14ac:dyDescent="0.2">
      <c r="B63" s="32" t="s">
        <v>146</v>
      </c>
      <c r="C63" s="32" t="s">
        <v>981</v>
      </c>
    </row>
    <row r="64" spans="2:3" x14ac:dyDescent="0.2">
      <c r="B64" s="32" t="s">
        <v>145</v>
      </c>
      <c r="C64" s="32" t="s">
        <v>885</v>
      </c>
    </row>
    <row r="65" spans="2:2" x14ac:dyDescent="0.2">
      <c r="B65" s="32" t="s">
        <v>143</v>
      </c>
    </row>
    <row r="67" spans="2:2" x14ac:dyDescent="0.2">
      <c r="B67" s="32" t="s">
        <v>104</v>
      </c>
    </row>
    <row r="68" spans="2:2" x14ac:dyDescent="0.2">
      <c r="B68" s="32" t="s">
        <v>91</v>
      </c>
    </row>
    <row r="69" spans="2:2" x14ac:dyDescent="0.2">
      <c r="B69" s="32" t="s">
        <v>142</v>
      </c>
    </row>
    <row r="70" spans="2:2" x14ac:dyDescent="0.2">
      <c r="B70" s="32" t="s">
        <v>141</v>
      </c>
    </row>
    <row r="71" spans="2:2" x14ac:dyDescent="0.2">
      <c r="B71" s="32" t="s">
        <v>140</v>
      </c>
    </row>
    <row r="72" spans="2:2" x14ac:dyDescent="0.2">
      <c r="B72" s="32" t="s">
        <v>139</v>
      </c>
    </row>
    <row r="73" spans="2:2" x14ac:dyDescent="0.2">
      <c r="B73" s="32" t="s">
        <v>138</v>
      </c>
    </row>
    <row r="74" spans="2:2" x14ac:dyDescent="0.2">
      <c r="B74" s="32" t="s">
        <v>137</v>
      </c>
    </row>
    <row r="75" spans="2:2" x14ac:dyDescent="0.2">
      <c r="B75" s="32" t="s">
        <v>136</v>
      </c>
    </row>
    <row r="77" spans="2:2" x14ac:dyDescent="0.2">
      <c r="B77" s="32" t="s">
        <v>103</v>
      </c>
    </row>
    <row r="78" spans="2:2" x14ac:dyDescent="0.2">
      <c r="B78" s="32" t="s">
        <v>37</v>
      </c>
    </row>
    <row r="79" spans="2:2" x14ac:dyDescent="0.2">
      <c r="B79" s="32" t="s">
        <v>36</v>
      </c>
    </row>
    <row r="81" spans="2:4" x14ac:dyDescent="0.2">
      <c r="B81" s="32" t="s">
        <v>135</v>
      </c>
      <c r="D81" s="32" t="s">
        <v>135</v>
      </c>
    </row>
    <row r="82" spans="2:4" x14ac:dyDescent="0.2">
      <c r="B82" s="32" t="s">
        <v>134</v>
      </c>
      <c r="D82" s="32" t="s">
        <v>85</v>
      </c>
    </row>
    <row r="83" spans="2:4" x14ac:dyDescent="0.2">
      <c r="B83" s="32" t="s">
        <v>133</v>
      </c>
      <c r="D83" s="32" t="s">
        <v>132</v>
      </c>
    </row>
    <row r="84" spans="2:4" x14ac:dyDescent="0.2">
      <c r="B84" s="32" t="s">
        <v>131</v>
      </c>
      <c r="D84" s="32" t="s">
        <v>130</v>
      </c>
    </row>
    <row r="85" spans="2:4" x14ac:dyDescent="0.2">
      <c r="B85" s="32" t="s">
        <v>130</v>
      </c>
    </row>
  </sheetData>
  <phoneticPr fontId="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175"/>
  <sheetViews>
    <sheetView topLeftCell="GB143" zoomScaleNormal="100" workbookViewId="0">
      <selection activeCell="F162" sqref="F162"/>
    </sheetView>
  </sheetViews>
  <sheetFormatPr defaultRowHeight="12.75" x14ac:dyDescent="0.2"/>
  <cols>
    <col min="1" max="1" width="41.5703125" style="89" customWidth="1"/>
    <col min="2" max="2" width="18.28515625" style="89" customWidth="1"/>
    <col min="3" max="3" width="14.140625" style="89" customWidth="1"/>
    <col min="4" max="4" width="9.42578125" style="89" customWidth="1"/>
    <col min="5" max="5" width="14.5703125" style="89" customWidth="1"/>
    <col min="6" max="6" width="13.28515625" style="89" customWidth="1"/>
    <col min="7" max="7" width="10.42578125" style="89" customWidth="1"/>
    <col min="8" max="8" width="14" style="89" customWidth="1"/>
    <col min="9" max="9" width="11.140625" style="89" customWidth="1"/>
    <col min="10" max="10" width="12.85546875" style="89" customWidth="1"/>
    <col min="11" max="11" width="13.5703125" style="89" customWidth="1"/>
    <col min="12" max="12" width="9.140625" style="89"/>
    <col min="13" max="13" width="19.7109375" style="89" customWidth="1"/>
    <col min="14" max="14" width="9.140625" style="89"/>
    <col min="15" max="15" width="10.7109375" style="89" customWidth="1"/>
    <col min="16" max="16" width="9.140625" style="89"/>
    <col min="17" max="17" width="11.85546875" style="89" customWidth="1"/>
    <col min="18" max="18" width="9.140625" style="89"/>
    <col min="19" max="19" width="11.85546875" style="89" customWidth="1"/>
    <col min="20" max="20" width="9.140625" style="89"/>
    <col min="21" max="21" width="10.5703125" style="89" customWidth="1"/>
    <col min="22" max="23" width="9.140625" style="89"/>
    <col min="24" max="24" width="10.85546875" style="89" customWidth="1"/>
    <col min="25" max="25" width="9.140625" style="89"/>
    <col min="26" max="26" width="11.140625" style="89" customWidth="1"/>
    <col min="27" max="27" width="9.140625" style="244"/>
    <col min="28" max="28" width="9.140625" style="89"/>
    <col min="29" max="29" width="10.42578125" style="89" customWidth="1"/>
    <col min="30" max="30" width="9.140625" style="89"/>
    <col min="31" max="31" width="11.7109375" style="89" customWidth="1"/>
    <col min="32" max="32" width="9.140625" style="89"/>
    <col min="33" max="33" width="11.5703125" style="89" customWidth="1"/>
    <col min="34" max="34" width="9.140625" style="89"/>
    <col min="35" max="35" width="11" style="89" customWidth="1"/>
    <col min="36" max="36" width="9.140625" style="89"/>
    <col min="37" max="37" width="10.42578125" style="89" customWidth="1"/>
    <col min="38" max="38" width="9.140625" style="89"/>
    <col min="39" max="39" width="10.5703125" style="89" customWidth="1"/>
    <col min="40" max="40" width="10.28515625" style="89" customWidth="1"/>
    <col min="41" max="44" width="10.85546875" style="89" customWidth="1"/>
    <col min="45" max="45" width="10.85546875" style="244" customWidth="1"/>
    <col min="46" max="63" width="10.85546875" style="89" customWidth="1"/>
    <col min="64" max="64" width="10.85546875" style="244" customWidth="1"/>
    <col min="65" max="81" width="10.85546875" style="89" customWidth="1"/>
    <col min="82" max="82" width="10.85546875" style="244" customWidth="1"/>
    <col min="83" max="99" width="10.85546875" style="89" customWidth="1"/>
    <col min="100" max="100" width="10.85546875" style="244" customWidth="1"/>
    <col min="101" max="101" width="11" style="89" customWidth="1"/>
    <col min="102" max="102" width="10.7109375" style="89" customWidth="1"/>
    <col min="103" max="103" width="9.140625" style="89"/>
    <col min="104" max="104" width="11.28515625" style="89" customWidth="1"/>
    <col min="105" max="105" width="9.140625" style="89"/>
    <col min="106" max="106" width="10.5703125" style="89" customWidth="1"/>
    <col min="107" max="107" width="9.140625" style="89"/>
    <col min="108" max="108" width="11.28515625" style="89" customWidth="1"/>
    <col min="109" max="116" width="9.140625" style="89"/>
    <col min="117" max="117" width="9.140625" style="244"/>
    <col min="118" max="134" width="9.140625" style="89"/>
    <col min="135" max="135" width="9.140625" style="256"/>
    <col min="136" max="136" width="13.85546875" style="89" customWidth="1"/>
    <col min="137" max="145" width="9.140625" style="89"/>
    <col min="146" max="146" width="9.140625" style="256"/>
    <col min="147" max="156" width="9.140625" style="89"/>
    <col min="157" max="157" width="9.140625" style="256"/>
    <col min="158" max="176" width="9.140625" style="89"/>
    <col min="177" max="177" width="9.140625" style="256"/>
    <col min="178" max="178" width="13.5703125" style="89" customWidth="1"/>
    <col min="179" max="187" width="9.140625" style="89"/>
    <col min="188" max="188" width="16" style="89" customWidth="1"/>
    <col min="189" max="193" width="9.140625" style="89"/>
    <col min="194" max="194" width="9.140625" style="244"/>
    <col min="195" max="16384" width="9.140625" style="89"/>
  </cols>
  <sheetData>
    <row r="1" spans="1:234" ht="26.25" customHeight="1" x14ac:dyDescent="0.2">
      <c r="A1" s="127" t="s">
        <v>896</v>
      </c>
      <c r="AC1" s="127" t="s">
        <v>846</v>
      </c>
      <c r="AU1" s="127" t="s">
        <v>887</v>
      </c>
      <c r="BN1" s="127" t="s">
        <v>888</v>
      </c>
      <c r="CF1" s="127" t="s">
        <v>889</v>
      </c>
      <c r="CW1" s="127" t="s">
        <v>890</v>
      </c>
      <c r="DN1" s="127" t="s">
        <v>282</v>
      </c>
      <c r="EF1" s="127" t="s">
        <v>891</v>
      </c>
      <c r="EQ1" s="155" t="s">
        <v>92</v>
      </c>
      <c r="FV1" s="640" t="s">
        <v>894</v>
      </c>
      <c r="FW1" s="640"/>
      <c r="FX1" s="640"/>
      <c r="FY1" s="640"/>
      <c r="FZ1" s="640"/>
      <c r="GA1" s="640"/>
      <c r="GB1" s="640"/>
      <c r="GC1" s="640"/>
      <c r="GM1" s="127" t="s">
        <v>856</v>
      </c>
      <c r="HO1" s="256"/>
      <c r="HP1" s="127" t="s">
        <v>1250</v>
      </c>
      <c r="HZ1" s="256"/>
    </row>
    <row r="2" spans="1:234" x14ac:dyDescent="0.2">
      <c r="B2" s="155" t="s">
        <v>573</v>
      </c>
      <c r="C2" s="155" t="s">
        <v>560</v>
      </c>
      <c r="D2" s="128"/>
      <c r="E2" s="118"/>
      <c r="F2" s="118"/>
      <c r="G2" s="128"/>
      <c r="H2" s="128"/>
      <c r="I2" s="128"/>
      <c r="J2" s="129"/>
      <c r="EG2" s="155" t="s">
        <v>573</v>
      </c>
      <c r="EH2" s="155" t="s">
        <v>560</v>
      </c>
      <c r="EJ2" s="155" t="s">
        <v>47</v>
      </c>
      <c r="EK2" s="155" t="s">
        <v>614</v>
      </c>
      <c r="ER2" s="155" t="s">
        <v>573</v>
      </c>
      <c r="ES2" s="155" t="s">
        <v>560</v>
      </c>
      <c r="EU2" s="155" t="s">
        <v>47</v>
      </c>
      <c r="EV2" s="155" t="s">
        <v>614</v>
      </c>
      <c r="GN2" s="155" t="s">
        <v>573</v>
      </c>
      <c r="GO2" s="155" t="s">
        <v>560</v>
      </c>
      <c r="HO2" s="256"/>
      <c r="HQ2" s="155" t="s">
        <v>573</v>
      </c>
      <c r="HR2" s="155" t="s">
        <v>560</v>
      </c>
      <c r="HT2" s="155" t="s">
        <v>47</v>
      </c>
      <c r="HU2" s="155" t="s">
        <v>614</v>
      </c>
      <c r="HZ2" s="256"/>
    </row>
    <row r="3" spans="1:234" x14ac:dyDescent="0.2">
      <c r="A3" s="128" t="s">
        <v>67</v>
      </c>
      <c r="B3" s="89">
        <f>'Verwerken Verwarming en Tapwate'!J3</f>
        <v>0</v>
      </c>
      <c r="C3" s="89">
        <f>'Verwerken Verwarming en Tapwate'!O3</f>
        <v>1</v>
      </c>
      <c r="EG3" s="89">
        <f>'Verwerken Verwarming en Tapwate'!AB3</f>
        <v>0</v>
      </c>
      <c r="EH3" s="89">
        <f>C3</f>
        <v>1</v>
      </c>
      <c r="EJ3" s="89">
        <f>'Verwerken Verwarming en Tapwate'!AK3</f>
        <v>0</v>
      </c>
      <c r="EK3" s="89">
        <f>IF(OR('Verwerken Verwarming en Tapwate'!B3=2,'Verwerken Verwarming en Tapwate'!E3=2),IF('Verwerken Verwarming en Tapwate'!AK3&lt;'Verwerken Verwarming en Tapwate'!AP3+1,'Verwerken Verwarming en Tapwate'!AK3*0.6,'Verwerken Verwarming en Tapwate'!AP3*0.6),0)</f>
        <v>0</v>
      </c>
      <c r="ER3" s="89">
        <f>B3</f>
        <v>0</v>
      </c>
      <c r="ES3" s="89">
        <f>'Verwerken Verwarming en Tapwate'!AF3</f>
        <v>1</v>
      </c>
      <c r="ET3" s="155" t="s">
        <v>623</v>
      </c>
      <c r="EU3" s="89">
        <f>'Verwerken Verwarming en Tapwate'!AR3</f>
        <v>0</v>
      </c>
      <c r="EV3" s="89">
        <f>0.6*EU3</f>
        <v>0</v>
      </c>
      <c r="GN3" s="89">
        <f>EG3</f>
        <v>0</v>
      </c>
      <c r="GO3" s="89">
        <f>ES3</f>
        <v>1</v>
      </c>
      <c r="HO3" s="256"/>
      <c r="HQ3" s="89">
        <f>'Verwerken Verwarming en Tapwate'!DL3</f>
        <v>0</v>
      </c>
      <c r="HR3" s="89">
        <f>CM3</f>
        <v>0</v>
      </c>
      <c r="HT3" s="89">
        <f>'Verwerken Verwarming en Tapwate'!DU3</f>
        <v>0</v>
      </c>
      <c r="HU3" s="89">
        <f>IF(OR('Verwerken Verwarming en Tapwate'!CL3=2,'Verwerken Verwarming en Tapwate'!CO3=2),IF('Verwerken Verwarming en Tapwate'!DU3&lt;'Verwerken Verwarming en Tapwate'!DZ3+1,'Verwerken Verwarming en Tapwate'!DU3*0.6,'Verwerken Verwarming en Tapwate'!DZ3*0.6),0)</f>
        <v>0</v>
      </c>
      <c r="HZ3" s="256"/>
    </row>
    <row r="4" spans="1:234" x14ac:dyDescent="0.2">
      <c r="A4" s="128"/>
      <c r="ET4" s="155" t="s">
        <v>892</v>
      </c>
      <c r="EU4" s="89">
        <f>'Verwerken Verwarming en Tapwate'!AS3</f>
        <v>0</v>
      </c>
      <c r="EV4" s="89">
        <v>0</v>
      </c>
      <c r="HO4" s="256"/>
      <c r="HZ4" s="256"/>
    </row>
    <row r="5" spans="1:234" x14ac:dyDescent="0.2">
      <c r="A5" s="128"/>
      <c r="HO5" s="256"/>
      <c r="HZ5" s="256"/>
    </row>
    <row r="6" spans="1:234" x14ac:dyDescent="0.2">
      <c r="A6" s="128"/>
      <c r="B6" s="170"/>
      <c r="C6" s="170"/>
      <c r="D6" s="170"/>
      <c r="E6" s="170"/>
      <c r="F6" s="170"/>
      <c r="G6" s="170"/>
      <c r="H6" s="8"/>
      <c r="I6" s="235"/>
      <c r="J6" s="236"/>
      <c r="HO6" s="256"/>
      <c r="HZ6" s="256"/>
    </row>
    <row r="7" spans="1:234" x14ac:dyDescent="0.2">
      <c r="A7" s="155" t="s">
        <v>725</v>
      </c>
      <c r="B7" s="232"/>
      <c r="C7" s="233"/>
      <c r="D7" s="232"/>
      <c r="E7" s="232"/>
      <c r="F7" s="233"/>
      <c r="G7" s="232"/>
      <c r="H7" s="234"/>
      <c r="I7" s="235"/>
      <c r="J7" s="236"/>
      <c r="GA7" s="155" t="s">
        <v>47</v>
      </c>
      <c r="GD7" s="155" t="s">
        <v>614</v>
      </c>
      <c r="GG7" s="155" t="s">
        <v>654</v>
      </c>
      <c r="GJ7" s="89" t="s">
        <v>727</v>
      </c>
      <c r="HO7" s="256"/>
      <c r="HZ7" s="256"/>
    </row>
    <row r="8" spans="1:234" x14ac:dyDescent="0.2">
      <c r="A8" s="128" t="s">
        <v>67</v>
      </c>
      <c r="GA8" s="286" t="s">
        <v>648</v>
      </c>
      <c r="GB8" s="286" t="s">
        <v>322</v>
      </c>
      <c r="GC8" s="286" t="s">
        <v>649</v>
      </c>
      <c r="GD8" s="286" t="s">
        <v>648</v>
      </c>
      <c r="GE8" s="286" t="s">
        <v>322</v>
      </c>
      <c r="GF8" s="286" t="s">
        <v>649</v>
      </c>
      <c r="GG8" s="286" t="s">
        <v>653</v>
      </c>
      <c r="GH8" s="286" t="s">
        <v>655</v>
      </c>
      <c r="GI8" s="286" t="s">
        <v>765</v>
      </c>
      <c r="GJ8" s="339" t="s">
        <v>653</v>
      </c>
      <c r="HO8" s="256"/>
      <c r="HZ8" s="256"/>
    </row>
    <row r="9" spans="1:234" x14ac:dyDescent="0.2">
      <c r="FZ9" s="89">
        <f>IF('Verwerken verlichting'!B5=2,1,0)</f>
        <v>0</v>
      </c>
      <c r="GA9" s="89">
        <f>$FZ9*'Verwerken verlichting'!BX5</f>
        <v>0</v>
      </c>
      <c r="GB9" s="89">
        <f>$FZ9*'Verwerken verlichting'!BY5</f>
        <v>0</v>
      </c>
      <c r="GC9" s="89">
        <f>$FZ9*'Verwerken verlichting'!BZ5</f>
        <v>0</v>
      </c>
      <c r="GD9" s="89">
        <f>$FZ9*'Verwerken verlichting'!CA5</f>
        <v>0</v>
      </c>
      <c r="GE9" s="89">
        <f>$FZ9*'Verwerken verlichting'!CB5</f>
        <v>0</v>
      </c>
      <c r="GF9" s="89">
        <f>$FZ9*'Verwerken verlichting'!CC5</f>
        <v>0</v>
      </c>
      <c r="GG9" s="89">
        <f>FZ9*'Invoer verlichting'!N4</f>
        <v>0</v>
      </c>
      <c r="GH9" s="89">
        <f>FZ9*'Verwerken verlichting'!AH5</f>
        <v>0</v>
      </c>
      <c r="GI9" s="89">
        <f>FZ9*'Verwerken verlichting'!AG5</f>
        <v>0</v>
      </c>
      <c r="GJ9" s="89">
        <f>FZ9*'Verwerken verlichting'!CE5</f>
        <v>0</v>
      </c>
      <c r="HO9" s="256"/>
      <c r="HZ9" s="256"/>
    </row>
    <row r="10" spans="1:234" x14ac:dyDescent="0.2">
      <c r="A10" s="127" t="s">
        <v>893</v>
      </c>
      <c r="FB10" s="127" t="s">
        <v>893</v>
      </c>
      <c r="FZ10" s="89">
        <f>IF('Verwerken verlichting'!B6=2,1,0)</f>
        <v>0</v>
      </c>
      <c r="GA10" s="89">
        <f>$FZ10*'Verwerken verlichting'!BX6</f>
        <v>0</v>
      </c>
      <c r="GB10" s="89">
        <f>$FZ10*'Verwerken verlichting'!BY6</f>
        <v>0</v>
      </c>
      <c r="GC10" s="89">
        <f>$FZ10*'Verwerken verlichting'!BZ6</f>
        <v>0</v>
      </c>
      <c r="GD10" s="89">
        <f>$FZ10*'Verwerken verlichting'!CA6</f>
        <v>0</v>
      </c>
      <c r="GE10" s="89">
        <f>$FZ10*'Verwerken verlichting'!CB6</f>
        <v>0</v>
      </c>
      <c r="GF10" s="89">
        <f>$FZ10*'Verwerken verlichting'!CC6</f>
        <v>0</v>
      </c>
      <c r="GG10" s="89">
        <f>FZ10*'Invoer verlichting'!N5</f>
        <v>0</v>
      </c>
      <c r="GH10" s="89">
        <f>FZ10*'Verwerken verlichting'!AH6</f>
        <v>0</v>
      </c>
      <c r="GI10" s="89">
        <f>FZ10*'Verwerken verlichting'!AG6</f>
        <v>0</v>
      </c>
      <c r="GJ10" s="89">
        <f>FZ10*'Verwerken verlichting'!CE6</f>
        <v>0</v>
      </c>
      <c r="HO10" s="256"/>
      <c r="HZ10" s="256"/>
    </row>
    <row r="11" spans="1:234" x14ac:dyDescent="0.2">
      <c r="B11" s="157" t="s">
        <v>472</v>
      </c>
      <c r="C11" s="185" t="s">
        <v>502</v>
      </c>
      <c r="D11" s="185" t="s">
        <v>503</v>
      </c>
      <c r="E11" s="185" t="s">
        <v>504</v>
      </c>
      <c r="F11" s="125" t="s">
        <v>450</v>
      </c>
      <c r="G11" s="125"/>
      <c r="H11" s="125" t="s">
        <v>452</v>
      </c>
      <c r="I11" s="125" t="s">
        <v>453</v>
      </c>
      <c r="J11" s="125" t="s">
        <v>398</v>
      </c>
      <c r="K11" s="125" t="s">
        <v>399</v>
      </c>
      <c r="L11" s="125" t="s">
        <v>400</v>
      </c>
      <c r="M11" s="125" t="s">
        <v>401</v>
      </c>
      <c r="N11" s="125" t="s">
        <v>402</v>
      </c>
      <c r="O11" s="125" t="s">
        <v>454</v>
      </c>
      <c r="P11" s="125" t="s">
        <v>455</v>
      </c>
      <c r="Q11" s="125" t="s">
        <v>456</v>
      </c>
      <c r="R11" s="125" t="s">
        <v>457</v>
      </c>
      <c r="S11" s="125" t="s">
        <v>458</v>
      </c>
      <c r="FC11" s="157" t="s">
        <v>472</v>
      </c>
      <c r="FD11" s="185" t="s">
        <v>502</v>
      </c>
      <c r="FE11" s="185" t="s">
        <v>503</v>
      </c>
      <c r="FF11" s="185" t="s">
        <v>504</v>
      </c>
      <c r="FG11" s="125" t="s">
        <v>450</v>
      </c>
      <c r="FH11" s="125"/>
      <c r="FI11" s="125" t="s">
        <v>452</v>
      </c>
      <c r="FJ11" s="125" t="s">
        <v>453</v>
      </c>
      <c r="FK11" s="125" t="s">
        <v>398</v>
      </c>
      <c r="FL11" s="125" t="s">
        <v>399</v>
      </c>
      <c r="FM11" s="125" t="s">
        <v>400</v>
      </c>
      <c r="FN11" s="125" t="s">
        <v>401</v>
      </c>
      <c r="FO11" s="125" t="s">
        <v>402</v>
      </c>
      <c r="FP11" s="125" t="s">
        <v>454</v>
      </c>
      <c r="FQ11" s="125" t="s">
        <v>455</v>
      </c>
      <c r="FR11" s="125" t="s">
        <v>456</v>
      </c>
      <c r="FS11" s="125" t="s">
        <v>457</v>
      </c>
      <c r="FT11" s="125" t="s">
        <v>458</v>
      </c>
      <c r="FZ11" s="89">
        <f>IF('Verwerken verlichting'!B7=2,1,0)</f>
        <v>0</v>
      </c>
      <c r="GA11" s="89">
        <f>$FZ11*'Verwerken verlichting'!BX7</f>
        <v>0</v>
      </c>
      <c r="GB11" s="89">
        <f>$FZ11*'Verwerken verlichting'!BY7</f>
        <v>0</v>
      </c>
      <c r="GC11" s="89">
        <f>$FZ11*'Verwerken verlichting'!BZ7</f>
        <v>0</v>
      </c>
      <c r="GD11" s="89">
        <f>$FZ11*'Verwerken verlichting'!CA7</f>
        <v>0</v>
      </c>
      <c r="GE11" s="89">
        <f>$FZ11*'Verwerken verlichting'!CB7</f>
        <v>0</v>
      </c>
      <c r="GF11" s="89">
        <f>$FZ11*'Verwerken verlichting'!CC7</f>
        <v>0</v>
      </c>
      <c r="GG11" s="89">
        <f>FZ11*'Invoer verlichting'!N6</f>
        <v>0</v>
      </c>
      <c r="GH11" s="89">
        <f>FZ11*'Verwerken verlichting'!AH7</f>
        <v>0</v>
      </c>
      <c r="GI11" s="89">
        <f>FZ11*'Verwerken verlichting'!AG7</f>
        <v>0</v>
      </c>
      <c r="GJ11" s="89">
        <f>FZ11*'Verwerken verlichting'!CE7</f>
        <v>0</v>
      </c>
      <c r="GN11" s="157" t="s">
        <v>472</v>
      </c>
      <c r="GO11" s="185" t="s">
        <v>502</v>
      </c>
      <c r="GP11" s="185" t="s">
        <v>503</v>
      </c>
      <c r="GQ11" s="185" t="s">
        <v>504</v>
      </c>
      <c r="GR11" s="125" t="s">
        <v>450</v>
      </c>
      <c r="GS11" s="125"/>
      <c r="GT11" s="125" t="s">
        <v>452</v>
      </c>
      <c r="GU11" s="125" t="s">
        <v>453</v>
      </c>
      <c r="GV11" s="125" t="s">
        <v>398</v>
      </c>
      <c r="GW11" s="125" t="s">
        <v>399</v>
      </c>
      <c r="GX11" s="125" t="s">
        <v>400</v>
      </c>
      <c r="GY11" s="125" t="s">
        <v>401</v>
      </c>
      <c r="GZ11" s="125" t="s">
        <v>402</v>
      </c>
      <c r="HA11" s="125" t="s">
        <v>454</v>
      </c>
      <c r="HB11" s="125" t="s">
        <v>455</v>
      </c>
      <c r="HC11" s="125" t="s">
        <v>456</v>
      </c>
      <c r="HD11" s="125" t="s">
        <v>457</v>
      </c>
      <c r="HE11" s="125" t="s">
        <v>458</v>
      </c>
      <c r="HO11" s="256"/>
      <c r="HZ11" s="256"/>
    </row>
    <row r="12" spans="1:234" x14ac:dyDescent="0.2">
      <c r="B12" s="7">
        <f>'Verwerken ventilatie'!N20</f>
        <v>0</v>
      </c>
      <c r="C12" s="7">
        <f>'Verwerken ventilatie'!E25*'Fitten energieverbruik'!C20/'Fitten energieverbruik'!B20</f>
        <v>0</v>
      </c>
      <c r="D12" s="7">
        <f>'Verwerken ventilatie'!D42</f>
        <v>0</v>
      </c>
      <c r="E12" s="7">
        <f>B12+C12+D12</f>
        <v>0</v>
      </c>
      <c r="F12" s="89">
        <v>19</v>
      </c>
      <c r="H12" s="89">
        <f>$E$12*($F$12-Klimaatdata!B7)*2.63</f>
        <v>0</v>
      </c>
      <c r="I12" s="89">
        <f>$E$12*($F$12-Klimaatdata!B8)*2.63</f>
        <v>0</v>
      </c>
      <c r="J12" s="89">
        <f>$E$12*($F$12-Klimaatdata!B9)*2.63</f>
        <v>0</v>
      </c>
      <c r="K12" s="89">
        <f>$E$12*($F$12-Klimaatdata!B10)*2.63</f>
        <v>0</v>
      </c>
      <c r="L12" s="89">
        <f>$E$12*($F$12-Klimaatdata!B11)*2.63</f>
        <v>0</v>
      </c>
      <c r="M12" s="89">
        <f>$E$12*($F$12-Klimaatdata!B12)*2.63</f>
        <v>0</v>
      </c>
      <c r="N12" s="89">
        <f>$E$12*($F$12-Klimaatdata!B13)*2.63</f>
        <v>0</v>
      </c>
      <c r="O12" s="89">
        <f>$E$12*($F$12-Klimaatdata!B14)*2.63</f>
        <v>0</v>
      </c>
      <c r="P12" s="89">
        <f>$E$12*($F$12-Klimaatdata!B15)*2.63</f>
        <v>0</v>
      </c>
      <c r="Q12" s="89">
        <f>$E$12*($F$12-Klimaatdata!B16)*2.63</f>
        <v>0</v>
      </c>
      <c r="R12" s="89">
        <f>$E$12*($F$12-Klimaatdata!B17)*2.63</f>
        <v>0</v>
      </c>
      <c r="S12" s="89">
        <f>$E$12*($F$12-Klimaatdata!B18)*2.63</f>
        <v>0</v>
      </c>
      <c r="FC12" s="7">
        <f>IF('Verwerken ventilatie'!AW20=0,B12,'Verwerken ventilatie'!AW20)</f>
        <v>0</v>
      </c>
      <c r="FD12" s="7">
        <f>IF('Verwerken ventilatie'!AW20=0,C12,'Verwerken ventilatie'!AN25*'Fitten energieverbruik'!C20/'Fitten energieverbruik'!B20)</f>
        <v>0</v>
      </c>
      <c r="FE12" s="7">
        <f>IF('Verwerken ventilatie'!AW20=0,D12,'Verwerken ventilatie'!AM42)</f>
        <v>0</v>
      </c>
      <c r="FF12" s="7">
        <f>FC12+FD12+FE12</f>
        <v>0</v>
      </c>
      <c r="FG12" s="89">
        <v>19</v>
      </c>
      <c r="FI12" s="89">
        <f>$FF$12*($FG$12-Klimaatdata!B7)*2.63</f>
        <v>0</v>
      </c>
      <c r="FJ12" s="89">
        <f>$FF$12*($FG$12-Klimaatdata!B8)*2.63</f>
        <v>0</v>
      </c>
      <c r="FK12" s="89">
        <f>$FF$12*($FG$12-Klimaatdata!B9)*2.63</f>
        <v>0</v>
      </c>
      <c r="FL12" s="89">
        <f>$FF$12*($FG$12-Klimaatdata!B10)*2.63</f>
        <v>0</v>
      </c>
      <c r="FM12" s="89">
        <f>$FF$12*($FG$12-Klimaatdata!B11)*2.63</f>
        <v>0</v>
      </c>
      <c r="FN12" s="89">
        <f>$FF$12*($FG$12-Klimaatdata!B12)*2.63</f>
        <v>0</v>
      </c>
      <c r="FO12" s="89">
        <f>$FF$12*($FG$12-Klimaatdata!B13)*2.63</f>
        <v>0</v>
      </c>
      <c r="FP12" s="89">
        <f>$FF$12*($FG$12-Klimaatdata!B14)*2.63</f>
        <v>0</v>
      </c>
      <c r="FQ12" s="89">
        <f>$FF$12*($FG$12-Klimaatdata!B15)*2.63</f>
        <v>0</v>
      </c>
      <c r="FR12" s="89">
        <f>$FF$12*($FG$12-Klimaatdata!B16)*2.63</f>
        <v>0</v>
      </c>
      <c r="FS12" s="89">
        <f>$FF$12*($FG$12-Klimaatdata!B17)*2.63</f>
        <v>0</v>
      </c>
      <c r="FT12" s="89">
        <f>$FF$12*($FG$12-Klimaatdata!B18)*2.63</f>
        <v>0</v>
      </c>
      <c r="FZ12" s="89">
        <f>IF('Verwerken verlichting'!B8=2,1,0)</f>
        <v>0</v>
      </c>
      <c r="GA12" s="89">
        <f>$FZ12*'Verwerken verlichting'!BX8</f>
        <v>0</v>
      </c>
      <c r="GB12" s="89">
        <f>$FZ12*'Verwerken verlichting'!BY8</f>
        <v>0</v>
      </c>
      <c r="GC12" s="89">
        <f>$FZ12*'Verwerken verlichting'!BZ8</f>
        <v>0</v>
      </c>
      <c r="GD12" s="89">
        <f>$FZ12*'Verwerken verlichting'!CA8</f>
        <v>0</v>
      </c>
      <c r="GE12" s="89">
        <f>$FZ12*'Verwerken verlichting'!CB8</f>
        <v>0</v>
      </c>
      <c r="GF12" s="89">
        <f>$FZ12*'Verwerken verlichting'!CC8</f>
        <v>0</v>
      </c>
      <c r="GG12" s="89">
        <f>FZ12*'Invoer verlichting'!N7</f>
        <v>0</v>
      </c>
      <c r="GH12" s="89">
        <f>FZ12*'Verwerken verlichting'!AH8</f>
        <v>0</v>
      </c>
      <c r="GI12" s="89">
        <f>FZ12*'Verwerken verlichting'!AG8</f>
        <v>0</v>
      </c>
      <c r="GJ12" s="89">
        <f>FZ12*'Verwerken verlichting'!CE8</f>
        <v>0</v>
      </c>
      <c r="GN12" s="89">
        <f>FC12</f>
        <v>0</v>
      </c>
      <c r="GO12" s="89">
        <f>FD12</f>
        <v>0</v>
      </c>
      <c r="GP12" s="89">
        <f t="shared" ref="GP12:HE12" si="0">FE12</f>
        <v>0</v>
      </c>
      <c r="GQ12" s="89">
        <f t="shared" si="0"/>
        <v>0</v>
      </c>
      <c r="GR12" s="89">
        <f t="shared" si="0"/>
        <v>19</v>
      </c>
      <c r="GT12" s="89">
        <f t="shared" si="0"/>
        <v>0</v>
      </c>
      <c r="GU12" s="89">
        <f t="shared" si="0"/>
        <v>0</v>
      </c>
      <c r="GV12" s="89">
        <f t="shared" si="0"/>
        <v>0</v>
      </c>
      <c r="GW12" s="89">
        <f t="shared" si="0"/>
        <v>0</v>
      </c>
      <c r="GX12" s="89">
        <f t="shared" si="0"/>
        <v>0</v>
      </c>
      <c r="GY12" s="89">
        <f t="shared" si="0"/>
        <v>0</v>
      </c>
      <c r="GZ12" s="89">
        <f t="shared" si="0"/>
        <v>0</v>
      </c>
      <c r="HA12" s="89">
        <f t="shared" si="0"/>
        <v>0</v>
      </c>
      <c r="HB12" s="89">
        <f t="shared" si="0"/>
        <v>0</v>
      </c>
      <c r="HC12" s="89">
        <f t="shared" si="0"/>
        <v>0</v>
      </c>
      <c r="HD12" s="89">
        <f t="shared" si="0"/>
        <v>0</v>
      </c>
      <c r="HE12" s="89">
        <f t="shared" si="0"/>
        <v>0</v>
      </c>
      <c r="HO12" s="256"/>
      <c r="HZ12" s="256"/>
    </row>
    <row r="13" spans="1:234" x14ac:dyDescent="0.2">
      <c r="A13" s="131"/>
      <c r="FZ13" s="89">
        <f>IF('Verwerken verlichting'!B9=2,1,0)</f>
        <v>0</v>
      </c>
      <c r="GA13" s="89">
        <f>$FZ13*'Verwerken verlichting'!BX9</f>
        <v>0</v>
      </c>
      <c r="GB13" s="89">
        <f>$FZ13*'Verwerken verlichting'!BY9</f>
        <v>0</v>
      </c>
      <c r="GC13" s="89">
        <f>$FZ13*'Verwerken verlichting'!BZ9</f>
        <v>0</v>
      </c>
      <c r="GD13" s="89">
        <f>$FZ13*'Verwerken verlichting'!CA9</f>
        <v>0</v>
      </c>
      <c r="GE13" s="89">
        <f>$FZ13*'Verwerken verlichting'!CB9</f>
        <v>0</v>
      </c>
      <c r="GF13" s="89">
        <f>$FZ13*'Verwerken verlichting'!CC9</f>
        <v>0</v>
      </c>
      <c r="GG13" s="89">
        <f>FZ13*'Invoer verlichting'!N8</f>
        <v>0</v>
      </c>
      <c r="GH13" s="89">
        <f>FZ13*'Verwerken verlichting'!AH9</f>
        <v>0</v>
      </c>
      <c r="GI13" s="89">
        <f>FZ13*'Verwerken verlichting'!AG9</f>
        <v>0</v>
      </c>
      <c r="GJ13" s="89">
        <f>FZ13*'Verwerken verlichting'!CE9</f>
        <v>0</v>
      </c>
      <c r="HO13" s="256"/>
      <c r="HZ13" s="256"/>
    </row>
    <row r="14" spans="1:234" x14ac:dyDescent="0.2">
      <c r="A14" s="131"/>
      <c r="FZ14" s="89">
        <f>IF('Verwerken verlichting'!B10=2,1,0)</f>
        <v>0</v>
      </c>
      <c r="GA14" s="89">
        <f>$FZ14*'Verwerken verlichting'!BX10</f>
        <v>0</v>
      </c>
      <c r="GB14" s="89">
        <f>$FZ14*'Verwerken verlichting'!BY10</f>
        <v>0</v>
      </c>
      <c r="GC14" s="89">
        <f>$FZ14*'Verwerken verlichting'!BZ10</f>
        <v>0</v>
      </c>
      <c r="GD14" s="89">
        <f>$FZ14*'Verwerken verlichting'!CA10</f>
        <v>0</v>
      </c>
      <c r="GE14" s="89">
        <f>$FZ14*'Verwerken verlichting'!CB10</f>
        <v>0</v>
      </c>
      <c r="GF14" s="89">
        <f>$FZ14*'Verwerken verlichting'!CC10</f>
        <v>0</v>
      </c>
      <c r="GG14" s="89">
        <f>FZ14*'Invoer verlichting'!N9</f>
        <v>0</v>
      </c>
      <c r="GH14" s="89">
        <f>FZ14*'Verwerken verlichting'!AH10</f>
        <v>0</v>
      </c>
      <c r="GI14" s="89">
        <f>FZ14*'Verwerken verlichting'!AG10</f>
        <v>0</v>
      </c>
      <c r="GJ14" s="89">
        <f>FZ14*'Verwerken verlichting'!CE10</f>
        <v>0</v>
      </c>
      <c r="HO14" s="256"/>
      <c r="HZ14" s="256"/>
    </row>
    <row r="15" spans="1:234" x14ac:dyDescent="0.2">
      <c r="A15" s="132" t="s">
        <v>897</v>
      </c>
      <c r="FD15" s="155" t="s">
        <v>47</v>
      </c>
      <c r="FE15" s="155" t="s">
        <v>614</v>
      </c>
      <c r="FZ15" s="89">
        <f>IF('Verwerken verlichting'!B11=2,1,0)</f>
        <v>0</v>
      </c>
      <c r="GA15" s="89">
        <f>$FZ15*'Verwerken verlichting'!BX11</f>
        <v>0</v>
      </c>
      <c r="GB15" s="89">
        <f>$FZ15*'Verwerken verlichting'!BY11</f>
        <v>0</v>
      </c>
      <c r="GC15" s="89">
        <f>$FZ15*'Verwerken verlichting'!BZ11</f>
        <v>0</v>
      </c>
      <c r="GD15" s="89">
        <f>$FZ15*'Verwerken verlichting'!CA11</f>
        <v>0</v>
      </c>
      <c r="GE15" s="89">
        <f>$FZ15*'Verwerken verlichting'!CB11</f>
        <v>0</v>
      </c>
      <c r="GF15" s="89">
        <f>$FZ15*'Verwerken verlichting'!CC11</f>
        <v>0</v>
      </c>
      <c r="GG15" s="89">
        <f>FZ15*'Invoer verlichting'!N10</f>
        <v>0</v>
      </c>
      <c r="GH15" s="89">
        <f>FZ15*'Verwerken verlichting'!AH11</f>
        <v>0</v>
      </c>
      <c r="GI15" s="89">
        <f>FZ15*'Verwerken verlichting'!AG11</f>
        <v>0</v>
      </c>
      <c r="GJ15" s="89">
        <f>FZ15*'Verwerken verlichting'!CE11</f>
        <v>0</v>
      </c>
      <c r="HO15" s="256"/>
      <c r="HZ15" s="256"/>
    </row>
    <row r="16" spans="1:234" x14ac:dyDescent="0.2">
      <c r="A16" s="132"/>
      <c r="FC16" s="89">
        <f>IF('Verwerken ventilatie'!AJ8=2,1,0)</f>
        <v>0</v>
      </c>
      <c r="FD16" s="89">
        <f>FC16*'Verwerken ventilatie'!BT8</f>
        <v>0</v>
      </c>
      <c r="FE16" s="89">
        <f>FC16*'Verwerken ventilatie'!BU8</f>
        <v>0</v>
      </c>
      <c r="FZ16" s="89">
        <f>IF('Verwerken verlichting'!B12=2,1,0)</f>
        <v>0</v>
      </c>
      <c r="GA16" s="89">
        <f>$FZ16*'Verwerken verlichting'!BX12</f>
        <v>0</v>
      </c>
      <c r="GB16" s="89">
        <f>$FZ16*'Verwerken verlichting'!BY12</f>
        <v>0</v>
      </c>
      <c r="GC16" s="89">
        <f>$FZ16*'Verwerken verlichting'!BZ12</f>
        <v>0</v>
      </c>
      <c r="GD16" s="89">
        <f>$FZ16*'Verwerken verlichting'!CA12</f>
        <v>0</v>
      </c>
      <c r="GE16" s="89">
        <f>$FZ16*'Verwerken verlichting'!CB12</f>
        <v>0</v>
      </c>
      <c r="GF16" s="89">
        <f>$FZ16*'Verwerken verlichting'!CC12</f>
        <v>0</v>
      </c>
      <c r="GG16" s="89">
        <f>FZ16*'Invoer verlichting'!N11</f>
        <v>0</v>
      </c>
      <c r="GH16" s="89">
        <f>FZ16*'Verwerken verlichting'!AH12</f>
        <v>0</v>
      </c>
      <c r="GI16" s="89">
        <f>FZ16*'Verwerken verlichting'!AG12</f>
        <v>0</v>
      </c>
      <c r="GJ16" s="89">
        <f>FZ16*'Verwerken verlichting'!CE12</f>
        <v>0</v>
      </c>
      <c r="HO16" s="256"/>
      <c r="HZ16" s="256"/>
    </row>
    <row r="17" spans="1:234" x14ac:dyDescent="0.2">
      <c r="B17" s="127" t="s">
        <v>886</v>
      </c>
      <c r="O17" s="127" t="s">
        <v>135</v>
      </c>
      <c r="AD17" s="127" t="s">
        <v>886</v>
      </c>
      <c r="AV17" s="127" t="s">
        <v>886</v>
      </c>
      <c r="BO17" s="127" t="s">
        <v>886</v>
      </c>
      <c r="CG17" s="127" t="s">
        <v>886</v>
      </c>
      <c r="CW17" s="127" t="s">
        <v>135</v>
      </c>
      <c r="FC17" s="89">
        <f>IF('Verwerken ventilatie'!AJ9=2,1,0)</f>
        <v>0</v>
      </c>
      <c r="FD17" s="89">
        <f>FC17*'Verwerken ventilatie'!BT9</f>
        <v>0</v>
      </c>
      <c r="FE17" s="89">
        <f>FC17*'Verwerken ventilatie'!BU9</f>
        <v>0</v>
      </c>
      <c r="FZ17" s="89">
        <f>IF('Verwerken verlichting'!B13=2,1,0)</f>
        <v>0</v>
      </c>
      <c r="GA17" s="89">
        <f>$FZ17*'Verwerken verlichting'!BX13</f>
        <v>0</v>
      </c>
      <c r="GB17" s="89">
        <f>$FZ17*'Verwerken verlichting'!BY13</f>
        <v>0</v>
      </c>
      <c r="GC17" s="89">
        <f>$FZ17*'Verwerken verlichting'!BZ13</f>
        <v>0</v>
      </c>
      <c r="GD17" s="89">
        <f>$FZ17*'Verwerken verlichting'!CA13</f>
        <v>0</v>
      </c>
      <c r="GE17" s="89">
        <f>$FZ17*'Verwerken verlichting'!CB13</f>
        <v>0</v>
      </c>
      <c r="GF17" s="89">
        <f>$FZ17*'Verwerken verlichting'!CC13</f>
        <v>0</v>
      </c>
      <c r="GG17" s="89">
        <f>FZ17*'Invoer verlichting'!N12</f>
        <v>0</v>
      </c>
      <c r="GH17" s="89">
        <f>FZ17*'Verwerken verlichting'!AH13</f>
        <v>0</v>
      </c>
      <c r="GI17" s="89">
        <f>FZ17*'Verwerken verlichting'!AG13</f>
        <v>0</v>
      </c>
      <c r="GJ17" s="89">
        <f>FZ17*'Verwerken verlichting'!CE13</f>
        <v>0</v>
      </c>
      <c r="GO17" s="127" t="s">
        <v>886</v>
      </c>
      <c r="HB17" s="127" t="s">
        <v>135</v>
      </c>
      <c r="HO17" s="256"/>
      <c r="HZ17" s="256"/>
    </row>
    <row r="18" spans="1:234" ht="12" customHeight="1" x14ac:dyDescent="0.2">
      <c r="A18" s="155" t="s">
        <v>67</v>
      </c>
      <c r="B18" s="125" t="s">
        <v>452</v>
      </c>
      <c r="C18" s="125" t="s">
        <v>453</v>
      </c>
      <c r="D18" s="125" t="s">
        <v>398</v>
      </c>
      <c r="E18" s="125" t="s">
        <v>399</v>
      </c>
      <c r="F18" s="125" t="s">
        <v>400</v>
      </c>
      <c r="G18" s="125" t="s">
        <v>401</v>
      </c>
      <c r="H18" s="125" t="s">
        <v>402</v>
      </c>
      <c r="I18" s="125" t="s">
        <v>454</v>
      </c>
      <c r="J18" s="125" t="s">
        <v>455</v>
      </c>
      <c r="K18" s="125" t="s">
        <v>456</v>
      </c>
      <c r="L18" s="125" t="s">
        <v>457</v>
      </c>
      <c r="M18" s="125" t="s">
        <v>458</v>
      </c>
      <c r="O18" s="125" t="s">
        <v>452</v>
      </c>
      <c r="P18" s="125" t="s">
        <v>453</v>
      </c>
      <c r="Q18" s="125" t="s">
        <v>398</v>
      </c>
      <c r="R18" s="125" t="s">
        <v>399</v>
      </c>
      <c r="S18" s="125" t="s">
        <v>400</v>
      </c>
      <c r="T18" s="125" t="s">
        <v>401</v>
      </c>
      <c r="U18" s="125" t="s">
        <v>402</v>
      </c>
      <c r="V18" s="125" t="s">
        <v>454</v>
      </c>
      <c r="W18" s="125" t="s">
        <v>455</v>
      </c>
      <c r="X18" s="125" t="s">
        <v>456</v>
      </c>
      <c r="Y18" s="125" t="s">
        <v>457</v>
      </c>
      <c r="Z18" s="125" t="s">
        <v>458</v>
      </c>
      <c r="AB18" s="125" t="s">
        <v>612</v>
      </c>
      <c r="AC18" s="155" t="s">
        <v>67</v>
      </c>
      <c r="AD18" s="125" t="s">
        <v>452</v>
      </c>
      <c r="AE18" s="125" t="s">
        <v>453</v>
      </c>
      <c r="AF18" s="125" t="s">
        <v>398</v>
      </c>
      <c r="AG18" s="125" t="s">
        <v>399</v>
      </c>
      <c r="AH18" s="125" t="s">
        <v>400</v>
      </c>
      <c r="AI18" s="125" t="s">
        <v>401</v>
      </c>
      <c r="AJ18" s="125" t="s">
        <v>402</v>
      </c>
      <c r="AK18" s="125" t="s">
        <v>454</v>
      </c>
      <c r="AL18" s="125" t="s">
        <v>455</v>
      </c>
      <c r="AM18" s="125" t="s">
        <v>456</v>
      </c>
      <c r="AN18" s="125" t="s">
        <v>457</v>
      </c>
      <c r="AO18" s="125" t="s">
        <v>458</v>
      </c>
      <c r="AP18" s="125" t="s">
        <v>757</v>
      </c>
      <c r="AQ18" s="125" t="s">
        <v>47</v>
      </c>
      <c r="AR18" s="125" t="s">
        <v>614</v>
      </c>
      <c r="AS18" s="245"/>
      <c r="AT18" s="125" t="s">
        <v>612</v>
      </c>
      <c r="AU18" s="155" t="s">
        <v>67</v>
      </c>
      <c r="AV18" s="125" t="s">
        <v>452</v>
      </c>
      <c r="AW18" s="125" t="s">
        <v>453</v>
      </c>
      <c r="AX18" s="125" t="s">
        <v>398</v>
      </c>
      <c r="AY18" s="125" t="s">
        <v>399</v>
      </c>
      <c r="AZ18" s="125" t="s">
        <v>400</v>
      </c>
      <c r="BA18" s="125" t="s">
        <v>401</v>
      </c>
      <c r="BB18" s="125" t="s">
        <v>402</v>
      </c>
      <c r="BC18" s="125" t="s">
        <v>454</v>
      </c>
      <c r="BD18" s="125" t="s">
        <v>455</v>
      </c>
      <c r="BE18" s="125" t="s">
        <v>456</v>
      </c>
      <c r="BF18" s="125" t="s">
        <v>457</v>
      </c>
      <c r="BG18" s="125" t="s">
        <v>458</v>
      </c>
      <c r="BH18" s="125" t="s">
        <v>757</v>
      </c>
      <c r="BI18" s="125" t="s">
        <v>47</v>
      </c>
      <c r="BJ18" s="125" t="s">
        <v>614</v>
      </c>
      <c r="BK18" s="125"/>
      <c r="BM18" s="125" t="s">
        <v>228</v>
      </c>
      <c r="BN18" s="155" t="s">
        <v>67</v>
      </c>
      <c r="BO18" s="125" t="s">
        <v>452</v>
      </c>
      <c r="BP18" s="125" t="s">
        <v>453</v>
      </c>
      <c r="BQ18" s="125" t="s">
        <v>398</v>
      </c>
      <c r="BR18" s="125" t="s">
        <v>399</v>
      </c>
      <c r="BS18" s="125" t="s">
        <v>400</v>
      </c>
      <c r="BT18" s="125" t="s">
        <v>401</v>
      </c>
      <c r="BU18" s="125" t="s">
        <v>402</v>
      </c>
      <c r="BV18" s="125" t="s">
        <v>454</v>
      </c>
      <c r="BW18" s="125" t="s">
        <v>455</v>
      </c>
      <c r="BX18" s="125" t="s">
        <v>456</v>
      </c>
      <c r="BY18" s="125" t="s">
        <v>457</v>
      </c>
      <c r="BZ18" s="125" t="s">
        <v>458</v>
      </c>
      <c r="CA18" s="125" t="s">
        <v>757</v>
      </c>
      <c r="CB18" s="125" t="s">
        <v>47</v>
      </c>
      <c r="CC18" s="125"/>
      <c r="CD18" s="245"/>
      <c r="CE18" s="125" t="s">
        <v>226</v>
      </c>
      <c r="CF18" s="155" t="s">
        <v>67</v>
      </c>
      <c r="CG18" s="125" t="s">
        <v>452</v>
      </c>
      <c r="CH18" s="125" t="s">
        <v>453</v>
      </c>
      <c r="CI18" s="125" t="s">
        <v>398</v>
      </c>
      <c r="CJ18" s="125" t="s">
        <v>399</v>
      </c>
      <c r="CK18" s="125" t="s">
        <v>400</v>
      </c>
      <c r="CL18" s="125" t="s">
        <v>401</v>
      </c>
      <c r="CM18" s="125" t="s">
        <v>402</v>
      </c>
      <c r="CN18" s="125" t="s">
        <v>454</v>
      </c>
      <c r="CO18" s="125" t="s">
        <v>455</v>
      </c>
      <c r="CP18" s="125" t="s">
        <v>456</v>
      </c>
      <c r="CQ18" s="125" t="s">
        <v>457</v>
      </c>
      <c r="CR18" s="125" t="s">
        <v>458</v>
      </c>
      <c r="CS18" s="125" t="s">
        <v>757</v>
      </c>
      <c r="CT18" s="125" t="s">
        <v>47</v>
      </c>
      <c r="CU18" s="125" t="s">
        <v>626</v>
      </c>
      <c r="CW18" s="125" t="s">
        <v>452</v>
      </c>
      <c r="CX18" s="125" t="s">
        <v>453</v>
      </c>
      <c r="CY18" s="125" t="s">
        <v>398</v>
      </c>
      <c r="CZ18" s="125" t="s">
        <v>399</v>
      </c>
      <c r="DA18" s="125" t="s">
        <v>400</v>
      </c>
      <c r="DB18" s="125" t="s">
        <v>401</v>
      </c>
      <c r="DC18" s="125" t="s">
        <v>402</v>
      </c>
      <c r="DD18" s="125" t="s">
        <v>454</v>
      </c>
      <c r="DE18" s="125" t="s">
        <v>455</v>
      </c>
      <c r="DF18" s="125" t="s">
        <v>456</v>
      </c>
      <c r="DG18" s="125" t="s">
        <v>457</v>
      </c>
      <c r="DH18" s="125" t="s">
        <v>458</v>
      </c>
      <c r="DI18" s="125" t="s">
        <v>757</v>
      </c>
      <c r="DJ18" s="125" t="s">
        <v>47</v>
      </c>
      <c r="DK18" s="125" t="s">
        <v>614</v>
      </c>
      <c r="DL18" s="125"/>
      <c r="FC18" s="89">
        <f>IF('Verwerken ventilatie'!AJ10=2,1,0)</f>
        <v>0</v>
      </c>
      <c r="FD18" s="89">
        <f>FC18*'Verwerken ventilatie'!BT10</f>
        <v>0</v>
      </c>
      <c r="FE18" s="89">
        <f>FC18*'Verwerken ventilatie'!BU10</f>
        <v>0</v>
      </c>
      <c r="FZ18" s="89">
        <f>IF('Verwerken verlichting'!B14=2,1,0)</f>
        <v>0</v>
      </c>
      <c r="GA18" s="89">
        <f>$FZ18*'Verwerken verlichting'!BX14</f>
        <v>0</v>
      </c>
      <c r="GB18" s="89">
        <f>$FZ18*'Verwerken verlichting'!BY14</f>
        <v>0</v>
      </c>
      <c r="GC18" s="89">
        <f>$FZ18*'Verwerken verlichting'!BZ14</f>
        <v>0</v>
      </c>
      <c r="GD18" s="89">
        <f>$FZ18*'Verwerken verlichting'!CA14</f>
        <v>0</v>
      </c>
      <c r="GE18" s="89">
        <f>$FZ18*'Verwerken verlichting'!CB14</f>
        <v>0</v>
      </c>
      <c r="GF18" s="89">
        <f>$FZ18*'Verwerken verlichting'!CC14</f>
        <v>0</v>
      </c>
      <c r="GG18" s="89">
        <f>FZ18*'Invoer verlichting'!N13</f>
        <v>0</v>
      </c>
      <c r="GH18" s="89">
        <f>FZ18*'Verwerken verlichting'!AH14</f>
        <v>0</v>
      </c>
      <c r="GI18" s="89">
        <f>FZ18*'Verwerken verlichting'!AG14</f>
        <v>0</v>
      </c>
      <c r="GJ18" s="89">
        <f>FZ18*'Verwerken verlichting'!CE14</f>
        <v>0</v>
      </c>
      <c r="GM18" s="125" t="s">
        <v>722</v>
      </c>
      <c r="GN18" s="155" t="s">
        <v>67</v>
      </c>
      <c r="GO18" s="125" t="s">
        <v>452</v>
      </c>
      <c r="GP18" s="125" t="s">
        <v>453</v>
      </c>
      <c r="GQ18" s="125" t="s">
        <v>398</v>
      </c>
      <c r="GR18" s="125" t="s">
        <v>399</v>
      </c>
      <c r="GS18" s="125" t="s">
        <v>400</v>
      </c>
      <c r="GT18" s="125" t="s">
        <v>401</v>
      </c>
      <c r="GU18" s="125" t="s">
        <v>402</v>
      </c>
      <c r="GV18" s="125" t="s">
        <v>454</v>
      </c>
      <c r="GW18" s="125" t="s">
        <v>455</v>
      </c>
      <c r="GX18" s="125" t="s">
        <v>456</v>
      </c>
      <c r="GY18" s="125" t="s">
        <v>457</v>
      </c>
      <c r="GZ18" s="125" t="s">
        <v>458</v>
      </c>
      <c r="HB18" s="125" t="s">
        <v>452</v>
      </c>
      <c r="HC18" s="125" t="s">
        <v>453</v>
      </c>
      <c r="HD18" s="125" t="s">
        <v>398</v>
      </c>
      <c r="HE18" s="125" t="s">
        <v>399</v>
      </c>
      <c r="HF18" s="125" t="s">
        <v>400</v>
      </c>
      <c r="HG18" s="125" t="s">
        <v>401</v>
      </c>
      <c r="HH18" s="125" t="s">
        <v>402</v>
      </c>
      <c r="HI18" s="125" t="s">
        <v>454</v>
      </c>
      <c r="HJ18" s="125" t="s">
        <v>455</v>
      </c>
      <c r="HK18" s="125" t="s">
        <v>456</v>
      </c>
      <c r="HL18" s="125" t="s">
        <v>457</v>
      </c>
      <c r="HM18" s="125" t="s">
        <v>458</v>
      </c>
      <c r="HO18" s="256"/>
      <c r="HZ18" s="256"/>
    </row>
    <row r="19" spans="1:234" x14ac:dyDescent="0.2">
      <c r="A19" s="130">
        <f>IF('Verwerking Bouwdelen'!A3=2,1,0)</f>
        <v>0</v>
      </c>
      <c r="B19" s="208">
        <f>$A19*'Verwerking Bouwdelen'!T3</f>
        <v>0</v>
      </c>
      <c r="C19" s="208">
        <f>$A19*'Verwerking Bouwdelen'!U3</f>
        <v>0</v>
      </c>
      <c r="D19" s="208">
        <f>$A19*'Verwerking Bouwdelen'!V3</f>
        <v>0</v>
      </c>
      <c r="E19" s="208">
        <f>$A19*'Verwerking Bouwdelen'!W3</f>
        <v>0</v>
      </c>
      <c r="F19" s="208">
        <f>$A19*'Verwerking Bouwdelen'!X3</f>
        <v>0</v>
      </c>
      <c r="G19" s="208">
        <f>$A19*'Verwerking Bouwdelen'!Y3</f>
        <v>0</v>
      </c>
      <c r="H19" s="208">
        <f>$A19*'Verwerking Bouwdelen'!Z3</f>
        <v>0</v>
      </c>
      <c r="I19" s="208">
        <f>$A19*'Verwerking Bouwdelen'!AA3</f>
        <v>0</v>
      </c>
      <c r="J19" s="208">
        <f>$A19*'Verwerking Bouwdelen'!AB3</f>
        <v>0</v>
      </c>
      <c r="K19" s="208">
        <f>$A19*'Verwerking Bouwdelen'!AC3</f>
        <v>0</v>
      </c>
      <c r="L19" s="208">
        <f>$A19*'Verwerking Bouwdelen'!AD3</f>
        <v>0</v>
      </c>
      <c r="M19" s="208">
        <f>$A19*'Verwerking Bouwdelen'!AE3</f>
        <v>0</v>
      </c>
      <c r="O19" s="209">
        <f>$A19*'Verwerking Bouwdelen'!AU3</f>
        <v>0</v>
      </c>
      <c r="P19" s="210">
        <f>$A19*'Verwerking Bouwdelen'!AV3</f>
        <v>0</v>
      </c>
      <c r="Q19" s="210">
        <f>$A19*'Verwerking Bouwdelen'!AW3</f>
        <v>0</v>
      </c>
      <c r="R19" s="210">
        <f>$A19*'Verwerking Bouwdelen'!AX3</f>
        <v>0</v>
      </c>
      <c r="S19" s="210">
        <f>$A19*'Verwerking Bouwdelen'!AY3</f>
        <v>0</v>
      </c>
      <c r="T19" s="210">
        <f>$A19*'Verwerking Bouwdelen'!AZ3</f>
        <v>0</v>
      </c>
      <c r="U19" s="210">
        <f>$A19*'Verwerking Bouwdelen'!BA3</f>
        <v>0</v>
      </c>
      <c r="V19" s="210">
        <f>$A19*'Verwerking Bouwdelen'!BB3</f>
        <v>0</v>
      </c>
      <c r="W19" s="210">
        <f>$A19*'Verwerking Bouwdelen'!BC3</f>
        <v>0</v>
      </c>
      <c r="X19" s="210">
        <f>$A19*'Verwerking Bouwdelen'!BD3</f>
        <v>0</v>
      </c>
      <c r="Y19" s="210">
        <f>$A19*'Verwerking Bouwdelen'!BE3</f>
        <v>0</v>
      </c>
      <c r="Z19" s="211">
        <f>$A19*'Verwerking Bouwdelen'!BF3</f>
        <v>0</v>
      </c>
      <c r="AA19" s="245"/>
      <c r="AB19" s="125">
        <f>IF(OR('Verwerking Bouwdelen'!C3=3,'Verwerking Bouwdelen'!C3=6),1,0)</f>
        <v>0</v>
      </c>
      <c r="AC19" s="130">
        <f>IF('Verwerking Bouwdelen'!A3=2,1,0)</f>
        <v>0</v>
      </c>
      <c r="AD19" s="208">
        <f>IF($AB19=1,$AC19*'Verwerking Bouwdelen'!DL3,$AC19*'Verwerking Bouwdelen'!T3)</f>
        <v>0</v>
      </c>
      <c r="AE19" s="208">
        <f>IF($AB19=1,$AC19*'Verwerking Bouwdelen'!DM3,$AC19*'Verwerking Bouwdelen'!U3)</f>
        <v>0</v>
      </c>
      <c r="AF19" s="208">
        <f>IF($AB19=1,$AC19*'Verwerking Bouwdelen'!DN3,$AC19*'Verwerking Bouwdelen'!V3)</f>
        <v>0</v>
      </c>
      <c r="AG19" s="208">
        <f>IF($AB19=1,$AC19*'Verwerking Bouwdelen'!DO3,$AC19*'Verwerking Bouwdelen'!W3)</f>
        <v>0</v>
      </c>
      <c r="AH19" s="208">
        <f>IF($AB19=1,$AC19*'Verwerking Bouwdelen'!DP3,$AC19*'Verwerking Bouwdelen'!X3)</f>
        <v>0</v>
      </c>
      <c r="AI19" s="208">
        <f>IF($AB19=1,$AC19*'Verwerking Bouwdelen'!DQ3,$AC19*'Verwerking Bouwdelen'!Y3)</f>
        <v>0</v>
      </c>
      <c r="AJ19" s="208">
        <f>IF($AB19=1,$AC19*'Verwerking Bouwdelen'!DR3,$AC19*'Verwerking Bouwdelen'!Z3)</f>
        <v>0</v>
      </c>
      <c r="AK19" s="208">
        <f>IF($AB19=1,$AC19*'Verwerking Bouwdelen'!DS3,$AC19*'Verwerking Bouwdelen'!AA3)</f>
        <v>0</v>
      </c>
      <c r="AL19" s="208">
        <f>IF($AB19=1,$AC19*'Verwerking Bouwdelen'!DT3,$AC19*'Verwerking Bouwdelen'!AB3)</f>
        <v>0</v>
      </c>
      <c r="AM19" s="208">
        <f>IF($AB19=1,$AC19*'Verwerking Bouwdelen'!DU3,$AC19*'Verwerking Bouwdelen'!AC3)</f>
        <v>0</v>
      </c>
      <c r="AN19" s="208">
        <f>IF($AB19=1,$AC19*'Verwerking Bouwdelen'!DV3,$AC19*'Verwerking Bouwdelen'!AD3)</f>
        <v>0</v>
      </c>
      <c r="AO19" s="208">
        <f>IF($AB19=1,$AC19*'Verwerking Bouwdelen'!DW3,$AC19*'Verwerking Bouwdelen'!AE3)</f>
        <v>0</v>
      </c>
      <c r="AP19" s="10">
        <f>IF(AD19=B19,0,'Verwerking Bouwdelen'!D3*AB19*AC19)</f>
        <v>0</v>
      </c>
      <c r="AQ19" s="10">
        <f>AB19*AC19*'Verwerking Bouwdelen'!$GH$3</f>
        <v>0</v>
      </c>
      <c r="AR19" s="10"/>
      <c r="AS19" s="248"/>
      <c r="AT19" s="125">
        <f>IF('Verwerking Bouwdelen'!C3=4,1,0)</f>
        <v>0</v>
      </c>
      <c r="AU19" s="130">
        <f>IF('Verwerking Bouwdelen'!A3=2,1,0)</f>
        <v>0</v>
      </c>
      <c r="AV19" s="208">
        <f>IF($AT19=1,$AU19*'Verwerking Bouwdelen'!DL3,$AU19*'Verwerking Bouwdelen'!T3)</f>
        <v>0</v>
      </c>
      <c r="AW19" s="208">
        <f>IF($AT19=1,$AU19*'Verwerking Bouwdelen'!DM3,$AU19*'Verwerking Bouwdelen'!U3)</f>
        <v>0</v>
      </c>
      <c r="AX19" s="208">
        <f>IF($AT19=1,$AU19*'Verwerking Bouwdelen'!DN3,$AU19*'Verwerking Bouwdelen'!V3)</f>
        <v>0</v>
      </c>
      <c r="AY19" s="208">
        <f>IF($AT19=1,$AU19*'Verwerking Bouwdelen'!DO3,$AU19*'Verwerking Bouwdelen'!W3)</f>
        <v>0</v>
      </c>
      <c r="AZ19" s="208">
        <f>IF($AT19=1,$AU19*'Verwerking Bouwdelen'!DP3,$AU19*'Verwerking Bouwdelen'!X3)</f>
        <v>0</v>
      </c>
      <c r="BA19" s="208">
        <f>IF($AT19=1,$AU19*'Verwerking Bouwdelen'!DQ3,$AU19*'Verwerking Bouwdelen'!Y3)</f>
        <v>0</v>
      </c>
      <c r="BB19" s="208">
        <f>IF($AT19=1,$AU19*'Verwerking Bouwdelen'!DR3,$AU19*'Verwerking Bouwdelen'!Z3)</f>
        <v>0</v>
      </c>
      <c r="BC19" s="208">
        <f>IF($AT19=1,$AU19*'Verwerking Bouwdelen'!DS3,$AU19*'Verwerking Bouwdelen'!AA3)</f>
        <v>0</v>
      </c>
      <c r="BD19" s="208">
        <f>IF($AT19=1,$AU19*'Verwerking Bouwdelen'!DT3,$AU19*'Verwerking Bouwdelen'!AB3)</f>
        <v>0</v>
      </c>
      <c r="BE19" s="208">
        <f>IF($AT19=1,$AU19*'Verwerking Bouwdelen'!DU3,$AU19*'Verwerking Bouwdelen'!AC3)</f>
        <v>0</v>
      </c>
      <c r="BF19" s="208">
        <f>IF($AT19=1,$AU19*'Verwerking Bouwdelen'!DV3,$AU19*'Verwerking Bouwdelen'!AD3)</f>
        <v>0</v>
      </c>
      <c r="BG19" s="208">
        <f>IF($AT19=1,$AU19*'Verwerking Bouwdelen'!DW3,$AU19*'Verwerking Bouwdelen'!AE3)</f>
        <v>0</v>
      </c>
      <c r="BH19" s="10">
        <f>IF(AV19=B19,0,'Verwerking Bouwdelen'!D3*AT19*AU19)</f>
        <v>0</v>
      </c>
      <c r="BI19" s="10">
        <f>AT19*AU19*'Verwerking Bouwdelen'!GH3</f>
        <v>0</v>
      </c>
      <c r="BJ19" s="10"/>
      <c r="BK19" s="10"/>
      <c r="BM19" s="125">
        <f>IF('Verwerking Bouwdelen'!C3=5,1,0)</f>
        <v>0</v>
      </c>
      <c r="BN19" s="130">
        <f>IF('Verwerking Bouwdelen'!A3=2,1,0)</f>
        <v>0</v>
      </c>
      <c r="BO19" s="208">
        <f>IF($BM19=1,$BN19*'Verwerking Bouwdelen'!DL3,$BN19*'Verwerking Bouwdelen'!T3)</f>
        <v>0</v>
      </c>
      <c r="BP19" s="208">
        <f>IF($BM19=1,$BN19*'Verwerking Bouwdelen'!DM3,$BN19*'Verwerking Bouwdelen'!U3)</f>
        <v>0</v>
      </c>
      <c r="BQ19" s="208">
        <f>IF($BM19=1,$BN19*'Verwerking Bouwdelen'!DN3,$BN19*'Verwerking Bouwdelen'!V3)</f>
        <v>0</v>
      </c>
      <c r="BR19" s="208">
        <f>IF($BM19=1,$BN19*'Verwerking Bouwdelen'!DO3,$BN19*'Verwerking Bouwdelen'!W3)</f>
        <v>0</v>
      </c>
      <c r="BS19" s="208">
        <f>IF($BM19=1,$BN19*'Verwerking Bouwdelen'!DP3,$BN19*'Verwerking Bouwdelen'!X3)</f>
        <v>0</v>
      </c>
      <c r="BT19" s="208">
        <f>IF($BM19=1,$BN19*'Verwerking Bouwdelen'!DQ3,$BN19*'Verwerking Bouwdelen'!Y3)</f>
        <v>0</v>
      </c>
      <c r="BU19" s="208">
        <f>IF($BM19=1,$BN19*'Verwerking Bouwdelen'!DR3,$BN19*'Verwerking Bouwdelen'!Z3)</f>
        <v>0</v>
      </c>
      <c r="BV19" s="208">
        <f>IF($BM19=1,$BN19*'Verwerking Bouwdelen'!DS3,$BN19*'Verwerking Bouwdelen'!AA3)</f>
        <v>0</v>
      </c>
      <c r="BW19" s="208">
        <f>IF($BM19=1,$BN19*'Verwerking Bouwdelen'!DT3,$BN19*'Verwerking Bouwdelen'!AB3)</f>
        <v>0</v>
      </c>
      <c r="BX19" s="208">
        <f>IF($BM19=1,$BN19*'Verwerking Bouwdelen'!DU3,$BN19*'Verwerking Bouwdelen'!AC3)</f>
        <v>0</v>
      </c>
      <c r="BY19" s="208">
        <f>IF($BM19=1,$BN19*'Verwerking Bouwdelen'!DV3,$BN19*'Verwerking Bouwdelen'!AD3)</f>
        <v>0</v>
      </c>
      <c r="BZ19" s="208">
        <f>IF($BM19=1,$BN19*'Verwerking Bouwdelen'!DW3,$BN19*'Verwerking Bouwdelen'!AE3)</f>
        <v>0</v>
      </c>
      <c r="CA19" s="10">
        <f>IF(BO19=$B19,0,'Verwerking Bouwdelen'!$D3*BM19*BN19)</f>
        <v>0</v>
      </c>
      <c r="CB19" s="10">
        <f>BM19*BN19*'Verwerking Bouwdelen'!GH3</f>
        <v>0</v>
      </c>
      <c r="CC19" s="10"/>
      <c r="CD19" s="248"/>
      <c r="CE19" s="125">
        <f>IF('Verwerking Bouwdelen'!C3=2,1,0)</f>
        <v>0</v>
      </c>
      <c r="CF19" s="130">
        <f>IF('Verwerking Bouwdelen'!A3=2,1,0)</f>
        <v>0</v>
      </c>
      <c r="CG19" s="208">
        <f>IF($CE19=1,$CF19*'Verwerking Bouwdelen'!DL3,$CF19*'Verwerking Bouwdelen'!T3)</f>
        <v>0</v>
      </c>
      <c r="CH19" s="208">
        <f>IF($CE19=1,$CF19*'Verwerking Bouwdelen'!DM3,$CF19*'Verwerking Bouwdelen'!U3)</f>
        <v>0</v>
      </c>
      <c r="CI19" s="208">
        <f>IF($CE19=1,$CF19*'Verwerking Bouwdelen'!DN3,$CF19*'Verwerking Bouwdelen'!V3)</f>
        <v>0</v>
      </c>
      <c r="CJ19" s="208">
        <f>IF($CE19=1,$CF19*'Verwerking Bouwdelen'!DO3,$CF19*'Verwerking Bouwdelen'!W3)</f>
        <v>0</v>
      </c>
      <c r="CK19" s="208">
        <f>IF($CE19=1,$CF19*'Verwerking Bouwdelen'!DP3,$CF19*'Verwerking Bouwdelen'!X3)</f>
        <v>0</v>
      </c>
      <c r="CL19" s="208">
        <f>IF($CE19=1,$CF19*'Verwerking Bouwdelen'!DQ3,$CF19*'Verwerking Bouwdelen'!Y3)</f>
        <v>0</v>
      </c>
      <c r="CM19" s="208">
        <f>IF($CE19=1,$CF19*'Verwerking Bouwdelen'!DR3,$CF19*'Verwerking Bouwdelen'!Z3)</f>
        <v>0</v>
      </c>
      <c r="CN19" s="208">
        <f>IF($CE19=1,$CF19*'Verwerking Bouwdelen'!DS3,$CF19*'Verwerking Bouwdelen'!AA3)</f>
        <v>0</v>
      </c>
      <c r="CO19" s="208">
        <f>IF($CE19=1,$CF19*'Verwerking Bouwdelen'!DT3,$CF19*'Verwerking Bouwdelen'!AB3)</f>
        <v>0</v>
      </c>
      <c r="CP19" s="208">
        <f>IF($CE19=1,$CF19*'Verwerking Bouwdelen'!DU3,$CF19*'Verwerking Bouwdelen'!AC3)</f>
        <v>0</v>
      </c>
      <c r="CQ19" s="208">
        <f>IF($CE19=1,$CF19*'Verwerking Bouwdelen'!DV3,$CF19*'Verwerking Bouwdelen'!AD3)</f>
        <v>0</v>
      </c>
      <c r="CR19" s="208">
        <f>IF($CE19=1,$CF19*'Verwerking Bouwdelen'!DW3,$CF19*'Verwerking Bouwdelen'!AE3)</f>
        <v>0</v>
      </c>
      <c r="CS19" s="10">
        <f>IF(CG19=$B19,0,('Verwerking Bouwdelen'!$D3-'Verwerking Bouwdelen'!G3)*CE19*CF19)</f>
        <v>0</v>
      </c>
      <c r="CT19" s="260">
        <f>CE19*CF19*'Verwerking Bouwdelen'!GH3</f>
        <v>0</v>
      </c>
      <c r="CU19" s="260">
        <f>CE19*CF19*'Verwerking Bouwdelen'!GI3</f>
        <v>0</v>
      </c>
      <c r="CW19" s="209">
        <f>$AC19*'Verwerking Bouwdelen'!EE3</f>
        <v>0</v>
      </c>
      <c r="CX19" s="209">
        <f>$AC19*'Verwerking Bouwdelen'!EF3</f>
        <v>0</v>
      </c>
      <c r="CY19" s="209">
        <f>$AC19*'Verwerking Bouwdelen'!EG3</f>
        <v>0</v>
      </c>
      <c r="CZ19" s="209">
        <f>$AC19*'Verwerking Bouwdelen'!EH3</f>
        <v>0</v>
      </c>
      <c r="DA19" s="209">
        <f>$AC19*'Verwerking Bouwdelen'!EI3</f>
        <v>0</v>
      </c>
      <c r="DB19" s="209">
        <f>$AC19*'Verwerking Bouwdelen'!EJ3</f>
        <v>0</v>
      </c>
      <c r="DC19" s="209">
        <f>$AC19*'Verwerking Bouwdelen'!EK3</f>
        <v>0</v>
      </c>
      <c r="DD19" s="209">
        <f>$AC19*'Verwerking Bouwdelen'!EL3</f>
        <v>0</v>
      </c>
      <c r="DE19" s="209">
        <f>$AC19*'Verwerking Bouwdelen'!EM3</f>
        <v>0</v>
      </c>
      <c r="DF19" s="209">
        <f>$AC19*'Verwerking Bouwdelen'!EN3</f>
        <v>0</v>
      </c>
      <c r="DG19" s="209">
        <f>$AC19*'Verwerking Bouwdelen'!EO3</f>
        <v>0</v>
      </c>
      <c r="DH19" s="209">
        <f>$AC19*'Verwerking Bouwdelen'!EP3</f>
        <v>0</v>
      </c>
      <c r="DI19" s="10">
        <f>IF(CW19=$O19,0,'Verwerking Bouwdelen'!G3)</f>
        <v>0</v>
      </c>
      <c r="DJ19" s="259">
        <f>'Verwerking Bouwdelen'!GK3*CF19</f>
        <v>0</v>
      </c>
      <c r="DK19" s="259">
        <f>'Verwerking Bouwdelen'!GL3*CF19</f>
        <v>0</v>
      </c>
      <c r="DL19" s="125"/>
      <c r="DM19" s="245"/>
      <c r="FC19" s="89">
        <f>IF('Verwerken ventilatie'!AJ11=2,1,0)</f>
        <v>0</v>
      </c>
      <c r="FD19" s="89">
        <f>FC19*'Verwerken ventilatie'!BT11</f>
        <v>0</v>
      </c>
      <c r="FE19" s="89">
        <f>FC19*'Verwerken ventilatie'!BU11</f>
        <v>0</v>
      </c>
      <c r="FZ19" s="89">
        <f>IF('Verwerken verlichting'!B15=2,1,0)</f>
        <v>0</v>
      </c>
      <c r="GA19" s="89">
        <f>$FZ19*'Verwerken verlichting'!BX15</f>
        <v>0</v>
      </c>
      <c r="GB19" s="89">
        <f>$FZ19*'Verwerken verlichting'!BY15</f>
        <v>0</v>
      </c>
      <c r="GC19" s="89">
        <f>$FZ19*'Verwerken verlichting'!BZ15</f>
        <v>0</v>
      </c>
      <c r="GD19" s="89">
        <f>$FZ19*'Verwerken verlichting'!CA15</f>
        <v>0</v>
      </c>
      <c r="GE19" s="89">
        <f>$FZ19*'Verwerken verlichting'!CB15</f>
        <v>0</v>
      </c>
      <c r="GF19" s="89">
        <f>$FZ19*'Verwerken verlichting'!CC15</f>
        <v>0</v>
      </c>
      <c r="GG19" s="89">
        <f>FZ19*'Invoer verlichting'!N14</f>
        <v>0</v>
      </c>
      <c r="GH19" s="89">
        <f>FZ19*'Verwerken verlichting'!AH15</f>
        <v>0</v>
      </c>
      <c r="GI19" s="89">
        <f>FZ19*'Verwerken verlichting'!AG15</f>
        <v>0</v>
      </c>
      <c r="GJ19" s="89">
        <f>FZ19*'Verwerken verlichting'!CE15</f>
        <v>0</v>
      </c>
      <c r="GM19" s="89">
        <f>AB19+AT19+BM19+CE19</f>
        <v>0</v>
      </c>
      <c r="GN19" s="89">
        <f>A19</f>
        <v>0</v>
      </c>
      <c r="GO19" s="208">
        <f>IF($GN19=1,$GN19*$GM19*'Verwerking Bouwdelen'!DL3,$GN19*$GM19*'Verwerking Bouwdelen'!T3)</f>
        <v>0</v>
      </c>
      <c r="GP19" s="208">
        <f>IF($GN19=1,$GN19*$GM19*'Verwerking Bouwdelen'!DM3,$GN19*$GM19*'Verwerking Bouwdelen'!U3)</f>
        <v>0</v>
      </c>
      <c r="GQ19" s="208">
        <f>IF($GN19=1,$GN19*$GM19*'Verwerking Bouwdelen'!DN3,$GN19*$GM19*'Verwerking Bouwdelen'!V3)</f>
        <v>0</v>
      </c>
      <c r="GR19" s="208">
        <f>IF($GN19=1,$GN19*$GM19*'Verwerking Bouwdelen'!DO3,$GN19*$GM19*'Verwerking Bouwdelen'!W3)</f>
        <v>0</v>
      </c>
      <c r="GS19" s="208">
        <f>IF($GN19=1,$GN19*$GM19*'Verwerking Bouwdelen'!DP3,$GN19*$GM19*'Verwerking Bouwdelen'!X3)</f>
        <v>0</v>
      </c>
      <c r="GT19" s="208">
        <f>IF($GN19=1,$GN19*$GM19*'Verwerking Bouwdelen'!DQ3,$GN19*$GM19*'Verwerking Bouwdelen'!Y3)</f>
        <v>0</v>
      </c>
      <c r="GU19" s="208">
        <f>IF($GN19=1,$GN19*$GM19*'Verwerking Bouwdelen'!DR3,$GN19*$GM19*'Verwerking Bouwdelen'!Z3)</f>
        <v>0</v>
      </c>
      <c r="GV19" s="208">
        <f>IF($GN19=1,$GN19*$GM19*'Verwerking Bouwdelen'!DS3,$GN19*$GM19*'Verwerking Bouwdelen'!AA3)</f>
        <v>0</v>
      </c>
      <c r="GW19" s="208">
        <f>IF($GN19=1,$GN19*$GM19*'Verwerking Bouwdelen'!DT3,$GN19*$GM19*'Verwerking Bouwdelen'!AB3)</f>
        <v>0</v>
      </c>
      <c r="GX19" s="208">
        <f>IF($GN19=1,$GN19*$GM19*'Verwerking Bouwdelen'!DU3,$GN19*$GM19*'Verwerking Bouwdelen'!AC3)</f>
        <v>0</v>
      </c>
      <c r="GY19" s="208">
        <f>IF($GN19=1,$GN19*$GM19*'Verwerking Bouwdelen'!DV3,$GN19*$GM19*'Verwerking Bouwdelen'!AD3)</f>
        <v>0</v>
      </c>
      <c r="GZ19" s="208">
        <f>IF($GN19=1,$GN19*$GM19*'Verwerking Bouwdelen'!DW3,$GN19*$GM19*'Verwerking Bouwdelen'!AE3)</f>
        <v>0</v>
      </c>
      <c r="HB19" s="89">
        <f>CW19</f>
        <v>0</v>
      </c>
      <c r="HC19" s="89">
        <f t="shared" ref="HC19:HM34" si="1">CX19</f>
        <v>0</v>
      </c>
      <c r="HD19" s="89">
        <f t="shared" si="1"/>
        <v>0</v>
      </c>
      <c r="HE19" s="89">
        <f t="shared" si="1"/>
        <v>0</v>
      </c>
      <c r="HF19" s="89">
        <f t="shared" si="1"/>
        <v>0</v>
      </c>
      <c r="HG19" s="89">
        <f t="shared" si="1"/>
        <v>0</v>
      </c>
      <c r="HH19" s="89">
        <f t="shared" si="1"/>
        <v>0</v>
      </c>
      <c r="HI19" s="89">
        <f t="shared" si="1"/>
        <v>0</v>
      </c>
      <c r="HJ19" s="89">
        <f t="shared" si="1"/>
        <v>0</v>
      </c>
      <c r="HK19" s="89">
        <f t="shared" si="1"/>
        <v>0</v>
      </c>
      <c r="HL19" s="89">
        <f t="shared" si="1"/>
        <v>0</v>
      </c>
      <c r="HM19" s="89">
        <f t="shared" si="1"/>
        <v>0</v>
      </c>
      <c r="HO19" s="256"/>
      <c r="HZ19" s="256"/>
    </row>
    <row r="20" spans="1:234" x14ac:dyDescent="0.2">
      <c r="A20" s="130">
        <f>IF('Verwerking Bouwdelen'!A4=2,1,0)</f>
        <v>0</v>
      </c>
      <c r="B20" s="208">
        <f>$A20*'Verwerking Bouwdelen'!T4</f>
        <v>0</v>
      </c>
      <c r="C20" s="208">
        <f>$A20*'Verwerking Bouwdelen'!U4</f>
        <v>0</v>
      </c>
      <c r="D20" s="208">
        <f>$A20*'Verwerking Bouwdelen'!V4</f>
        <v>0</v>
      </c>
      <c r="E20" s="208">
        <f>$A20*'Verwerking Bouwdelen'!W4</f>
        <v>0</v>
      </c>
      <c r="F20" s="208">
        <f>$A20*'Verwerking Bouwdelen'!X4</f>
        <v>0</v>
      </c>
      <c r="G20" s="208">
        <f>$A20*'Verwerking Bouwdelen'!Y4</f>
        <v>0</v>
      </c>
      <c r="H20" s="208">
        <f>$A20*'Verwerking Bouwdelen'!Z4</f>
        <v>0</v>
      </c>
      <c r="I20" s="208">
        <f>$A20*'Verwerking Bouwdelen'!AA4</f>
        <v>0</v>
      </c>
      <c r="J20" s="208">
        <f>$A20*'Verwerking Bouwdelen'!AB4</f>
        <v>0</v>
      </c>
      <c r="K20" s="208">
        <f>$A20*'Verwerking Bouwdelen'!AC4</f>
        <v>0</v>
      </c>
      <c r="L20" s="208">
        <f>$A20*'Verwerking Bouwdelen'!AD4</f>
        <v>0</v>
      </c>
      <c r="M20" s="208">
        <f>$A20*'Verwerking Bouwdelen'!AE4</f>
        <v>0</v>
      </c>
      <c r="O20" s="114">
        <f>$A20*'Verwerking Bouwdelen'!AU4</f>
        <v>0</v>
      </c>
      <c r="P20" s="125">
        <f>$A20*'Verwerking Bouwdelen'!AV4</f>
        <v>0</v>
      </c>
      <c r="Q20" s="125">
        <f>$A20*'Verwerking Bouwdelen'!AW4</f>
        <v>0</v>
      </c>
      <c r="R20" s="125">
        <f>$A20*'Verwerking Bouwdelen'!AX4</f>
        <v>0</v>
      </c>
      <c r="S20" s="125">
        <f>$A20*'Verwerking Bouwdelen'!AY4</f>
        <v>0</v>
      </c>
      <c r="T20" s="125">
        <f>$A20*'Verwerking Bouwdelen'!AZ4</f>
        <v>0</v>
      </c>
      <c r="U20" s="125">
        <f>$A20*'Verwerking Bouwdelen'!BA4</f>
        <v>0</v>
      </c>
      <c r="V20" s="125">
        <f>$A20*'Verwerking Bouwdelen'!BB4</f>
        <v>0</v>
      </c>
      <c r="W20" s="125">
        <f>$A20*'Verwerking Bouwdelen'!BC4</f>
        <v>0</v>
      </c>
      <c r="X20" s="125">
        <f>$A20*'Verwerking Bouwdelen'!BD4</f>
        <v>0</v>
      </c>
      <c r="Y20" s="125">
        <f>$A20*'Verwerking Bouwdelen'!BE4</f>
        <v>0</v>
      </c>
      <c r="Z20" s="195">
        <f>$A20*'Verwerking Bouwdelen'!BF4</f>
        <v>0</v>
      </c>
      <c r="AB20" s="125">
        <f>IF(OR('Verwerking Bouwdelen'!C4=3,'Verwerking Bouwdelen'!C4=6),1,0)</f>
        <v>0</v>
      </c>
      <c r="AC20" s="130">
        <f>IF('Verwerking Bouwdelen'!A4=2,1,0)</f>
        <v>0</v>
      </c>
      <c r="AD20" s="208">
        <f>IF($AB20=1,$AC20*'Verwerking Bouwdelen'!DL4,$AC20*'Verwerking Bouwdelen'!T4)</f>
        <v>0</v>
      </c>
      <c r="AE20" s="208">
        <f>IF($AB20=1,$AC20*'Verwerking Bouwdelen'!DM4,$AC20*'Verwerking Bouwdelen'!U4)</f>
        <v>0</v>
      </c>
      <c r="AF20" s="208">
        <f>IF($AB20=1,$AC20*'Verwerking Bouwdelen'!DN4,$AC20*'Verwerking Bouwdelen'!V4)</f>
        <v>0</v>
      </c>
      <c r="AG20" s="208">
        <f>IF($AB20=1,$AC20*'Verwerking Bouwdelen'!DO4,$AC20*'Verwerking Bouwdelen'!W4)</f>
        <v>0</v>
      </c>
      <c r="AH20" s="208">
        <f>IF($AB20=1,$AC20*'Verwerking Bouwdelen'!DP4,$AC20*'Verwerking Bouwdelen'!X4)</f>
        <v>0</v>
      </c>
      <c r="AI20" s="208">
        <f>IF($AB20=1,$AC20*'Verwerking Bouwdelen'!DQ4,$AC20*'Verwerking Bouwdelen'!Y4)</f>
        <v>0</v>
      </c>
      <c r="AJ20" s="208">
        <f>IF($AB20=1,$AC20*'Verwerking Bouwdelen'!DR4,$AC20*'Verwerking Bouwdelen'!Z4)</f>
        <v>0</v>
      </c>
      <c r="AK20" s="208">
        <f>IF($AB20=1,$AC20*'Verwerking Bouwdelen'!DS4,$AC20*'Verwerking Bouwdelen'!AA4)</f>
        <v>0</v>
      </c>
      <c r="AL20" s="208">
        <f>IF($AB20=1,$AC20*'Verwerking Bouwdelen'!DT4,$AC20*'Verwerking Bouwdelen'!AB4)</f>
        <v>0</v>
      </c>
      <c r="AM20" s="208">
        <f>IF($AB20=1,$AC20*'Verwerking Bouwdelen'!DU4,$AC20*'Verwerking Bouwdelen'!AC4)</f>
        <v>0</v>
      </c>
      <c r="AN20" s="208">
        <f>IF($AB20=1,$AC20*'Verwerking Bouwdelen'!DV4,$AC20*'Verwerking Bouwdelen'!AD4)</f>
        <v>0</v>
      </c>
      <c r="AO20" s="208">
        <f>IF($AB20=1,$AC20*'Verwerking Bouwdelen'!DW4,$AC20*'Verwerking Bouwdelen'!AE4)</f>
        <v>0</v>
      </c>
      <c r="AP20" s="10">
        <f>IF(AD20=B20,0,'Verwerking Bouwdelen'!D4*AB20*AC20)</f>
        <v>0</v>
      </c>
      <c r="AQ20" s="10">
        <f>AB20*AC20*'Verwerking Bouwdelen'!GH4</f>
        <v>0</v>
      </c>
      <c r="AR20" s="10"/>
      <c r="AS20" s="248"/>
      <c r="AT20" s="125">
        <f>IF('Verwerking Bouwdelen'!C4=4,1,0)</f>
        <v>0</v>
      </c>
      <c r="AU20" s="130">
        <f>IF('Verwerking Bouwdelen'!A4=2,1,0)</f>
        <v>0</v>
      </c>
      <c r="AV20" s="208">
        <f>IF($AT20=1,$AU20*'Verwerking Bouwdelen'!DL4,$AU20*'Verwerking Bouwdelen'!T4)</f>
        <v>0</v>
      </c>
      <c r="AW20" s="208">
        <f>IF($AT20=1,$AU20*'Verwerking Bouwdelen'!DM4,$AU20*'Verwerking Bouwdelen'!U4)</f>
        <v>0</v>
      </c>
      <c r="AX20" s="208">
        <f>IF($AT20=1,$AU20*'Verwerking Bouwdelen'!DN4,$AU20*'Verwerking Bouwdelen'!V4)</f>
        <v>0</v>
      </c>
      <c r="AY20" s="208">
        <f>IF($AT20=1,$AU20*'Verwerking Bouwdelen'!DO4,$AU20*'Verwerking Bouwdelen'!W4)</f>
        <v>0</v>
      </c>
      <c r="AZ20" s="208">
        <f>IF($AT20=1,$AU20*'Verwerking Bouwdelen'!DP4,$AU20*'Verwerking Bouwdelen'!X4)</f>
        <v>0</v>
      </c>
      <c r="BA20" s="208">
        <f>IF($AT20=1,$AU20*'Verwerking Bouwdelen'!DQ4,$AU20*'Verwerking Bouwdelen'!Y4)</f>
        <v>0</v>
      </c>
      <c r="BB20" s="208">
        <f>IF($AT20=1,$AU20*'Verwerking Bouwdelen'!DR4,$AU20*'Verwerking Bouwdelen'!Z4)</f>
        <v>0</v>
      </c>
      <c r="BC20" s="208">
        <f>IF($AT20=1,$AU20*'Verwerking Bouwdelen'!DS4,$AU20*'Verwerking Bouwdelen'!AA4)</f>
        <v>0</v>
      </c>
      <c r="BD20" s="208">
        <f>IF($AT20=1,$AU20*'Verwerking Bouwdelen'!DT4,$AU20*'Verwerking Bouwdelen'!AB4)</f>
        <v>0</v>
      </c>
      <c r="BE20" s="208">
        <f>IF($AT20=1,$AU20*'Verwerking Bouwdelen'!DU4,$AU20*'Verwerking Bouwdelen'!AC4)</f>
        <v>0</v>
      </c>
      <c r="BF20" s="208">
        <f>IF($AT20=1,$AU20*'Verwerking Bouwdelen'!DV4,$AU20*'Verwerking Bouwdelen'!AD4)</f>
        <v>0</v>
      </c>
      <c r="BG20" s="208">
        <f>IF($AT20=1,$AU20*'Verwerking Bouwdelen'!DW4,$AU20*'Verwerking Bouwdelen'!AE4)</f>
        <v>0</v>
      </c>
      <c r="BH20" s="10">
        <f>IF(AV20=B20,0,'Verwerking Bouwdelen'!D4*AT20*AU20)</f>
        <v>0</v>
      </c>
      <c r="BI20" s="10">
        <f>AT20*AU20*'Verwerking Bouwdelen'!GH4</f>
        <v>0</v>
      </c>
      <c r="BJ20" s="10"/>
      <c r="BK20" s="10"/>
      <c r="BM20" s="125">
        <f>IF('Verwerking Bouwdelen'!C4=5,1,0)</f>
        <v>0</v>
      </c>
      <c r="BN20" s="130">
        <f>IF('Verwerking Bouwdelen'!A4=2,1,0)</f>
        <v>0</v>
      </c>
      <c r="BO20" s="208">
        <f>IF($BM20=1,$BN20*'Verwerking Bouwdelen'!DL4,$BN20*'Verwerking Bouwdelen'!T4)</f>
        <v>0</v>
      </c>
      <c r="BP20" s="208">
        <f>IF($BM20=1,$BN20*'Verwerking Bouwdelen'!DM4,$BN20*'Verwerking Bouwdelen'!U4)</f>
        <v>0</v>
      </c>
      <c r="BQ20" s="208">
        <f>IF($BM20=1,$BN20*'Verwerking Bouwdelen'!DN4,$BN20*'Verwerking Bouwdelen'!V4)</f>
        <v>0</v>
      </c>
      <c r="BR20" s="208">
        <f>IF($BM20=1,$BN20*'Verwerking Bouwdelen'!DO4,$BN20*'Verwerking Bouwdelen'!W4)</f>
        <v>0</v>
      </c>
      <c r="BS20" s="208">
        <f>IF($BM20=1,$BN20*'Verwerking Bouwdelen'!DP4,$BN20*'Verwerking Bouwdelen'!X4)</f>
        <v>0</v>
      </c>
      <c r="BT20" s="208">
        <f>IF($BM20=1,$BN20*'Verwerking Bouwdelen'!DQ4,$BN20*'Verwerking Bouwdelen'!Y4)</f>
        <v>0</v>
      </c>
      <c r="BU20" s="208">
        <f>IF($BM20=1,$BN20*'Verwerking Bouwdelen'!DR4,$BN20*'Verwerking Bouwdelen'!Z4)</f>
        <v>0</v>
      </c>
      <c r="BV20" s="208">
        <f>IF($BM20=1,$BN20*'Verwerking Bouwdelen'!DS4,$BN20*'Verwerking Bouwdelen'!AA4)</f>
        <v>0</v>
      </c>
      <c r="BW20" s="208">
        <f>IF($BM20=1,$BN20*'Verwerking Bouwdelen'!DT4,$BN20*'Verwerking Bouwdelen'!AB4)</f>
        <v>0</v>
      </c>
      <c r="BX20" s="208">
        <f>IF($BM20=1,$BN20*'Verwerking Bouwdelen'!DU4,$BN20*'Verwerking Bouwdelen'!AC4)</f>
        <v>0</v>
      </c>
      <c r="BY20" s="208">
        <f>IF($BM20=1,$BN20*'Verwerking Bouwdelen'!DV4,$BN20*'Verwerking Bouwdelen'!AD4)</f>
        <v>0</v>
      </c>
      <c r="BZ20" s="208">
        <f>IF($BM20=1,$BN20*'Verwerking Bouwdelen'!DW4,$BN20*'Verwerking Bouwdelen'!AE4)</f>
        <v>0</v>
      </c>
      <c r="CA20" s="10">
        <f>IF(BO20=B20,0,'Verwerking Bouwdelen'!D4*BM20*BN20)</f>
        <v>0</v>
      </c>
      <c r="CB20" s="10">
        <f>BM20*BN20*'Verwerking Bouwdelen'!GH4</f>
        <v>0</v>
      </c>
      <c r="CC20" s="10"/>
      <c r="CD20" s="248"/>
      <c r="CE20" s="125">
        <f>IF('Verwerking Bouwdelen'!C4=2,1,0)</f>
        <v>0</v>
      </c>
      <c r="CF20" s="130">
        <f>IF('Verwerking Bouwdelen'!A4=2,1,0)</f>
        <v>0</v>
      </c>
      <c r="CG20" s="208">
        <f>IF($CE20=1,$CF20*'Verwerking Bouwdelen'!DL4,$CF20*'Verwerking Bouwdelen'!T4)</f>
        <v>0</v>
      </c>
      <c r="CH20" s="208">
        <f>IF($CE20=1,$CF20*'Verwerking Bouwdelen'!DM4,$CF20*'Verwerking Bouwdelen'!U4)</f>
        <v>0</v>
      </c>
      <c r="CI20" s="208">
        <f>IF($CE20=1,$CF20*'Verwerking Bouwdelen'!DN4,$CF20*'Verwerking Bouwdelen'!V4)</f>
        <v>0</v>
      </c>
      <c r="CJ20" s="208">
        <f>IF($CE20=1,$CF20*'Verwerking Bouwdelen'!DO4,$CF20*'Verwerking Bouwdelen'!W4)</f>
        <v>0</v>
      </c>
      <c r="CK20" s="208">
        <f>IF($CE20=1,$CF20*'Verwerking Bouwdelen'!DP4,$CF20*'Verwerking Bouwdelen'!X4)</f>
        <v>0</v>
      </c>
      <c r="CL20" s="208">
        <f>IF($CE20=1,$CF20*'Verwerking Bouwdelen'!DQ4,$CF20*'Verwerking Bouwdelen'!Y4)</f>
        <v>0</v>
      </c>
      <c r="CM20" s="208">
        <f>IF($CE20=1,$CF20*'Verwerking Bouwdelen'!DR4,$CF20*'Verwerking Bouwdelen'!Z4)</f>
        <v>0</v>
      </c>
      <c r="CN20" s="208">
        <f>IF($CE20=1,$CF20*'Verwerking Bouwdelen'!DS4,$CF20*'Verwerking Bouwdelen'!AA4)</f>
        <v>0</v>
      </c>
      <c r="CO20" s="208">
        <f>IF($CE20=1,$CF20*'Verwerking Bouwdelen'!DT4,$CF20*'Verwerking Bouwdelen'!AB4)</f>
        <v>0</v>
      </c>
      <c r="CP20" s="208">
        <f>IF($CE20=1,$CF20*'Verwerking Bouwdelen'!DU4,$CF20*'Verwerking Bouwdelen'!AC4)</f>
        <v>0</v>
      </c>
      <c r="CQ20" s="208">
        <f>IF($CE20=1,$CF20*'Verwerking Bouwdelen'!DV4,$CF20*'Verwerking Bouwdelen'!AD4)</f>
        <v>0</v>
      </c>
      <c r="CR20" s="208">
        <f>IF($CE20=1,$CF20*'Verwerking Bouwdelen'!DW4,$CF20*'Verwerking Bouwdelen'!AE4)</f>
        <v>0</v>
      </c>
      <c r="CS20" s="10">
        <f>IF(CG20=$B20,0,('Verwerking Bouwdelen'!$D4-'Verwerking Bouwdelen'!G4)*CE20*CF20)</f>
        <v>0</v>
      </c>
      <c r="CT20" s="260">
        <f>CE20*CF20*'Verwerking Bouwdelen'!GH4</f>
        <v>0</v>
      </c>
      <c r="CU20" s="261">
        <f>CE20*CF20*'Verwerking Bouwdelen'!GI4</f>
        <v>0</v>
      </c>
      <c r="CW20" s="209">
        <f>$AC20*'Verwerking Bouwdelen'!EE4</f>
        <v>0</v>
      </c>
      <c r="CX20" s="209">
        <f>$AC20*'Verwerking Bouwdelen'!EF4</f>
        <v>0</v>
      </c>
      <c r="CY20" s="209">
        <f>$AC20*'Verwerking Bouwdelen'!EG4</f>
        <v>0</v>
      </c>
      <c r="CZ20" s="209">
        <f>$AC20*'Verwerking Bouwdelen'!EH4</f>
        <v>0</v>
      </c>
      <c r="DA20" s="209">
        <f>$AC20*'Verwerking Bouwdelen'!EI4</f>
        <v>0</v>
      </c>
      <c r="DB20" s="209">
        <f>$AC20*'Verwerking Bouwdelen'!EJ4</f>
        <v>0</v>
      </c>
      <c r="DC20" s="209">
        <f>$AC20*'Verwerking Bouwdelen'!EK4</f>
        <v>0</v>
      </c>
      <c r="DD20" s="209">
        <f>$AC20*'Verwerking Bouwdelen'!EL4</f>
        <v>0</v>
      </c>
      <c r="DE20" s="209">
        <f>$AC20*'Verwerking Bouwdelen'!EM4</f>
        <v>0</v>
      </c>
      <c r="DF20" s="209">
        <f>$AC20*'Verwerking Bouwdelen'!EN4</f>
        <v>0</v>
      </c>
      <c r="DG20" s="209">
        <f>$AC20*'Verwerking Bouwdelen'!EO4</f>
        <v>0</v>
      </c>
      <c r="DH20" s="209">
        <f>$AC20*'Verwerking Bouwdelen'!EP4</f>
        <v>0</v>
      </c>
      <c r="DI20" s="10">
        <f>IF(CW20=$O20,0,'Verwerking Bouwdelen'!G4)</f>
        <v>0</v>
      </c>
      <c r="DJ20" s="259">
        <f>'Verwerking Bouwdelen'!GK4*CF20</f>
        <v>0</v>
      </c>
      <c r="DK20" s="259">
        <f>'Verwerking Bouwdelen'!GL4*CF20</f>
        <v>0</v>
      </c>
      <c r="DL20" s="125"/>
      <c r="FC20" s="89">
        <f>IF('Verwerken ventilatie'!AJ12=2,1,0)</f>
        <v>0</v>
      </c>
      <c r="FD20" s="89">
        <f>FC20*'Verwerken ventilatie'!BT12</f>
        <v>0</v>
      </c>
      <c r="FE20" s="89">
        <f>FC20*'Verwerken ventilatie'!BU12</f>
        <v>0</v>
      </c>
      <c r="FZ20" s="89">
        <f>IF('Verwerken verlichting'!B16=2,1,0)</f>
        <v>0</v>
      </c>
      <c r="GA20" s="89">
        <f>$FZ20*'Verwerken verlichting'!BX16</f>
        <v>0</v>
      </c>
      <c r="GB20" s="89">
        <f>$FZ20*'Verwerken verlichting'!BY16</f>
        <v>0</v>
      </c>
      <c r="GC20" s="89">
        <f>$FZ20*'Verwerken verlichting'!BZ16</f>
        <v>0</v>
      </c>
      <c r="GD20" s="89">
        <f>$FZ20*'Verwerken verlichting'!CA16</f>
        <v>0</v>
      </c>
      <c r="GE20" s="89">
        <f>$FZ20*'Verwerken verlichting'!CB16</f>
        <v>0</v>
      </c>
      <c r="GF20" s="89">
        <f>$FZ20*'Verwerken verlichting'!CC16</f>
        <v>0</v>
      </c>
      <c r="GG20" s="89">
        <f>FZ20*'Invoer verlichting'!N15</f>
        <v>0</v>
      </c>
      <c r="GH20" s="89">
        <f>FZ20*'Verwerken verlichting'!AH16</f>
        <v>0</v>
      </c>
      <c r="GI20" s="89">
        <f>FZ20*'Verwerken verlichting'!AG16</f>
        <v>0</v>
      </c>
      <c r="GJ20" s="89">
        <f>FZ20*'Verwerken verlichting'!CE16</f>
        <v>0</v>
      </c>
      <c r="GM20" s="89">
        <f t="shared" ref="GM20:GM60" si="2">AB20+AT20+BM20+CE20</f>
        <v>0</v>
      </c>
      <c r="GN20" s="89">
        <f t="shared" ref="GN20:GN60" si="3">A20</f>
        <v>0</v>
      </c>
      <c r="GO20" s="208">
        <f>IF($GN20=1,$GN20*$GM20*'Verwerking Bouwdelen'!DL4,$GN20*$GM20*'Verwerking Bouwdelen'!T4)</f>
        <v>0</v>
      </c>
      <c r="GP20" s="208">
        <f>IF($GN20=1,$GN20*$GM20*'Verwerking Bouwdelen'!DM4,$GN20*$GM20*'Verwerking Bouwdelen'!U4)</f>
        <v>0</v>
      </c>
      <c r="GQ20" s="208">
        <f>IF($GN20=1,$GN20*$GM20*'Verwerking Bouwdelen'!DN4,$GN20*$GM20*'Verwerking Bouwdelen'!V4)</f>
        <v>0</v>
      </c>
      <c r="GR20" s="208">
        <f>IF($GN20=1,$GN20*$GM20*'Verwerking Bouwdelen'!DO4,$GN20*$GM20*'Verwerking Bouwdelen'!W4)</f>
        <v>0</v>
      </c>
      <c r="GS20" s="208">
        <f>IF($GN20=1,$GN20*$GM20*'Verwerking Bouwdelen'!DP4,$GN20*$GM20*'Verwerking Bouwdelen'!X4)</f>
        <v>0</v>
      </c>
      <c r="GT20" s="208">
        <f>IF($GN20=1,$GN20*$GM20*'Verwerking Bouwdelen'!DQ4,$GN20*$GM20*'Verwerking Bouwdelen'!Y4)</f>
        <v>0</v>
      </c>
      <c r="GU20" s="208">
        <f>IF($GN20=1,$GN20*$GM20*'Verwerking Bouwdelen'!DR4,$GN20*$GM20*'Verwerking Bouwdelen'!Z4)</f>
        <v>0</v>
      </c>
      <c r="GV20" s="208">
        <f>IF($GN20=1,$GN20*$GM20*'Verwerking Bouwdelen'!DS4,$GN20*$GM20*'Verwerking Bouwdelen'!AA4)</f>
        <v>0</v>
      </c>
      <c r="GW20" s="208">
        <f>IF($GN20=1,$GN20*$GM20*'Verwerking Bouwdelen'!DT4,$GN20*$GM20*'Verwerking Bouwdelen'!AB4)</f>
        <v>0</v>
      </c>
      <c r="GX20" s="208">
        <f>IF($GN20=1,$GN20*$GM20*'Verwerking Bouwdelen'!DU4,$GN20*$GM20*'Verwerking Bouwdelen'!AC4)</f>
        <v>0</v>
      </c>
      <c r="GY20" s="208">
        <f>IF($GN20=1,$GN20*$GM20*'Verwerking Bouwdelen'!DV4,$GN20*$GM20*'Verwerking Bouwdelen'!AD4)</f>
        <v>0</v>
      </c>
      <c r="GZ20" s="208">
        <f>IF($GN20=1,$GN20*$GM20*'Verwerking Bouwdelen'!DW4,$GN20*$GM20*'Verwerking Bouwdelen'!AE4)</f>
        <v>0</v>
      </c>
      <c r="HB20" s="89">
        <f t="shared" ref="HB20:HM54" si="4">CW20</f>
        <v>0</v>
      </c>
      <c r="HC20" s="89">
        <f t="shared" si="1"/>
        <v>0</v>
      </c>
      <c r="HD20" s="89">
        <f t="shared" si="1"/>
        <v>0</v>
      </c>
      <c r="HE20" s="89">
        <f t="shared" si="1"/>
        <v>0</v>
      </c>
      <c r="HF20" s="89">
        <f t="shared" si="1"/>
        <v>0</v>
      </c>
      <c r="HG20" s="89">
        <f t="shared" si="1"/>
        <v>0</v>
      </c>
      <c r="HH20" s="89">
        <f t="shared" si="1"/>
        <v>0</v>
      </c>
      <c r="HI20" s="89">
        <f t="shared" si="1"/>
        <v>0</v>
      </c>
      <c r="HJ20" s="89">
        <f t="shared" si="1"/>
        <v>0</v>
      </c>
      <c r="HK20" s="89">
        <f t="shared" si="1"/>
        <v>0</v>
      </c>
      <c r="HL20" s="89">
        <f t="shared" si="1"/>
        <v>0</v>
      </c>
      <c r="HM20" s="89">
        <f t="shared" si="1"/>
        <v>0</v>
      </c>
      <c r="HO20" s="256"/>
      <c r="HZ20" s="256"/>
    </row>
    <row r="21" spans="1:234" x14ac:dyDescent="0.2">
      <c r="A21" s="130">
        <f>IF('Verwerking Bouwdelen'!A5=2,1,0)</f>
        <v>0</v>
      </c>
      <c r="B21" s="208">
        <f>$A21*'Verwerking Bouwdelen'!T5</f>
        <v>0</v>
      </c>
      <c r="C21" s="208">
        <f>$A21*'Verwerking Bouwdelen'!U5</f>
        <v>0</v>
      </c>
      <c r="D21" s="208">
        <f>$A21*'Verwerking Bouwdelen'!V5</f>
        <v>0</v>
      </c>
      <c r="E21" s="208">
        <f>$A21*'Verwerking Bouwdelen'!W5</f>
        <v>0</v>
      </c>
      <c r="F21" s="208">
        <f>$A21*'Verwerking Bouwdelen'!X5</f>
        <v>0</v>
      </c>
      <c r="G21" s="208">
        <f>$A21*'Verwerking Bouwdelen'!Y5</f>
        <v>0</v>
      </c>
      <c r="H21" s="208">
        <f>$A21*'Verwerking Bouwdelen'!Z5</f>
        <v>0</v>
      </c>
      <c r="I21" s="208">
        <f>$A21*'Verwerking Bouwdelen'!AA5</f>
        <v>0</v>
      </c>
      <c r="J21" s="208">
        <f>$A21*'Verwerking Bouwdelen'!AB5</f>
        <v>0</v>
      </c>
      <c r="K21" s="208">
        <f>$A21*'Verwerking Bouwdelen'!AC5</f>
        <v>0</v>
      </c>
      <c r="L21" s="208">
        <f>$A21*'Verwerking Bouwdelen'!AD5</f>
        <v>0</v>
      </c>
      <c r="M21" s="208">
        <f>$A21*'Verwerking Bouwdelen'!AE5</f>
        <v>0</v>
      </c>
      <c r="O21" s="114">
        <f>$A21*'Verwerking Bouwdelen'!AU5</f>
        <v>0</v>
      </c>
      <c r="P21" s="125">
        <f>$A21*'Verwerking Bouwdelen'!AV5</f>
        <v>0</v>
      </c>
      <c r="Q21" s="125">
        <f>$A21*'Verwerking Bouwdelen'!AW5</f>
        <v>0</v>
      </c>
      <c r="R21" s="125">
        <f>$A21*'Verwerking Bouwdelen'!AX5</f>
        <v>0</v>
      </c>
      <c r="S21" s="125">
        <f>$A21*'Verwerking Bouwdelen'!AY5</f>
        <v>0</v>
      </c>
      <c r="T21" s="125">
        <f>$A21*'Verwerking Bouwdelen'!AZ5</f>
        <v>0</v>
      </c>
      <c r="U21" s="125">
        <f>$A21*'Verwerking Bouwdelen'!BA5</f>
        <v>0</v>
      </c>
      <c r="V21" s="125">
        <f>$A21*'Verwerking Bouwdelen'!BB5</f>
        <v>0</v>
      </c>
      <c r="W21" s="125">
        <f>$A21*'Verwerking Bouwdelen'!BC5</f>
        <v>0</v>
      </c>
      <c r="X21" s="125">
        <f>$A21*'Verwerking Bouwdelen'!BD5</f>
        <v>0</v>
      </c>
      <c r="Y21" s="125">
        <f>$A21*'Verwerking Bouwdelen'!BE5</f>
        <v>0</v>
      </c>
      <c r="Z21" s="195">
        <f>$A21*'Verwerking Bouwdelen'!BF5</f>
        <v>0</v>
      </c>
      <c r="AB21" s="125">
        <f>IF(OR('Verwerking Bouwdelen'!C5=3,'Verwerking Bouwdelen'!C5=6),1,0)</f>
        <v>0</v>
      </c>
      <c r="AC21" s="130">
        <f>IF('Verwerking Bouwdelen'!A5=2,1,0)</f>
        <v>0</v>
      </c>
      <c r="AD21" s="208">
        <f>IF($AB21=1,$AC21*'Verwerking Bouwdelen'!DL5,$AC21*'Verwerking Bouwdelen'!T5)</f>
        <v>0</v>
      </c>
      <c r="AE21" s="208">
        <f>IF($AB21=1,$AC21*'Verwerking Bouwdelen'!DM5,$AC21*'Verwerking Bouwdelen'!U5)</f>
        <v>0</v>
      </c>
      <c r="AF21" s="208">
        <f>IF($AB21=1,$AC21*'Verwerking Bouwdelen'!DN5,$AC21*'Verwerking Bouwdelen'!V5)</f>
        <v>0</v>
      </c>
      <c r="AG21" s="208">
        <f>IF($AB21=1,$AC21*'Verwerking Bouwdelen'!DO5,$AC21*'Verwerking Bouwdelen'!W5)</f>
        <v>0</v>
      </c>
      <c r="AH21" s="208">
        <f>IF($AB21=1,$AC21*'Verwerking Bouwdelen'!DP5,$AC21*'Verwerking Bouwdelen'!X5)</f>
        <v>0</v>
      </c>
      <c r="AI21" s="208">
        <f>IF($AB21=1,$AC21*'Verwerking Bouwdelen'!DQ5,$AC21*'Verwerking Bouwdelen'!Y5)</f>
        <v>0</v>
      </c>
      <c r="AJ21" s="208">
        <f>IF($AB21=1,$AC21*'Verwerking Bouwdelen'!DR5,$AC21*'Verwerking Bouwdelen'!Z5)</f>
        <v>0</v>
      </c>
      <c r="AK21" s="208">
        <f>IF($AB21=1,$AC21*'Verwerking Bouwdelen'!DS5,$AC21*'Verwerking Bouwdelen'!AA5)</f>
        <v>0</v>
      </c>
      <c r="AL21" s="208">
        <f>IF($AB21=1,$AC21*'Verwerking Bouwdelen'!DT5,$AC21*'Verwerking Bouwdelen'!AB5)</f>
        <v>0</v>
      </c>
      <c r="AM21" s="208">
        <f>IF($AB21=1,$AC21*'Verwerking Bouwdelen'!DU5,$AC21*'Verwerking Bouwdelen'!AC5)</f>
        <v>0</v>
      </c>
      <c r="AN21" s="208">
        <f>IF($AB21=1,$AC21*'Verwerking Bouwdelen'!DV5,$AC21*'Verwerking Bouwdelen'!AD5)</f>
        <v>0</v>
      </c>
      <c r="AO21" s="208">
        <f>IF($AB21=1,$AC21*'Verwerking Bouwdelen'!DW5,$AC21*'Verwerking Bouwdelen'!AE5)</f>
        <v>0</v>
      </c>
      <c r="AP21" s="10">
        <f>IF(AD21=B21,0,'Verwerking Bouwdelen'!D5*AB21*AC21)</f>
        <v>0</v>
      </c>
      <c r="AQ21" s="10">
        <f>AB21*AC21*'Verwerking Bouwdelen'!GH5</f>
        <v>0</v>
      </c>
      <c r="AR21" s="10"/>
      <c r="AS21" s="248"/>
      <c r="AT21" s="125">
        <f>IF('Verwerking Bouwdelen'!C5=4,1,0)</f>
        <v>0</v>
      </c>
      <c r="AU21" s="130">
        <f>IF('Verwerking Bouwdelen'!A5=2,1,0)</f>
        <v>0</v>
      </c>
      <c r="AV21" s="208">
        <f>IF($AT21=1,$AU21*'Verwerking Bouwdelen'!DL5,$AU21*'Verwerking Bouwdelen'!T5)</f>
        <v>0</v>
      </c>
      <c r="AW21" s="208">
        <f>IF($AT21=1,$AU21*'Verwerking Bouwdelen'!DM5,$AU21*'Verwerking Bouwdelen'!U5)</f>
        <v>0</v>
      </c>
      <c r="AX21" s="208">
        <f>IF($AT21=1,$AU21*'Verwerking Bouwdelen'!DN5,$AU21*'Verwerking Bouwdelen'!V5)</f>
        <v>0</v>
      </c>
      <c r="AY21" s="208">
        <f>IF($AT21=1,$AU21*'Verwerking Bouwdelen'!DO5,$AU21*'Verwerking Bouwdelen'!W5)</f>
        <v>0</v>
      </c>
      <c r="AZ21" s="208">
        <f>IF($AT21=1,$AU21*'Verwerking Bouwdelen'!DP5,$AU21*'Verwerking Bouwdelen'!X5)</f>
        <v>0</v>
      </c>
      <c r="BA21" s="208">
        <f>IF($AT21=1,$AU21*'Verwerking Bouwdelen'!DQ5,$AU21*'Verwerking Bouwdelen'!Y5)</f>
        <v>0</v>
      </c>
      <c r="BB21" s="208">
        <f>IF($AT21=1,$AU21*'Verwerking Bouwdelen'!DR5,$AU21*'Verwerking Bouwdelen'!Z5)</f>
        <v>0</v>
      </c>
      <c r="BC21" s="208">
        <f>IF($AT21=1,$AU21*'Verwerking Bouwdelen'!DS5,$AU21*'Verwerking Bouwdelen'!AA5)</f>
        <v>0</v>
      </c>
      <c r="BD21" s="208">
        <f>IF($AT21=1,$AU21*'Verwerking Bouwdelen'!DT5,$AU21*'Verwerking Bouwdelen'!AB5)</f>
        <v>0</v>
      </c>
      <c r="BE21" s="208">
        <f>IF($AT21=1,$AU21*'Verwerking Bouwdelen'!DU5,$AU21*'Verwerking Bouwdelen'!AC5)</f>
        <v>0</v>
      </c>
      <c r="BF21" s="208">
        <f>IF($AT21=1,$AU21*'Verwerking Bouwdelen'!DV5,$AU21*'Verwerking Bouwdelen'!AD5)</f>
        <v>0</v>
      </c>
      <c r="BG21" s="208">
        <f>IF($AT21=1,$AU21*'Verwerking Bouwdelen'!DW5,$AU21*'Verwerking Bouwdelen'!AE5)</f>
        <v>0</v>
      </c>
      <c r="BH21" s="10">
        <f>IF(AV21=B21,0,'Verwerking Bouwdelen'!D5*AT21*AU21)</f>
        <v>0</v>
      </c>
      <c r="BI21" s="10">
        <f>AT21*AU21*'Verwerking Bouwdelen'!GH5</f>
        <v>0</v>
      </c>
      <c r="BJ21" s="10"/>
      <c r="BK21" s="10"/>
      <c r="BM21" s="125">
        <f>IF('Verwerking Bouwdelen'!C5=5,1,0)</f>
        <v>0</v>
      </c>
      <c r="BN21" s="130">
        <f>IF('Verwerking Bouwdelen'!A5=2,1,0)</f>
        <v>0</v>
      </c>
      <c r="BO21" s="208">
        <f>IF($BM21=1,$BN21*'Verwerking Bouwdelen'!DL5,$BN21*'Verwerking Bouwdelen'!T5)</f>
        <v>0</v>
      </c>
      <c r="BP21" s="208">
        <f>IF($BM21=1,$BN21*'Verwerking Bouwdelen'!DM5,$BN21*'Verwerking Bouwdelen'!U5)</f>
        <v>0</v>
      </c>
      <c r="BQ21" s="208">
        <f>IF($BM21=1,$BN21*'Verwerking Bouwdelen'!DN5,$BN21*'Verwerking Bouwdelen'!V5)</f>
        <v>0</v>
      </c>
      <c r="BR21" s="208">
        <f>IF($BM21=1,$BN21*'Verwerking Bouwdelen'!DO5,$BN21*'Verwerking Bouwdelen'!W5)</f>
        <v>0</v>
      </c>
      <c r="BS21" s="208">
        <f>IF($BM21=1,$BN21*'Verwerking Bouwdelen'!DP5,$BN21*'Verwerking Bouwdelen'!X5)</f>
        <v>0</v>
      </c>
      <c r="BT21" s="208">
        <f>IF($BM21=1,$BN21*'Verwerking Bouwdelen'!DQ5,$BN21*'Verwerking Bouwdelen'!Y5)</f>
        <v>0</v>
      </c>
      <c r="BU21" s="208">
        <f>IF($BM21=1,$BN21*'Verwerking Bouwdelen'!DR5,$BN21*'Verwerking Bouwdelen'!Z5)</f>
        <v>0</v>
      </c>
      <c r="BV21" s="208">
        <f>IF($BM21=1,$BN21*'Verwerking Bouwdelen'!DS5,$BN21*'Verwerking Bouwdelen'!AA5)</f>
        <v>0</v>
      </c>
      <c r="BW21" s="208">
        <f>IF($BM21=1,$BN21*'Verwerking Bouwdelen'!DT5,$BN21*'Verwerking Bouwdelen'!AB5)</f>
        <v>0</v>
      </c>
      <c r="BX21" s="208">
        <f>IF($BM21=1,$BN21*'Verwerking Bouwdelen'!DU5,$BN21*'Verwerking Bouwdelen'!AC5)</f>
        <v>0</v>
      </c>
      <c r="BY21" s="208">
        <f>IF($BM21=1,$BN21*'Verwerking Bouwdelen'!DV5,$BN21*'Verwerking Bouwdelen'!AD5)</f>
        <v>0</v>
      </c>
      <c r="BZ21" s="208">
        <f>IF($BM21=1,$BN21*'Verwerking Bouwdelen'!DW5,$BN21*'Verwerking Bouwdelen'!AE5)</f>
        <v>0</v>
      </c>
      <c r="CA21" s="10">
        <f>IF(BO21=B21,0,'Verwerking Bouwdelen'!D5*BM21*BN21)</f>
        <v>0</v>
      </c>
      <c r="CB21" s="10">
        <f>BM21*BN21*'Verwerking Bouwdelen'!GH5</f>
        <v>0</v>
      </c>
      <c r="CC21" s="10"/>
      <c r="CD21" s="248"/>
      <c r="CE21" s="125">
        <f>IF('Verwerking Bouwdelen'!C5=2,1,0)</f>
        <v>0</v>
      </c>
      <c r="CF21" s="130">
        <f>IF('Verwerking Bouwdelen'!A5=2,1,0)</f>
        <v>0</v>
      </c>
      <c r="CG21" s="208">
        <f>IF($CE21=1,$CF21*'Verwerking Bouwdelen'!DL5,$CF21*'Verwerking Bouwdelen'!T5)</f>
        <v>0</v>
      </c>
      <c r="CH21" s="208">
        <f>IF($CE21=1,$CF21*'Verwerking Bouwdelen'!DM5,$CF21*'Verwerking Bouwdelen'!U5)</f>
        <v>0</v>
      </c>
      <c r="CI21" s="208">
        <f>IF($CE21=1,$CF21*'Verwerking Bouwdelen'!DN5,$CF21*'Verwerking Bouwdelen'!V5)</f>
        <v>0</v>
      </c>
      <c r="CJ21" s="208">
        <f>IF($CE21=1,$CF21*'Verwerking Bouwdelen'!DO5,$CF21*'Verwerking Bouwdelen'!W5)</f>
        <v>0</v>
      </c>
      <c r="CK21" s="208">
        <f>IF($CE21=1,$CF21*'Verwerking Bouwdelen'!DP5,$CF21*'Verwerking Bouwdelen'!X5)</f>
        <v>0</v>
      </c>
      <c r="CL21" s="208">
        <f>IF($CE21=1,$CF21*'Verwerking Bouwdelen'!DQ5,$CF21*'Verwerking Bouwdelen'!Y5)</f>
        <v>0</v>
      </c>
      <c r="CM21" s="208">
        <f>IF($CE21=1,$CF21*'Verwerking Bouwdelen'!DR5,$CF21*'Verwerking Bouwdelen'!Z5)</f>
        <v>0</v>
      </c>
      <c r="CN21" s="208">
        <f>IF($CE21=1,$CF21*'Verwerking Bouwdelen'!DS5,$CF21*'Verwerking Bouwdelen'!AA5)</f>
        <v>0</v>
      </c>
      <c r="CO21" s="208">
        <f>IF($CE21=1,$CF21*'Verwerking Bouwdelen'!DT5,$CF21*'Verwerking Bouwdelen'!AB5)</f>
        <v>0</v>
      </c>
      <c r="CP21" s="208">
        <f>IF($CE21=1,$CF21*'Verwerking Bouwdelen'!DU5,$CF21*'Verwerking Bouwdelen'!AC5)</f>
        <v>0</v>
      </c>
      <c r="CQ21" s="208">
        <f>IF($CE21=1,$CF21*'Verwerking Bouwdelen'!DV5,$CF21*'Verwerking Bouwdelen'!AD5)</f>
        <v>0</v>
      </c>
      <c r="CR21" s="208">
        <f>IF($CE21=1,$CF21*'Verwerking Bouwdelen'!DW5,$CF21*'Verwerking Bouwdelen'!AE5)</f>
        <v>0</v>
      </c>
      <c r="CS21" s="10">
        <f>IF(CG21=$B21,0,('Verwerking Bouwdelen'!$D5-'Verwerking Bouwdelen'!G5)*CE21*CF21)</f>
        <v>0</v>
      </c>
      <c r="CT21" s="260">
        <f>CE21*CF21*'Verwerking Bouwdelen'!GH5</f>
        <v>0</v>
      </c>
      <c r="CU21" s="261">
        <f>CE21*CF21*'Verwerking Bouwdelen'!GI5</f>
        <v>0</v>
      </c>
      <c r="CW21" s="209">
        <f>$AC21*'Verwerking Bouwdelen'!EE5</f>
        <v>0</v>
      </c>
      <c r="CX21" s="209">
        <f>$AC21*'Verwerking Bouwdelen'!EF5</f>
        <v>0</v>
      </c>
      <c r="CY21" s="209">
        <f>$AC21*'Verwerking Bouwdelen'!EG5</f>
        <v>0</v>
      </c>
      <c r="CZ21" s="209">
        <f>$AC21*'Verwerking Bouwdelen'!EH5</f>
        <v>0</v>
      </c>
      <c r="DA21" s="209">
        <f>$AC21*'Verwerking Bouwdelen'!EI5</f>
        <v>0</v>
      </c>
      <c r="DB21" s="209">
        <f>$AC21*'Verwerking Bouwdelen'!EJ5</f>
        <v>0</v>
      </c>
      <c r="DC21" s="209">
        <f>$AC21*'Verwerking Bouwdelen'!EK5</f>
        <v>0</v>
      </c>
      <c r="DD21" s="209">
        <f>$AC21*'Verwerking Bouwdelen'!EL5</f>
        <v>0</v>
      </c>
      <c r="DE21" s="209">
        <f>$AC21*'Verwerking Bouwdelen'!EM5</f>
        <v>0</v>
      </c>
      <c r="DF21" s="209">
        <f>$AC21*'Verwerking Bouwdelen'!EN5</f>
        <v>0</v>
      </c>
      <c r="DG21" s="209">
        <f>$AC21*'Verwerking Bouwdelen'!EO5</f>
        <v>0</v>
      </c>
      <c r="DH21" s="209">
        <f>$AC21*'Verwerking Bouwdelen'!EP5</f>
        <v>0</v>
      </c>
      <c r="DI21" s="10">
        <f>IF(CW21=$O21,0,'Verwerking Bouwdelen'!G5)</f>
        <v>0</v>
      </c>
      <c r="DJ21" s="259">
        <f>'Verwerking Bouwdelen'!GK5*CF21</f>
        <v>0</v>
      </c>
      <c r="DK21" s="259">
        <f>'Verwerking Bouwdelen'!GL5*CF21</f>
        <v>0</v>
      </c>
      <c r="DL21" s="125"/>
      <c r="FC21" s="89">
        <f>IF('Verwerken ventilatie'!AJ13=2,1,0)</f>
        <v>0</v>
      </c>
      <c r="FD21" s="89">
        <f>FC21*'Verwerken ventilatie'!BT13</f>
        <v>0</v>
      </c>
      <c r="FE21" s="89">
        <f>FC21*'Verwerken ventilatie'!BU13</f>
        <v>0</v>
      </c>
      <c r="FZ21" s="89">
        <f>IF('Verwerken verlichting'!B17=2,1,0)</f>
        <v>0</v>
      </c>
      <c r="GA21" s="89">
        <f>$FZ21*'Verwerken verlichting'!BX17</f>
        <v>0</v>
      </c>
      <c r="GB21" s="89">
        <f>$FZ21*'Verwerken verlichting'!BY17</f>
        <v>0</v>
      </c>
      <c r="GC21" s="89">
        <f>$FZ21*'Verwerken verlichting'!BZ17</f>
        <v>0</v>
      </c>
      <c r="GD21" s="89">
        <f>$FZ21*'Verwerken verlichting'!CA17</f>
        <v>0</v>
      </c>
      <c r="GE21" s="89">
        <f>$FZ21*'Verwerken verlichting'!CB17</f>
        <v>0</v>
      </c>
      <c r="GF21" s="89">
        <f>$FZ21*'Verwerken verlichting'!CC17</f>
        <v>0</v>
      </c>
      <c r="GG21" s="89">
        <f>FZ21*'Invoer verlichting'!N16</f>
        <v>0</v>
      </c>
      <c r="GH21" s="89">
        <f>FZ21*'Verwerken verlichting'!AH17</f>
        <v>0</v>
      </c>
      <c r="GI21" s="89">
        <f>FZ21*'Verwerken verlichting'!AG17</f>
        <v>0</v>
      </c>
      <c r="GJ21" s="89">
        <f>FZ21*'Verwerken verlichting'!CE17</f>
        <v>0</v>
      </c>
      <c r="GM21" s="89">
        <f t="shared" si="2"/>
        <v>0</v>
      </c>
      <c r="GN21" s="89">
        <f t="shared" si="3"/>
        <v>0</v>
      </c>
      <c r="GO21" s="208">
        <f>IF($GN21=1,$GN21*$GM21*'Verwerking Bouwdelen'!DL5,$GN21*$GM21*'Verwerking Bouwdelen'!T5)</f>
        <v>0</v>
      </c>
      <c r="GP21" s="208">
        <f>IF($GN21=1,$GN21*$GM21*'Verwerking Bouwdelen'!DM5,$GN21*$GM21*'Verwerking Bouwdelen'!U5)</f>
        <v>0</v>
      </c>
      <c r="GQ21" s="208">
        <f>IF($GN21=1,$GN21*$GM21*'Verwerking Bouwdelen'!DN5,$GN21*$GM21*'Verwerking Bouwdelen'!V5)</f>
        <v>0</v>
      </c>
      <c r="GR21" s="208">
        <f>IF($GN21=1,$GN21*$GM21*'Verwerking Bouwdelen'!DO5,$GN21*$GM21*'Verwerking Bouwdelen'!W5)</f>
        <v>0</v>
      </c>
      <c r="GS21" s="208">
        <f>IF($GN21=1,$GN21*$GM21*'Verwerking Bouwdelen'!DP5,$GN21*$GM21*'Verwerking Bouwdelen'!X5)</f>
        <v>0</v>
      </c>
      <c r="GT21" s="208">
        <f>IF($GN21=1,$GN21*$GM21*'Verwerking Bouwdelen'!DQ5,$GN21*$GM21*'Verwerking Bouwdelen'!Y5)</f>
        <v>0</v>
      </c>
      <c r="GU21" s="208">
        <f>IF($GN21=1,$GN21*$GM21*'Verwerking Bouwdelen'!DR5,$GN21*$GM21*'Verwerking Bouwdelen'!Z5)</f>
        <v>0</v>
      </c>
      <c r="GV21" s="208">
        <f>IF($GN21=1,$GN21*$GM21*'Verwerking Bouwdelen'!DS5,$GN21*$GM21*'Verwerking Bouwdelen'!AA5)</f>
        <v>0</v>
      </c>
      <c r="GW21" s="208">
        <f>IF($GN21=1,$GN21*$GM21*'Verwerking Bouwdelen'!DT5,$GN21*$GM21*'Verwerking Bouwdelen'!AB5)</f>
        <v>0</v>
      </c>
      <c r="GX21" s="208">
        <f>IF($GN21=1,$GN21*$GM21*'Verwerking Bouwdelen'!DU5,$GN21*$GM21*'Verwerking Bouwdelen'!AC5)</f>
        <v>0</v>
      </c>
      <c r="GY21" s="208">
        <f>IF($GN21=1,$GN21*$GM21*'Verwerking Bouwdelen'!DV5,$GN21*$GM21*'Verwerking Bouwdelen'!AD5)</f>
        <v>0</v>
      </c>
      <c r="GZ21" s="208">
        <f>IF($GN21=1,$GN21*$GM21*'Verwerking Bouwdelen'!DW5,$GN21*$GM21*'Verwerking Bouwdelen'!AE5)</f>
        <v>0</v>
      </c>
      <c r="HB21" s="89">
        <f t="shared" si="4"/>
        <v>0</v>
      </c>
      <c r="HC21" s="89">
        <f t="shared" si="1"/>
        <v>0</v>
      </c>
      <c r="HD21" s="89">
        <f t="shared" si="1"/>
        <v>0</v>
      </c>
      <c r="HE21" s="89">
        <f t="shared" si="1"/>
        <v>0</v>
      </c>
      <c r="HF21" s="89">
        <f t="shared" si="1"/>
        <v>0</v>
      </c>
      <c r="HG21" s="89">
        <f t="shared" si="1"/>
        <v>0</v>
      </c>
      <c r="HH21" s="89">
        <f t="shared" si="1"/>
        <v>0</v>
      </c>
      <c r="HI21" s="89">
        <f t="shared" si="1"/>
        <v>0</v>
      </c>
      <c r="HJ21" s="89">
        <f t="shared" si="1"/>
        <v>0</v>
      </c>
      <c r="HK21" s="89">
        <f t="shared" si="1"/>
        <v>0</v>
      </c>
      <c r="HL21" s="89">
        <f t="shared" si="1"/>
        <v>0</v>
      </c>
      <c r="HM21" s="89">
        <f t="shared" si="1"/>
        <v>0</v>
      </c>
      <c r="HO21" s="256"/>
      <c r="HZ21" s="256"/>
    </row>
    <row r="22" spans="1:234" x14ac:dyDescent="0.2">
      <c r="A22" s="130">
        <f>IF('Verwerking Bouwdelen'!A6=2,1,0)</f>
        <v>0</v>
      </c>
      <c r="B22" s="208">
        <f>$A22*'Verwerking Bouwdelen'!T6</f>
        <v>0</v>
      </c>
      <c r="C22" s="208">
        <f>$A22*'Verwerking Bouwdelen'!U6</f>
        <v>0</v>
      </c>
      <c r="D22" s="208">
        <f>$A22*'Verwerking Bouwdelen'!V6</f>
        <v>0</v>
      </c>
      <c r="E22" s="208">
        <f>$A22*'Verwerking Bouwdelen'!W6</f>
        <v>0</v>
      </c>
      <c r="F22" s="208">
        <f>$A22*'Verwerking Bouwdelen'!X6</f>
        <v>0</v>
      </c>
      <c r="G22" s="208">
        <f>$A22*'Verwerking Bouwdelen'!Y6</f>
        <v>0</v>
      </c>
      <c r="H22" s="208">
        <f>$A22*'Verwerking Bouwdelen'!Z6</f>
        <v>0</v>
      </c>
      <c r="I22" s="208">
        <f>$A22*'Verwerking Bouwdelen'!AA6</f>
        <v>0</v>
      </c>
      <c r="J22" s="208">
        <f>$A22*'Verwerking Bouwdelen'!AB6</f>
        <v>0</v>
      </c>
      <c r="K22" s="208">
        <f>$A22*'Verwerking Bouwdelen'!AC6</f>
        <v>0</v>
      </c>
      <c r="L22" s="208">
        <f>$A22*'Verwerking Bouwdelen'!AD6</f>
        <v>0</v>
      </c>
      <c r="M22" s="208">
        <f>$A22*'Verwerking Bouwdelen'!AE6</f>
        <v>0</v>
      </c>
      <c r="O22" s="114">
        <f>$A22*'Verwerking Bouwdelen'!AU6</f>
        <v>0</v>
      </c>
      <c r="P22" s="125">
        <f>$A22*'Verwerking Bouwdelen'!AV6</f>
        <v>0</v>
      </c>
      <c r="Q22" s="125">
        <f>$A22*'Verwerking Bouwdelen'!AW6</f>
        <v>0</v>
      </c>
      <c r="R22" s="125">
        <f>$A22*'Verwerking Bouwdelen'!AX6</f>
        <v>0</v>
      </c>
      <c r="S22" s="125">
        <f>$A22*'Verwerking Bouwdelen'!AY6</f>
        <v>0</v>
      </c>
      <c r="T22" s="125">
        <f>$A22*'Verwerking Bouwdelen'!AZ6</f>
        <v>0</v>
      </c>
      <c r="U22" s="125">
        <f>$A22*'Verwerking Bouwdelen'!BA6</f>
        <v>0</v>
      </c>
      <c r="V22" s="125">
        <f>$A22*'Verwerking Bouwdelen'!BB6</f>
        <v>0</v>
      </c>
      <c r="W22" s="125">
        <f>$A22*'Verwerking Bouwdelen'!BC6</f>
        <v>0</v>
      </c>
      <c r="X22" s="125">
        <f>$A22*'Verwerking Bouwdelen'!BD6</f>
        <v>0</v>
      </c>
      <c r="Y22" s="125">
        <f>$A22*'Verwerking Bouwdelen'!BE6</f>
        <v>0</v>
      </c>
      <c r="Z22" s="195">
        <f>$A22*'Verwerking Bouwdelen'!BF6</f>
        <v>0</v>
      </c>
      <c r="AB22" s="125">
        <f>IF(OR('Verwerking Bouwdelen'!C6=3,'Verwerking Bouwdelen'!C6=6),1,0)</f>
        <v>0</v>
      </c>
      <c r="AC22" s="130">
        <f>IF('Verwerking Bouwdelen'!A6=2,1,0)</f>
        <v>0</v>
      </c>
      <c r="AD22" s="208">
        <f>IF($AB22=1,$AC22*'Verwerking Bouwdelen'!DL6,$AC22*'Verwerking Bouwdelen'!T6)</f>
        <v>0</v>
      </c>
      <c r="AE22" s="208">
        <f>IF($AB22=1,$AC22*'Verwerking Bouwdelen'!DM6,$AC22*'Verwerking Bouwdelen'!U6)</f>
        <v>0</v>
      </c>
      <c r="AF22" s="208">
        <f>IF($AB22=1,$AC22*'Verwerking Bouwdelen'!DN6,$AC22*'Verwerking Bouwdelen'!V6)</f>
        <v>0</v>
      </c>
      <c r="AG22" s="208">
        <f>IF($AB22=1,$AC22*'Verwerking Bouwdelen'!DO6,$AC22*'Verwerking Bouwdelen'!W6)</f>
        <v>0</v>
      </c>
      <c r="AH22" s="208">
        <f>IF($AB22=1,$AC22*'Verwerking Bouwdelen'!DP6,$AC22*'Verwerking Bouwdelen'!X6)</f>
        <v>0</v>
      </c>
      <c r="AI22" s="208">
        <f>IF($AB22=1,$AC22*'Verwerking Bouwdelen'!DQ6,$AC22*'Verwerking Bouwdelen'!Y6)</f>
        <v>0</v>
      </c>
      <c r="AJ22" s="208">
        <f>IF($AB22=1,$AC22*'Verwerking Bouwdelen'!DR6,$AC22*'Verwerking Bouwdelen'!Z6)</f>
        <v>0</v>
      </c>
      <c r="AK22" s="208">
        <f>IF($AB22=1,$AC22*'Verwerking Bouwdelen'!DS6,$AC22*'Verwerking Bouwdelen'!AA6)</f>
        <v>0</v>
      </c>
      <c r="AL22" s="208">
        <f>IF($AB22=1,$AC22*'Verwerking Bouwdelen'!DT6,$AC22*'Verwerking Bouwdelen'!AB6)</f>
        <v>0</v>
      </c>
      <c r="AM22" s="208">
        <f>IF($AB22=1,$AC22*'Verwerking Bouwdelen'!DU6,$AC22*'Verwerking Bouwdelen'!AC6)</f>
        <v>0</v>
      </c>
      <c r="AN22" s="208">
        <f>IF($AB22=1,$AC22*'Verwerking Bouwdelen'!DV6,$AC22*'Verwerking Bouwdelen'!AD6)</f>
        <v>0</v>
      </c>
      <c r="AO22" s="208">
        <f>IF($AB22=1,$AC22*'Verwerking Bouwdelen'!DW6,$AC22*'Verwerking Bouwdelen'!AE6)</f>
        <v>0</v>
      </c>
      <c r="AP22" s="10">
        <f>IF(AD22=B22,0,'Verwerking Bouwdelen'!D6*AB22*AC22)</f>
        <v>0</v>
      </c>
      <c r="AQ22" s="10">
        <f>AB22*AC22*'Verwerking Bouwdelen'!GH6</f>
        <v>0</v>
      </c>
      <c r="AR22" s="10"/>
      <c r="AS22" s="248"/>
      <c r="AT22" s="125">
        <f>IF('Verwerking Bouwdelen'!C6=4,1,0)</f>
        <v>0</v>
      </c>
      <c r="AU22" s="130">
        <f>IF('Verwerking Bouwdelen'!A6=2,1,0)</f>
        <v>0</v>
      </c>
      <c r="AV22" s="208">
        <f>IF($AT22=1,$AU22*'Verwerking Bouwdelen'!DL6,$AU22*'Verwerking Bouwdelen'!T6)</f>
        <v>0</v>
      </c>
      <c r="AW22" s="208">
        <f>IF($AT22=1,$AU22*'Verwerking Bouwdelen'!DM6,$AU22*'Verwerking Bouwdelen'!U6)</f>
        <v>0</v>
      </c>
      <c r="AX22" s="208">
        <f>IF($AT22=1,$AU22*'Verwerking Bouwdelen'!DN6,$AU22*'Verwerking Bouwdelen'!V6)</f>
        <v>0</v>
      </c>
      <c r="AY22" s="208">
        <f>IF($AT22=1,$AU22*'Verwerking Bouwdelen'!DO6,$AU22*'Verwerking Bouwdelen'!W6)</f>
        <v>0</v>
      </c>
      <c r="AZ22" s="208">
        <f>IF($AT22=1,$AU22*'Verwerking Bouwdelen'!DP6,$AU22*'Verwerking Bouwdelen'!X6)</f>
        <v>0</v>
      </c>
      <c r="BA22" s="208">
        <f>IF($AT22=1,$AU22*'Verwerking Bouwdelen'!DQ6,$AU22*'Verwerking Bouwdelen'!Y6)</f>
        <v>0</v>
      </c>
      <c r="BB22" s="208">
        <f>IF($AT22=1,$AU22*'Verwerking Bouwdelen'!DR6,$AU22*'Verwerking Bouwdelen'!Z6)</f>
        <v>0</v>
      </c>
      <c r="BC22" s="208">
        <f>IF($AT22=1,$AU22*'Verwerking Bouwdelen'!DS6,$AU22*'Verwerking Bouwdelen'!AA6)</f>
        <v>0</v>
      </c>
      <c r="BD22" s="208">
        <f>IF($AT22=1,$AU22*'Verwerking Bouwdelen'!DT6,$AU22*'Verwerking Bouwdelen'!AB6)</f>
        <v>0</v>
      </c>
      <c r="BE22" s="208">
        <f>IF($AT22=1,$AU22*'Verwerking Bouwdelen'!DU6,$AU22*'Verwerking Bouwdelen'!AC6)</f>
        <v>0</v>
      </c>
      <c r="BF22" s="208">
        <f>IF($AT22=1,$AU22*'Verwerking Bouwdelen'!DV6,$AU22*'Verwerking Bouwdelen'!AD6)</f>
        <v>0</v>
      </c>
      <c r="BG22" s="208">
        <f>IF($AT22=1,$AU22*'Verwerking Bouwdelen'!DW6,$AU22*'Verwerking Bouwdelen'!AE6)</f>
        <v>0</v>
      </c>
      <c r="BH22" s="10">
        <f>IF(AV22=B22,0,'Verwerking Bouwdelen'!D6*AT22*AU22)</f>
        <v>0</v>
      </c>
      <c r="BI22" s="10">
        <f>AT22*AU22*'Verwerking Bouwdelen'!GH6</f>
        <v>0</v>
      </c>
      <c r="BJ22" s="10"/>
      <c r="BK22" s="10"/>
      <c r="BM22" s="125">
        <f>IF('Verwerking Bouwdelen'!C6=5,1,0)</f>
        <v>0</v>
      </c>
      <c r="BN22" s="130">
        <f>IF('Verwerking Bouwdelen'!A6=2,1,0)</f>
        <v>0</v>
      </c>
      <c r="BO22" s="208">
        <f>IF($BM22=1,$BN22*'Verwerking Bouwdelen'!DL6,$BN22*'Verwerking Bouwdelen'!T6)</f>
        <v>0</v>
      </c>
      <c r="BP22" s="208">
        <f>IF($BM22=1,$BN22*'Verwerking Bouwdelen'!DM6,$BN22*'Verwerking Bouwdelen'!U6)</f>
        <v>0</v>
      </c>
      <c r="BQ22" s="208">
        <f>IF($BM22=1,$BN22*'Verwerking Bouwdelen'!DN6,$BN22*'Verwerking Bouwdelen'!V6)</f>
        <v>0</v>
      </c>
      <c r="BR22" s="208">
        <f>IF($BM22=1,$BN22*'Verwerking Bouwdelen'!DO6,$BN22*'Verwerking Bouwdelen'!W6)</f>
        <v>0</v>
      </c>
      <c r="BS22" s="208">
        <f>IF($BM22=1,$BN22*'Verwerking Bouwdelen'!DP6,$BN22*'Verwerking Bouwdelen'!X6)</f>
        <v>0</v>
      </c>
      <c r="BT22" s="208">
        <f>IF($BM22=1,$BN22*'Verwerking Bouwdelen'!DQ6,$BN22*'Verwerking Bouwdelen'!Y6)</f>
        <v>0</v>
      </c>
      <c r="BU22" s="208">
        <f>IF($BM22=1,$BN22*'Verwerking Bouwdelen'!DR6,$BN22*'Verwerking Bouwdelen'!Z6)</f>
        <v>0</v>
      </c>
      <c r="BV22" s="208">
        <f>IF($BM22=1,$BN22*'Verwerking Bouwdelen'!DS6,$BN22*'Verwerking Bouwdelen'!AA6)</f>
        <v>0</v>
      </c>
      <c r="BW22" s="208">
        <f>IF($BM22=1,$BN22*'Verwerking Bouwdelen'!DT6,$BN22*'Verwerking Bouwdelen'!AB6)</f>
        <v>0</v>
      </c>
      <c r="BX22" s="208">
        <f>IF($BM22=1,$BN22*'Verwerking Bouwdelen'!DU6,$BN22*'Verwerking Bouwdelen'!AC6)</f>
        <v>0</v>
      </c>
      <c r="BY22" s="208">
        <f>IF($BM22=1,$BN22*'Verwerking Bouwdelen'!DV6,$BN22*'Verwerking Bouwdelen'!AD6)</f>
        <v>0</v>
      </c>
      <c r="BZ22" s="208">
        <f>IF($BM22=1,$BN22*'Verwerking Bouwdelen'!DW6,$BN22*'Verwerking Bouwdelen'!AE6)</f>
        <v>0</v>
      </c>
      <c r="CA22" s="10">
        <f>IF(BO22=B22,0,'Verwerking Bouwdelen'!D6*BM22*BN22)</f>
        <v>0</v>
      </c>
      <c r="CB22" s="10">
        <f>BM22*BN22*'Verwerking Bouwdelen'!GH6</f>
        <v>0</v>
      </c>
      <c r="CC22" s="10"/>
      <c r="CD22" s="248"/>
      <c r="CE22" s="125">
        <f>IF('Verwerking Bouwdelen'!C6=2,1,0)</f>
        <v>0</v>
      </c>
      <c r="CF22" s="130">
        <f>IF('Verwerking Bouwdelen'!A6=2,1,0)</f>
        <v>0</v>
      </c>
      <c r="CG22" s="208">
        <f>IF($CE22=1,$CF22*'Verwerking Bouwdelen'!DL6,$CF22*'Verwerking Bouwdelen'!T6)</f>
        <v>0</v>
      </c>
      <c r="CH22" s="208">
        <f>IF($CE22=1,$CF22*'Verwerking Bouwdelen'!DM6,$CF22*'Verwerking Bouwdelen'!U6)</f>
        <v>0</v>
      </c>
      <c r="CI22" s="208">
        <f>IF($CE22=1,$CF22*'Verwerking Bouwdelen'!DN6,$CF22*'Verwerking Bouwdelen'!V6)</f>
        <v>0</v>
      </c>
      <c r="CJ22" s="208">
        <f>IF($CE22=1,$CF22*'Verwerking Bouwdelen'!DO6,$CF22*'Verwerking Bouwdelen'!W6)</f>
        <v>0</v>
      </c>
      <c r="CK22" s="208">
        <f>IF($CE22=1,$CF22*'Verwerking Bouwdelen'!DP6,$CF22*'Verwerking Bouwdelen'!X6)</f>
        <v>0</v>
      </c>
      <c r="CL22" s="208">
        <f>IF($CE22=1,$CF22*'Verwerking Bouwdelen'!DQ6,$CF22*'Verwerking Bouwdelen'!Y6)</f>
        <v>0</v>
      </c>
      <c r="CM22" s="208">
        <f>IF($CE22=1,$CF22*'Verwerking Bouwdelen'!DR6,$CF22*'Verwerking Bouwdelen'!Z6)</f>
        <v>0</v>
      </c>
      <c r="CN22" s="208">
        <f>IF($CE22=1,$CF22*'Verwerking Bouwdelen'!DS6,$CF22*'Verwerking Bouwdelen'!AA6)</f>
        <v>0</v>
      </c>
      <c r="CO22" s="208">
        <f>IF($CE22=1,$CF22*'Verwerking Bouwdelen'!DT6,$CF22*'Verwerking Bouwdelen'!AB6)</f>
        <v>0</v>
      </c>
      <c r="CP22" s="208">
        <f>IF($CE22=1,$CF22*'Verwerking Bouwdelen'!DU6,$CF22*'Verwerking Bouwdelen'!AC6)</f>
        <v>0</v>
      </c>
      <c r="CQ22" s="208">
        <f>IF($CE22=1,$CF22*'Verwerking Bouwdelen'!DV6,$CF22*'Verwerking Bouwdelen'!AD6)</f>
        <v>0</v>
      </c>
      <c r="CR22" s="208">
        <f>IF($CE22=1,$CF22*'Verwerking Bouwdelen'!DW6,$CF22*'Verwerking Bouwdelen'!AE6)</f>
        <v>0</v>
      </c>
      <c r="CS22" s="10">
        <f>IF(CG22=$B22,0,('Verwerking Bouwdelen'!$D6-'Verwerking Bouwdelen'!G6)*CE22*CF22)</f>
        <v>0</v>
      </c>
      <c r="CT22" s="260">
        <f>CE22*CF22*'Verwerking Bouwdelen'!GH6</f>
        <v>0</v>
      </c>
      <c r="CU22" s="261">
        <f>CE22*CF22*'Verwerking Bouwdelen'!GI6</f>
        <v>0</v>
      </c>
      <c r="CW22" s="209">
        <f>$AC22*'Verwerking Bouwdelen'!EE6</f>
        <v>0</v>
      </c>
      <c r="CX22" s="209">
        <f>$AC22*'Verwerking Bouwdelen'!EF6</f>
        <v>0</v>
      </c>
      <c r="CY22" s="209">
        <f>$AC22*'Verwerking Bouwdelen'!EG6</f>
        <v>0</v>
      </c>
      <c r="CZ22" s="209">
        <f>$AC22*'Verwerking Bouwdelen'!EH6</f>
        <v>0</v>
      </c>
      <c r="DA22" s="209">
        <f>$AC22*'Verwerking Bouwdelen'!EI6</f>
        <v>0</v>
      </c>
      <c r="DB22" s="209">
        <f>$AC22*'Verwerking Bouwdelen'!EJ6</f>
        <v>0</v>
      </c>
      <c r="DC22" s="209">
        <f>$AC22*'Verwerking Bouwdelen'!EK6</f>
        <v>0</v>
      </c>
      <c r="DD22" s="209">
        <f>$AC22*'Verwerking Bouwdelen'!EL6</f>
        <v>0</v>
      </c>
      <c r="DE22" s="209">
        <f>$AC22*'Verwerking Bouwdelen'!EM6</f>
        <v>0</v>
      </c>
      <c r="DF22" s="209">
        <f>$AC22*'Verwerking Bouwdelen'!EN6</f>
        <v>0</v>
      </c>
      <c r="DG22" s="209">
        <f>$AC22*'Verwerking Bouwdelen'!EO6</f>
        <v>0</v>
      </c>
      <c r="DH22" s="209">
        <f>$AC22*'Verwerking Bouwdelen'!EP6</f>
        <v>0</v>
      </c>
      <c r="DI22" s="10">
        <f>IF(CW22=$O22,0,'Verwerking Bouwdelen'!G6)</f>
        <v>0</v>
      </c>
      <c r="DJ22" s="259">
        <f>'Verwerking Bouwdelen'!GK6*CF22</f>
        <v>0</v>
      </c>
      <c r="DK22" s="259">
        <f>'Verwerking Bouwdelen'!GL6*CF22</f>
        <v>0</v>
      </c>
      <c r="DL22" s="125"/>
      <c r="FC22" s="89">
        <f>IF('Verwerken ventilatie'!AJ14=2,1,0)</f>
        <v>0</v>
      </c>
      <c r="FD22" s="89">
        <f>FC22*'Verwerken ventilatie'!BT14</f>
        <v>0</v>
      </c>
      <c r="FE22" s="89">
        <f>FC22*'Verwerken ventilatie'!BU14</f>
        <v>0</v>
      </c>
      <c r="FZ22" s="89">
        <f>IF('Verwerken verlichting'!B18=2,1,0)</f>
        <v>0</v>
      </c>
      <c r="GA22" s="89">
        <f>$FZ22*'Verwerken verlichting'!BX18</f>
        <v>0</v>
      </c>
      <c r="GB22" s="89">
        <f>$FZ22*'Verwerken verlichting'!BY18</f>
        <v>0</v>
      </c>
      <c r="GC22" s="89">
        <f>$FZ22*'Verwerken verlichting'!BZ18</f>
        <v>0</v>
      </c>
      <c r="GD22" s="89">
        <f>$FZ22*'Verwerken verlichting'!CA18</f>
        <v>0</v>
      </c>
      <c r="GE22" s="89">
        <f>$FZ22*'Verwerken verlichting'!CB18</f>
        <v>0</v>
      </c>
      <c r="GF22" s="89">
        <f>$FZ22*'Verwerken verlichting'!CC18</f>
        <v>0</v>
      </c>
      <c r="GG22" s="89">
        <f>FZ22*'Invoer verlichting'!N17</f>
        <v>0</v>
      </c>
      <c r="GH22" s="89">
        <f>FZ22*'Verwerken verlichting'!AH18</f>
        <v>0</v>
      </c>
      <c r="GI22" s="89">
        <f>FZ22*'Verwerken verlichting'!AG18</f>
        <v>0</v>
      </c>
      <c r="GJ22" s="89">
        <f>FZ22*'Verwerken verlichting'!CE18</f>
        <v>0</v>
      </c>
      <c r="GM22" s="89">
        <f t="shared" si="2"/>
        <v>0</v>
      </c>
      <c r="GN22" s="89">
        <f t="shared" si="3"/>
        <v>0</v>
      </c>
      <c r="GO22" s="208">
        <f>IF($GN22=1,$GN22*$GM22*'Verwerking Bouwdelen'!DL6,$GN22*$GM22*'Verwerking Bouwdelen'!T6)</f>
        <v>0</v>
      </c>
      <c r="GP22" s="208">
        <f>IF($GN22=1,$GN22*$GM22*'Verwerking Bouwdelen'!DM6,$GN22*$GM22*'Verwerking Bouwdelen'!U6)</f>
        <v>0</v>
      </c>
      <c r="GQ22" s="208">
        <f>IF($GN22=1,$GN22*$GM22*'Verwerking Bouwdelen'!DN6,$GN22*$GM22*'Verwerking Bouwdelen'!V6)</f>
        <v>0</v>
      </c>
      <c r="GR22" s="208">
        <f>IF($GN22=1,$GN22*$GM22*'Verwerking Bouwdelen'!DO6,$GN22*$GM22*'Verwerking Bouwdelen'!W6)</f>
        <v>0</v>
      </c>
      <c r="GS22" s="208">
        <f>IF($GN22=1,$GN22*$GM22*'Verwerking Bouwdelen'!DP6,$GN22*$GM22*'Verwerking Bouwdelen'!X6)</f>
        <v>0</v>
      </c>
      <c r="GT22" s="208">
        <f>IF($GN22=1,$GN22*$GM22*'Verwerking Bouwdelen'!DQ6,$GN22*$GM22*'Verwerking Bouwdelen'!Y6)</f>
        <v>0</v>
      </c>
      <c r="GU22" s="208">
        <f>IF($GN22=1,$GN22*$GM22*'Verwerking Bouwdelen'!DR6,$GN22*$GM22*'Verwerking Bouwdelen'!Z6)</f>
        <v>0</v>
      </c>
      <c r="GV22" s="208">
        <f>IF($GN22=1,$GN22*$GM22*'Verwerking Bouwdelen'!DS6,$GN22*$GM22*'Verwerking Bouwdelen'!AA6)</f>
        <v>0</v>
      </c>
      <c r="GW22" s="208">
        <f>IF($GN22=1,$GN22*$GM22*'Verwerking Bouwdelen'!DT6,$GN22*$GM22*'Verwerking Bouwdelen'!AB6)</f>
        <v>0</v>
      </c>
      <c r="GX22" s="208">
        <f>IF($GN22=1,$GN22*$GM22*'Verwerking Bouwdelen'!DU6,$GN22*$GM22*'Verwerking Bouwdelen'!AC6)</f>
        <v>0</v>
      </c>
      <c r="GY22" s="208">
        <f>IF($GN22=1,$GN22*$GM22*'Verwerking Bouwdelen'!DV6,$GN22*$GM22*'Verwerking Bouwdelen'!AD6)</f>
        <v>0</v>
      </c>
      <c r="GZ22" s="208">
        <f>IF($GN22=1,$GN22*$GM22*'Verwerking Bouwdelen'!DW6,$GN22*$GM22*'Verwerking Bouwdelen'!AE6)</f>
        <v>0</v>
      </c>
      <c r="HB22" s="89">
        <f t="shared" si="4"/>
        <v>0</v>
      </c>
      <c r="HC22" s="89">
        <f t="shared" si="1"/>
        <v>0</v>
      </c>
      <c r="HD22" s="89">
        <f t="shared" si="1"/>
        <v>0</v>
      </c>
      <c r="HE22" s="89">
        <f t="shared" si="1"/>
        <v>0</v>
      </c>
      <c r="HF22" s="89">
        <f t="shared" si="1"/>
        <v>0</v>
      </c>
      <c r="HG22" s="89">
        <f t="shared" si="1"/>
        <v>0</v>
      </c>
      <c r="HH22" s="89">
        <f t="shared" si="1"/>
        <v>0</v>
      </c>
      <c r="HI22" s="89">
        <f t="shared" si="1"/>
        <v>0</v>
      </c>
      <c r="HJ22" s="89">
        <f t="shared" si="1"/>
        <v>0</v>
      </c>
      <c r="HK22" s="89">
        <f t="shared" si="1"/>
        <v>0</v>
      </c>
      <c r="HL22" s="89">
        <f t="shared" si="1"/>
        <v>0</v>
      </c>
      <c r="HM22" s="89">
        <f t="shared" si="1"/>
        <v>0</v>
      </c>
      <c r="HO22" s="256"/>
      <c r="HZ22" s="256"/>
    </row>
    <row r="23" spans="1:234" x14ac:dyDescent="0.2">
      <c r="A23" s="130">
        <f>IF('Verwerking Bouwdelen'!A7=2,1,0)</f>
        <v>0</v>
      </c>
      <c r="B23" s="208">
        <f>$A23*'Verwerking Bouwdelen'!T7</f>
        <v>0</v>
      </c>
      <c r="C23" s="208">
        <f>$A23*'Verwerking Bouwdelen'!U7</f>
        <v>0</v>
      </c>
      <c r="D23" s="208">
        <f>$A23*'Verwerking Bouwdelen'!V7</f>
        <v>0</v>
      </c>
      <c r="E23" s="208">
        <f>$A23*'Verwerking Bouwdelen'!W7</f>
        <v>0</v>
      </c>
      <c r="F23" s="208">
        <f>$A23*'Verwerking Bouwdelen'!X7</f>
        <v>0</v>
      </c>
      <c r="G23" s="208">
        <f>$A23*'Verwerking Bouwdelen'!Y7</f>
        <v>0</v>
      </c>
      <c r="H23" s="208">
        <f>$A23*'Verwerking Bouwdelen'!Z7</f>
        <v>0</v>
      </c>
      <c r="I23" s="208">
        <f>$A23*'Verwerking Bouwdelen'!AA7</f>
        <v>0</v>
      </c>
      <c r="J23" s="208">
        <f>$A23*'Verwerking Bouwdelen'!AB7</f>
        <v>0</v>
      </c>
      <c r="K23" s="208">
        <f>$A23*'Verwerking Bouwdelen'!AC7</f>
        <v>0</v>
      </c>
      <c r="L23" s="208">
        <f>$A23*'Verwerking Bouwdelen'!AD7</f>
        <v>0</v>
      </c>
      <c r="M23" s="208">
        <f>$A23*'Verwerking Bouwdelen'!AE7</f>
        <v>0</v>
      </c>
      <c r="O23" s="114">
        <f>$A23*'Verwerking Bouwdelen'!AU7</f>
        <v>0</v>
      </c>
      <c r="P23" s="125">
        <f>$A23*'Verwerking Bouwdelen'!AV7</f>
        <v>0</v>
      </c>
      <c r="Q23" s="125">
        <f>$A23*'Verwerking Bouwdelen'!AW7</f>
        <v>0</v>
      </c>
      <c r="R23" s="125">
        <f>$A23*'Verwerking Bouwdelen'!AX7</f>
        <v>0</v>
      </c>
      <c r="S23" s="125">
        <f>$A23*'Verwerking Bouwdelen'!AY7</f>
        <v>0</v>
      </c>
      <c r="T23" s="125">
        <f>$A23*'Verwerking Bouwdelen'!AZ7</f>
        <v>0</v>
      </c>
      <c r="U23" s="125">
        <f>$A23*'Verwerking Bouwdelen'!BA7</f>
        <v>0</v>
      </c>
      <c r="V23" s="125">
        <f>$A23*'Verwerking Bouwdelen'!BB7</f>
        <v>0</v>
      </c>
      <c r="W23" s="125">
        <f>$A23*'Verwerking Bouwdelen'!BC7</f>
        <v>0</v>
      </c>
      <c r="X23" s="125">
        <f>$A23*'Verwerking Bouwdelen'!BD7</f>
        <v>0</v>
      </c>
      <c r="Y23" s="125">
        <f>$A23*'Verwerking Bouwdelen'!BE7</f>
        <v>0</v>
      </c>
      <c r="Z23" s="195">
        <f>$A23*'Verwerking Bouwdelen'!BF7</f>
        <v>0</v>
      </c>
      <c r="AB23" s="125">
        <f>IF(OR('Verwerking Bouwdelen'!C7=3,'Verwerking Bouwdelen'!C7=6),1,0)</f>
        <v>0</v>
      </c>
      <c r="AC23" s="130">
        <f>IF('Verwerking Bouwdelen'!A7=2,1,0)</f>
        <v>0</v>
      </c>
      <c r="AD23" s="208">
        <f>IF($AB23=1,$AC23*'Verwerking Bouwdelen'!DL7,$AC23*'Verwerking Bouwdelen'!T7)</f>
        <v>0</v>
      </c>
      <c r="AE23" s="208">
        <f>IF($AB23=1,$AC23*'Verwerking Bouwdelen'!DM7,$AC23*'Verwerking Bouwdelen'!U7)</f>
        <v>0</v>
      </c>
      <c r="AF23" s="208">
        <f>IF($AB23=1,$AC23*'Verwerking Bouwdelen'!DN7,$AC23*'Verwerking Bouwdelen'!V7)</f>
        <v>0</v>
      </c>
      <c r="AG23" s="208">
        <f>IF($AB23=1,$AC23*'Verwerking Bouwdelen'!DO7,$AC23*'Verwerking Bouwdelen'!W7)</f>
        <v>0</v>
      </c>
      <c r="AH23" s="208">
        <f>IF($AB23=1,$AC23*'Verwerking Bouwdelen'!DP7,$AC23*'Verwerking Bouwdelen'!X7)</f>
        <v>0</v>
      </c>
      <c r="AI23" s="208">
        <f>IF($AB23=1,$AC23*'Verwerking Bouwdelen'!DQ7,$AC23*'Verwerking Bouwdelen'!Y7)</f>
        <v>0</v>
      </c>
      <c r="AJ23" s="208">
        <f>IF($AB23=1,$AC23*'Verwerking Bouwdelen'!DR7,$AC23*'Verwerking Bouwdelen'!Z7)</f>
        <v>0</v>
      </c>
      <c r="AK23" s="208">
        <f>IF($AB23=1,$AC23*'Verwerking Bouwdelen'!DS7,$AC23*'Verwerking Bouwdelen'!AA7)</f>
        <v>0</v>
      </c>
      <c r="AL23" s="208">
        <f>IF($AB23=1,$AC23*'Verwerking Bouwdelen'!DT7,$AC23*'Verwerking Bouwdelen'!AB7)</f>
        <v>0</v>
      </c>
      <c r="AM23" s="208">
        <f>IF($AB23=1,$AC23*'Verwerking Bouwdelen'!DU7,$AC23*'Verwerking Bouwdelen'!AC7)</f>
        <v>0</v>
      </c>
      <c r="AN23" s="208">
        <f>IF($AB23=1,$AC23*'Verwerking Bouwdelen'!DV7,$AC23*'Verwerking Bouwdelen'!AD7)</f>
        <v>0</v>
      </c>
      <c r="AO23" s="208">
        <f>IF($AB23=1,$AC23*'Verwerking Bouwdelen'!DW7,$AC23*'Verwerking Bouwdelen'!AE7)</f>
        <v>0</v>
      </c>
      <c r="AP23" s="10">
        <f>IF(AD23=B23,0,'Verwerking Bouwdelen'!D7*AB23*AC23)</f>
        <v>0</v>
      </c>
      <c r="AQ23" s="10">
        <f>AB23*AC23*'Verwerking Bouwdelen'!GH7</f>
        <v>0</v>
      </c>
      <c r="AR23" s="10"/>
      <c r="AS23" s="248"/>
      <c r="AT23" s="125">
        <f>IF('Verwerking Bouwdelen'!C7=4,1,0)</f>
        <v>0</v>
      </c>
      <c r="AU23" s="130">
        <f>IF('Verwerking Bouwdelen'!A7=2,1,0)</f>
        <v>0</v>
      </c>
      <c r="AV23" s="208">
        <f>IF($AT23=1,$AU23*'Verwerking Bouwdelen'!DL7,$AU23*'Verwerking Bouwdelen'!T7)</f>
        <v>0</v>
      </c>
      <c r="AW23" s="208">
        <f>IF($AT23=1,$AU23*'Verwerking Bouwdelen'!DM7,$AU23*'Verwerking Bouwdelen'!U7)</f>
        <v>0</v>
      </c>
      <c r="AX23" s="208">
        <f>IF($AT23=1,$AU23*'Verwerking Bouwdelen'!DN7,$AU23*'Verwerking Bouwdelen'!V7)</f>
        <v>0</v>
      </c>
      <c r="AY23" s="208">
        <f>IF($AT23=1,$AU23*'Verwerking Bouwdelen'!DO7,$AU23*'Verwerking Bouwdelen'!W7)</f>
        <v>0</v>
      </c>
      <c r="AZ23" s="208">
        <f>IF($AT23=1,$AU23*'Verwerking Bouwdelen'!DP7,$AU23*'Verwerking Bouwdelen'!X7)</f>
        <v>0</v>
      </c>
      <c r="BA23" s="208">
        <f>IF($AT23=1,$AU23*'Verwerking Bouwdelen'!DQ7,$AU23*'Verwerking Bouwdelen'!Y7)</f>
        <v>0</v>
      </c>
      <c r="BB23" s="208">
        <f>IF($AT23=1,$AU23*'Verwerking Bouwdelen'!DR7,$AU23*'Verwerking Bouwdelen'!Z7)</f>
        <v>0</v>
      </c>
      <c r="BC23" s="208">
        <f>IF($AT23=1,$AU23*'Verwerking Bouwdelen'!DS7,$AU23*'Verwerking Bouwdelen'!AA7)</f>
        <v>0</v>
      </c>
      <c r="BD23" s="208">
        <f>IF($AT23=1,$AU23*'Verwerking Bouwdelen'!DT7,$AU23*'Verwerking Bouwdelen'!AB7)</f>
        <v>0</v>
      </c>
      <c r="BE23" s="208">
        <f>IF($AT23=1,$AU23*'Verwerking Bouwdelen'!DU7,$AU23*'Verwerking Bouwdelen'!AC7)</f>
        <v>0</v>
      </c>
      <c r="BF23" s="208">
        <f>IF($AT23=1,$AU23*'Verwerking Bouwdelen'!DV7,$AU23*'Verwerking Bouwdelen'!AD7)</f>
        <v>0</v>
      </c>
      <c r="BG23" s="208">
        <f>IF($AT23=1,$AU23*'Verwerking Bouwdelen'!DW7,$AU23*'Verwerking Bouwdelen'!AE7)</f>
        <v>0</v>
      </c>
      <c r="BH23" s="10">
        <f>IF(AV23=B23,0,'Verwerking Bouwdelen'!D7*AT23*AU23)</f>
        <v>0</v>
      </c>
      <c r="BI23" s="10">
        <f>AT23*AU23*'Verwerking Bouwdelen'!GH7</f>
        <v>0</v>
      </c>
      <c r="BJ23" s="10"/>
      <c r="BK23" s="10"/>
      <c r="BM23" s="125">
        <f>IF('Verwerking Bouwdelen'!C7=5,1,0)</f>
        <v>0</v>
      </c>
      <c r="BN23" s="130">
        <f>IF('Verwerking Bouwdelen'!A7=2,1,0)</f>
        <v>0</v>
      </c>
      <c r="BO23" s="208">
        <f>IF($BM23=1,$BN23*'Verwerking Bouwdelen'!DL7,$BN23*'Verwerking Bouwdelen'!T7)</f>
        <v>0</v>
      </c>
      <c r="BP23" s="208">
        <f>IF($BM23=1,$BN23*'Verwerking Bouwdelen'!DM7,$BN23*'Verwerking Bouwdelen'!U7)</f>
        <v>0</v>
      </c>
      <c r="BQ23" s="208">
        <f>IF($BM23=1,$BN23*'Verwerking Bouwdelen'!DN7,$BN23*'Verwerking Bouwdelen'!V7)</f>
        <v>0</v>
      </c>
      <c r="BR23" s="208">
        <f>IF($BM23=1,$BN23*'Verwerking Bouwdelen'!DO7,$BN23*'Verwerking Bouwdelen'!W7)</f>
        <v>0</v>
      </c>
      <c r="BS23" s="208">
        <f>IF($BM23=1,$BN23*'Verwerking Bouwdelen'!DP7,$BN23*'Verwerking Bouwdelen'!X7)</f>
        <v>0</v>
      </c>
      <c r="BT23" s="208">
        <f>IF($BM23=1,$BN23*'Verwerking Bouwdelen'!DQ7,$BN23*'Verwerking Bouwdelen'!Y7)</f>
        <v>0</v>
      </c>
      <c r="BU23" s="208">
        <f>IF($BM23=1,$BN23*'Verwerking Bouwdelen'!DR7,$BN23*'Verwerking Bouwdelen'!Z7)</f>
        <v>0</v>
      </c>
      <c r="BV23" s="208">
        <f>IF($BM23=1,$BN23*'Verwerking Bouwdelen'!DS7,$BN23*'Verwerking Bouwdelen'!AA7)</f>
        <v>0</v>
      </c>
      <c r="BW23" s="208">
        <f>IF($BM23=1,$BN23*'Verwerking Bouwdelen'!DT7,$BN23*'Verwerking Bouwdelen'!AB7)</f>
        <v>0</v>
      </c>
      <c r="BX23" s="208">
        <f>IF($BM23=1,$BN23*'Verwerking Bouwdelen'!DU7,$BN23*'Verwerking Bouwdelen'!AC7)</f>
        <v>0</v>
      </c>
      <c r="BY23" s="208">
        <f>IF($BM23=1,$BN23*'Verwerking Bouwdelen'!DV7,$BN23*'Verwerking Bouwdelen'!AD7)</f>
        <v>0</v>
      </c>
      <c r="BZ23" s="208">
        <f>IF($BM23=1,$BN23*'Verwerking Bouwdelen'!DW7,$BN23*'Verwerking Bouwdelen'!AE7)</f>
        <v>0</v>
      </c>
      <c r="CA23" s="10">
        <f>IF(BO23=B23,0,'Verwerking Bouwdelen'!D7*BM23*BN23)</f>
        <v>0</v>
      </c>
      <c r="CB23" s="10">
        <f>BM23*BN23*'Verwerking Bouwdelen'!GH7</f>
        <v>0</v>
      </c>
      <c r="CC23" s="10"/>
      <c r="CD23" s="248"/>
      <c r="CE23" s="125">
        <f>IF('Verwerking Bouwdelen'!C7=2,1,0)</f>
        <v>0</v>
      </c>
      <c r="CF23" s="130">
        <f>IF('Verwerking Bouwdelen'!A7=2,1,0)</f>
        <v>0</v>
      </c>
      <c r="CG23" s="208">
        <f>IF($CE23=1,$CF23*'Verwerking Bouwdelen'!DL7,$CF23*'Verwerking Bouwdelen'!T7)</f>
        <v>0</v>
      </c>
      <c r="CH23" s="208">
        <f>IF($CE23=1,$CF23*'Verwerking Bouwdelen'!DM7,$CF23*'Verwerking Bouwdelen'!U7)</f>
        <v>0</v>
      </c>
      <c r="CI23" s="208">
        <f>IF($CE23=1,$CF23*'Verwerking Bouwdelen'!DN7,$CF23*'Verwerking Bouwdelen'!V7)</f>
        <v>0</v>
      </c>
      <c r="CJ23" s="208">
        <f>IF($CE23=1,$CF23*'Verwerking Bouwdelen'!DO7,$CF23*'Verwerking Bouwdelen'!W7)</f>
        <v>0</v>
      </c>
      <c r="CK23" s="208">
        <f>IF($CE23=1,$CF23*'Verwerking Bouwdelen'!DP7,$CF23*'Verwerking Bouwdelen'!X7)</f>
        <v>0</v>
      </c>
      <c r="CL23" s="208">
        <f>IF($CE23=1,$CF23*'Verwerking Bouwdelen'!DQ7,$CF23*'Verwerking Bouwdelen'!Y7)</f>
        <v>0</v>
      </c>
      <c r="CM23" s="208">
        <f>IF($CE23=1,$CF23*'Verwerking Bouwdelen'!DR7,$CF23*'Verwerking Bouwdelen'!Z7)</f>
        <v>0</v>
      </c>
      <c r="CN23" s="208">
        <f>IF($CE23=1,$CF23*'Verwerking Bouwdelen'!DS7,$CF23*'Verwerking Bouwdelen'!AA7)</f>
        <v>0</v>
      </c>
      <c r="CO23" s="208">
        <f>IF($CE23=1,$CF23*'Verwerking Bouwdelen'!DT7,$CF23*'Verwerking Bouwdelen'!AB7)</f>
        <v>0</v>
      </c>
      <c r="CP23" s="208">
        <f>IF($CE23=1,$CF23*'Verwerking Bouwdelen'!DU7,$CF23*'Verwerking Bouwdelen'!AC7)</f>
        <v>0</v>
      </c>
      <c r="CQ23" s="208">
        <f>IF($CE23=1,$CF23*'Verwerking Bouwdelen'!DV7,$CF23*'Verwerking Bouwdelen'!AD7)</f>
        <v>0</v>
      </c>
      <c r="CR23" s="208">
        <f>IF($CE23=1,$CF23*'Verwerking Bouwdelen'!DW7,$CF23*'Verwerking Bouwdelen'!AE7)</f>
        <v>0</v>
      </c>
      <c r="CS23" s="10">
        <f>IF(CG23=$B23,0,('Verwerking Bouwdelen'!$D7-'Verwerking Bouwdelen'!G7)*CE23*CF23)</f>
        <v>0</v>
      </c>
      <c r="CT23" s="260">
        <f>CE23*CF23*'Verwerking Bouwdelen'!GH7</f>
        <v>0</v>
      </c>
      <c r="CU23" s="261">
        <f>CE23*CF23*'Verwerking Bouwdelen'!GI7</f>
        <v>0</v>
      </c>
      <c r="CW23" s="209">
        <f>$AC23*'Verwerking Bouwdelen'!EE7</f>
        <v>0</v>
      </c>
      <c r="CX23" s="209">
        <f>$AC23*'Verwerking Bouwdelen'!EF7</f>
        <v>0</v>
      </c>
      <c r="CY23" s="209">
        <f>$AC23*'Verwerking Bouwdelen'!EG7</f>
        <v>0</v>
      </c>
      <c r="CZ23" s="209">
        <f>$AC23*'Verwerking Bouwdelen'!EH7</f>
        <v>0</v>
      </c>
      <c r="DA23" s="209">
        <f>$AC23*'Verwerking Bouwdelen'!EI7</f>
        <v>0</v>
      </c>
      <c r="DB23" s="209">
        <f>$AC23*'Verwerking Bouwdelen'!EJ7</f>
        <v>0</v>
      </c>
      <c r="DC23" s="209">
        <f>$AC23*'Verwerking Bouwdelen'!EK7</f>
        <v>0</v>
      </c>
      <c r="DD23" s="209">
        <f>$AC23*'Verwerking Bouwdelen'!EL7</f>
        <v>0</v>
      </c>
      <c r="DE23" s="209">
        <f>$AC23*'Verwerking Bouwdelen'!EM7</f>
        <v>0</v>
      </c>
      <c r="DF23" s="209">
        <f>$AC23*'Verwerking Bouwdelen'!EN7</f>
        <v>0</v>
      </c>
      <c r="DG23" s="209">
        <f>$AC23*'Verwerking Bouwdelen'!EO7</f>
        <v>0</v>
      </c>
      <c r="DH23" s="209">
        <f>$AC23*'Verwerking Bouwdelen'!EP7</f>
        <v>0</v>
      </c>
      <c r="DI23" s="10">
        <f>IF(CW23=$O23,0,'Verwerking Bouwdelen'!G7)</f>
        <v>0</v>
      </c>
      <c r="DJ23" s="259">
        <f>'Verwerking Bouwdelen'!GK7*CF23</f>
        <v>0</v>
      </c>
      <c r="DK23" s="259">
        <f>'Verwerking Bouwdelen'!GL7*CF23</f>
        <v>0</v>
      </c>
      <c r="DL23" s="125"/>
      <c r="FC23" s="89">
        <f>IF('Verwerken ventilatie'!AJ15=2,1,0)</f>
        <v>0</v>
      </c>
      <c r="FD23" s="89">
        <f>FC23*'Verwerken ventilatie'!BT15</f>
        <v>0</v>
      </c>
      <c r="FE23" s="89">
        <f>FC23*'Verwerken ventilatie'!BU15</f>
        <v>0</v>
      </c>
      <c r="FZ23" s="89">
        <f>IF('Verwerken verlichting'!B19=2,1,0)</f>
        <v>0</v>
      </c>
      <c r="GA23" s="89">
        <f>$FZ23*'Verwerken verlichting'!BX19</f>
        <v>0</v>
      </c>
      <c r="GB23" s="89">
        <f>$FZ23*'Verwerken verlichting'!BY19</f>
        <v>0</v>
      </c>
      <c r="GC23" s="89">
        <f>$FZ23*'Verwerken verlichting'!BZ19</f>
        <v>0</v>
      </c>
      <c r="GD23" s="89">
        <f>$FZ23*'Verwerken verlichting'!CA19</f>
        <v>0</v>
      </c>
      <c r="GE23" s="89">
        <f>$FZ23*'Verwerken verlichting'!CB19</f>
        <v>0</v>
      </c>
      <c r="GF23" s="89">
        <f>$FZ23*'Verwerken verlichting'!CC19</f>
        <v>0</v>
      </c>
      <c r="GG23" s="89">
        <f>FZ23*'Invoer verlichting'!N18</f>
        <v>0</v>
      </c>
      <c r="GH23" s="89">
        <f>FZ23*'Verwerken verlichting'!AH19</f>
        <v>0</v>
      </c>
      <c r="GI23" s="89">
        <f>FZ23*'Verwerken verlichting'!AG19</f>
        <v>0</v>
      </c>
      <c r="GJ23" s="89">
        <f>FZ23*'Verwerken verlichting'!CE19</f>
        <v>0</v>
      </c>
      <c r="GM23" s="89">
        <f t="shared" si="2"/>
        <v>0</v>
      </c>
      <c r="GN23" s="89">
        <f t="shared" si="3"/>
        <v>0</v>
      </c>
      <c r="GO23" s="208">
        <f>IF($GN23=1,$GN23*$GM23*'Verwerking Bouwdelen'!DL7,$GN23*$GM23*'Verwerking Bouwdelen'!T7)</f>
        <v>0</v>
      </c>
      <c r="GP23" s="208">
        <f>IF($GN23=1,$GN23*$GM23*'Verwerking Bouwdelen'!DM7,$GN23*$GM23*'Verwerking Bouwdelen'!U7)</f>
        <v>0</v>
      </c>
      <c r="GQ23" s="208">
        <f>IF($GN23=1,$GN23*$GM23*'Verwerking Bouwdelen'!DN7,$GN23*$GM23*'Verwerking Bouwdelen'!V7)</f>
        <v>0</v>
      </c>
      <c r="GR23" s="208">
        <f>IF($GN23=1,$GN23*$GM23*'Verwerking Bouwdelen'!DO7,$GN23*$GM23*'Verwerking Bouwdelen'!W7)</f>
        <v>0</v>
      </c>
      <c r="GS23" s="208">
        <f>IF($GN23=1,$GN23*$GM23*'Verwerking Bouwdelen'!DP7,$GN23*$GM23*'Verwerking Bouwdelen'!X7)</f>
        <v>0</v>
      </c>
      <c r="GT23" s="208">
        <f>IF($GN23=1,$GN23*$GM23*'Verwerking Bouwdelen'!DQ7,$GN23*$GM23*'Verwerking Bouwdelen'!Y7)</f>
        <v>0</v>
      </c>
      <c r="GU23" s="208">
        <f>IF($GN23=1,$GN23*$GM23*'Verwerking Bouwdelen'!DR7,$GN23*$GM23*'Verwerking Bouwdelen'!Z7)</f>
        <v>0</v>
      </c>
      <c r="GV23" s="208">
        <f>IF($GN23=1,$GN23*$GM23*'Verwerking Bouwdelen'!DS7,$GN23*$GM23*'Verwerking Bouwdelen'!AA7)</f>
        <v>0</v>
      </c>
      <c r="GW23" s="208">
        <f>IF($GN23=1,$GN23*$GM23*'Verwerking Bouwdelen'!DT7,$GN23*$GM23*'Verwerking Bouwdelen'!AB7)</f>
        <v>0</v>
      </c>
      <c r="GX23" s="208">
        <f>IF($GN23=1,$GN23*$GM23*'Verwerking Bouwdelen'!DU7,$GN23*$GM23*'Verwerking Bouwdelen'!AC7)</f>
        <v>0</v>
      </c>
      <c r="GY23" s="208">
        <f>IF($GN23=1,$GN23*$GM23*'Verwerking Bouwdelen'!DV7,$GN23*$GM23*'Verwerking Bouwdelen'!AD7)</f>
        <v>0</v>
      </c>
      <c r="GZ23" s="208">
        <f>IF($GN23=1,$GN23*$GM23*'Verwerking Bouwdelen'!DW7,$GN23*$GM23*'Verwerking Bouwdelen'!AE7)</f>
        <v>0</v>
      </c>
      <c r="HB23" s="89">
        <f t="shared" si="4"/>
        <v>0</v>
      </c>
      <c r="HC23" s="89">
        <f t="shared" si="1"/>
        <v>0</v>
      </c>
      <c r="HD23" s="89">
        <f t="shared" si="1"/>
        <v>0</v>
      </c>
      <c r="HE23" s="89">
        <f t="shared" si="1"/>
        <v>0</v>
      </c>
      <c r="HF23" s="89">
        <f t="shared" si="1"/>
        <v>0</v>
      </c>
      <c r="HG23" s="89">
        <f t="shared" si="1"/>
        <v>0</v>
      </c>
      <c r="HH23" s="89">
        <f t="shared" si="1"/>
        <v>0</v>
      </c>
      <c r="HI23" s="89">
        <f t="shared" si="1"/>
        <v>0</v>
      </c>
      <c r="HJ23" s="89">
        <f t="shared" si="1"/>
        <v>0</v>
      </c>
      <c r="HK23" s="89">
        <f t="shared" si="1"/>
        <v>0</v>
      </c>
      <c r="HL23" s="89">
        <f t="shared" si="1"/>
        <v>0</v>
      </c>
      <c r="HM23" s="89">
        <f t="shared" si="1"/>
        <v>0</v>
      </c>
      <c r="HO23" s="256"/>
      <c r="HZ23" s="256"/>
    </row>
    <row r="24" spans="1:234" x14ac:dyDescent="0.2">
      <c r="A24" s="130">
        <f>IF('Verwerking Bouwdelen'!A8=2,1,0)</f>
        <v>0</v>
      </c>
      <c r="B24" s="208">
        <f>$A24*'Verwerking Bouwdelen'!T8</f>
        <v>0</v>
      </c>
      <c r="C24" s="208">
        <f>$A24*'Verwerking Bouwdelen'!U8</f>
        <v>0</v>
      </c>
      <c r="D24" s="208">
        <f>$A24*'Verwerking Bouwdelen'!V8</f>
        <v>0</v>
      </c>
      <c r="E24" s="208">
        <f>$A24*'Verwerking Bouwdelen'!W8</f>
        <v>0</v>
      </c>
      <c r="F24" s="208">
        <f>$A24*'Verwerking Bouwdelen'!X8</f>
        <v>0</v>
      </c>
      <c r="G24" s="208">
        <f>$A24*'Verwerking Bouwdelen'!Y8</f>
        <v>0</v>
      </c>
      <c r="H24" s="208">
        <f>$A24*'Verwerking Bouwdelen'!Z8</f>
        <v>0</v>
      </c>
      <c r="I24" s="208">
        <f>$A24*'Verwerking Bouwdelen'!AA8</f>
        <v>0</v>
      </c>
      <c r="J24" s="208">
        <f>$A24*'Verwerking Bouwdelen'!AB8</f>
        <v>0</v>
      </c>
      <c r="K24" s="208">
        <f>$A24*'Verwerking Bouwdelen'!AC8</f>
        <v>0</v>
      </c>
      <c r="L24" s="208">
        <f>$A24*'Verwerking Bouwdelen'!AD8</f>
        <v>0</v>
      </c>
      <c r="M24" s="208">
        <f>$A24*'Verwerking Bouwdelen'!AE8</f>
        <v>0</v>
      </c>
      <c r="O24" s="114">
        <f>$A24*'Verwerking Bouwdelen'!AU8</f>
        <v>0</v>
      </c>
      <c r="P24" s="125">
        <f>$A24*'Verwerking Bouwdelen'!AV8</f>
        <v>0</v>
      </c>
      <c r="Q24" s="125">
        <f>$A24*'Verwerking Bouwdelen'!AW8</f>
        <v>0</v>
      </c>
      <c r="R24" s="125">
        <f>$A24*'Verwerking Bouwdelen'!AX8</f>
        <v>0</v>
      </c>
      <c r="S24" s="125">
        <f>$A24*'Verwerking Bouwdelen'!AY8</f>
        <v>0</v>
      </c>
      <c r="T24" s="125">
        <f>$A24*'Verwerking Bouwdelen'!AZ8</f>
        <v>0</v>
      </c>
      <c r="U24" s="125">
        <f>$A24*'Verwerking Bouwdelen'!BA8</f>
        <v>0</v>
      </c>
      <c r="V24" s="125">
        <f>$A24*'Verwerking Bouwdelen'!BB8</f>
        <v>0</v>
      </c>
      <c r="W24" s="125">
        <f>$A24*'Verwerking Bouwdelen'!BC8</f>
        <v>0</v>
      </c>
      <c r="X24" s="125">
        <f>$A24*'Verwerking Bouwdelen'!BD8</f>
        <v>0</v>
      </c>
      <c r="Y24" s="125">
        <f>$A24*'Verwerking Bouwdelen'!BE8</f>
        <v>0</v>
      </c>
      <c r="Z24" s="195">
        <f>$A24*'Verwerking Bouwdelen'!BF8</f>
        <v>0</v>
      </c>
      <c r="AB24" s="125">
        <f>IF(OR('Verwerking Bouwdelen'!C8=3,'Verwerking Bouwdelen'!C8=6),1,0)</f>
        <v>0</v>
      </c>
      <c r="AC24" s="130">
        <f>IF('Verwerking Bouwdelen'!A8=2,1,0)</f>
        <v>0</v>
      </c>
      <c r="AD24" s="208">
        <f>IF($AB24=1,$AC24*'Verwerking Bouwdelen'!DL8,$AC24*'Verwerking Bouwdelen'!T8)</f>
        <v>0</v>
      </c>
      <c r="AE24" s="208">
        <f>IF($AB24=1,$AC24*'Verwerking Bouwdelen'!DM8,$AC24*'Verwerking Bouwdelen'!U8)</f>
        <v>0</v>
      </c>
      <c r="AF24" s="208">
        <f>IF($AB24=1,$AC24*'Verwerking Bouwdelen'!DN8,$AC24*'Verwerking Bouwdelen'!V8)</f>
        <v>0</v>
      </c>
      <c r="AG24" s="208">
        <f>IF($AB24=1,$AC24*'Verwerking Bouwdelen'!DO8,$AC24*'Verwerking Bouwdelen'!W8)</f>
        <v>0</v>
      </c>
      <c r="AH24" s="208">
        <f>IF($AB24=1,$AC24*'Verwerking Bouwdelen'!DP8,$AC24*'Verwerking Bouwdelen'!X8)</f>
        <v>0</v>
      </c>
      <c r="AI24" s="208">
        <f>IF($AB24=1,$AC24*'Verwerking Bouwdelen'!DQ8,$AC24*'Verwerking Bouwdelen'!Y8)</f>
        <v>0</v>
      </c>
      <c r="AJ24" s="208">
        <f>IF($AB24=1,$AC24*'Verwerking Bouwdelen'!DR8,$AC24*'Verwerking Bouwdelen'!Z8)</f>
        <v>0</v>
      </c>
      <c r="AK24" s="208">
        <f>IF($AB24=1,$AC24*'Verwerking Bouwdelen'!DS8,$AC24*'Verwerking Bouwdelen'!AA8)</f>
        <v>0</v>
      </c>
      <c r="AL24" s="208">
        <f>IF($AB24=1,$AC24*'Verwerking Bouwdelen'!DT8,$AC24*'Verwerking Bouwdelen'!AB8)</f>
        <v>0</v>
      </c>
      <c r="AM24" s="208">
        <f>IF($AB24=1,$AC24*'Verwerking Bouwdelen'!DU8,$AC24*'Verwerking Bouwdelen'!AC8)</f>
        <v>0</v>
      </c>
      <c r="AN24" s="208">
        <f>IF($AB24=1,$AC24*'Verwerking Bouwdelen'!DV8,$AC24*'Verwerking Bouwdelen'!AD8)</f>
        <v>0</v>
      </c>
      <c r="AO24" s="208">
        <f>IF($AB24=1,$AC24*'Verwerking Bouwdelen'!DW8,$AC24*'Verwerking Bouwdelen'!AE8)</f>
        <v>0</v>
      </c>
      <c r="AP24" s="10">
        <f>IF(AD24=B24,0,'Verwerking Bouwdelen'!D8*AB24*AC24)</f>
        <v>0</v>
      </c>
      <c r="AQ24" s="10">
        <f>AB24*AC24*'Verwerking Bouwdelen'!GH8</f>
        <v>0</v>
      </c>
      <c r="AR24" s="10"/>
      <c r="AS24" s="248"/>
      <c r="AT24" s="125">
        <f>IF('Verwerking Bouwdelen'!C8=4,1,0)</f>
        <v>0</v>
      </c>
      <c r="AU24" s="130">
        <f>IF('Verwerking Bouwdelen'!A8=2,1,0)</f>
        <v>0</v>
      </c>
      <c r="AV24" s="208">
        <f>IF($AT24=1,$AU24*'Verwerking Bouwdelen'!DL8,$AU24*'Verwerking Bouwdelen'!T8)</f>
        <v>0</v>
      </c>
      <c r="AW24" s="208">
        <f>IF($AT24=1,$AU24*'Verwerking Bouwdelen'!DM8,$AU24*'Verwerking Bouwdelen'!U8)</f>
        <v>0</v>
      </c>
      <c r="AX24" s="208">
        <f>IF($AT24=1,$AU24*'Verwerking Bouwdelen'!DN8,$AU24*'Verwerking Bouwdelen'!V8)</f>
        <v>0</v>
      </c>
      <c r="AY24" s="208">
        <f>IF($AT24=1,$AU24*'Verwerking Bouwdelen'!DO8,$AU24*'Verwerking Bouwdelen'!W8)</f>
        <v>0</v>
      </c>
      <c r="AZ24" s="208">
        <f>IF($AT24=1,$AU24*'Verwerking Bouwdelen'!DP8,$AU24*'Verwerking Bouwdelen'!X8)</f>
        <v>0</v>
      </c>
      <c r="BA24" s="208">
        <f>IF($AT24=1,$AU24*'Verwerking Bouwdelen'!DQ8,$AU24*'Verwerking Bouwdelen'!Y8)</f>
        <v>0</v>
      </c>
      <c r="BB24" s="208">
        <f>IF($AT24=1,$AU24*'Verwerking Bouwdelen'!DR8,$AU24*'Verwerking Bouwdelen'!Z8)</f>
        <v>0</v>
      </c>
      <c r="BC24" s="208">
        <f>IF($AT24=1,$AU24*'Verwerking Bouwdelen'!DS8,$AU24*'Verwerking Bouwdelen'!AA8)</f>
        <v>0</v>
      </c>
      <c r="BD24" s="208">
        <f>IF($AT24=1,$AU24*'Verwerking Bouwdelen'!DT8,$AU24*'Verwerking Bouwdelen'!AB8)</f>
        <v>0</v>
      </c>
      <c r="BE24" s="208">
        <f>IF($AT24=1,$AU24*'Verwerking Bouwdelen'!DU8,$AU24*'Verwerking Bouwdelen'!AC8)</f>
        <v>0</v>
      </c>
      <c r="BF24" s="208">
        <f>IF($AT24=1,$AU24*'Verwerking Bouwdelen'!DV8,$AU24*'Verwerking Bouwdelen'!AD8)</f>
        <v>0</v>
      </c>
      <c r="BG24" s="208">
        <f>IF($AT24=1,$AU24*'Verwerking Bouwdelen'!DW8,$AU24*'Verwerking Bouwdelen'!AE8)</f>
        <v>0</v>
      </c>
      <c r="BH24" s="10">
        <f>IF(AV24=B24,0,'Verwerking Bouwdelen'!D8*AT24*AU24)</f>
        <v>0</v>
      </c>
      <c r="BI24" s="10">
        <f>AT24*AU24*'Verwerking Bouwdelen'!GH8</f>
        <v>0</v>
      </c>
      <c r="BJ24" s="10"/>
      <c r="BK24" s="10"/>
      <c r="BM24" s="125">
        <f>IF('Verwerking Bouwdelen'!C8=5,1,0)</f>
        <v>0</v>
      </c>
      <c r="BN24" s="130">
        <f>IF('Verwerking Bouwdelen'!A8=2,1,0)</f>
        <v>0</v>
      </c>
      <c r="BO24" s="208">
        <f>IF($BM24=1,$BN24*'Verwerking Bouwdelen'!DL8,$BN24*'Verwerking Bouwdelen'!T8)</f>
        <v>0</v>
      </c>
      <c r="BP24" s="208">
        <f>IF($BM24=1,$BN24*'Verwerking Bouwdelen'!DM8,$BN24*'Verwerking Bouwdelen'!U8)</f>
        <v>0</v>
      </c>
      <c r="BQ24" s="208">
        <f>IF($BM24=1,$BN24*'Verwerking Bouwdelen'!DN8,$BN24*'Verwerking Bouwdelen'!V8)</f>
        <v>0</v>
      </c>
      <c r="BR24" s="208">
        <f>IF($BM24=1,$BN24*'Verwerking Bouwdelen'!DO8,$BN24*'Verwerking Bouwdelen'!W8)</f>
        <v>0</v>
      </c>
      <c r="BS24" s="208">
        <f>IF($BM24=1,$BN24*'Verwerking Bouwdelen'!DP8,$BN24*'Verwerking Bouwdelen'!X8)</f>
        <v>0</v>
      </c>
      <c r="BT24" s="208">
        <f>IF($BM24=1,$BN24*'Verwerking Bouwdelen'!DQ8,$BN24*'Verwerking Bouwdelen'!Y8)</f>
        <v>0</v>
      </c>
      <c r="BU24" s="208">
        <f>IF($BM24=1,$BN24*'Verwerking Bouwdelen'!DR8,$BN24*'Verwerking Bouwdelen'!Z8)</f>
        <v>0</v>
      </c>
      <c r="BV24" s="208">
        <f>IF($BM24=1,$BN24*'Verwerking Bouwdelen'!DS8,$BN24*'Verwerking Bouwdelen'!AA8)</f>
        <v>0</v>
      </c>
      <c r="BW24" s="208">
        <f>IF($BM24=1,$BN24*'Verwerking Bouwdelen'!DT8,$BN24*'Verwerking Bouwdelen'!AB8)</f>
        <v>0</v>
      </c>
      <c r="BX24" s="208">
        <f>IF($BM24=1,$BN24*'Verwerking Bouwdelen'!DU8,$BN24*'Verwerking Bouwdelen'!AC8)</f>
        <v>0</v>
      </c>
      <c r="BY24" s="208">
        <f>IF($BM24=1,$BN24*'Verwerking Bouwdelen'!DV8,$BN24*'Verwerking Bouwdelen'!AD8)</f>
        <v>0</v>
      </c>
      <c r="BZ24" s="208">
        <f>IF($BM24=1,$BN24*'Verwerking Bouwdelen'!DW8,$BN24*'Verwerking Bouwdelen'!AE8)</f>
        <v>0</v>
      </c>
      <c r="CA24" s="10">
        <f>IF(BO24=B24,0,'Verwerking Bouwdelen'!D8*BM24*BN24)</f>
        <v>0</v>
      </c>
      <c r="CB24" s="10">
        <f>BM24*BN24*'Verwerking Bouwdelen'!GH8</f>
        <v>0</v>
      </c>
      <c r="CC24" s="10"/>
      <c r="CD24" s="248"/>
      <c r="CE24" s="125">
        <f>IF('Verwerking Bouwdelen'!C8=2,1,0)</f>
        <v>0</v>
      </c>
      <c r="CF24" s="130">
        <f>IF('Verwerking Bouwdelen'!A8=2,1,0)</f>
        <v>0</v>
      </c>
      <c r="CG24" s="208">
        <f>IF($CE24=1,$CF24*'Verwerking Bouwdelen'!DL8,$CF24*'Verwerking Bouwdelen'!T8)</f>
        <v>0</v>
      </c>
      <c r="CH24" s="208">
        <f>IF($CE24=1,$CF24*'Verwerking Bouwdelen'!DM8,$CF24*'Verwerking Bouwdelen'!U8)</f>
        <v>0</v>
      </c>
      <c r="CI24" s="208">
        <f>IF($CE24=1,$CF24*'Verwerking Bouwdelen'!DN8,$CF24*'Verwerking Bouwdelen'!V8)</f>
        <v>0</v>
      </c>
      <c r="CJ24" s="208">
        <f>IF($CE24=1,$CF24*'Verwerking Bouwdelen'!DO8,$CF24*'Verwerking Bouwdelen'!W8)</f>
        <v>0</v>
      </c>
      <c r="CK24" s="208">
        <f>IF($CE24=1,$CF24*'Verwerking Bouwdelen'!DP8,$CF24*'Verwerking Bouwdelen'!X8)</f>
        <v>0</v>
      </c>
      <c r="CL24" s="208">
        <f>IF($CE24=1,$CF24*'Verwerking Bouwdelen'!DQ8,$CF24*'Verwerking Bouwdelen'!Y8)</f>
        <v>0</v>
      </c>
      <c r="CM24" s="208">
        <f>IF($CE24=1,$CF24*'Verwerking Bouwdelen'!DR8,$CF24*'Verwerking Bouwdelen'!Z8)</f>
        <v>0</v>
      </c>
      <c r="CN24" s="208">
        <f>IF($CE24=1,$CF24*'Verwerking Bouwdelen'!DS8,$CF24*'Verwerking Bouwdelen'!AA8)</f>
        <v>0</v>
      </c>
      <c r="CO24" s="208">
        <f>IF($CE24=1,$CF24*'Verwerking Bouwdelen'!DT8,$CF24*'Verwerking Bouwdelen'!AB8)</f>
        <v>0</v>
      </c>
      <c r="CP24" s="208">
        <f>IF($CE24=1,$CF24*'Verwerking Bouwdelen'!DU8,$CF24*'Verwerking Bouwdelen'!AC8)</f>
        <v>0</v>
      </c>
      <c r="CQ24" s="208">
        <f>IF($CE24=1,$CF24*'Verwerking Bouwdelen'!DV8,$CF24*'Verwerking Bouwdelen'!AD8)</f>
        <v>0</v>
      </c>
      <c r="CR24" s="208">
        <f>IF($CE24=1,$CF24*'Verwerking Bouwdelen'!DW8,$CF24*'Verwerking Bouwdelen'!AE8)</f>
        <v>0</v>
      </c>
      <c r="CS24" s="10">
        <f>IF(CG24=$B24,0,('Verwerking Bouwdelen'!$D8-'Verwerking Bouwdelen'!G8)*CE24*CF24)</f>
        <v>0</v>
      </c>
      <c r="CT24" s="260">
        <f>CE24*CF24*'Verwerking Bouwdelen'!GH8</f>
        <v>0</v>
      </c>
      <c r="CU24" s="261">
        <f>CE24*CF24*'Verwerking Bouwdelen'!GI8</f>
        <v>0</v>
      </c>
      <c r="CW24" s="209">
        <f>$AC24*'Verwerking Bouwdelen'!EE8</f>
        <v>0</v>
      </c>
      <c r="CX24" s="209">
        <f>$AC24*'Verwerking Bouwdelen'!EF8</f>
        <v>0</v>
      </c>
      <c r="CY24" s="209">
        <f>$AC24*'Verwerking Bouwdelen'!EG8</f>
        <v>0</v>
      </c>
      <c r="CZ24" s="209">
        <f>$AC24*'Verwerking Bouwdelen'!EH8</f>
        <v>0</v>
      </c>
      <c r="DA24" s="209">
        <f>$AC24*'Verwerking Bouwdelen'!EI8</f>
        <v>0</v>
      </c>
      <c r="DB24" s="209">
        <f>$AC24*'Verwerking Bouwdelen'!EJ8</f>
        <v>0</v>
      </c>
      <c r="DC24" s="209">
        <f>$AC24*'Verwerking Bouwdelen'!EK8</f>
        <v>0</v>
      </c>
      <c r="DD24" s="209">
        <f>$AC24*'Verwerking Bouwdelen'!EL8</f>
        <v>0</v>
      </c>
      <c r="DE24" s="209">
        <f>$AC24*'Verwerking Bouwdelen'!EM8</f>
        <v>0</v>
      </c>
      <c r="DF24" s="209">
        <f>$AC24*'Verwerking Bouwdelen'!EN8</f>
        <v>0</v>
      </c>
      <c r="DG24" s="209">
        <f>$AC24*'Verwerking Bouwdelen'!EO8</f>
        <v>0</v>
      </c>
      <c r="DH24" s="209">
        <f>$AC24*'Verwerking Bouwdelen'!EP8</f>
        <v>0</v>
      </c>
      <c r="DI24" s="10">
        <f>IF(CW24=$O24,0,'Verwerking Bouwdelen'!G8)</f>
        <v>0</v>
      </c>
      <c r="DJ24" s="259">
        <f>'Verwerking Bouwdelen'!GK8*CF24</f>
        <v>0</v>
      </c>
      <c r="DK24" s="259">
        <f>'Verwerking Bouwdelen'!GL8*CF24</f>
        <v>0</v>
      </c>
      <c r="DL24" s="125"/>
      <c r="FC24" s="89">
        <f>IF('Verwerken ventilatie'!AJ16=2,1,0)</f>
        <v>0</v>
      </c>
      <c r="FD24" s="89">
        <f>FC24*'Verwerken ventilatie'!BT16</f>
        <v>0</v>
      </c>
      <c r="FE24" s="89">
        <f>FC24*'Verwerken ventilatie'!BU16</f>
        <v>0</v>
      </c>
      <c r="FZ24" s="89">
        <f>IF('Verwerken verlichting'!B20=2,1,0)</f>
        <v>0</v>
      </c>
      <c r="GA24" s="89">
        <f>$FZ24*'Verwerken verlichting'!BX20</f>
        <v>0</v>
      </c>
      <c r="GB24" s="89">
        <f>$FZ24*'Verwerken verlichting'!BY20</f>
        <v>0</v>
      </c>
      <c r="GC24" s="89">
        <f>$FZ24*'Verwerken verlichting'!BZ20</f>
        <v>0</v>
      </c>
      <c r="GD24" s="89">
        <f>$FZ24*'Verwerken verlichting'!CA20</f>
        <v>0</v>
      </c>
      <c r="GE24" s="89">
        <f>$FZ24*'Verwerken verlichting'!CB20</f>
        <v>0</v>
      </c>
      <c r="GF24" s="89">
        <f>$FZ24*'Verwerken verlichting'!CC20</f>
        <v>0</v>
      </c>
      <c r="GG24" s="89">
        <f>FZ24*'Invoer verlichting'!N19</f>
        <v>0</v>
      </c>
      <c r="GH24" s="89">
        <f>FZ24*'Verwerken verlichting'!AH20</f>
        <v>0</v>
      </c>
      <c r="GI24" s="89">
        <f>FZ24*'Verwerken verlichting'!AG20</f>
        <v>0</v>
      </c>
      <c r="GJ24" s="89">
        <f>FZ24*'Verwerken verlichting'!CE20</f>
        <v>0</v>
      </c>
      <c r="GM24" s="89">
        <f t="shared" si="2"/>
        <v>0</v>
      </c>
      <c r="GN24" s="89">
        <f t="shared" si="3"/>
        <v>0</v>
      </c>
      <c r="GO24" s="208">
        <f>IF($GN24=1,$GN24*$GM24*'Verwerking Bouwdelen'!DL8,$GN24*$GM24*'Verwerking Bouwdelen'!T8)</f>
        <v>0</v>
      </c>
      <c r="GP24" s="208">
        <f>IF($GN24=1,$GN24*$GM24*'Verwerking Bouwdelen'!DM8,$GN24*$GM24*'Verwerking Bouwdelen'!U8)</f>
        <v>0</v>
      </c>
      <c r="GQ24" s="208">
        <f>IF($GN24=1,$GN24*$GM24*'Verwerking Bouwdelen'!DN8,$GN24*$GM24*'Verwerking Bouwdelen'!V8)</f>
        <v>0</v>
      </c>
      <c r="GR24" s="208">
        <f>IF($GN24=1,$GN24*$GM24*'Verwerking Bouwdelen'!DO8,$GN24*$GM24*'Verwerking Bouwdelen'!W8)</f>
        <v>0</v>
      </c>
      <c r="GS24" s="208">
        <f>IF($GN24=1,$GN24*$GM24*'Verwerking Bouwdelen'!DP8,$GN24*$GM24*'Verwerking Bouwdelen'!X8)</f>
        <v>0</v>
      </c>
      <c r="GT24" s="208">
        <f>IF($GN24=1,$GN24*$GM24*'Verwerking Bouwdelen'!DQ8,$GN24*$GM24*'Verwerking Bouwdelen'!Y8)</f>
        <v>0</v>
      </c>
      <c r="GU24" s="208">
        <f>IF($GN24=1,$GN24*$GM24*'Verwerking Bouwdelen'!DR8,$GN24*$GM24*'Verwerking Bouwdelen'!Z8)</f>
        <v>0</v>
      </c>
      <c r="GV24" s="208">
        <f>IF($GN24=1,$GN24*$GM24*'Verwerking Bouwdelen'!DS8,$GN24*$GM24*'Verwerking Bouwdelen'!AA8)</f>
        <v>0</v>
      </c>
      <c r="GW24" s="208">
        <f>IF($GN24=1,$GN24*$GM24*'Verwerking Bouwdelen'!DT8,$GN24*$GM24*'Verwerking Bouwdelen'!AB8)</f>
        <v>0</v>
      </c>
      <c r="GX24" s="208">
        <f>IF($GN24=1,$GN24*$GM24*'Verwerking Bouwdelen'!DU8,$GN24*$GM24*'Verwerking Bouwdelen'!AC8)</f>
        <v>0</v>
      </c>
      <c r="GY24" s="208">
        <f>IF($GN24=1,$GN24*$GM24*'Verwerking Bouwdelen'!DV8,$GN24*$GM24*'Verwerking Bouwdelen'!AD8)</f>
        <v>0</v>
      </c>
      <c r="GZ24" s="208">
        <f>IF($GN24=1,$GN24*$GM24*'Verwerking Bouwdelen'!DW8,$GN24*$GM24*'Verwerking Bouwdelen'!AE8)</f>
        <v>0</v>
      </c>
      <c r="HB24" s="89">
        <f t="shared" si="4"/>
        <v>0</v>
      </c>
      <c r="HC24" s="89">
        <f t="shared" si="1"/>
        <v>0</v>
      </c>
      <c r="HD24" s="89">
        <f t="shared" si="1"/>
        <v>0</v>
      </c>
      <c r="HE24" s="89">
        <f t="shared" si="1"/>
        <v>0</v>
      </c>
      <c r="HF24" s="89">
        <f t="shared" si="1"/>
        <v>0</v>
      </c>
      <c r="HG24" s="89">
        <f t="shared" si="1"/>
        <v>0</v>
      </c>
      <c r="HH24" s="89">
        <f t="shared" si="1"/>
        <v>0</v>
      </c>
      <c r="HI24" s="89">
        <f t="shared" si="1"/>
        <v>0</v>
      </c>
      <c r="HJ24" s="89">
        <f t="shared" si="1"/>
        <v>0</v>
      </c>
      <c r="HK24" s="89">
        <f t="shared" si="1"/>
        <v>0</v>
      </c>
      <c r="HL24" s="89">
        <f t="shared" si="1"/>
        <v>0</v>
      </c>
      <c r="HM24" s="89">
        <f t="shared" si="1"/>
        <v>0</v>
      </c>
      <c r="HO24" s="256"/>
      <c r="HZ24" s="256"/>
    </row>
    <row r="25" spans="1:234" x14ac:dyDescent="0.2">
      <c r="A25" s="130">
        <f>IF('Verwerking Bouwdelen'!A9=2,1,0)</f>
        <v>0</v>
      </c>
      <c r="B25" s="208">
        <f>$A25*'Verwerking Bouwdelen'!T9</f>
        <v>0</v>
      </c>
      <c r="C25" s="208">
        <f>$A25*'Verwerking Bouwdelen'!U9</f>
        <v>0</v>
      </c>
      <c r="D25" s="208">
        <f>$A25*'Verwerking Bouwdelen'!V9</f>
        <v>0</v>
      </c>
      <c r="E25" s="208">
        <f>$A25*'Verwerking Bouwdelen'!W9</f>
        <v>0</v>
      </c>
      <c r="F25" s="208">
        <f>$A25*'Verwerking Bouwdelen'!X9</f>
        <v>0</v>
      </c>
      <c r="G25" s="208">
        <f>$A25*'Verwerking Bouwdelen'!Y9</f>
        <v>0</v>
      </c>
      <c r="H25" s="208">
        <f>$A25*'Verwerking Bouwdelen'!Z9</f>
        <v>0</v>
      </c>
      <c r="I25" s="208">
        <f>$A25*'Verwerking Bouwdelen'!AA9</f>
        <v>0</v>
      </c>
      <c r="J25" s="208">
        <f>$A25*'Verwerking Bouwdelen'!AB9</f>
        <v>0</v>
      </c>
      <c r="K25" s="208">
        <f>$A25*'Verwerking Bouwdelen'!AC9</f>
        <v>0</v>
      </c>
      <c r="L25" s="208">
        <f>$A25*'Verwerking Bouwdelen'!AD9</f>
        <v>0</v>
      </c>
      <c r="M25" s="208">
        <f>$A25*'Verwerking Bouwdelen'!AE9</f>
        <v>0</v>
      </c>
      <c r="O25" s="114">
        <f>$A25*'Verwerking Bouwdelen'!AU9</f>
        <v>0</v>
      </c>
      <c r="P25" s="125">
        <f>$A25*'Verwerking Bouwdelen'!AV9</f>
        <v>0</v>
      </c>
      <c r="Q25" s="125">
        <f>$A25*'Verwerking Bouwdelen'!AW9</f>
        <v>0</v>
      </c>
      <c r="R25" s="125">
        <f>$A25*'Verwerking Bouwdelen'!AX9</f>
        <v>0</v>
      </c>
      <c r="S25" s="125">
        <f>$A25*'Verwerking Bouwdelen'!AY9</f>
        <v>0</v>
      </c>
      <c r="T25" s="125">
        <f>$A25*'Verwerking Bouwdelen'!AZ9</f>
        <v>0</v>
      </c>
      <c r="U25" s="125">
        <f>$A25*'Verwerking Bouwdelen'!BA9</f>
        <v>0</v>
      </c>
      <c r="V25" s="125">
        <f>$A25*'Verwerking Bouwdelen'!BB9</f>
        <v>0</v>
      </c>
      <c r="W25" s="125">
        <f>$A25*'Verwerking Bouwdelen'!BC9</f>
        <v>0</v>
      </c>
      <c r="X25" s="125">
        <f>$A25*'Verwerking Bouwdelen'!BD9</f>
        <v>0</v>
      </c>
      <c r="Y25" s="125">
        <f>$A25*'Verwerking Bouwdelen'!BE9</f>
        <v>0</v>
      </c>
      <c r="Z25" s="195">
        <f>$A25*'Verwerking Bouwdelen'!BF9</f>
        <v>0</v>
      </c>
      <c r="AB25" s="125">
        <f>IF(OR('Verwerking Bouwdelen'!C9=3,'Verwerking Bouwdelen'!C9=6),1,0)</f>
        <v>0</v>
      </c>
      <c r="AC25" s="130">
        <f>IF('Verwerking Bouwdelen'!A9=2,1,0)</f>
        <v>0</v>
      </c>
      <c r="AD25" s="208">
        <f>IF($AB25=1,$AC25*'Verwerking Bouwdelen'!DL9,$AC25*'Verwerking Bouwdelen'!T9)</f>
        <v>0</v>
      </c>
      <c r="AE25" s="208">
        <f>IF($AB25=1,$AC25*'Verwerking Bouwdelen'!DM9,$AC25*'Verwerking Bouwdelen'!U9)</f>
        <v>0</v>
      </c>
      <c r="AF25" s="208">
        <f>IF($AB25=1,$AC25*'Verwerking Bouwdelen'!DN9,$AC25*'Verwerking Bouwdelen'!V9)</f>
        <v>0</v>
      </c>
      <c r="AG25" s="208">
        <f>IF($AB25=1,$AC25*'Verwerking Bouwdelen'!DO9,$AC25*'Verwerking Bouwdelen'!W9)</f>
        <v>0</v>
      </c>
      <c r="AH25" s="208">
        <f>IF($AB25=1,$AC25*'Verwerking Bouwdelen'!DP9,$AC25*'Verwerking Bouwdelen'!X9)</f>
        <v>0</v>
      </c>
      <c r="AI25" s="208">
        <f>IF($AB25=1,$AC25*'Verwerking Bouwdelen'!DQ9,$AC25*'Verwerking Bouwdelen'!Y9)</f>
        <v>0</v>
      </c>
      <c r="AJ25" s="208">
        <f>IF($AB25=1,$AC25*'Verwerking Bouwdelen'!DR9,$AC25*'Verwerking Bouwdelen'!Z9)</f>
        <v>0</v>
      </c>
      <c r="AK25" s="208">
        <f>IF($AB25=1,$AC25*'Verwerking Bouwdelen'!DS9,$AC25*'Verwerking Bouwdelen'!AA9)</f>
        <v>0</v>
      </c>
      <c r="AL25" s="208">
        <f>IF($AB25=1,$AC25*'Verwerking Bouwdelen'!DT9,$AC25*'Verwerking Bouwdelen'!AB9)</f>
        <v>0</v>
      </c>
      <c r="AM25" s="208">
        <f>IF($AB25=1,$AC25*'Verwerking Bouwdelen'!DU9,$AC25*'Verwerking Bouwdelen'!AC9)</f>
        <v>0</v>
      </c>
      <c r="AN25" s="208">
        <f>IF($AB25=1,$AC25*'Verwerking Bouwdelen'!DV9,$AC25*'Verwerking Bouwdelen'!AD9)</f>
        <v>0</v>
      </c>
      <c r="AO25" s="208">
        <f>IF($AB25=1,$AC25*'Verwerking Bouwdelen'!DW9,$AC25*'Verwerking Bouwdelen'!AE9)</f>
        <v>0</v>
      </c>
      <c r="AP25" s="10">
        <f>IF(AD25=B25,0,'Verwerking Bouwdelen'!D9*AB25*AC25)</f>
        <v>0</v>
      </c>
      <c r="AQ25" s="10">
        <f>AB25*AC25*'Verwerking Bouwdelen'!GH9</f>
        <v>0</v>
      </c>
      <c r="AR25" s="10"/>
      <c r="AS25" s="248"/>
      <c r="AT25" s="125">
        <f>IF('Verwerking Bouwdelen'!C9=4,1,0)</f>
        <v>0</v>
      </c>
      <c r="AU25" s="130">
        <f>IF('Verwerking Bouwdelen'!A9=2,1,0)</f>
        <v>0</v>
      </c>
      <c r="AV25" s="208">
        <f>IF($AT25=1,$AU25*'Verwerking Bouwdelen'!DL9,$AU25*'Verwerking Bouwdelen'!T9)</f>
        <v>0</v>
      </c>
      <c r="AW25" s="208">
        <f>IF($AT25=1,$AU25*'Verwerking Bouwdelen'!DM9,$AU25*'Verwerking Bouwdelen'!U9)</f>
        <v>0</v>
      </c>
      <c r="AX25" s="208">
        <f>IF($AT25=1,$AU25*'Verwerking Bouwdelen'!DN9,$AU25*'Verwerking Bouwdelen'!V9)</f>
        <v>0</v>
      </c>
      <c r="AY25" s="208">
        <f>IF($AT25=1,$AU25*'Verwerking Bouwdelen'!DO9,$AU25*'Verwerking Bouwdelen'!W9)</f>
        <v>0</v>
      </c>
      <c r="AZ25" s="208">
        <f>IF($AT25=1,$AU25*'Verwerking Bouwdelen'!DP9,$AU25*'Verwerking Bouwdelen'!X9)</f>
        <v>0</v>
      </c>
      <c r="BA25" s="208">
        <f>IF($AT25=1,$AU25*'Verwerking Bouwdelen'!DQ9,$AU25*'Verwerking Bouwdelen'!Y9)</f>
        <v>0</v>
      </c>
      <c r="BB25" s="208">
        <f>IF($AT25=1,$AU25*'Verwerking Bouwdelen'!DR9,$AU25*'Verwerking Bouwdelen'!Z9)</f>
        <v>0</v>
      </c>
      <c r="BC25" s="208">
        <f>IF($AT25=1,$AU25*'Verwerking Bouwdelen'!DS9,$AU25*'Verwerking Bouwdelen'!AA9)</f>
        <v>0</v>
      </c>
      <c r="BD25" s="208">
        <f>IF($AT25=1,$AU25*'Verwerking Bouwdelen'!DT9,$AU25*'Verwerking Bouwdelen'!AB9)</f>
        <v>0</v>
      </c>
      <c r="BE25" s="208">
        <f>IF($AT25=1,$AU25*'Verwerking Bouwdelen'!DU9,$AU25*'Verwerking Bouwdelen'!AC9)</f>
        <v>0</v>
      </c>
      <c r="BF25" s="208">
        <f>IF($AT25=1,$AU25*'Verwerking Bouwdelen'!DV9,$AU25*'Verwerking Bouwdelen'!AD9)</f>
        <v>0</v>
      </c>
      <c r="BG25" s="208">
        <f>IF($AT25=1,$AU25*'Verwerking Bouwdelen'!DW9,$AU25*'Verwerking Bouwdelen'!AE9)</f>
        <v>0</v>
      </c>
      <c r="BH25" s="10">
        <f>IF(AV25=B25,0,'Verwerking Bouwdelen'!D9*AT25*AU25)</f>
        <v>0</v>
      </c>
      <c r="BI25" s="10">
        <f>AT25*AU25*'Verwerking Bouwdelen'!GH9</f>
        <v>0</v>
      </c>
      <c r="BJ25" s="10"/>
      <c r="BK25" s="10"/>
      <c r="BM25" s="125">
        <f>IF('Verwerking Bouwdelen'!C9=5,1,0)</f>
        <v>0</v>
      </c>
      <c r="BN25" s="130">
        <f>IF('Verwerking Bouwdelen'!A9=2,1,0)</f>
        <v>0</v>
      </c>
      <c r="BO25" s="208">
        <f>IF($BM25=1,$BN25*'Verwerking Bouwdelen'!DL9,$BN25*'Verwerking Bouwdelen'!T9)</f>
        <v>0</v>
      </c>
      <c r="BP25" s="208">
        <f>IF($BM25=1,$BN25*'Verwerking Bouwdelen'!DM9,$BN25*'Verwerking Bouwdelen'!U9)</f>
        <v>0</v>
      </c>
      <c r="BQ25" s="208">
        <f>IF($BM25=1,$BN25*'Verwerking Bouwdelen'!DN9,$BN25*'Verwerking Bouwdelen'!V9)</f>
        <v>0</v>
      </c>
      <c r="BR25" s="208">
        <f>IF($BM25=1,$BN25*'Verwerking Bouwdelen'!DO9,$BN25*'Verwerking Bouwdelen'!W9)</f>
        <v>0</v>
      </c>
      <c r="BS25" s="208">
        <f>IF($BM25=1,$BN25*'Verwerking Bouwdelen'!DP9,$BN25*'Verwerking Bouwdelen'!X9)</f>
        <v>0</v>
      </c>
      <c r="BT25" s="208">
        <f>IF($BM25=1,$BN25*'Verwerking Bouwdelen'!DQ9,$BN25*'Verwerking Bouwdelen'!Y9)</f>
        <v>0</v>
      </c>
      <c r="BU25" s="208">
        <f>IF($BM25=1,$BN25*'Verwerking Bouwdelen'!DR9,$BN25*'Verwerking Bouwdelen'!Z9)</f>
        <v>0</v>
      </c>
      <c r="BV25" s="208">
        <f>IF($BM25=1,$BN25*'Verwerking Bouwdelen'!DS9,$BN25*'Verwerking Bouwdelen'!AA9)</f>
        <v>0</v>
      </c>
      <c r="BW25" s="208">
        <f>IF($BM25=1,$BN25*'Verwerking Bouwdelen'!DT9,$BN25*'Verwerking Bouwdelen'!AB9)</f>
        <v>0</v>
      </c>
      <c r="BX25" s="208">
        <f>IF($BM25=1,$BN25*'Verwerking Bouwdelen'!DU9,$BN25*'Verwerking Bouwdelen'!AC9)</f>
        <v>0</v>
      </c>
      <c r="BY25" s="208">
        <f>IF($BM25=1,$BN25*'Verwerking Bouwdelen'!DV9,$BN25*'Verwerking Bouwdelen'!AD9)</f>
        <v>0</v>
      </c>
      <c r="BZ25" s="208">
        <f>IF($BM25=1,$BN25*'Verwerking Bouwdelen'!DW9,$BN25*'Verwerking Bouwdelen'!AE9)</f>
        <v>0</v>
      </c>
      <c r="CA25" s="10">
        <f>IF(BO25=B25,0,'Verwerking Bouwdelen'!D9*BM25*BN25)</f>
        <v>0</v>
      </c>
      <c r="CB25" s="10">
        <f>BM25*BN25*'Verwerking Bouwdelen'!GH9</f>
        <v>0</v>
      </c>
      <c r="CC25" s="10"/>
      <c r="CD25" s="248"/>
      <c r="CE25" s="125">
        <f>IF('Verwerking Bouwdelen'!C9=2,1,0)</f>
        <v>0</v>
      </c>
      <c r="CF25" s="130">
        <f>IF('Verwerking Bouwdelen'!A9=2,1,0)</f>
        <v>0</v>
      </c>
      <c r="CG25" s="208">
        <f>IF($CE25=1,$CF25*'Verwerking Bouwdelen'!DL9,$CF25*'Verwerking Bouwdelen'!T9)</f>
        <v>0</v>
      </c>
      <c r="CH25" s="208">
        <f>IF($CE25=1,$CF25*'Verwerking Bouwdelen'!DM9,$CF25*'Verwerking Bouwdelen'!U9)</f>
        <v>0</v>
      </c>
      <c r="CI25" s="208">
        <f>IF($CE25=1,$CF25*'Verwerking Bouwdelen'!DN9,$CF25*'Verwerking Bouwdelen'!V9)</f>
        <v>0</v>
      </c>
      <c r="CJ25" s="208">
        <f>IF($CE25=1,$CF25*'Verwerking Bouwdelen'!DO9,$CF25*'Verwerking Bouwdelen'!W9)</f>
        <v>0</v>
      </c>
      <c r="CK25" s="208">
        <f>IF($CE25=1,$CF25*'Verwerking Bouwdelen'!DP9,$CF25*'Verwerking Bouwdelen'!X9)</f>
        <v>0</v>
      </c>
      <c r="CL25" s="208">
        <f>IF($CE25=1,$CF25*'Verwerking Bouwdelen'!DQ9,$CF25*'Verwerking Bouwdelen'!Y9)</f>
        <v>0</v>
      </c>
      <c r="CM25" s="208">
        <f>IF($CE25=1,$CF25*'Verwerking Bouwdelen'!DR9,$CF25*'Verwerking Bouwdelen'!Z9)</f>
        <v>0</v>
      </c>
      <c r="CN25" s="208">
        <f>IF($CE25=1,$CF25*'Verwerking Bouwdelen'!DS9,$CF25*'Verwerking Bouwdelen'!AA9)</f>
        <v>0</v>
      </c>
      <c r="CO25" s="208">
        <f>IF($CE25=1,$CF25*'Verwerking Bouwdelen'!DT9,$CF25*'Verwerking Bouwdelen'!AB9)</f>
        <v>0</v>
      </c>
      <c r="CP25" s="208">
        <f>IF($CE25=1,$CF25*'Verwerking Bouwdelen'!DU9,$CF25*'Verwerking Bouwdelen'!AC9)</f>
        <v>0</v>
      </c>
      <c r="CQ25" s="208">
        <f>IF($CE25=1,$CF25*'Verwerking Bouwdelen'!DV9,$CF25*'Verwerking Bouwdelen'!AD9)</f>
        <v>0</v>
      </c>
      <c r="CR25" s="208">
        <f>IF($CE25=1,$CF25*'Verwerking Bouwdelen'!DW9,$CF25*'Verwerking Bouwdelen'!AE9)</f>
        <v>0</v>
      </c>
      <c r="CS25" s="10">
        <f>IF(CG25=$B25,0,('Verwerking Bouwdelen'!$D9-'Verwerking Bouwdelen'!G9)*CE25*CF25)</f>
        <v>0</v>
      </c>
      <c r="CT25" s="260">
        <f>CE25*CF25*'Verwerking Bouwdelen'!GH9</f>
        <v>0</v>
      </c>
      <c r="CU25" s="261">
        <f>CE25*CF25*'Verwerking Bouwdelen'!GI9</f>
        <v>0</v>
      </c>
      <c r="CW25" s="209">
        <f>$AC25*'Verwerking Bouwdelen'!EE9</f>
        <v>0</v>
      </c>
      <c r="CX25" s="209">
        <f>$AC25*'Verwerking Bouwdelen'!EF9</f>
        <v>0</v>
      </c>
      <c r="CY25" s="209">
        <f>$AC25*'Verwerking Bouwdelen'!EG9</f>
        <v>0</v>
      </c>
      <c r="CZ25" s="209">
        <f>$AC25*'Verwerking Bouwdelen'!EH9</f>
        <v>0</v>
      </c>
      <c r="DA25" s="209">
        <f>$AC25*'Verwerking Bouwdelen'!EI9</f>
        <v>0</v>
      </c>
      <c r="DB25" s="209">
        <f>$AC25*'Verwerking Bouwdelen'!EJ9</f>
        <v>0</v>
      </c>
      <c r="DC25" s="209">
        <f>$AC25*'Verwerking Bouwdelen'!EK9</f>
        <v>0</v>
      </c>
      <c r="DD25" s="209">
        <f>$AC25*'Verwerking Bouwdelen'!EL9</f>
        <v>0</v>
      </c>
      <c r="DE25" s="209">
        <f>$AC25*'Verwerking Bouwdelen'!EM9</f>
        <v>0</v>
      </c>
      <c r="DF25" s="209">
        <f>$AC25*'Verwerking Bouwdelen'!EN9</f>
        <v>0</v>
      </c>
      <c r="DG25" s="209">
        <f>$AC25*'Verwerking Bouwdelen'!EO9</f>
        <v>0</v>
      </c>
      <c r="DH25" s="209">
        <f>$AC25*'Verwerking Bouwdelen'!EP9</f>
        <v>0</v>
      </c>
      <c r="DI25" s="10">
        <f>IF(CW25=$O25,0,'Verwerking Bouwdelen'!G9)</f>
        <v>0</v>
      </c>
      <c r="DJ25" s="259">
        <f>'Verwerking Bouwdelen'!GK9*CF25</f>
        <v>0</v>
      </c>
      <c r="DK25" s="259">
        <f>'Verwerking Bouwdelen'!GL9*CF25</f>
        <v>0</v>
      </c>
      <c r="DL25" s="125"/>
      <c r="FC25" s="89">
        <f>IF('Verwerken ventilatie'!AJ17=2,1,0)</f>
        <v>0</v>
      </c>
      <c r="FD25" s="89">
        <f>FC25*'Verwerken ventilatie'!BT17</f>
        <v>0</v>
      </c>
      <c r="FE25" s="89">
        <f>FC25*'Verwerken ventilatie'!BU17</f>
        <v>0</v>
      </c>
      <c r="FZ25" s="89">
        <f>IF('Verwerken verlichting'!B21=2,1,0)</f>
        <v>0</v>
      </c>
      <c r="GA25" s="89">
        <f>$FZ25*'Verwerken verlichting'!BX21</f>
        <v>0</v>
      </c>
      <c r="GB25" s="89">
        <f>$FZ25*'Verwerken verlichting'!BY21</f>
        <v>0</v>
      </c>
      <c r="GC25" s="89">
        <f>$FZ25*'Verwerken verlichting'!BZ21</f>
        <v>0</v>
      </c>
      <c r="GD25" s="89">
        <f>$FZ25*'Verwerken verlichting'!CA21</f>
        <v>0</v>
      </c>
      <c r="GE25" s="89">
        <f>$FZ25*'Verwerken verlichting'!CB21</f>
        <v>0</v>
      </c>
      <c r="GF25" s="89">
        <f>$FZ25*'Verwerken verlichting'!CC21</f>
        <v>0</v>
      </c>
      <c r="GG25" s="89">
        <f>FZ25*'Invoer verlichting'!N20</f>
        <v>0</v>
      </c>
      <c r="GH25" s="89">
        <f>FZ25*'Verwerken verlichting'!AH21</f>
        <v>0</v>
      </c>
      <c r="GI25" s="89">
        <f>FZ25*'Verwerken verlichting'!AG21</f>
        <v>0</v>
      </c>
      <c r="GJ25" s="89">
        <f>FZ25*'Verwerken verlichting'!CE21</f>
        <v>0</v>
      </c>
      <c r="GM25" s="89">
        <f t="shared" si="2"/>
        <v>0</v>
      </c>
      <c r="GN25" s="89">
        <f t="shared" si="3"/>
        <v>0</v>
      </c>
      <c r="GO25" s="208">
        <f>IF($GN25=1,$GN25*$GM25*'Verwerking Bouwdelen'!DL9,$GN25*$GM25*'Verwerking Bouwdelen'!T9)</f>
        <v>0</v>
      </c>
      <c r="GP25" s="208">
        <f>IF($GN25=1,$GN25*$GM25*'Verwerking Bouwdelen'!DM9,$GN25*$GM25*'Verwerking Bouwdelen'!U9)</f>
        <v>0</v>
      </c>
      <c r="GQ25" s="208">
        <f>IF($GN25=1,$GN25*$GM25*'Verwerking Bouwdelen'!DN9,$GN25*$GM25*'Verwerking Bouwdelen'!V9)</f>
        <v>0</v>
      </c>
      <c r="GR25" s="208">
        <f>IF($GN25=1,$GN25*$GM25*'Verwerking Bouwdelen'!DO9,$GN25*$GM25*'Verwerking Bouwdelen'!W9)</f>
        <v>0</v>
      </c>
      <c r="GS25" s="208">
        <f>IF($GN25=1,$GN25*$GM25*'Verwerking Bouwdelen'!DP9,$GN25*$GM25*'Verwerking Bouwdelen'!X9)</f>
        <v>0</v>
      </c>
      <c r="GT25" s="208">
        <f>IF($GN25=1,$GN25*$GM25*'Verwerking Bouwdelen'!DQ9,$GN25*$GM25*'Verwerking Bouwdelen'!Y9)</f>
        <v>0</v>
      </c>
      <c r="GU25" s="208">
        <f>IF($GN25=1,$GN25*$GM25*'Verwerking Bouwdelen'!DR9,$GN25*$GM25*'Verwerking Bouwdelen'!Z9)</f>
        <v>0</v>
      </c>
      <c r="GV25" s="208">
        <f>IF($GN25=1,$GN25*$GM25*'Verwerking Bouwdelen'!DS9,$GN25*$GM25*'Verwerking Bouwdelen'!AA9)</f>
        <v>0</v>
      </c>
      <c r="GW25" s="208">
        <f>IF($GN25=1,$GN25*$GM25*'Verwerking Bouwdelen'!DT9,$GN25*$GM25*'Verwerking Bouwdelen'!AB9)</f>
        <v>0</v>
      </c>
      <c r="GX25" s="208">
        <f>IF($GN25=1,$GN25*$GM25*'Verwerking Bouwdelen'!DU9,$GN25*$GM25*'Verwerking Bouwdelen'!AC9)</f>
        <v>0</v>
      </c>
      <c r="GY25" s="208">
        <f>IF($GN25=1,$GN25*$GM25*'Verwerking Bouwdelen'!DV9,$GN25*$GM25*'Verwerking Bouwdelen'!AD9)</f>
        <v>0</v>
      </c>
      <c r="GZ25" s="208">
        <f>IF($GN25=1,$GN25*$GM25*'Verwerking Bouwdelen'!DW9,$GN25*$GM25*'Verwerking Bouwdelen'!AE9)</f>
        <v>0</v>
      </c>
      <c r="HB25" s="89">
        <f t="shared" si="4"/>
        <v>0</v>
      </c>
      <c r="HC25" s="89">
        <f t="shared" si="1"/>
        <v>0</v>
      </c>
      <c r="HD25" s="89">
        <f t="shared" si="1"/>
        <v>0</v>
      </c>
      <c r="HE25" s="89">
        <f t="shared" si="1"/>
        <v>0</v>
      </c>
      <c r="HF25" s="89">
        <f t="shared" si="1"/>
        <v>0</v>
      </c>
      <c r="HG25" s="89">
        <f t="shared" si="1"/>
        <v>0</v>
      </c>
      <c r="HH25" s="89">
        <f t="shared" si="1"/>
        <v>0</v>
      </c>
      <c r="HI25" s="89">
        <f t="shared" si="1"/>
        <v>0</v>
      </c>
      <c r="HJ25" s="89">
        <f t="shared" si="1"/>
        <v>0</v>
      </c>
      <c r="HK25" s="89">
        <f t="shared" si="1"/>
        <v>0</v>
      </c>
      <c r="HL25" s="89">
        <f t="shared" si="1"/>
        <v>0</v>
      </c>
      <c r="HM25" s="89">
        <f t="shared" si="1"/>
        <v>0</v>
      </c>
      <c r="HO25" s="256"/>
      <c r="HZ25" s="256"/>
    </row>
    <row r="26" spans="1:234" x14ac:dyDescent="0.2">
      <c r="A26" s="130">
        <f>IF('Verwerking Bouwdelen'!A10=2,1,0)</f>
        <v>0</v>
      </c>
      <c r="B26" s="208">
        <f>$A26*'Verwerking Bouwdelen'!T10</f>
        <v>0</v>
      </c>
      <c r="C26" s="208">
        <f>$A26*'Verwerking Bouwdelen'!U10</f>
        <v>0</v>
      </c>
      <c r="D26" s="208">
        <f>$A26*'Verwerking Bouwdelen'!V10</f>
        <v>0</v>
      </c>
      <c r="E26" s="208">
        <f>$A26*'Verwerking Bouwdelen'!W10</f>
        <v>0</v>
      </c>
      <c r="F26" s="208">
        <f>$A26*'Verwerking Bouwdelen'!X10</f>
        <v>0</v>
      </c>
      <c r="G26" s="208">
        <f>$A26*'Verwerking Bouwdelen'!Y10</f>
        <v>0</v>
      </c>
      <c r="H26" s="208">
        <f>$A26*'Verwerking Bouwdelen'!Z10</f>
        <v>0</v>
      </c>
      <c r="I26" s="208">
        <f>$A26*'Verwerking Bouwdelen'!AA10</f>
        <v>0</v>
      </c>
      <c r="J26" s="208">
        <f>$A26*'Verwerking Bouwdelen'!AB10</f>
        <v>0</v>
      </c>
      <c r="K26" s="208">
        <f>$A26*'Verwerking Bouwdelen'!AC10</f>
        <v>0</v>
      </c>
      <c r="L26" s="208">
        <f>$A26*'Verwerking Bouwdelen'!AD10</f>
        <v>0</v>
      </c>
      <c r="M26" s="208">
        <f>$A26*'Verwerking Bouwdelen'!AE10</f>
        <v>0</v>
      </c>
      <c r="O26" s="114">
        <f>$A26*'Verwerking Bouwdelen'!AU10</f>
        <v>0</v>
      </c>
      <c r="P26" s="125">
        <f>$A26*'Verwerking Bouwdelen'!AV10</f>
        <v>0</v>
      </c>
      <c r="Q26" s="125">
        <f>$A26*'Verwerking Bouwdelen'!AW10</f>
        <v>0</v>
      </c>
      <c r="R26" s="125">
        <f>$A26*'Verwerking Bouwdelen'!AX10</f>
        <v>0</v>
      </c>
      <c r="S26" s="125">
        <f>$A26*'Verwerking Bouwdelen'!AY10</f>
        <v>0</v>
      </c>
      <c r="T26" s="125">
        <f>$A26*'Verwerking Bouwdelen'!AZ10</f>
        <v>0</v>
      </c>
      <c r="U26" s="125">
        <f>$A26*'Verwerking Bouwdelen'!BA10</f>
        <v>0</v>
      </c>
      <c r="V26" s="125">
        <f>$A26*'Verwerking Bouwdelen'!BB10</f>
        <v>0</v>
      </c>
      <c r="W26" s="125">
        <f>$A26*'Verwerking Bouwdelen'!BC10</f>
        <v>0</v>
      </c>
      <c r="X26" s="125">
        <f>$A26*'Verwerking Bouwdelen'!BD10</f>
        <v>0</v>
      </c>
      <c r="Y26" s="125">
        <f>$A26*'Verwerking Bouwdelen'!BE10</f>
        <v>0</v>
      </c>
      <c r="Z26" s="195">
        <f>$A26*'Verwerking Bouwdelen'!BF10</f>
        <v>0</v>
      </c>
      <c r="AB26" s="125">
        <f>IF(OR('Verwerking Bouwdelen'!C10=3,'Verwerking Bouwdelen'!C10=6),1,0)</f>
        <v>0</v>
      </c>
      <c r="AC26" s="130">
        <f>IF('Verwerking Bouwdelen'!A10=2,1,0)</f>
        <v>0</v>
      </c>
      <c r="AD26" s="208">
        <f>IF($AB26=1,$AC26*'Verwerking Bouwdelen'!DL10,$AC26*'Verwerking Bouwdelen'!T10)</f>
        <v>0</v>
      </c>
      <c r="AE26" s="208">
        <f>IF($AB26=1,$AC26*'Verwerking Bouwdelen'!DM10,$AC26*'Verwerking Bouwdelen'!U10)</f>
        <v>0</v>
      </c>
      <c r="AF26" s="208">
        <f>IF($AB26=1,$AC26*'Verwerking Bouwdelen'!DN10,$AC26*'Verwerking Bouwdelen'!V10)</f>
        <v>0</v>
      </c>
      <c r="AG26" s="208">
        <f>IF($AB26=1,$AC26*'Verwerking Bouwdelen'!DO10,$AC26*'Verwerking Bouwdelen'!W10)</f>
        <v>0</v>
      </c>
      <c r="AH26" s="208">
        <f>IF($AB26=1,$AC26*'Verwerking Bouwdelen'!DP10,$AC26*'Verwerking Bouwdelen'!X10)</f>
        <v>0</v>
      </c>
      <c r="AI26" s="208">
        <f>IF($AB26=1,$AC26*'Verwerking Bouwdelen'!DQ10,$AC26*'Verwerking Bouwdelen'!Y10)</f>
        <v>0</v>
      </c>
      <c r="AJ26" s="208">
        <f>IF($AB26=1,$AC26*'Verwerking Bouwdelen'!DR10,$AC26*'Verwerking Bouwdelen'!Z10)</f>
        <v>0</v>
      </c>
      <c r="AK26" s="208">
        <f>IF($AB26=1,$AC26*'Verwerking Bouwdelen'!DS10,$AC26*'Verwerking Bouwdelen'!AA10)</f>
        <v>0</v>
      </c>
      <c r="AL26" s="208">
        <f>IF($AB26=1,$AC26*'Verwerking Bouwdelen'!DT10,$AC26*'Verwerking Bouwdelen'!AB10)</f>
        <v>0</v>
      </c>
      <c r="AM26" s="208">
        <f>IF($AB26=1,$AC26*'Verwerking Bouwdelen'!DU10,$AC26*'Verwerking Bouwdelen'!AC10)</f>
        <v>0</v>
      </c>
      <c r="AN26" s="208">
        <f>IF($AB26=1,$AC26*'Verwerking Bouwdelen'!DV10,$AC26*'Verwerking Bouwdelen'!AD10)</f>
        <v>0</v>
      </c>
      <c r="AO26" s="208">
        <f>IF($AB26=1,$AC26*'Verwerking Bouwdelen'!DW10,$AC26*'Verwerking Bouwdelen'!AE10)</f>
        <v>0</v>
      </c>
      <c r="AP26" s="10">
        <f>IF(AD26=B26,0,'Verwerking Bouwdelen'!D10*AB26*AC26)</f>
        <v>0</v>
      </c>
      <c r="AQ26" s="10">
        <f>AB26*AC26*'Verwerking Bouwdelen'!GH10</f>
        <v>0</v>
      </c>
      <c r="AR26" s="10"/>
      <c r="AS26" s="248"/>
      <c r="AT26" s="125">
        <f>IF('Verwerking Bouwdelen'!C10=4,1,0)</f>
        <v>0</v>
      </c>
      <c r="AU26" s="130">
        <f>IF('Verwerking Bouwdelen'!A10=2,1,0)</f>
        <v>0</v>
      </c>
      <c r="AV26" s="208">
        <f>IF($AT26=1,$AU26*'Verwerking Bouwdelen'!DL10,$AU26*'Verwerking Bouwdelen'!T10)</f>
        <v>0</v>
      </c>
      <c r="AW26" s="208">
        <f>IF($AT26=1,$AU26*'Verwerking Bouwdelen'!DM10,$AU26*'Verwerking Bouwdelen'!U10)</f>
        <v>0</v>
      </c>
      <c r="AX26" s="208">
        <f>IF($AT26=1,$AU26*'Verwerking Bouwdelen'!DN10,$AU26*'Verwerking Bouwdelen'!V10)</f>
        <v>0</v>
      </c>
      <c r="AY26" s="208">
        <f>IF($AT26=1,$AU26*'Verwerking Bouwdelen'!DO10,$AU26*'Verwerking Bouwdelen'!W10)</f>
        <v>0</v>
      </c>
      <c r="AZ26" s="208">
        <f>IF($AT26=1,$AU26*'Verwerking Bouwdelen'!DP10,$AU26*'Verwerking Bouwdelen'!X10)</f>
        <v>0</v>
      </c>
      <c r="BA26" s="208">
        <f>IF($AT26=1,$AU26*'Verwerking Bouwdelen'!DQ10,$AU26*'Verwerking Bouwdelen'!Y10)</f>
        <v>0</v>
      </c>
      <c r="BB26" s="208">
        <f>IF($AT26=1,$AU26*'Verwerking Bouwdelen'!DR10,$AU26*'Verwerking Bouwdelen'!Z10)</f>
        <v>0</v>
      </c>
      <c r="BC26" s="208">
        <f>IF($AT26=1,$AU26*'Verwerking Bouwdelen'!DS10,$AU26*'Verwerking Bouwdelen'!AA10)</f>
        <v>0</v>
      </c>
      <c r="BD26" s="208">
        <f>IF($AT26=1,$AU26*'Verwerking Bouwdelen'!DT10,$AU26*'Verwerking Bouwdelen'!AB10)</f>
        <v>0</v>
      </c>
      <c r="BE26" s="208">
        <f>IF($AT26=1,$AU26*'Verwerking Bouwdelen'!DU10,$AU26*'Verwerking Bouwdelen'!AC10)</f>
        <v>0</v>
      </c>
      <c r="BF26" s="208">
        <f>IF($AT26=1,$AU26*'Verwerking Bouwdelen'!DV10,$AU26*'Verwerking Bouwdelen'!AD10)</f>
        <v>0</v>
      </c>
      <c r="BG26" s="208">
        <f>IF($AT26=1,$AU26*'Verwerking Bouwdelen'!DW10,$AU26*'Verwerking Bouwdelen'!AE10)</f>
        <v>0</v>
      </c>
      <c r="BH26" s="10">
        <f>IF(AV26=B26,0,'Verwerking Bouwdelen'!D10*AT26*AU26)</f>
        <v>0</v>
      </c>
      <c r="BI26" s="10">
        <f>AT26*AU26*'Verwerking Bouwdelen'!GH10</f>
        <v>0</v>
      </c>
      <c r="BJ26" s="10"/>
      <c r="BK26" s="10"/>
      <c r="BM26" s="125">
        <f>IF('Verwerking Bouwdelen'!C10=5,1,0)</f>
        <v>0</v>
      </c>
      <c r="BN26" s="130">
        <f>IF('Verwerking Bouwdelen'!A10=2,1,0)</f>
        <v>0</v>
      </c>
      <c r="BO26" s="208">
        <f>IF($BM26=1,$BN26*'Verwerking Bouwdelen'!DL10,$BN26*'Verwerking Bouwdelen'!T10)</f>
        <v>0</v>
      </c>
      <c r="BP26" s="208">
        <f>IF($BM26=1,$BN26*'Verwerking Bouwdelen'!DM10,$BN26*'Verwerking Bouwdelen'!U10)</f>
        <v>0</v>
      </c>
      <c r="BQ26" s="208">
        <f>IF($BM26=1,$BN26*'Verwerking Bouwdelen'!DN10,$BN26*'Verwerking Bouwdelen'!V10)</f>
        <v>0</v>
      </c>
      <c r="BR26" s="208">
        <f>IF($BM26=1,$BN26*'Verwerking Bouwdelen'!DO10,$BN26*'Verwerking Bouwdelen'!W10)</f>
        <v>0</v>
      </c>
      <c r="BS26" s="208">
        <f>IF($BM26=1,$BN26*'Verwerking Bouwdelen'!DP10,$BN26*'Verwerking Bouwdelen'!X10)</f>
        <v>0</v>
      </c>
      <c r="BT26" s="208">
        <f>IF($BM26=1,$BN26*'Verwerking Bouwdelen'!DQ10,$BN26*'Verwerking Bouwdelen'!Y10)</f>
        <v>0</v>
      </c>
      <c r="BU26" s="208">
        <f>IF($BM26=1,$BN26*'Verwerking Bouwdelen'!DR10,$BN26*'Verwerking Bouwdelen'!Z10)</f>
        <v>0</v>
      </c>
      <c r="BV26" s="208">
        <f>IF($BM26=1,$BN26*'Verwerking Bouwdelen'!DS10,$BN26*'Verwerking Bouwdelen'!AA10)</f>
        <v>0</v>
      </c>
      <c r="BW26" s="208">
        <f>IF($BM26=1,$BN26*'Verwerking Bouwdelen'!DT10,$BN26*'Verwerking Bouwdelen'!AB10)</f>
        <v>0</v>
      </c>
      <c r="BX26" s="208">
        <f>IF($BM26=1,$BN26*'Verwerking Bouwdelen'!DU10,$BN26*'Verwerking Bouwdelen'!AC10)</f>
        <v>0</v>
      </c>
      <c r="BY26" s="208">
        <f>IF($BM26=1,$BN26*'Verwerking Bouwdelen'!DV10,$BN26*'Verwerking Bouwdelen'!AD10)</f>
        <v>0</v>
      </c>
      <c r="BZ26" s="208">
        <f>IF($BM26=1,$BN26*'Verwerking Bouwdelen'!DW10,$BN26*'Verwerking Bouwdelen'!AE10)</f>
        <v>0</v>
      </c>
      <c r="CA26" s="10">
        <f>IF(BO26=B26,0,'Verwerking Bouwdelen'!D10*BM26*BN26)</f>
        <v>0</v>
      </c>
      <c r="CB26" s="10">
        <f>BM26*BN26*'Verwerking Bouwdelen'!GH10</f>
        <v>0</v>
      </c>
      <c r="CC26" s="10"/>
      <c r="CD26" s="248"/>
      <c r="CE26" s="125">
        <f>IF('Verwerking Bouwdelen'!C10=2,1,0)</f>
        <v>0</v>
      </c>
      <c r="CF26" s="130">
        <f>IF('Verwerking Bouwdelen'!A10=2,1,0)</f>
        <v>0</v>
      </c>
      <c r="CG26" s="208">
        <f>IF($CE26=1,$CF26*'Verwerking Bouwdelen'!DL10,$CF26*'Verwerking Bouwdelen'!T10)</f>
        <v>0</v>
      </c>
      <c r="CH26" s="208">
        <f>IF($CE26=1,$CF26*'Verwerking Bouwdelen'!DM10,$CF26*'Verwerking Bouwdelen'!U10)</f>
        <v>0</v>
      </c>
      <c r="CI26" s="208">
        <f>IF($CE26=1,$CF26*'Verwerking Bouwdelen'!DN10,$CF26*'Verwerking Bouwdelen'!V10)</f>
        <v>0</v>
      </c>
      <c r="CJ26" s="208">
        <f>IF($CE26=1,$CF26*'Verwerking Bouwdelen'!DO10,$CF26*'Verwerking Bouwdelen'!W10)</f>
        <v>0</v>
      </c>
      <c r="CK26" s="208">
        <f>IF($CE26=1,$CF26*'Verwerking Bouwdelen'!DP10,$CF26*'Verwerking Bouwdelen'!X10)</f>
        <v>0</v>
      </c>
      <c r="CL26" s="208">
        <f>IF($CE26=1,$CF26*'Verwerking Bouwdelen'!DQ10,$CF26*'Verwerking Bouwdelen'!Y10)</f>
        <v>0</v>
      </c>
      <c r="CM26" s="208">
        <f>IF($CE26=1,$CF26*'Verwerking Bouwdelen'!DR10,$CF26*'Verwerking Bouwdelen'!Z10)</f>
        <v>0</v>
      </c>
      <c r="CN26" s="208">
        <f>IF($CE26=1,$CF26*'Verwerking Bouwdelen'!DS10,$CF26*'Verwerking Bouwdelen'!AA10)</f>
        <v>0</v>
      </c>
      <c r="CO26" s="208">
        <f>IF($CE26=1,$CF26*'Verwerking Bouwdelen'!DT10,$CF26*'Verwerking Bouwdelen'!AB10)</f>
        <v>0</v>
      </c>
      <c r="CP26" s="208">
        <f>IF($CE26=1,$CF26*'Verwerking Bouwdelen'!DU10,$CF26*'Verwerking Bouwdelen'!AC10)</f>
        <v>0</v>
      </c>
      <c r="CQ26" s="208">
        <f>IF($CE26=1,$CF26*'Verwerking Bouwdelen'!DV10,$CF26*'Verwerking Bouwdelen'!AD10)</f>
        <v>0</v>
      </c>
      <c r="CR26" s="208">
        <f>IF($CE26=1,$CF26*'Verwerking Bouwdelen'!DW10,$CF26*'Verwerking Bouwdelen'!AE10)</f>
        <v>0</v>
      </c>
      <c r="CS26" s="10">
        <f>IF(CG26=$B26,0,('Verwerking Bouwdelen'!$D10-'Verwerking Bouwdelen'!G10)*CE26*CF26)</f>
        <v>0</v>
      </c>
      <c r="CT26" s="260">
        <f>CE26*CF26*'Verwerking Bouwdelen'!GH10</f>
        <v>0</v>
      </c>
      <c r="CU26" s="261">
        <f>CE26*CF26*'Verwerking Bouwdelen'!GI10</f>
        <v>0</v>
      </c>
      <c r="CW26" s="209">
        <f>$AC26*'Verwerking Bouwdelen'!EE10</f>
        <v>0</v>
      </c>
      <c r="CX26" s="209">
        <f>$AC26*'Verwerking Bouwdelen'!EF10</f>
        <v>0</v>
      </c>
      <c r="CY26" s="209">
        <f>$AC26*'Verwerking Bouwdelen'!EG10</f>
        <v>0</v>
      </c>
      <c r="CZ26" s="209">
        <f>$AC26*'Verwerking Bouwdelen'!EH10</f>
        <v>0</v>
      </c>
      <c r="DA26" s="209">
        <f>$AC26*'Verwerking Bouwdelen'!EI10</f>
        <v>0</v>
      </c>
      <c r="DB26" s="209">
        <f>$AC26*'Verwerking Bouwdelen'!EJ10</f>
        <v>0</v>
      </c>
      <c r="DC26" s="209">
        <f>$AC26*'Verwerking Bouwdelen'!EK10</f>
        <v>0</v>
      </c>
      <c r="DD26" s="209">
        <f>$AC26*'Verwerking Bouwdelen'!EL10</f>
        <v>0</v>
      </c>
      <c r="DE26" s="209">
        <f>$AC26*'Verwerking Bouwdelen'!EM10</f>
        <v>0</v>
      </c>
      <c r="DF26" s="209">
        <f>$AC26*'Verwerking Bouwdelen'!EN10</f>
        <v>0</v>
      </c>
      <c r="DG26" s="209">
        <f>$AC26*'Verwerking Bouwdelen'!EO10</f>
        <v>0</v>
      </c>
      <c r="DH26" s="209">
        <f>$AC26*'Verwerking Bouwdelen'!EP10</f>
        <v>0</v>
      </c>
      <c r="DI26" s="10">
        <f>IF(CW26=$O26,0,'Verwerking Bouwdelen'!G10)</f>
        <v>0</v>
      </c>
      <c r="DJ26" s="259">
        <f>'Verwerking Bouwdelen'!GK10*CF26</f>
        <v>0</v>
      </c>
      <c r="DK26" s="259">
        <f>'Verwerking Bouwdelen'!GL10*CF26</f>
        <v>0</v>
      </c>
      <c r="DL26" s="125"/>
      <c r="FC26" s="89">
        <f>IF('Verwerken ventilatie'!AJ18=2,1,0)</f>
        <v>0</v>
      </c>
      <c r="FD26" s="89">
        <f>FC26*'Verwerken ventilatie'!BT18</f>
        <v>0</v>
      </c>
      <c r="FE26" s="89">
        <f>FC26*'Verwerken ventilatie'!BU18</f>
        <v>0</v>
      </c>
      <c r="FZ26" s="89">
        <f>IF('Verwerken verlichting'!B22=2,1,0)</f>
        <v>0</v>
      </c>
      <c r="GA26" s="89">
        <f>$FZ26*'Verwerken verlichting'!BX22</f>
        <v>0</v>
      </c>
      <c r="GB26" s="89">
        <f>$FZ26*'Verwerken verlichting'!BY22</f>
        <v>0</v>
      </c>
      <c r="GC26" s="89">
        <f>$FZ26*'Verwerken verlichting'!BZ22</f>
        <v>0</v>
      </c>
      <c r="GD26" s="89">
        <f>$FZ26*'Verwerken verlichting'!CA22</f>
        <v>0</v>
      </c>
      <c r="GE26" s="89">
        <f>$FZ26*'Verwerken verlichting'!CB22</f>
        <v>0</v>
      </c>
      <c r="GF26" s="89">
        <f>$FZ26*'Verwerken verlichting'!CC22</f>
        <v>0</v>
      </c>
      <c r="GG26" s="89">
        <f>FZ26*'Invoer verlichting'!N21</f>
        <v>0</v>
      </c>
      <c r="GH26" s="89">
        <f>FZ26*'Verwerken verlichting'!AH22</f>
        <v>0</v>
      </c>
      <c r="GI26" s="89">
        <f>FZ26*'Verwerken verlichting'!AG22</f>
        <v>0</v>
      </c>
      <c r="GJ26" s="89">
        <f>FZ26*'Verwerken verlichting'!CE22</f>
        <v>0</v>
      </c>
      <c r="GM26" s="89">
        <f t="shared" si="2"/>
        <v>0</v>
      </c>
      <c r="GN26" s="89">
        <f t="shared" si="3"/>
        <v>0</v>
      </c>
      <c r="GO26" s="208">
        <f>IF($GN26=1,$GN26*$GM26*'Verwerking Bouwdelen'!DL10,$GN26*$GM26*'Verwerking Bouwdelen'!T10)</f>
        <v>0</v>
      </c>
      <c r="GP26" s="208">
        <f>IF($GN26=1,$GN26*$GM26*'Verwerking Bouwdelen'!DM10,$GN26*$GM26*'Verwerking Bouwdelen'!U10)</f>
        <v>0</v>
      </c>
      <c r="GQ26" s="208">
        <f>IF($GN26=1,$GN26*$GM26*'Verwerking Bouwdelen'!DN10,$GN26*$GM26*'Verwerking Bouwdelen'!V10)</f>
        <v>0</v>
      </c>
      <c r="GR26" s="208">
        <f>IF($GN26=1,$GN26*$GM26*'Verwerking Bouwdelen'!DO10,$GN26*$GM26*'Verwerking Bouwdelen'!W10)</f>
        <v>0</v>
      </c>
      <c r="GS26" s="208">
        <f>IF($GN26=1,$GN26*$GM26*'Verwerking Bouwdelen'!DP10,$GN26*$GM26*'Verwerking Bouwdelen'!X10)</f>
        <v>0</v>
      </c>
      <c r="GT26" s="208">
        <f>IF($GN26=1,$GN26*$GM26*'Verwerking Bouwdelen'!DQ10,$GN26*$GM26*'Verwerking Bouwdelen'!Y10)</f>
        <v>0</v>
      </c>
      <c r="GU26" s="208">
        <f>IF($GN26=1,$GN26*$GM26*'Verwerking Bouwdelen'!DR10,$GN26*$GM26*'Verwerking Bouwdelen'!Z10)</f>
        <v>0</v>
      </c>
      <c r="GV26" s="208">
        <f>IF($GN26=1,$GN26*$GM26*'Verwerking Bouwdelen'!DS10,$GN26*$GM26*'Verwerking Bouwdelen'!AA10)</f>
        <v>0</v>
      </c>
      <c r="GW26" s="208">
        <f>IF($GN26=1,$GN26*$GM26*'Verwerking Bouwdelen'!DT10,$GN26*$GM26*'Verwerking Bouwdelen'!AB10)</f>
        <v>0</v>
      </c>
      <c r="GX26" s="208">
        <f>IF($GN26=1,$GN26*$GM26*'Verwerking Bouwdelen'!DU10,$GN26*$GM26*'Verwerking Bouwdelen'!AC10)</f>
        <v>0</v>
      </c>
      <c r="GY26" s="208">
        <f>IF($GN26=1,$GN26*$GM26*'Verwerking Bouwdelen'!DV10,$GN26*$GM26*'Verwerking Bouwdelen'!AD10)</f>
        <v>0</v>
      </c>
      <c r="GZ26" s="208">
        <f>IF($GN26=1,$GN26*$GM26*'Verwerking Bouwdelen'!DW10,$GN26*$GM26*'Verwerking Bouwdelen'!AE10)</f>
        <v>0</v>
      </c>
      <c r="HB26" s="89">
        <f t="shared" si="4"/>
        <v>0</v>
      </c>
      <c r="HC26" s="89">
        <f t="shared" si="1"/>
        <v>0</v>
      </c>
      <c r="HD26" s="89">
        <f t="shared" si="1"/>
        <v>0</v>
      </c>
      <c r="HE26" s="89">
        <f t="shared" si="1"/>
        <v>0</v>
      </c>
      <c r="HF26" s="89">
        <f t="shared" si="1"/>
        <v>0</v>
      </c>
      <c r="HG26" s="89">
        <f t="shared" si="1"/>
        <v>0</v>
      </c>
      <c r="HH26" s="89">
        <f t="shared" si="1"/>
        <v>0</v>
      </c>
      <c r="HI26" s="89">
        <f t="shared" si="1"/>
        <v>0</v>
      </c>
      <c r="HJ26" s="89">
        <f t="shared" si="1"/>
        <v>0</v>
      </c>
      <c r="HK26" s="89">
        <f t="shared" si="1"/>
        <v>0</v>
      </c>
      <c r="HL26" s="89">
        <f t="shared" si="1"/>
        <v>0</v>
      </c>
      <c r="HM26" s="89">
        <f t="shared" si="1"/>
        <v>0</v>
      </c>
      <c r="HO26" s="256"/>
      <c r="HZ26" s="256"/>
    </row>
    <row r="27" spans="1:234" x14ac:dyDescent="0.2">
      <c r="A27" s="130">
        <f>IF('Verwerking Bouwdelen'!A11=2,1,0)</f>
        <v>0</v>
      </c>
      <c r="B27" s="208">
        <f>$A27*'Verwerking Bouwdelen'!T11</f>
        <v>0</v>
      </c>
      <c r="C27" s="208">
        <f>$A27*'Verwerking Bouwdelen'!U11</f>
        <v>0</v>
      </c>
      <c r="D27" s="208">
        <f>$A27*'Verwerking Bouwdelen'!V11</f>
        <v>0</v>
      </c>
      <c r="E27" s="208">
        <f>$A27*'Verwerking Bouwdelen'!W11</f>
        <v>0</v>
      </c>
      <c r="F27" s="208">
        <f>$A27*'Verwerking Bouwdelen'!X11</f>
        <v>0</v>
      </c>
      <c r="G27" s="208">
        <f>$A27*'Verwerking Bouwdelen'!Y11</f>
        <v>0</v>
      </c>
      <c r="H27" s="208">
        <f>$A27*'Verwerking Bouwdelen'!Z11</f>
        <v>0</v>
      </c>
      <c r="I27" s="208">
        <f>$A27*'Verwerking Bouwdelen'!AA11</f>
        <v>0</v>
      </c>
      <c r="J27" s="208">
        <f>$A27*'Verwerking Bouwdelen'!AB11</f>
        <v>0</v>
      </c>
      <c r="K27" s="208">
        <f>$A27*'Verwerking Bouwdelen'!AC11</f>
        <v>0</v>
      </c>
      <c r="L27" s="208">
        <f>$A27*'Verwerking Bouwdelen'!AD11</f>
        <v>0</v>
      </c>
      <c r="M27" s="208">
        <f>$A27*'Verwerking Bouwdelen'!AE11</f>
        <v>0</v>
      </c>
      <c r="O27" s="114">
        <f>$A27*'Verwerking Bouwdelen'!AU11</f>
        <v>0</v>
      </c>
      <c r="P27" s="125">
        <f>$A27*'Verwerking Bouwdelen'!AV11</f>
        <v>0</v>
      </c>
      <c r="Q27" s="125">
        <f>$A27*'Verwerking Bouwdelen'!AW11</f>
        <v>0</v>
      </c>
      <c r="R27" s="125">
        <f>$A27*'Verwerking Bouwdelen'!AX11</f>
        <v>0</v>
      </c>
      <c r="S27" s="125">
        <f>$A27*'Verwerking Bouwdelen'!AY11</f>
        <v>0</v>
      </c>
      <c r="T27" s="125">
        <f>$A27*'Verwerking Bouwdelen'!AZ11</f>
        <v>0</v>
      </c>
      <c r="U27" s="125">
        <f>$A27*'Verwerking Bouwdelen'!BA11</f>
        <v>0</v>
      </c>
      <c r="V27" s="125">
        <f>$A27*'Verwerking Bouwdelen'!BB11</f>
        <v>0</v>
      </c>
      <c r="W27" s="125">
        <f>$A27*'Verwerking Bouwdelen'!BC11</f>
        <v>0</v>
      </c>
      <c r="X27" s="125">
        <f>$A27*'Verwerking Bouwdelen'!BD11</f>
        <v>0</v>
      </c>
      <c r="Y27" s="125">
        <f>$A27*'Verwerking Bouwdelen'!BE11</f>
        <v>0</v>
      </c>
      <c r="Z27" s="195">
        <f>$A27*'Verwerking Bouwdelen'!BF11</f>
        <v>0</v>
      </c>
      <c r="AB27" s="125">
        <f>IF(OR('Verwerking Bouwdelen'!C11=3,'Verwerking Bouwdelen'!C11=6),1,0)</f>
        <v>0</v>
      </c>
      <c r="AC27" s="130">
        <f>IF('Verwerking Bouwdelen'!A11=2,1,0)</f>
        <v>0</v>
      </c>
      <c r="AD27" s="208">
        <f>IF($AB27=1,$AC27*'Verwerking Bouwdelen'!DL11,$AC27*'Verwerking Bouwdelen'!T11)</f>
        <v>0</v>
      </c>
      <c r="AE27" s="208">
        <f>IF($AB27=1,$AC27*'Verwerking Bouwdelen'!DM11,$AC27*'Verwerking Bouwdelen'!U11)</f>
        <v>0</v>
      </c>
      <c r="AF27" s="208">
        <f>IF($AB27=1,$AC27*'Verwerking Bouwdelen'!DN11,$AC27*'Verwerking Bouwdelen'!V11)</f>
        <v>0</v>
      </c>
      <c r="AG27" s="208">
        <f>IF($AB27=1,$AC27*'Verwerking Bouwdelen'!DO11,$AC27*'Verwerking Bouwdelen'!W11)</f>
        <v>0</v>
      </c>
      <c r="AH27" s="208">
        <f>IF($AB27=1,$AC27*'Verwerking Bouwdelen'!DP11,$AC27*'Verwerking Bouwdelen'!X11)</f>
        <v>0</v>
      </c>
      <c r="AI27" s="208">
        <f>IF($AB27=1,$AC27*'Verwerking Bouwdelen'!DQ11,$AC27*'Verwerking Bouwdelen'!Y11)</f>
        <v>0</v>
      </c>
      <c r="AJ27" s="208">
        <f>IF($AB27=1,$AC27*'Verwerking Bouwdelen'!DR11,$AC27*'Verwerking Bouwdelen'!Z11)</f>
        <v>0</v>
      </c>
      <c r="AK27" s="208">
        <f>IF($AB27=1,$AC27*'Verwerking Bouwdelen'!DS11,$AC27*'Verwerking Bouwdelen'!AA11)</f>
        <v>0</v>
      </c>
      <c r="AL27" s="208">
        <f>IF($AB27=1,$AC27*'Verwerking Bouwdelen'!DT11,$AC27*'Verwerking Bouwdelen'!AB11)</f>
        <v>0</v>
      </c>
      <c r="AM27" s="208">
        <f>IF($AB27=1,$AC27*'Verwerking Bouwdelen'!DU11,$AC27*'Verwerking Bouwdelen'!AC11)</f>
        <v>0</v>
      </c>
      <c r="AN27" s="208">
        <f>IF($AB27=1,$AC27*'Verwerking Bouwdelen'!DV11,$AC27*'Verwerking Bouwdelen'!AD11)</f>
        <v>0</v>
      </c>
      <c r="AO27" s="208">
        <f>IF($AB27=1,$AC27*'Verwerking Bouwdelen'!DW11,$AC27*'Verwerking Bouwdelen'!AE11)</f>
        <v>0</v>
      </c>
      <c r="AP27" s="10">
        <f>IF(AD27=B27,0,'Verwerking Bouwdelen'!D11*AB27*AC27)</f>
        <v>0</v>
      </c>
      <c r="AQ27" s="10">
        <f>AB27*AC27*'Verwerking Bouwdelen'!GH11</f>
        <v>0</v>
      </c>
      <c r="AR27" s="10"/>
      <c r="AS27" s="248"/>
      <c r="AT27" s="125">
        <f>IF('Verwerking Bouwdelen'!C11=4,1,0)</f>
        <v>0</v>
      </c>
      <c r="AU27" s="130">
        <f>IF('Verwerking Bouwdelen'!A11=2,1,0)</f>
        <v>0</v>
      </c>
      <c r="AV27" s="208">
        <f>IF($AT27=1,$AU27*'Verwerking Bouwdelen'!DL11,$AU27*'Verwerking Bouwdelen'!T11)</f>
        <v>0</v>
      </c>
      <c r="AW27" s="208">
        <f>IF($AT27=1,$AU27*'Verwerking Bouwdelen'!DM11,$AU27*'Verwerking Bouwdelen'!U11)</f>
        <v>0</v>
      </c>
      <c r="AX27" s="208">
        <f>IF($AT27=1,$AU27*'Verwerking Bouwdelen'!DN11,$AU27*'Verwerking Bouwdelen'!V11)</f>
        <v>0</v>
      </c>
      <c r="AY27" s="208">
        <f>IF($AT27=1,$AU27*'Verwerking Bouwdelen'!DO11,$AU27*'Verwerking Bouwdelen'!W11)</f>
        <v>0</v>
      </c>
      <c r="AZ27" s="208">
        <f>IF($AT27=1,$AU27*'Verwerking Bouwdelen'!DP11,$AU27*'Verwerking Bouwdelen'!X11)</f>
        <v>0</v>
      </c>
      <c r="BA27" s="208">
        <f>IF($AT27=1,$AU27*'Verwerking Bouwdelen'!DQ11,$AU27*'Verwerking Bouwdelen'!Y11)</f>
        <v>0</v>
      </c>
      <c r="BB27" s="208">
        <f>IF($AT27=1,$AU27*'Verwerking Bouwdelen'!DR11,$AU27*'Verwerking Bouwdelen'!Z11)</f>
        <v>0</v>
      </c>
      <c r="BC27" s="208">
        <f>IF($AT27=1,$AU27*'Verwerking Bouwdelen'!DS11,$AU27*'Verwerking Bouwdelen'!AA11)</f>
        <v>0</v>
      </c>
      <c r="BD27" s="208">
        <f>IF($AT27=1,$AU27*'Verwerking Bouwdelen'!DT11,$AU27*'Verwerking Bouwdelen'!AB11)</f>
        <v>0</v>
      </c>
      <c r="BE27" s="208">
        <f>IF($AT27=1,$AU27*'Verwerking Bouwdelen'!DU11,$AU27*'Verwerking Bouwdelen'!AC11)</f>
        <v>0</v>
      </c>
      <c r="BF27" s="208">
        <f>IF($AT27=1,$AU27*'Verwerking Bouwdelen'!DV11,$AU27*'Verwerking Bouwdelen'!AD11)</f>
        <v>0</v>
      </c>
      <c r="BG27" s="208">
        <f>IF($AT27=1,$AU27*'Verwerking Bouwdelen'!DW11,$AU27*'Verwerking Bouwdelen'!AE11)</f>
        <v>0</v>
      </c>
      <c r="BH27" s="10">
        <f>IF(AV27=B27,0,'Verwerking Bouwdelen'!D11*AT27*AU27)</f>
        <v>0</v>
      </c>
      <c r="BI27" s="10">
        <f>AT27*AU27*'Verwerking Bouwdelen'!GH11</f>
        <v>0</v>
      </c>
      <c r="BJ27" s="10"/>
      <c r="BK27" s="10"/>
      <c r="BM27" s="125">
        <f>IF('Verwerking Bouwdelen'!C11=5,1,0)</f>
        <v>0</v>
      </c>
      <c r="BN27" s="130">
        <f>IF('Verwerking Bouwdelen'!A11=2,1,0)</f>
        <v>0</v>
      </c>
      <c r="BO27" s="208">
        <f>IF($BM27=1,$BN27*'Verwerking Bouwdelen'!DL11,$BN27*'Verwerking Bouwdelen'!T11)</f>
        <v>0</v>
      </c>
      <c r="BP27" s="208">
        <f>IF($BM27=1,$BN27*'Verwerking Bouwdelen'!DM11,$BN27*'Verwerking Bouwdelen'!U11)</f>
        <v>0</v>
      </c>
      <c r="BQ27" s="208">
        <f>IF($BM27=1,$BN27*'Verwerking Bouwdelen'!DN11,$BN27*'Verwerking Bouwdelen'!V11)</f>
        <v>0</v>
      </c>
      <c r="BR27" s="208">
        <f>IF($BM27=1,$BN27*'Verwerking Bouwdelen'!DO11,$BN27*'Verwerking Bouwdelen'!W11)</f>
        <v>0</v>
      </c>
      <c r="BS27" s="208">
        <f>IF($BM27=1,$BN27*'Verwerking Bouwdelen'!DP11,$BN27*'Verwerking Bouwdelen'!X11)</f>
        <v>0</v>
      </c>
      <c r="BT27" s="208">
        <f>IF($BM27=1,$BN27*'Verwerking Bouwdelen'!DQ11,$BN27*'Verwerking Bouwdelen'!Y11)</f>
        <v>0</v>
      </c>
      <c r="BU27" s="208">
        <f>IF($BM27=1,$BN27*'Verwerking Bouwdelen'!DR11,$BN27*'Verwerking Bouwdelen'!Z11)</f>
        <v>0</v>
      </c>
      <c r="BV27" s="208">
        <f>IF($BM27=1,$BN27*'Verwerking Bouwdelen'!DS11,$BN27*'Verwerking Bouwdelen'!AA11)</f>
        <v>0</v>
      </c>
      <c r="BW27" s="208">
        <f>IF($BM27=1,$BN27*'Verwerking Bouwdelen'!DT11,$BN27*'Verwerking Bouwdelen'!AB11)</f>
        <v>0</v>
      </c>
      <c r="BX27" s="208">
        <f>IF($BM27=1,$BN27*'Verwerking Bouwdelen'!DU11,$BN27*'Verwerking Bouwdelen'!AC11)</f>
        <v>0</v>
      </c>
      <c r="BY27" s="208">
        <f>IF($BM27=1,$BN27*'Verwerking Bouwdelen'!DV11,$BN27*'Verwerking Bouwdelen'!AD11)</f>
        <v>0</v>
      </c>
      <c r="BZ27" s="208">
        <f>IF($BM27=1,$BN27*'Verwerking Bouwdelen'!DW11,$BN27*'Verwerking Bouwdelen'!AE11)</f>
        <v>0</v>
      </c>
      <c r="CA27" s="10">
        <f>IF(BO27=B27,0,'Verwerking Bouwdelen'!D11*BM27*BN27)</f>
        <v>0</v>
      </c>
      <c r="CB27" s="10">
        <f>BM27*BN27*'Verwerking Bouwdelen'!GH11</f>
        <v>0</v>
      </c>
      <c r="CC27" s="10"/>
      <c r="CD27" s="248"/>
      <c r="CE27" s="125">
        <f>IF('Verwerking Bouwdelen'!C11=2,1,0)</f>
        <v>0</v>
      </c>
      <c r="CF27" s="130">
        <f>IF('Verwerking Bouwdelen'!A11=2,1,0)</f>
        <v>0</v>
      </c>
      <c r="CG27" s="208">
        <f>IF($CE27=1,$CF27*'Verwerking Bouwdelen'!DL11,$CF27*'Verwerking Bouwdelen'!T11)</f>
        <v>0</v>
      </c>
      <c r="CH27" s="208">
        <f>IF($CE27=1,$CF27*'Verwerking Bouwdelen'!DM11,$CF27*'Verwerking Bouwdelen'!U11)</f>
        <v>0</v>
      </c>
      <c r="CI27" s="208">
        <f>IF($CE27=1,$CF27*'Verwerking Bouwdelen'!DN11,$CF27*'Verwerking Bouwdelen'!V11)</f>
        <v>0</v>
      </c>
      <c r="CJ27" s="208">
        <f>IF($CE27=1,$CF27*'Verwerking Bouwdelen'!DO11,$CF27*'Verwerking Bouwdelen'!W11)</f>
        <v>0</v>
      </c>
      <c r="CK27" s="208">
        <f>IF($CE27=1,$CF27*'Verwerking Bouwdelen'!DP11,$CF27*'Verwerking Bouwdelen'!X11)</f>
        <v>0</v>
      </c>
      <c r="CL27" s="208">
        <f>IF($CE27=1,$CF27*'Verwerking Bouwdelen'!DQ11,$CF27*'Verwerking Bouwdelen'!Y11)</f>
        <v>0</v>
      </c>
      <c r="CM27" s="208">
        <f>IF($CE27=1,$CF27*'Verwerking Bouwdelen'!DR11,$CF27*'Verwerking Bouwdelen'!Z11)</f>
        <v>0</v>
      </c>
      <c r="CN27" s="208">
        <f>IF($CE27=1,$CF27*'Verwerking Bouwdelen'!DS11,$CF27*'Verwerking Bouwdelen'!AA11)</f>
        <v>0</v>
      </c>
      <c r="CO27" s="208">
        <f>IF($CE27=1,$CF27*'Verwerking Bouwdelen'!DT11,$CF27*'Verwerking Bouwdelen'!AB11)</f>
        <v>0</v>
      </c>
      <c r="CP27" s="208">
        <f>IF($CE27=1,$CF27*'Verwerking Bouwdelen'!DU11,$CF27*'Verwerking Bouwdelen'!AC11)</f>
        <v>0</v>
      </c>
      <c r="CQ27" s="208">
        <f>IF($CE27=1,$CF27*'Verwerking Bouwdelen'!DV11,$CF27*'Verwerking Bouwdelen'!AD11)</f>
        <v>0</v>
      </c>
      <c r="CR27" s="208">
        <f>IF($CE27=1,$CF27*'Verwerking Bouwdelen'!DW11,$CF27*'Verwerking Bouwdelen'!AE11)</f>
        <v>0</v>
      </c>
      <c r="CS27" s="10">
        <f>IF(CG27=$B27,0,('Verwerking Bouwdelen'!$D11-'Verwerking Bouwdelen'!G11)*CE27*CF27)</f>
        <v>0</v>
      </c>
      <c r="CT27" s="260">
        <f>CE27*CF27*'Verwerking Bouwdelen'!GH11</f>
        <v>0</v>
      </c>
      <c r="CU27" s="261">
        <f>CE27*CF27*'Verwerking Bouwdelen'!GI11</f>
        <v>0</v>
      </c>
      <c r="CW27" s="209">
        <f>$AC27*'Verwerking Bouwdelen'!EE11</f>
        <v>0</v>
      </c>
      <c r="CX27" s="209">
        <f>$AC27*'Verwerking Bouwdelen'!EF11</f>
        <v>0</v>
      </c>
      <c r="CY27" s="209">
        <f>$AC27*'Verwerking Bouwdelen'!EG11</f>
        <v>0</v>
      </c>
      <c r="CZ27" s="209">
        <f>$AC27*'Verwerking Bouwdelen'!EH11</f>
        <v>0</v>
      </c>
      <c r="DA27" s="209">
        <f>$AC27*'Verwerking Bouwdelen'!EI11</f>
        <v>0</v>
      </c>
      <c r="DB27" s="209">
        <f>$AC27*'Verwerking Bouwdelen'!EJ11</f>
        <v>0</v>
      </c>
      <c r="DC27" s="209">
        <f>$AC27*'Verwerking Bouwdelen'!EK11</f>
        <v>0</v>
      </c>
      <c r="DD27" s="209">
        <f>$AC27*'Verwerking Bouwdelen'!EL11</f>
        <v>0</v>
      </c>
      <c r="DE27" s="209">
        <f>$AC27*'Verwerking Bouwdelen'!EM11</f>
        <v>0</v>
      </c>
      <c r="DF27" s="209">
        <f>$AC27*'Verwerking Bouwdelen'!EN11</f>
        <v>0</v>
      </c>
      <c r="DG27" s="209">
        <f>$AC27*'Verwerking Bouwdelen'!EO11</f>
        <v>0</v>
      </c>
      <c r="DH27" s="209">
        <f>$AC27*'Verwerking Bouwdelen'!EP11</f>
        <v>0</v>
      </c>
      <c r="DI27" s="10">
        <f>IF(CW27=$O27,0,'Verwerking Bouwdelen'!G11)</f>
        <v>0</v>
      </c>
      <c r="DJ27" s="259">
        <f>'Verwerking Bouwdelen'!GK11*CF27</f>
        <v>0</v>
      </c>
      <c r="DK27" s="259">
        <f>'Verwerking Bouwdelen'!GL11*CF27</f>
        <v>0</v>
      </c>
      <c r="DL27" s="125"/>
      <c r="FC27" s="89">
        <f>IF('Verwerken ventilatie'!AJ19=2,1,0)</f>
        <v>0</v>
      </c>
      <c r="FD27" s="89">
        <f>FC27*'Verwerken ventilatie'!BT19</f>
        <v>0</v>
      </c>
      <c r="FE27" s="89">
        <f>FC27*'Verwerken ventilatie'!BU19</f>
        <v>0</v>
      </c>
      <c r="FZ27" s="89">
        <f>IF('Verwerken verlichting'!B23=2,1,0)</f>
        <v>0</v>
      </c>
      <c r="GA27" s="89">
        <f>$FZ27*'Verwerken verlichting'!BX23</f>
        <v>0</v>
      </c>
      <c r="GB27" s="89">
        <f>$FZ27*'Verwerken verlichting'!BY23</f>
        <v>0</v>
      </c>
      <c r="GC27" s="89">
        <f>$FZ27*'Verwerken verlichting'!BZ23</f>
        <v>0</v>
      </c>
      <c r="GD27" s="89">
        <f>$FZ27*'Verwerken verlichting'!CA23</f>
        <v>0</v>
      </c>
      <c r="GE27" s="89">
        <f>$FZ27*'Verwerken verlichting'!CB23</f>
        <v>0</v>
      </c>
      <c r="GF27" s="89">
        <f>$FZ27*'Verwerken verlichting'!CC23</f>
        <v>0</v>
      </c>
      <c r="GG27" s="89">
        <f>FZ27*'Invoer verlichting'!N22</f>
        <v>0</v>
      </c>
      <c r="GH27" s="89">
        <f>FZ27*'Verwerken verlichting'!AH23</f>
        <v>0</v>
      </c>
      <c r="GI27" s="89">
        <f>FZ27*'Verwerken verlichting'!AG23</f>
        <v>0</v>
      </c>
      <c r="GJ27" s="89">
        <f>FZ27*'Verwerken verlichting'!CE23</f>
        <v>0</v>
      </c>
      <c r="GM27" s="89">
        <f t="shared" si="2"/>
        <v>0</v>
      </c>
      <c r="GN27" s="89">
        <f t="shared" si="3"/>
        <v>0</v>
      </c>
      <c r="GO27" s="208">
        <f>IF($GN27=1,$GN27*$GM27*'Verwerking Bouwdelen'!DL11,$GN27*$GM27*'Verwerking Bouwdelen'!T11)</f>
        <v>0</v>
      </c>
      <c r="GP27" s="208">
        <f>IF($GN27=1,$GN27*$GM27*'Verwerking Bouwdelen'!DM11,$GN27*$GM27*'Verwerking Bouwdelen'!U11)</f>
        <v>0</v>
      </c>
      <c r="GQ27" s="208">
        <f>IF($GN27=1,$GN27*$GM27*'Verwerking Bouwdelen'!DN11,$GN27*$GM27*'Verwerking Bouwdelen'!V11)</f>
        <v>0</v>
      </c>
      <c r="GR27" s="208">
        <f>IF($GN27=1,$GN27*$GM27*'Verwerking Bouwdelen'!DO11,$GN27*$GM27*'Verwerking Bouwdelen'!W11)</f>
        <v>0</v>
      </c>
      <c r="GS27" s="208">
        <f>IF($GN27=1,$GN27*$GM27*'Verwerking Bouwdelen'!DP11,$GN27*$GM27*'Verwerking Bouwdelen'!X11)</f>
        <v>0</v>
      </c>
      <c r="GT27" s="208">
        <f>IF($GN27=1,$GN27*$GM27*'Verwerking Bouwdelen'!DQ11,$GN27*$GM27*'Verwerking Bouwdelen'!Y11)</f>
        <v>0</v>
      </c>
      <c r="GU27" s="208">
        <f>IF($GN27=1,$GN27*$GM27*'Verwerking Bouwdelen'!DR11,$GN27*$GM27*'Verwerking Bouwdelen'!Z11)</f>
        <v>0</v>
      </c>
      <c r="GV27" s="208">
        <f>IF($GN27=1,$GN27*$GM27*'Verwerking Bouwdelen'!DS11,$GN27*$GM27*'Verwerking Bouwdelen'!AA11)</f>
        <v>0</v>
      </c>
      <c r="GW27" s="208">
        <f>IF($GN27=1,$GN27*$GM27*'Verwerking Bouwdelen'!DT11,$GN27*$GM27*'Verwerking Bouwdelen'!AB11)</f>
        <v>0</v>
      </c>
      <c r="GX27" s="208">
        <f>IF($GN27=1,$GN27*$GM27*'Verwerking Bouwdelen'!DU11,$GN27*$GM27*'Verwerking Bouwdelen'!AC11)</f>
        <v>0</v>
      </c>
      <c r="GY27" s="208">
        <f>IF($GN27=1,$GN27*$GM27*'Verwerking Bouwdelen'!DV11,$GN27*$GM27*'Verwerking Bouwdelen'!AD11)</f>
        <v>0</v>
      </c>
      <c r="GZ27" s="208">
        <f>IF($GN27=1,$GN27*$GM27*'Verwerking Bouwdelen'!DW11,$GN27*$GM27*'Verwerking Bouwdelen'!AE11)</f>
        <v>0</v>
      </c>
      <c r="HB27" s="89">
        <f t="shared" si="4"/>
        <v>0</v>
      </c>
      <c r="HC27" s="89">
        <f t="shared" si="1"/>
        <v>0</v>
      </c>
      <c r="HD27" s="89">
        <f t="shared" si="1"/>
        <v>0</v>
      </c>
      <c r="HE27" s="89">
        <f t="shared" si="1"/>
        <v>0</v>
      </c>
      <c r="HF27" s="89">
        <f t="shared" si="1"/>
        <v>0</v>
      </c>
      <c r="HG27" s="89">
        <f t="shared" si="1"/>
        <v>0</v>
      </c>
      <c r="HH27" s="89">
        <f t="shared" si="1"/>
        <v>0</v>
      </c>
      <c r="HI27" s="89">
        <f t="shared" si="1"/>
        <v>0</v>
      </c>
      <c r="HJ27" s="89">
        <f t="shared" si="1"/>
        <v>0</v>
      </c>
      <c r="HK27" s="89">
        <f t="shared" si="1"/>
        <v>0</v>
      </c>
      <c r="HL27" s="89">
        <f t="shared" si="1"/>
        <v>0</v>
      </c>
      <c r="HM27" s="89">
        <f t="shared" si="1"/>
        <v>0</v>
      </c>
      <c r="HO27" s="256"/>
      <c r="HZ27" s="256"/>
    </row>
    <row r="28" spans="1:234" x14ac:dyDescent="0.2">
      <c r="A28" s="130">
        <f>IF('Verwerking Bouwdelen'!A12=2,1,0)</f>
        <v>0</v>
      </c>
      <c r="B28" s="208">
        <f>$A28*'Verwerking Bouwdelen'!T12</f>
        <v>0</v>
      </c>
      <c r="C28" s="208">
        <f>$A28*'Verwerking Bouwdelen'!U12</f>
        <v>0</v>
      </c>
      <c r="D28" s="208">
        <f>$A28*'Verwerking Bouwdelen'!V12</f>
        <v>0</v>
      </c>
      <c r="E28" s="208">
        <f>$A28*'Verwerking Bouwdelen'!W12</f>
        <v>0</v>
      </c>
      <c r="F28" s="208">
        <f>$A28*'Verwerking Bouwdelen'!X12</f>
        <v>0</v>
      </c>
      <c r="G28" s="208">
        <f>$A28*'Verwerking Bouwdelen'!Y12</f>
        <v>0</v>
      </c>
      <c r="H28" s="208">
        <f>$A28*'Verwerking Bouwdelen'!Z12</f>
        <v>0</v>
      </c>
      <c r="I28" s="208">
        <f>$A28*'Verwerking Bouwdelen'!AA12</f>
        <v>0</v>
      </c>
      <c r="J28" s="208">
        <f>$A28*'Verwerking Bouwdelen'!AB12</f>
        <v>0</v>
      </c>
      <c r="K28" s="208">
        <f>$A28*'Verwerking Bouwdelen'!AC12</f>
        <v>0</v>
      </c>
      <c r="L28" s="208">
        <f>$A28*'Verwerking Bouwdelen'!AD12</f>
        <v>0</v>
      </c>
      <c r="M28" s="208">
        <f>$A28*'Verwerking Bouwdelen'!AE12</f>
        <v>0</v>
      </c>
      <c r="O28" s="114">
        <f>$A28*'Verwerking Bouwdelen'!AU12</f>
        <v>0</v>
      </c>
      <c r="P28" s="125">
        <f>$A28*'Verwerking Bouwdelen'!AV12</f>
        <v>0</v>
      </c>
      <c r="Q28" s="125">
        <f>$A28*'Verwerking Bouwdelen'!AW12</f>
        <v>0</v>
      </c>
      <c r="R28" s="125">
        <f>$A28*'Verwerking Bouwdelen'!AX12</f>
        <v>0</v>
      </c>
      <c r="S28" s="125">
        <f>$A28*'Verwerking Bouwdelen'!AY12</f>
        <v>0</v>
      </c>
      <c r="T28" s="125">
        <f>$A28*'Verwerking Bouwdelen'!AZ12</f>
        <v>0</v>
      </c>
      <c r="U28" s="125">
        <f>$A28*'Verwerking Bouwdelen'!BA12</f>
        <v>0</v>
      </c>
      <c r="V28" s="125">
        <f>$A28*'Verwerking Bouwdelen'!BB12</f>
        <v>0</v>
      </c>
      <c r="W28" s="125">
        <f>$A28*'Verwerking Bouwdelen'!BC12</f>
        <v>0</v>
      </c>
      <c r="X28" s="125">
        <f>$A28*'Verwerking Bouwdelen'!BD12</f>
        <v>0</v>
      </c>
      <c r="Y28" s="125">
        <f>$A28*'Verwerking Bouwdelen'!BE12</f>
        <v>0</v>
      </c>
      <c r="Z28" s="195">
        <f>$A28*'Verwerking Bouwdelen'!BF12</f>
        <v>0</v>
      </c>
      <c r="AB28" s="125">
        <f>IF(OR('Verwerking Bouwdelen'!C12=3,'Verwerking Bouwdelen'!C12=6),1,0)</f>
        <v>0</v>
      </c>
      <c r="AC28" s="130">
        <f>IF('Verwerking Bouwdelen'!A12=2,1,0)</f>
        <v>0</v>
      </c>
      <c r="AD28" s="208">
        <f>IF($AB28=1,$AC28*'Verwerking Bouwdelen'!DL12,$AC28*'Verwerking Bouwdelen'!T12)</f>
        <v>0</v>
      </c>
      <c r="AE28" s="208">
        <f>IF($AB28=1,$AC28*'Verwerking Bouwdelen'!DM12,$AC28*'Verwerking Bouwdelen'!U12)</f>
        <v>0</v>
      </c>
      <c r="AF28" s="208">
        <f>IF($AB28=1,$AC28*'Verwerking Bouwdelen'!DN12,$AC28*'Verwerking Bouwdelen'!V12)</f>
        <v>0</v>
      </c>
      <c r="AG28" s="208">
        <f>IF($AB28=1,$AC28*'Verwerking Bouwdelen'!DO12,$AC28*'Verwerking Bouwdelen'!W12)</f>
        <v>0</v>
      </c>
      <c r="AH28" s="208">
        <f>IF($AB28=1,$AC28*'Verwerking Bouwdelen'!DP12,$AC28*'Verwerking Bouwdelen'!X12)</f>
        <v>0</v>
      </c>
      <c r="AI28" s="208">
        <f>IF($AB28=1,$AC28*'Verwerking Bouwdelen'!DQ12,$AC28*'Verwerking Bouwdelen'!Y12)</f>
        <v>0</v>
      </c>
      <c r="AJ28" s="208">
        <f>IF($AB28=1,$AC28*'Verwerking Bouwdelen'!DR12,$AC28*'Verwerking Bouwdelen'!Z12)</f>
        <v>0</v>
      </c>
      <c r="AK28" s="208">
        <f>IF($AB28=1,$AC28*'Verwerking Bouwdelen'!DS12,$AC28*'Verwerking Bouwdelen'!AA12)</f>
        <v>0</v>
      </c>
      <c r="AL28" s="208">
        <f>IF($AB28=1,$AC28*'Verwerking Bouwdelen'!DT12,$AC28*'Verwerking Bouwdelen'!AB12)</f>
        <v>0</v>
      </c>
      <c r="AM28" s="208">
        <f>IF($AB28=1,$AC28*'Verwerking Bouwdelen'!DU12,$AC28*'Verwerking Bouwdelen'!AC12)</f>
        <v>0</v>
      </c>
      <c r="AN28" s="208">
        <f>IF($AB28=1,$AC28*'Verwerking Bouwdelen'!DV12,$AC28*'Verwerking Bouwdelen'!AD12)</f>
        <v>0</v>
      </c>
      <c r="AO28" s="208">
        <f>IF($AB28=1,$AC28*'Verwerking Bouwdelen'!DW12,$AC28*'Verwerking Bouwdelen'!AE12)</f>
        <v>0</v>
      </c>
      <c r="AP28" s="10">
        <f>IF(AD28=B28,0,'Verwerking Bouwdelen'!D12*AB28*AC28)</f>
        <v>0</v>
      </c>
      <c r="AQ28" s="10">
        <f>AB28*AC28*'Verwerking Bouwdelen'!GH12</f>
        <v>0</v>
      </c>
      <c r="AR28" s="10"/>
      <c r="AS28" s="248"/>
      <c r="AT28" s="125">
        <f>IF('Verwerking Bouwdelen'!C12=4,1,0)</f>
        <v>0</v>
      </c>
      <c r="AU28" s="130">
        <f>IF('Verwerking Bouwdelen'!A12=2,1,0)</f>
        <v>0</v>
      </c>
      <c r="AV28" s="208">
        <f>IF($AT28=1,$AU28*'Verwerking Bouwdelen'!DL12,$AU28*'Verwerking Bouwdelen'!T12)</f>
        <v>0</v>
      </c>
      <c r="AW28" s="208">
        <f>IF($AT28=1,$AU28*'Verwerking Bouwdelen'!DM12,$AU28*'Verwerking Bouwdelen'!U12)</f>
        <v>0</v>
      </c>
      <c r="AX28" s="208">
        <f>IF($AT28=1,$AU28*'Verwerking Bouwdelen'!DN12,$AU28*'Verwerking Bouwdelen'!V12)</f>
        <v>0</v>
      </c>
      <c r="AY28" s="208">
        <f>IF($AT28=1,$AU28*'Verwerking Bouwdelen'!DO12,$AU28*'Verwerking Bouwdelen'!W12)</f>
        <v>0</v>
      </c>
      <c r="AZ28" s="208">
        <f>IF($AT28=1,$AU28*'Verwerking Bouwdelen'!DP12,$AU28*'Verwerking Bouwdelen'!X12)</f>
        <v>0</v>
      </c>
      <c r="BA28" s="208">
        <f>IF($AT28=1,$AU28*'Verwerking Bouwdelen'!DQ12,$AU28*'Verwerking Bouwdelen'!Y12)</f>
        <v>0</v>
      </c>
      <c r="BB28" s="208">
        <f>IF($AT28=1,$AU28*'Verwerking Bouwdelen'!DR12,$AU28*'Verwerking Bouwdelen'!Z12)</f>
        <v>0</v>
      </c>
      <c r="BC28" s="208">
        <f>IF($AT28=1,$AU28*'Verwerking Bouwdelen'!DS12,$AU28*'Verwerking Bouwdelen'!AA12)</f>
        <v>0</v>
      </c>
      <c r="BD28" s="208">
        <f>IF($AT28=1,$AU28*'Verwerking Bouwdelen'!DT12,$AU28*'Verwerking Bouwdelen'!AB12)</f>
        <v>0</v>
      </c>
      <c r="BE28" s="208">
        <f>IF($AT28=1,$AU28*'Verwerking Bouwdelen'!DU12,$AU28*'Verwerking Bouwdelen'!AC12)</f>
        <v>0</v>
      </c>
      <c r="BF28" s="208">
        <f>IF($AT28=1,$AU28*'Verwerking Bouwdelen'!DV12,$AU28*'Verwerking Bouwdelen'!AD12)</f>
        <v>0</v>
      </c>
      <c r="BG28" s="208">
        <f>IF($AT28=1,$AU28*'Verwerking Bouwdelen'!DW12,$AU28*'Verwerking Bouwdelen'!AE12)</f>
        <v>0</v>
      </c>
      <c r="BH28" s="10">
        <f>IF(AV28=B28,0,'Verwerking Bouwdelen'!D12*AT28*AU28)</f>
        <v>0</v>
      </c>
      <c r="BI28" s="10">
        <f>AT28*AU28*'Verwerking Bouwdelen'!GH12</f>
        <v>0</v>
      </c>
      <c r="BJ28" s="10"/>
      <c r="BK28" s="10"/>
      <c r="BM28" s="125">
        <f>IF('Verwerking Bouwdelen'!C12=5,1,0)</f>
        <v>0</v>
      </c>
      <c r="BN28" s="130">
        <f>IF('Verwerking Bouwdelen'!A12=2,1,0)</f>
        <v>0</v>
      </c>
      <c r="BO28" s="208">
        <f>IF($BM28=1,$BN28*'Verwerking Bouwdelen'!DL12,$BN28*'Verwerking Bouwdelen'!T12)</f>
        <v>0</v>
      </c>
      <c r="BP28" s="208">
        <f>IF($BM28=1,$BN28*'Verwerking Bouwdelen'!DM12,$BN28*'Verwerking Bouwdelen'!U12)</f>
        <v>0</v>
      </c>
      <c r="BQ28" s="208">
        <f>IF($BM28=1,$BN28*'Verwerking Bouwdelen'!DN12,$BN28*'Verwerking Bouwdelen'!V12)</f>
        <v>0</v>
      </c>
      <c r="BR28" s="208">
        <f>IF($BM28=1,$BN28*'Verwerking Bouwdelen'!DO12,$BN28*'Verwerking Bouwdelen'!W12)</f>
        <v>0</v>
      </c>
      <c r="BS28" s="208">
        <f>IF($BM28=1,$BN28*'Verwerking Bouwdelen'!DP12,$BN28*'Verwerking Bouwdelen'!X12)</f>
        <v>0</v>
      </c>
      <c r="BT28" s="208">
        <f>IF($BM28=1,$BN28*'Verwerking Bouwdelen'!DQ12,$BN28*'Verwerking Bouwdelen'!Y12)</f>
        <v>0</v>
      </c>
      <c r="BU28" s="208">
        <f>IF($BM28=1,$BN28*'Verwerking Bouwdelen'!DR12,$BN28*'Verwerking Bouwdelen'!Z12)</f>
        <v>0</v>
      </c>
      <c r="BV28" s="208">
        <f>IF($BM28=1,$BN28*'Verwerking Bouwdelen'!DS12,$BN28*'Verwerking Bouwdelen'!AA12)</f>
        <v>0</v>
      </c>
      <c r="BW28" s="208">
        <f>IF($BM28=1,$BN28*'Verwerking Bouwdelen'!DT12,$BN28*'Verwerking Bouwdelen'!AB12)</f>
        <v>0</v>
      </c>
      <c r="BX28" s="208">
        <f>IF($BM28=1,$BN28*'Verwerking Bouwdelen'!DU12,$BN28*'Verwerking Bouwdelen'!AC12)</f>
        <v>0</v>
      </c>
      <c r="BY28" s="208">
        <f>IF($BM28=1,$BN28*'Verwerking Bouwdelen'!DV12,$BN28*'Verwerking Bouwdelen'!AD12)</f>
        <v>0</v>
      </c>
      <c r="BZ28" s="208">
        <f>IF($BM28=1,$BN28*'Verwerking Bouwdelen'!DW12,$BN28*'Verwerking Bouwdelen'!AE12)</f>
        <v>0</v>
      </c>
      <c r="CA28" s="10">
        <f>IF(BO28=B28,0,'Verwerking Bouwdelen'!D12*BM28*BN28)</f>
        <v>0</v>
      </c>
      <c r="CB28" s="10">
        <f>BM28*BN28*'Verwerking Bouwdelen'!GH12</f>
        <v>0</v>
      </c>
      <c r="CC28" s="10"/>
      <c r="CD28" s="248"/>
      <c r="CE28" s="125">
        <f>IF('Verwerking Bouwdelen'!C12=2,1,0)</f>
        <v>0</v>
      </c>
      <c r="CF28" s="130">
        <f>IF('Verwerking Bouwdelen'!A12=2,1,0)</f>
        <v>0</v>
      </c>
      <c r="CG28" s="208">
        <f>IF($CE28=1,$CF28*'Verwerking Bouwdelen'!DL12,$CF28*'Verwerking Bouwdelen'!T12)</f>
        <v>0</v>
      </c>
      <c r="CH28" s="208">
        <f>IF($CE28=1,$CF28*'Verwerking Bouwdelen'!DM12,$CF28*'Verwerking Bouwdelen'!U12)</f>
        <v>0</v>
      </c>
      <c r="CI28" s="208">
        <f>IF($CE28=1,$CF28*'Verwerking Bouwdelen'!DN12,$CF28*'Verwerking Bouwdelen'!V12)</f>
        <v>0</v>
      </c>
      <c r="CJ28" s="208">
        <f>IF($CE28=1,$CF28*'Verwerking Bouwdelen'!DO12,$CF28*'Verwerking Bouwdelen'!W12)</f>
        <v>0</v>
      </c>
      <c r="CK28" s="208">
        <f>IF($CE28=1,$CF28*'Verwerking Bouwdelen'!DP12,$CF28*'Verwerking Bouwdelen'!X12)</f>
        <v>0</v>
      </c>
      <c r="CL28" s="208">
        <f>IF($CE28=1,$CF28*'Verwerking Bouwdelen'!DQ12,$CF28*'Verwerking Bouwdelen'!Y12)</f>
        <v>0</v>
      </c>
      <c r="CM28" s="208">
        <f>IF($CE28=1,$CF28*'Verwerking Bouwdelen'!DR12,$CF28*'Verwerking Bouwdelen'!Z12)</f>
        <v>0</v>
      </c>
      <c r="CN28" s="208">
        <f>IF($CE28=1,$CF28*'Verwerking Bouwdelen'!DS12,$CF28*'Verwerking Bouwdelen'!AA12)</f>
        <v>0</v>
      </c>
      <c r="CO28" s="208">
        <f>IF($CE28=1,$CF28*'Verwerking Bouwdelen'!DT12,$CF28*'Verwerking Bouwdelen'!AB12)</f>
        <v>0</v>
      </c>
      <c r="CP28" s="208">
        <f>IF($CE28=1,$CF28*'Verwerking Bouwdelen'!DU12,$CF28*'Verwerking Bouwdelen'!AC12)</f>
        <v>0</v>
      </c>
      <c r="CQ28" s="208">
        <f>IF($CE28=1,$CF28*'Verwerking Bouwdelen'!DV12,$CF28*'Verwerking Bouwdelen'!AD12)</f>
        <v>0</v>
      </c>
      <c r="CR28" s="208">
        <f>IF($CE28=1,$CF28*'Verwerking Bouwdelen'!DW12,$CF28*'Verwerking Bouwdelen'!AE12)</f>
        <v>0</v>
      </c>
      <c r="CS28" s="10">
        <f>IF(CG28=$B28,0,('Verwerking Bouwdelen'!$D12-'Verwerking Bouwdelen'!G12)*CE28*CF28)</f>
        <v>0</v>
      </c>
      <c r="CT28" s="260">
        <f>CE28*CF28*'Verwerking Bouwdelen'!GH12</f>
        <v>0</v>
      </c>
      <c r="CU28" s="261">
        <f>CE28*CF28*'Verwerking Bouwdelen'!GI12</f>
        <v>0</v>
      </c>
      <c r="CW28" s="209">
        <f>$AC28*'Verwerking Bouwdelen'!EE12</f>
        <v>0</v>
      </c>
      <c r="CX28" s="209">
        <f>$AC28*'Verwerking Bouwdelen'!EF12</f>
        <v>0</v>
      </c>
      <c r="CY28" s="209">
        <f>$AC28*'Verwerking Bouwdelen'!EG12</f>
        <v>0</v>
      </c>
      <c r="CZ28" s="209">
        <f>$AC28*'Verwerking Bouwdelen'!EH12</f>
        <v>0</v>
      </c>
      <c r="DA28" s="209">
        <f>$AC28*'Verwerking Bouwdelen'!EI12</f>
        <v>0</v>
      </c>
      <c r="DB28" s="209">
        <f>$AC28*'Verwerking Bouwdelen'!EJ12</f>
        <v>0</v>
      </c>
      <c r="DC28" s="209">
        <f>$AC28*'Verwerking Bouwdelen'!EK12</f>
        <v>0</v>
      </c>
      <c r="DD28" s="209">
        <f>$AC28*'Verwerking Bouwdelen'!EL12</f>
        <v>0</v>
      </c>
      <c r="DE28" s="209">
        <f>$AC28*'Verwerking Bouwdelen'!EM12</f>
        <v>0</v>
      </c>
      <c r="DF28" s="209">
        <f>$AC28*'Verwerking Bouwdelen'!EN12</f>
        <v>0</v>
      </c>
      <c r="DG28" s="209">
        <f>$AC28*'Verwerking Bouwdelen'!EO12</f>
        <v>0</v>
      </c>
      <c r="DH28" s="209">
        <f>$AC28*'Verwerking Bouwdelen'!EP12</f>
        <v>0</v>
      </c>
      <c r="DI28" s="10">
        <f>IF(CW28=$O28,0,'Verwerking Bouwdelen'!G12)</f>
        <v>0</v>
      </c>
      <c r="DJ28" s="259">
        <f>'Verwerking Bouwdelen'!GK12*CF28</f>
        <v>0</v>
      </c>
      <c r="DK28" s="259">
        <f>'Verwerking Bouwdelen'!GL12*CF28</f>
        <v>0</v>
      </c>
      <c r="DL28" s="125"/>
      <c r="FD28" s="89">
        <f>SUM(FD16:FD27)</f>
        <v>0</v>
      </c>
      <c r="FE28" s="155">
        <f>SUM(FE16:FE27)</f>
        <v>0</v>
      </c>
      <c r="FZ28" s="89">
        <f>IF('Verwerken verlichting'!B24=2,1,0)</f>
        <v>0</v>
      </c>
      <c r="GA28" s="89">
        <f>$FZ28*'Verwerken verlichting'!BX24</f>
        <v>0</v>
      </c>
      <c r="GB28" s="89">
        <f>$FZ28*'Verwerken verlichting'!BY24</f>
        <v>0</v>
      </c>
      <c r="GC28" s="89">
        <f>$FZ28*'Verwerken verlichting'!BZ24</f>
        <v>0</v>
      </c>
      <c r="GD28" s="89">
        <f>$FZ28*'Verwerken verlichting'!CA24</f>
        <v>0</v>
      </c>
      <c r="GE28" s="89">
        <f>$FZ28*'Verwerken verlichting'!CB24</f>
        <v>0</v>
      </c>
      <c r="GF28" s="89">
        <f>$FZ28*'Verwerken verlichting'!CC24</f>
        <v>0</v>
      </c>
      <c r="GG28" s="89">
        <f>FZ28*'Invoer verlichting'!N23</f>
        <v>0</v>
      </c>
      <c r="GH28" s="89">
        <f>FZ28*'Verwerken verlichting'!AH24</f>
        <v>0</v>
      </c>
      <c r="GI28" s="89">
        <f>FZ28*'Verwerken verlichting'!AG24</f>
        <v>0</v>
      </c>
      <c r="GJ28" s="89">
        <f>FZ28*'Verwerken verlichting'!CE24</f>
        <v>0</v>
      </c>
      <c r="GM28" s="89">
        <f t="shared" si="2"/>
        <v>0</v>
      </c>
      <c r="GN28" s="89">
        <f t="shared" si="3"/>
        <v>0</v>
      </c>
      <c r="GO28" s="208">
        <f>IF($GN28=1,$GN28*$GM28*'Verwerking Bouwdelen'!DL12,$GN28*$GM28*'Verwerking Bouwdelen'!T12)</f>
        <v>0</v>
      </c>
      <c r="GP28" s="208">
        <f>IF($GN28=1,$GN28*$GM28*'Verwerking Bouwdelen'!DM12,$GN28*$GM28*'Verwerking Bouwdelen'!U12)</f>
        <v>0</v>
      </c>
      <c r="GQ28" s="208">
        <f>IF($GN28=1,$GN28*$GM28*'Verwerking Bouwdelen'!DN12,$GN28*$GM28*'Verwerking Bouwdelen'!V12)</f>
        <v>0</v>
      </c>
      <c r="GR28" s="208">
        <f>IF($GN28=1,$GN28*$GM28*'Verwerking Bouwdelen'!DO12,$GN28*$GM28*'Verwerking Bouwdelen'!W12)</f>
        <v>0</v>
      </c>
      <c r="GS28" s="208">
        <f>IF($GN28=1,$GN28*$GM28*'Verwerking Bouwdelen'!DP12,$GN28*$GM28*'Verwerking Bouwdelen'!X12)</f>
        <v>0</v>
      </c>
      <c r="GT28" s="208">
        <f>IF($GN28=1,$GN28*$GM28*'Verwerking Bouwdelen'!DQ12,$GN28*$GM28*'Verwerking Bouwdelen'!Y12)</f>
        <v>0</v>
      </c>
      <c r="GU28" s="208">
        <f>IF($GN28=1,$GN28*$GM28*'Verwerking Bouwdelen'!DR12,$GN28*$GM28*'Verwerking Bouwdelen'!Z12)</f>
        <v>0</v>
      </c>
      <c r="GV28" s="208">
        <f>IF($GN28=1,$GN28*$GM28*'Verwerking Bouwdelen'!DS12,$GN28*$GM28*'Verwerking Bouwdelen'!AA12)</f>
        <v>0</v>
      </c>
      <c r="GW28" s="208">
        <f>IF($GN28=1,$GN28*$GM28*'Verwerking Bouwdelen'!DT12,$GN28*$GM28*'Verwerking Bouwdelen'!AB12)</f>
        <v>0</v>
      </c>
      <c r="GX28" s="208">
        <f>IF($GN28=1,$GN28*$GM28*'Verwerking Bouwdelen'!DU12,$GN28*$GM28*'Verwerking Bouwdelen'!AC12)</f>
        <v>0</v>
      </c>
      <c r="GY28" s="208">
        <f>IF($GN28=1,$GN28*$GM28*'Verwerking Bouwdelen'!DV12,$GN28*$GM28*'Verwerking Bouwdelen'!AD12)</f>
        <v>0</v>
      </c>
      <c r="GZ28" s="208">
        <f>IF($GN28=1,$GN28*$GM28*'Verwerking Bouwdelen'!DW12,$GN28*$GM28*'Verwerking Bouwdelen'!AE12)</f>
        <v>0</v>
      </c>
      <c r="HB28" s="89">
        <f t="shared" si="4"/>
        <v>0</v>
      </c>
      <c r="HC28" s="89">
        <f t="shared" si="1"/>
        <v>0</v>
      </c>
      <c r="HD28" s="89">
        <f t="shared" si="1"/>
        <v>0</v>
      </c>
      <c r="HE28" s="89">
        <f t="shared" si="1"/>
        <v>0</v>
      </c>
      <c r="HF28" s="89">
        <f t="shared" si="1"/>
        <v>0</v>
      </c>
      <c r="HG28" s="89">
        <f t="shared" si="1"/>
        <v>0</v>
      </c>
      <c r="HH28" s="89">
        <f t="shared" si="1"/>
        <v>0</v>
      </c>
      <c r="HI28" s="89">
        <f t="shared" si="1"/>
        <v>0</v>
      </c>
      <c r="HJ28" s="89">
        <f t="shared" si="1"/>
        <v>0</v>
      </c>
      <c r="HK28" s="89">
        <f t="shared" si="1"/>
        <v>0</v>
      </c>
      <c r="HL28" s="89">
        <f t="shared" si="1"/>
        <v>0</v>
      </c>
      <c r="HM28" s="89">
        <f t="shared" si="1"/>
        <v>0</v>
      </c>
      <c r="HO28" s="256"/>
      <c r="HZ28" s="256"/>
    </row>
    <row r="29" spans="1:234" x14ac:dyDescent="0.2">
      <c r="A29" s="130">
        <f>IF('Verwerking Bouwdelen'!A13=2,1,0)</f>
        <v>0</v>
      </c>
      <c r="B29" s="208">
        <f>$A29*'Verwerking Bouwdelen'!T13</f>
        <v>0</v>
      </c>
      <c r="C29" s="208">
        <f>$A29*'Verwerking Bouwdelen'!U13</f>
        <v>0</v>
      </c>
      <c r="D29" s="208">
        <f>$A29*'Verwerking Bouwdelen'!V13</f>
        <v>0</v>
      </c>
      <c r="E29" s="208">
        <f>$A29*'Verwerking Bouwdelen'!W13</f>
        <v>0</v>
      </c>
      <c r="F29" s="208">
        <f>$A29*'Verwerking Bouwdelen'!X13</f>
        <v>0</v>
      </c>
      <c r="G29" s="208">
        <f>$A29*'Verwerking Bouwdelen'!Y13</f>
        <v>0</v>
      </c>
      <c r="H29" s="208">
        <f>$A29*'Verwerking Bouwdelen'!Z13</f>
        <v>0</v>
      </c>
      <c r="I29" s="208">
        <f>$A29*'Verwerking Bouwdelen'!AA13</f>
        <v>0</v>
      </c>
      <c r="J29" s="208">
        <f>$A29*'Verwerking Bouwdelen'!AB13</f>
        <v>0</v>
      </c>
      <c r="K29" s="208">
        <f>$A29*'Verwerking Bouwdelen'!AC13</f>
        <v>0</v>
      </c>
      <c r="L29" s="208">
        <f>$A29*'Verwerking Bouwdelen'!AD13</f>
        <v>0</v>
      </c>
      <c r="M29" s="208">
        <f>$A29*'Verwerking Bouwdelen'!AE13</f>
        <v>0</v>
      </c>
      <c r="O29" s="114">
        <f>$A29*'Verwerking Bouwdelen'!AU13</f>
        <v>0</v>
      </c>
      <c r="P29" s="125">
        <f>$A29*'Verwerking Bouwdelen'!AV13</f>
        <v>0</v>
      </c>
      <c r="Q29" s="125">
        <f>$A29*'Verwerking Bouwdelen'!AW13</f>
        <v>0</v>
      </c>
      <c r="R29" s="125">
        <f>$A29*'Verwerking Bouwdelen'!AX13</f>
        <v>0</v>
      </c>
      <c r="S29" s="125">
        <f>$A29*'Verwerking Bouwdelen'!AY13</f>
        <v>0</v>
      </c>
      <c r="T29" s="125">
        <f>$A29*'Verwerking Bouwdelen'!AZ13</f>
        <v>0</v>
      </c>
      <c r="U29" s="125">
        <f>$A29*'Verwerking Bouwdelen'!BA13</f>
        <v>0</v>
      </c>
      <c r="V29" s="125">
        <f>$A29*'Verwerking Bouwdelen'!BB13</f>
        <v>0</v>
      </c>
      <c r="W29" s="125">
        <f>$A29*'Verwerking Bouwdelen'!BC13</f>
        <v>0</v>
      </c>
      <c r="X29" s="125">
        <f>$A29*'Verwerking Bouwdelen'!BD13</f>
        <v>0</v>
      </c>
      <c r="Y29" s="125">
        <f>$A29*'Verwerking Bouwdelen'!BE13</f>
        <v>0</v>
      </c>
      <c r="Z29" s="195">
        <f>$A29*'Verwerking Bouwdelen'!BF13</f>
        <v>0</v>
      </c>
      <c r="AB29" s="125">
        <f>IF(OR('Verwerking Bouwdelen'!C13=3,'Verwerking Bouwdelen'!C13=6),1,0)</f>
        <v>0</v>
      </c>
      <c r="AC29" s="130">
        <f>IF('Verwerking Bouwdelen'!A13=2,1,0)</f>
        <v>0</v>
      </c>
      <c r="AD29" s="208">
        <f>IF($AB29=1,$AC29*'Verwerking Bouwdelen'!DL13,$AC29*'Verwerking Bouwdelen'!T13)</f>
        <v>0</v>
      </c>
      <c r="AE29" s="208">
        <f>IF($AB29=1,$AC29*'Verwerking Bouwdelen'!DM13,$AC29*'Verwerking Bouwdelen'!U13)</f>
        <v>0</v>
      </c>
      <c r="AF29" s="208">
        <f>IF($AB29=1,$AC29*'Verwerking Bouwdelen'!DN13,$AC29*'Verwerking Bouwdelen'!V13)</f>
        <v>0</v>
      </c>
      <c r="AG29" s="208">
        <f>IF($AB29=1,$AC29*'Verwerking Bouwdelen'!DO13,$AC29*'Verwerking Bouwdelen'!W13)</f>
        <v>0</v>
      </c>
      <c r="AH29" s="208">
        <f>IF($AB29=1,$AC29*'Verwerking Bouwdelen'!DP13,$AC29*'Verwerking Bouwdelen'!X13)</f>
        <v>0</v>
      </c>
      <c r="AI29" s="208">
        <f>IF($AB29=1,$AC29*'Verwerking Bouwdelen'!DQ13,$AC29*'Verwerking Bouwdelen'!Y13)</f>
        <v>0</v>
      </c>
      <c r="AJ29" s="208">
        <f>IF($AB29=1,$AC29*'Verwerking Bouwdelen'!DR13,$AC29*'Verwerking Bouwdelen'!Z13)</f>
        <v>0</v>
      </c>
      <c r="AK29" s="208">
        <f>IF($AB29=1,$AC29*'Verwerking Bouwdelen'!DS13,$AC29*'Verwerking Bouwdelen'!AA13)</f>
        <v>0</v>
      </c>
      <c r="AL29" s="208">
        <f>IF($AB29=1,$AC29*'Verwerking Bouwdelen'!DT13,$AC29*'Verwerking Bouwdelen'!AB13)</f>
        <v>0</v>
      </c>
      <c r="AM29" s="208">
        <f>IF($AB29=1,$AC29*'Verwerking Bouwdelen'!DU13,$AC29*'Verwerking Bouwdelen'!AC13)</f>
        <v>0</v>
      </c>
      <c r="AN29" s="208">
        <f>IF($AB29=1,$AC29*'Verwerking Bouwdelen'!DV13,$AC29*'Verwerking Bouwdelen'!AD13)</f>
        <v>0</v>
      </c>
      <c r="AO29" s="208">
        <f>IF($AB29=1,$AC29*'Verwerking Bouwdelen'!DW13,$AC29*'Verwerking Bouwdelen'!AE13)</f>
        <v>0</v>
      </c>
      <c r="AP29" s="10">
        <f>IF(AD29=B29,0,'Verwerking Bouwdelen'!D13*AB29*AC29)</f>
        <v>0</v>
      </c>
      <c r="AQ29" s="10">
        <f>AB29*AC29*'Verwerking Bouwdelen'!GH13</f>
        <v>0</v>
      </c>
      <c r="AR29" s="10"/>
      <c r="AS29" s="248"/>
      <c r="AT29" s="125">
        <f>IF('Verwerking Bouwdelen'!C13=4,1,0)</f>
        <v>0</v>
      </c>
      <c r="AU29" s="130">
        <f>IF('Verwerking Bouwdelen'!A13=2,1,0)</f>
        <v>0</v>
      </c>
      <c r="AV29" s="208">
        <f>IF($AT29=1,$AU29*'Verwerking Bouwdelen'!DL13,$AU29*'Verwerking Bouwdelen'!T13)</f>
        <v>0</v>
      </c>
      <c r="AW29" s="208">
        <f>IF($AT29=1,$AU29*'Verwerking Bouwdelen'!DM13,$AU29*'Verwerking Bouwdelen'!U13)</f>
        <v>0</v>
      </c>
      <c r="AX29" s="208">
        <f>IF($AT29=1,$AU29*'Verwerking Bouwdelen'!DN13,$AU29*'Verwerking Bouwdelen'!V13)</f>
        <v>0</v>
      </c>
      <c r="AY29" s="208">
        <f>IF($AT29=1,$AU29*'Verwerking Bouwdelen'!DO13,$AU29*'Verwerking Bouwdelen'!W13)</f>
        <v>0</v>
      </c>
      <c r="AZ29" s="208">
        <f>IF($AT29=1,$AU29*'Verwerking Bouwdelen'!DP13,$AU29*'Verwerking Bouwdelen'!X13)</f>
        <v>0</v>
      </c>
      <c r="BA29" s="208">
        <f>IF($AT29=1,$AU29*'Verwerking Bouwdelen'!DQ13,$AU29*'Verwerking Bouwdelen'!Y13)</f>
        <v>0</v>
      </c>
      <c r="BB29" s="208">
        <f>IF($AT29=1,$AU29*'Verwerking Bouwdelen'!DR13,$AU29*'Verwerking Bouwdelen'!Z13)</f>
        <v>0</v>
      </c>
      <c r="BC29" s="208">
        <f>IF($AT29=1,$AU29*'Verwerking Bouwdelen'!DS13,$AU29*'Verwerking Bouwdelen'!AA13)</f>
        <v>0</v>
      </c>
      <c r="BD29" s="208">
        <f>IF($AT29=1,$AU29*'Verwerking Bouwdelen'!DT13,$AU29*'Verwerking Bouwdelen'!AB13)</f>
        <v>0</v>
      </c>
      <c r="BE29" s="208">
        <f>IF($AT29=1,$AU29*'Verwerking Bouwdelen'!DU13,$AU29*'Verwerking Bouwdelen'!AC13)</f>
        <v>0</v>
      </c>
      <c r="BF29" s="208">
        <f>IF($AT29=1,$AU29*'Verwerking Bouwdelen'!DV13,$AU29*'Verwerking Bouwdelen'!AD13)</f>
        <v>0</v>
      </c>
      <c r="BG29" s="208">
        <f>IF($AT29=1,$AU29*'Verwerking Bouwdelen'!DW13,$AU29*'Verwerking Bouwdelen'!AE13)</f>
        <v>0</v>
      </c>
      <c r="BH29" s="10">
        <f>IF(AV29=B29,0,'Verwerking Bouwdelen'!D13*AT29*AU29)</f>
        <v>0</v>
      </c>
      <c r="BI29" s="10">
        <f>AT29*AU29*'Verwerking Bouwdelen'!GH13</f>
        <v>0</v>
      </c>
      <c r="BJ29" s="10"/>
      <c r="BK29" s="10"/>
      <c r="BM29" s="125">
        <f>IF('Verwerking Bouwdelen'!C13=5,1,0)</f>
        <v>0</v>
      </c>
      <c r="BN29" s="130">
        <f>IF('Verwerking Bouwdelen'!A13=2,1,0)</f>
        <v>0</v>
      </c>
      <c r="BO29" s="208">
        <f>IF($BM29=1,$BN29*'Verwerking Bouwdelen'!DL13,$BN29*'Verwerking Bouwdelen'!T13)</f>
        <v>0</v>
      </c>
      <c r="BP29" s="208">
        <f>IF($BM29=1,$BN29*'Verwerking Bouwdelen'!DM13,$BN29*'Verwerking Bouwdelen'!U13)</f>
        <v>0</v>
      </c>
      <c r="BQ29" s="208">
        <f>IF($BM29=1,$BN29*'Verwerking Bouwdelen'!DN13,$BN29*'Verwerking Bouwdelen'!V13)</f>
        <v>0</v>
      </c>
      <c r="BR29" s="208">
        <f>IF($BM29=1,$BN29*'Verwerking Bouwdelen'!DO13,$BN29*'Verwerking Bouwdelen'!W13)</f>
        <v>0</v>
      </c>
      <c r="BS29" s="208">
        <f>IF($BM29=1,$BN29*'Verwerking Bouwdelen'!DP13,$BN29*'Verwerking Bouwdelen'!X13)</f>
        <v>0</v>
      </c>
      <c r="BT29" s="208">
        <f>IF($BM29=1,$BN29*'Verwerking Bouwdelen'!DQ13,$BN29*'Verwerking Bouwdelen'!Y13)</f>
        <v>0</v>
      </c>
      <c r="BU29" s="208">
        <f>IF($BM29=1,$BN29*'Verwerking Bouwdelen'!DR13,$BN29*'Verwerking Bouwdelen'!Z13)</f>
        <v>0</v>
      </c>
      <c r="BV29" s="208">
        <f>IF($BM29=1,$BN29*'Verwerking Bouwdelen'!DS13,$BN29*'Verwerking Bouwdelen'!AA13)</f>
        <v>0</v>
      </c>
      <c r="BW29" s="208">
        <f>IF($BM29=1,$BN29*'Verwerking Bouwdelen'!DT13,$BN29*'Verwerking Bouwdelen'!AB13)</f>
        <v>0</v>
      </c>
      <c r="BX29" s="208">
        <f>IF($BM29=1,$BN29*'Verwerking Bouwdelen'!DU13,$BN29*'Verwerking Bouwdelen'!AC13)</f>
        <v>0</v>
      </c>
      <c r="BY29" s="208">
        <f>IF($BM29=1,$BN29*'Verwerking Bouwdelen'!DV13,$BN29*'Verwerking Bouwdelen'!AD13)</f>
        <v>0</v>
      </c>
      <c r="BZ29" s="208">
        <f>IF($BM29=1,$BN29*'Verwerking Bouwdelen'!DW13,$BN29*'Verwerking Bouwdelen'!AE13)</f>
        <v>0</v>
      </c>
      <c r="CA29" s="10">
        <f>IF(BO29=B29,0,'Verwerking Bouwdelen'!D13*BM29*BN29)</f>
        <v>0</v>
      </c>
      <c r="CB29" s="10">
        <f>BM29*BN29*'Verwerking Bouwdelen'!GH13</f>
        <v>0</v>
      </c>
      <c r="CC29" s="10"/>
      <c r="CD29" s="248"/>
      <c r="CE29" s="125">
        <f>IF('Verwerking Bouwdelen'!C13=2,1,0)</f>
        <v>0</v>
      </c>
      <c r="CF29" s="130">
        <f>IF('Verwerking Bouwdelen'!A13=2,1,0)</f>
        <v>0</v>
      </c>
      <c r="CG29" s="208">
        <f>IF($CE29=1,$CF29*'Verwerking Bouwdelen'!DL13,$CF29*'Verwerking Bouwdelen'!T13)</f>
        <v>0</v>
      </c>
      <c r="CH29" s="208">
        <f>IF($CE29=1,$CF29*'Verwerking Bouwdelen'!DM13,$CF29*'Verwerking Bouwdelen'!U13)</f>
        <v>0</v>
      </c>
      <c r="CI29" s="208">
        <f>IF($CE29=1,$CF29*'Verwerking Bouwdelen'!DN13,$CF29*'Verwerking Bouwdelen'!V13)</f>
        <v>0</v>
      </c>
      <c r="CJ29" s="208">
        <f>IF($CE29=1,$CF29*'Verwerking Bouwdelen'!DO13,$CF29*'Verwerking Bouwdelen'!W13)</f>
        <v>0</v>
      </c>
      <c r="CK29" s="208">
        <f>IF($CE29=1,$CF29*'Verwerking Bouwdelen'!DP13,$CF29*'Verwerking Bouwdelen'!X13)</f>
        <v>0</v>
      </c>
      <c r="CL29" s="208">
        <f>IF($CE29=1,$CF29*'Verwerking Bouwdelen'!DQ13,$CF29*'Verwerking Bouwdelen'!Y13)</f>
        <v>0</v>
      </c>
      <c r="CM29" s="208">
        <f>IF($CE29=1,$CF29*'Verwerking Bouwdelen'!DR13,$CF29*'Verwerking Bouwdelen'!Z13)</f>
        <v>0</v>
      </c>
      <c r="CN29" s="208">
        <f>IF($CE29=1,$CF29*'Verwerking Bouwdelen'!DS13,$CF29*'Verwerking Bouwdelen'!AA13)</f>
        <v>0</v>
      </c>
      <c r="CO29" s="208">
        <f>IF($CE29=1,$CF29*'Verwerking Bouwdelen'!DT13,$CF29*'Verwerking Bouwdelen'!AB13)</f>
        <v>0</v>
      </c>
      <c r="CP29" s="208">
        <f>IF($CE29=1,$CF29*'Verwerking Bouwdelen'!DU13,$CF29*'Verwerking Bouwdelen'!AC13)</f>
        <v>0</v>
      </c>
      <c r="CQ29" s="208">
        <f>IF($CE29=1,$CF29*'Verwerking Bouwdelen'!DV13,$CF29*'Verwerking Bouwdelen'!AD13)</f>
        <v>0</v>
      </c>
      <c r="CR29" s="208">
        <f>IF($CE29=1,$CF29*'Verwerking Bouwdelen'!DW13,$CF29*'Verwerking Bouwdelen'!AE13)</f>
        <v>0</v>
      </c>
      <c r="CS29" s="10">
        <f>IF(CG29=$B29,0,('Verwerking Bouwdelen'!$D13-'Verwerking Bouwdelen'!G13)*CE29*CF29)</f>
        <v>0</v>
      </c>
      <c r="CT29" s="260">
        <f>CE29*CF29*'Verwerking Bouwdelen'!GH13</f>
        <v>0</v>
      </c>
      <c r="CU29" s="261">
        <f>CE29*CF29*'Verwerking Bouwdelen'!GI13</f>
        <v>0</v>
      </c>
      <c r="CW29" s="209">
        <f>$AC29*'Verwerking Bouwdelen'!EE13</f>
        <v>0</v>
      </c>
      <c r="CX29" s="209">
        <f>$AC29*'Verwerking Bouwdelen'!EF13</f>
        <v>0</v>
      </c>
      <c r="CY29" s="209">
        <f>$AC29*'Verwerking Bouwdelen'!EG13</f>
        <v>0</v>
      </c>
      <c r="CZ29" s="209">
        <f>$AC29*'Verwerking Bouwdelen'!EH13</f>
        <v>0</v>
      </c>
      <c r="DA29" s="209">
        <f>$AC29*'Verwerking Bouwdelen'!EI13</f>
        <v>0</v>
      </c>
      <c r="DB29" s="209">
        <f>$AC29*'Verwerking Bouwdelen'!EJ13</f>
        <v>0</v>
      </c>
      <c r="DC29" s="209">
        <f>$AC29*'Verwerking Bouwdelen'!EK13</f>
        <v>0</v>
      </c>
      <c r="DD29" s="209">
        <f>$AC29*'Verwerking Bouwdelen'!EL13</f>
        <v>0</v>
      </c>
      <c r="DE29" s="209">
        <f>$AC29*'Verwerking Bouwdelen'!EM13</f>
        <v>0</v>
      </c>
      <c r="DF29" s="209">
        <f>$AC29*'Verwerking Bouwdelen'!EN13</f>
        <v>0</v>
      </c>
      <c r="DG29" s="209">
        <f>$AC29*'Verwerking Bouwdelen'!EO13</f>
        <v>0</v>
      </c>
      <c r="DH29" s="209">
        <f>$AC29*'Verwerking Bouwdelen'!EP13</f>
        <v>0</v>
      </c>
      <c r="DI29" s="10">
        <f>IF(CW29=$O29,0,'Verwerking Bouwdelen'!G13)</f>
        <v>0</v>
      </c>
      <c r="DJ29" s="259">
        <f>'Verwerking Bouwdelen'!GK13*CF29</f>
        <v>0</v>
      </c>
      <c r="DK29" s="259">
        <f>'Verwerking Bouwdelen'!GL13*CF29</f>
        <v>0</v>
      </c>
      <c r="DL29" s="125"/>
      <c r="FZ29" s="89">
        <f>IF('Verwerken verlichting'!B25=2,1,0)</f>
        <v>0</v>
      </c>
      <c r="GA29" s="89">
        <f>$FZ29*'Verwerken verlichting'!BX25</f>
        <v>0</v>
      </c>
      <c r="GB29" s="89">
        <f>$FZ29*'Verwerken verlichting'!BY25</f>
        <v>0</v>
      </c>
      <c r="GC29" s="89">
        <f>$FZ29*'Verwerken verlichting'!BZ25</f>
        <v>0</v>
      </c>
      <c r="GD29" s="89">
        <f>$FZ29*'Verwerken verlichting'!CA25</f>
        <v>0</v>
      </c>
      <c r="GE29" s="89">
        <f>$FZ29*'Verwerken verlichting'!CB25</f>
        <v>0</v>
      </c>
      <c r="GF29" s="89">
        <f>$FZ29*'Verwerken verlichting'!CC25</f>
        <v>0</v>
      </c>
      <c r="GG29" s="89">
        <f>FZ29*'Invoer verlichting'!N24</f>
        <v>0</v>
      </c>
      <c r="GH29" s="89">
        <f>FZ29*'Verwerken verlichting'!AH25</f>
        <v>0</v>
      </c>
      <c r="GI29" s="89">
        <f>FZ29*'Verwerken verlichting'!AG25</f>
        <v>0</v>
      </c>
      <c r="GJ29" s="89">
        <f>FZ29*'Verwerken verlichting'!CE25</f>
        <v>0</v>
      </c>
      <c r="GM29" s="89">
        <f t="shared" si="2"/>
        <v>0</v>
      </c>
      <c r="GN29" s="89">
        <f t="shared" si="3"/>
        <v>0</v>
      </c>
      <c r="GO29" s="208">
        <f>IF($GN29=1,$GN29*$GM29*'Verwerking Bouwdelen'!DL13,$GN29*$GM29*'Verwerking Bouwdelen'!T13)</f>
        <v>0</v>
      </c>
      <c r="GP29" s="208">
        <f>IF($GN29=1,$GN29*$GM29*'Verwerking Bouwdelen'!DM13,$GN29*$GM29*'Verwerking Bouwdelen'!U13)</f>
        <v>0</v>
      </c>
      <c r="GQ29" s="208">
        <f>IF($GN29=1,$GN29*$GM29*'Verwerking Bouwdelen'!DN13,$GN29*$GM29*'Verwerking Bouwdelen'!V13)</f>
        <v>0</v>
      </c>
      <c r="GR29" s="208">
        <f>IF($GN29=1,$GN29*$GM29*'Verwerking Bouwdelen'!DO13,$GN29*$GM29*'Verwerking Bouwdelen'!W13)</f>
        <v>0</v>
      </c>
      <c r="GS29" s="208">
        <f>IF($GN29=1,$GN29*$GM29*'Verwerking Bouwdelen'!DP13,$GN29*$GM29*'Verwerking Bouwdelen'!X13)</f>
        <v>0</v>
      </c>
      <c r="GT29" s="208">
        <f>IF($GN29=1,$GN29*$GM29*'Verwerking Bouwdelen'!DQ13,$GN29*$GM29*'Verwerking Bouwdelen'!Y13)</f>
        <v>0</v>
      </c>
      <c r="GU29" s="208">
        <f>IF($GN29=1,$GN29*$GM29*'Verwerking Bouwdelen'!DR13,$GN29*$GM29*'Verwerking Bouwdelen'!Z13)</f>
        <v>0</v>
      </c>
      <c r="GV29" s="208">
        <f>IF($GN29=1,$GN29*$GM29*'Verwerking Bouwdelen'!DS13,$GN29*$GM29*'Verwerking Bouwdelen'!AA13)</f>
        <v>0</v>
      </c>
      <c r="GW29" s="208">
        <f>IF($GN29=1,$GN29*$GM29*'Verwerking Bouwdelen'!DT13,$GN29*$GM29*'Verwerking Bouwdelen'!AB13)</f>
        <v>0</v>
      </c>
      <c r="GX29" s="208">
        <f>IF($GN29=1,$GN29*$GM29*'Verwerking Bouwdelen'!DU13,$GN29*$GM29*'Verwerking Bouwdelen'!AC13)</f>
        <v>0</v>
      </c>
      <c r="GY29" s="208">
        <f>IF($GN29=1,$GN29*$GM29*'Verwerking Bouwdelen'!DV13,$GN29*$GM29*'Verwerking Bouwdelen'!AD13)</f>
        <v>0</v>
      </c>
      <c r="GZ29" s="208">
        <f>IF($GN29=1,$GN29*$GM29*'Verwerking Bouwdelen'!DW13,$GN29*$GM29*'Verwerking Bouwdelen'!AE13)</f>
        <v>0</v>
      </c>
      <c r="HB29" s="89">
        <f t="shared" si="4"/>
        <v>0</v>
      </c>
      <c r="HC29" s="89">
        <f t="shared" si="1"/>
        <v>0</v>
      </c>
      <c r="HD29" s="89">
        <f t="shared" si="1"/>
        <v>0</v>
      </c>
      <c r="HE29" s="89">
        <f t="shared" si="1"/>
        <v>0</v>
      </c>
      <c r="HF29" s="89">
        <f t="shared" si="1"/>
        <v>0</v>
      </c>
      <c r="HG29" s="89">
        <f t="shared" si="1"/>
        <v>0</v>
      </c>
      <c r="HH29" s="89">
        <f t="shared" si="1"/>
        <v>0</v>
      </c>
      <c r="HI29" s="89">
        <f t="shared" si="1"/>
        <v>0</v>
      </c>
      <c r="HJ29" s="89">
        <f t="shared" si="1"/>
        <v>0</v>
      </c>
      <c r="HK29" s="89">
        <f t="shared" si="1"/>
        <v>0</v>
      </c>
      <c r="HL29" s="89">
        <f t="shared" si="1"/>
        <v>0</v>
      </c>
      <c r="HM29" s="89">
        <f t="shared" si="1"/>
        <v>0</v>
      </c>
      <c r="HO29" s="256"/>
      <c r="HZ29" s="256"/>
    </row>
    <row r="30" spans="1:234" x14ac:dyDescent="0.2">
      <c r="A30" s="130">
        <f>IF('Verwerking Bouwdelen'!A14=2,1,0)</f>
        <v>0</v>
      </c>
      <c r="B30" s="208">
        <f>$A30*'Verwerking Bouwdelen'!T14</f>
        <v>0</v>
      </c>
      <c r="C30" s="208">
        <f>$A30*'Verwerking Bouwdelen'!U14</f>
        <v>0</v>
      </c>
      <c r="D30" s="208">
        <f>$A30*'Verwerking Bouwdelen'!V14</f>
        <v>0</v>
      </c>
      <c r="E30" s="208">
        <f>$A30*'Verwerking Bouwdelen'!W14</f>
        <v>0</v>
      </c>
      <c r="F30" s="208">
        <f>$A30*'Verwerking Bouwdelen'!X14</f>
        <v>0</v>
      </c>
      <c r="G30" s="208">
        <f>$A30*'Verwerking Bouwdelen'!Y14</f>
        <v>0</v>
      </c>
      <c r="H30" s="208">
        <f>$A30*'Verwerking Bouwdelen'!Z14</f>
        <v>0</v>
      </c>
      <c r="I30" s="208">
        <f>$A30*'Verwerking Bouwdelen'!AA14</f>
        <v>0</v>
      </c>
      <c r="J30" s="208">
        <f>$A30*'Verwerking Bouwdelen'!AB14</f>
        <v>0</v>
      </c>
      <c r="K30" s="208">
        <f>$A30*'Verwerking Bouwdelen'!AC14</f>
        <v>0</v>
      </c>
      <c r="L30" s="208">
        <f>$A30*'Verwerking Bouwdelen'!AD14</f>
        <v>0</v>
      </c>
      <c r="M30" s="208">
        <f>$A30*'Verwerking Bouwdelen'!AE14</f>
        <v>0</v>
      </c>
      <c r="O30" s="114">
        <f>$A30*'Verwerking Bouwdelen'!AU14</f>
        <v>0</v>
      </c>
      <c r="P30" s="125">
        <f>$A30*'Verwerking Bouwdelen'!AV14</f>
        <v>0</v>
      </c>
      <c r="Q30" s="125">
        <f>$A30*'Verwerking Bouwdelen'!AW14</f>
        <v>0</v>
      </c>
      <c r="R30" s="125">
        <f>$A30*'Verwerking Bouwdelen'!AX14</f>
        <v>0</v>
      </c>
      <c r="S30" s="125">
        <f>$A30*'Verwerking Bouwdelen'!AY14</f>
        <v>0</v>
      </c>
      <c r="T30" s="125">
        <f>$A30*'Verwerking Bouwdelen'!AZ14</f>
        <v>0</v>
      </c>
      <c r="U30" s="125">
        <f>$A30*'Verwerking Bouwdelen'!BA14</f>
        <v>0</v>
      </c>
      <c r="V30" s="125">
        <f>$A30*'Verwerking Bouwdelen'!BB14</f>
        <v>0</v>
      </c>
      <c r="W30" s="125">
        <f>$A30*'Verwerking Bouwdelen'!BC14</f>
        <v>0</v>
      </c>
      <c r="X30" s="125">
        <f>$A30*'Verwerking Bouwdelen'!BD14</f>
        <v>0</v>
      </c>
      <c r="Y30" s="125">
        <f>$A30*'Verwerking Bouwdelen'!BE14</f>
        <v>0</v>
      </c>
      <c r="Z30" s="195">
        <f>$A30*'Verwerking Bouwdelen'!BF14</f>
        <v>0</v>
      </c>
      <c r="AB30" s="125">
        <f>IF(OR('Verwerking Bouwdelen'!C14=3,'Verwerking Bouwdelen'!C14=6),1,0)</f>
        <v>0</v>
      </c>
      <c r="AC30" s="130">
        <f>IF('Verwerking Bouwdelen'!A14=2,1,0)</f>
        <v>0</v>
      </c>
      <c r="AD30" s="208">
        <f>IF($AB30=1,$AC30*'Verwerking Bouwdelen'!DL14,$AC30*'Verwerking Bouwdelen'!T14)</f>
        <v>0</v>
      </c>
      <c r="AE30" s="208">
        <f>IF($AB30=1,$AC30*'Verwerking Bouwdelen'!DM14,$AC30*'Verwerking Bouwdelen'!U14)</f>
        <v>0</v>
      </c>
      <c r="AF30" s="208">
        <f>IF($AB30=1,$AC30*'Verwerking Bouwdelen'!DN14,$AC30*'Verwerking Bouwdelen'!V14)</f>
        <v>0</v>
      </c>
      <c r="AG30" s="208">
        <f>IF($AB30=1,$AC30*'Verwerking Bouwdelen'!DO14,$AC30*'Verwerking Bouwdelen'!W14)</f>
        <v>0</v>
      </c>
      <c r="AH30" s="208">
        <f>IF($AB30=1,$AC30*'Verwerking Bouwdelen'!DP14,$AC30*'Verwerking Bouwdelen'!X14)</f>
        <v>0</v>
      </c>
      <c r="AI30" s="208">
        <f>IF($AB30=1,$AC30*'Verwerking Bouwdelen'!DQ14,$AC30*'Verwerking Bouwdelen'!Y14)</f>
        <v>0</v>
      </c>
      <c r="AJ30" s="208">
        <f>IF($AB30=1,$AC30*'Verwerking Bouwdelen'!DR14,$AC30*'Verwerking Bouwdelen'!Z14)</f>
        <v>0</v>
      </c>
      <c r="AK30" s="208">
        <f>IF($AB30=1,$AC30*'Verwerking Bouwdelen'!DS14,$AC30*'Verwerking Bouwdelen'!AA14)</f>
        <v>0</v>
      </c>
      <c r="AL30" s="208">
        <f>IF($AB30=1,$AC30*'Verwerking Bouwdelen'!DT14,$AC30*'Verwerking Bouwdelen'!AB14)</f>
        <v>0</v>
      </c>
      <c r="AM30" s="208">
        <f>IF($AB30=1,$AC30*'Verwerking Bouwdelen'!DU14,$AC30*'Verwerking Bouwdelen'!AC14)</f>
        <v>0</v>
      </c>
      <c r="AN30" s="208">
        <f>IF($AB30=1,$AC30*'Verwerking Bouwdelen'!DV14,$AC30*'Verwerking Bouwdelen'!AD14)</f>
        <v>0</v>
      </c>
      <c r="AO30" s="208">
        <f>IF($AB30=1,$AC30*'Verwerking Bouwdelen'!DW14,$AC30*'Verwerking Bouwdelen'!AE14)</f>
        <v>0</v>
      </c>
      <c r="AP30" s="10">
        <f>IF(AD30=B30,0,'Verwerking Bouwdelen'!D14*AB30*AC30)</f>
        <v>0</v>
      </c>
      <c r="AQ30" s="10">
        <f>AB30*AC30*'Verwerking Bouwdelen'!GH14</f>
        <v>0</v>
      </c>
      <c r="AR30" s="10"/>
      <c r="AS30" s="248"/>
      <c r="AT30" s="125">
        <f>IF('Verwerking Bouwdelen'!C14=4,1,0)</f>
        <v>0</v>
      </c>
      <c r="AU30" s="130">
        <f>IF('Verwerking Bouwdelen'!A14=2,1,0)</f>
        <v>0</v>
      </c>
      <c r="AV30" s="208">
        <f>IF($AT30=1,$AU30*'Verwerking Bouwdelen'!DL14,$AU30*'Verwerking Bouwdelen'!T14)</f>
        <v>0</v>
      </c>
      <c r="AW30" s="208">
        <f>IF($AT30=1,$AU30*'Verwerking Bouwdelen'!DM14,$AU30*'Verwerking Bouwdelen'!U14)</f>
        <v>0</v>
      </c>
      <c r="AX30" s="208">
        <f>IF($AT30=1,$AU30*'Verwerking Bouwdelen'!DN14,$AU30*'Verwerking Bouwdelen'!V14)</f>
        <v>0</v>
      </c>
      <c r="AY30" s="208">
        <f>IF($AT30=1,$AU30*'Verwerking Bouwdelen'!DO14,$AU30*'Verwerking Bouwdelen'!W14)</f>
        <v>0</v>
      </c>
      <c r="AZ30" s="208">
        <f>IF($AT30=1,$AU30*'Verwerking Bouwdelen'!DP14,$AU30*'Verwerking Bouwdelen'!X14)</f>
        <v>0</v>
      </c>
      <c r="BA30" s="208">
        <f>IF($AT30=1,$AU30*'Verwerking Bouwdelen'!DQ14,$AU30*'Verwerking Bouwdelen'!Y14)</f>
        <v>0</v>
      </c>
      <c r="BB30" s="208">
        <f>IF($AT30=1,$AU30*'Verwerking Bouwdelen'!DR14,$AU30*'Verwerking Bouwdelen'!Z14)</f>
        <v>0</v>
      </c>
      <c r="BC30" s="208">
        <f>IF($AT30=1,$AU30*'Verwerking Bouwdelen'!DS14,$AU30*'Verwerking Bouwdelen'!AA14)</f>
        <v>0</v>
      </c>
      <c r="BD30" s="208">
        <f>IF($AT30=1,$AU30*'Verwerking Bouwdelen'!DT14,$AU30*'Verwerking Bouwdelen'!AB14)</f>
        <v>0</v>
      </c>
      <c r="BE30" s="208">
        <f>IF($AT30=1,$AU30*'Verwerking Bouwdelen'!DU14,$AU30*'Verwerking Bouwdelen'!AC14)</f>
        <v>0</v>
      </c>
      <c r="BF30" s="208">
        <f>IF($AT30=1,$AU30*'Verwerking Bouwdelen'!DV14,$AU30*'Verwerking Bouwdelen'!AD14)</f>
        <v>0</v>
      </c>
      <c r="BG30" s="208">
        <f>IF($AT30=1,$AU30*'Verwerking Bouwdelen'!DW14,$AU30*'Verwerking Bouwdelen'!AE14)</f>
        <v>0</v>
      </c>
      <c r="BH30" s="10">
        <f>IF(AV30=B30,0,'Verwerking Bouwdelen'!D14*AT30*AU30)</f>
        <v>0</v>
      </c>
      <c r="BI30" s="10">
        <f>AT30*AU30*'Verwerking Bouwdelen'!GH14</f>
        <v>0</v>
      </c>
      <c r="BJ30" s="10"/>
      <c r="BK30" s="10"/>
      <c r="BM30" s="125">
        <f>IF('Verwerking Bouwdelen'!C14=5,1,0)</f>
        <v>0</v>
      </c>
      <c r="BN30" s="130">
        <f>IF('Verwerking Bouwdelen'!A14=2,1,0)</f>
        <v>0</v>
      </c>
      <c r="BO30" s="208">
        <f>IF($BM30=1,$BN30*'Verwerking Bouwdelen'!DL14,$BN30*'Verwerking Bouwdelen'!T14)</f>
        <v>0</v>
      </c>
      <c r="BP30" s="208">
        <f>IF($BM30=1,$BN30*'Verwerking Bouwdelen'!DM14,$BN30*'Verwerking Bouwdelen'!U14)</f>
        <v>0</v>
      </c>
      <c r="BQ30" s="208">
        <f>IF($BM30=1,$BN30*'Verwerking Bouwdelen'!DN14,$BN30*'Verwerking Bouwdelen'!V14)</f>
        <v>0</v>
      </c>
      <c r="BR30" s="208">
        <f>IF($BM30=1,$BN30*'Verwerking Bouwdelen'!DO14,$BN30*'Verwerking Bouwdelen'!W14)</f>
        <v>0</v>
      </c>
      <c r="BS30" s="208">
        <f>IF($BM30=1,$BN30*'Verwerking Bouwdelen'!DP14,$BN30*'Verwerking Bouwdelen'!X14)</f>
        <v>0</v>
      </c>
      <c r="BT30" s="208">
        <f>IF($BM30=1,$BN30*'Verwerking Bouwdelen'!DQ14,$BN30*'Verwerking Bouwdelen'!Y14)</f>
        <v>0</v>
      </c>
      <c r="BU30" s="208">
        <f>IF($BM30=1,$BN30*'Verwerking Bouwdelen'!DR14,$BN30*'Verwerking Bouwdelen'!Z14)</f>
        <v>0</v>
      </c>
      <c r="BV30" s="208">
        <f>IF($BM30=1,$BN30*'Verwerking Bouwdelen'!DS14,$BN30*'Verwerking Bouwdelen'!AA14)</f>
        <v>0</v>
      </c>
      <c r="BW30" s="208">
        <f>IF($BM30=1,$BN30*'Verwerking Bouwdelen'!DT14,$BN30*'Verwerking Bouwdelen'!AB14)</f>
        <v>0</v>
      </c>
      <c r="BX30" s="208">
        <f>IF($BM30=1,$BN30*'Verwerking Bouwdelen'!DU14,$BN30*'Verwerking Bouwdelen'!AC14)</f>
        <v>0</v>
      </c>
      <c r="BY30" s="208">
        <f>IF($BM30=1,$BN30*'Verwerking Bouwdelen'!DV14,$BN30*'Verwerking Bouwdelen'!AD14)</f>
        <v>0</v>
      </c>
      <c r="BZ30" s="208">
        <f>IF($BM30=1,$BN30*'Verwerking Bouwdelen'!DW14,$BN30*'Verwerking Bouwdelen'!AE14)</f>
        <v>0</v>
      </c>
      <c r="CA30" s="10">
        <f>IF(BO30=B30,0,'Verwerking Bouwdelen'!D14*BM30*BN30)</f>
        <v>0</v>
      </c>
      <c r="CB30" s="10">
        <f>BM30*BN30*'Verwerking Bouwdelen'!GH14</f>
        <v>0</v>
      </c>
      <c r="CC30" s="10"/>
      <c r="CD30" s="248"/>
      <c r="CE30" s="125">
        <f>IF('Verwerking Bouwdelen'!C14=2,1,0)</f>
        <v>0</v>
      </c>
      <c r="CF30" s="130">
        <f>IF('Verwerking Bouwdelen'!A14=2,1,0)</f>
        <v>0</v>
      </c>
      <c r="CG30" s="208">
        <f>IF($CE30=1,$CF30*'Verwerking Bouwdelen'!DL14,$CF30*'Verwerking Bouwdelen'!T14)</f>
        <v>0</v>
      </c>
      <c r="CH30" s="208">
        <f>IF($CE30=1,$CF30*'Verwerking Bouwdelen'!DM14,$CF30*'Verwerking Bouwdelen'!U14)</f>
        <v>0</v>
      </c>
      <c r="CI30" s="208">
        <f>IF($CE30=1,$CF30*'Verwerking Bouwdelen'!DN14,$CF30*'Verwerking Bouwdelen'!V14)</f>
        <v>0</v>
      </c>
      <c r="CJ30" s="208">
        <f>IF($CE30=1,$CF30*'Verwerking Bouwdelen'!DO14,$CF30*'Verwerking Bouwdelen'!W14)</f>
        <v>0</v>
      </c>
      <c r="CK30" s="208">
        <f>IF($CE30=1,$CF30*'Verwerking Bouwdelen'!DP14,$CF30*'Verwerking Bouwdelen'!X14)</f>
        <v>0</v>
      </c>
      <c r="CL30" s="208">
        <f>IF($CE30=1,$CF30*'Verwerking Bouwdelen'!DQ14,$CF30*'Verwerking Bouwdelen'!Y14)</f>
        <v>0</v>
      </c>
      <c r="CM30" s="208">
        <f>IF($CE30=1,$CF30*'Verwerking Bouwdelen'!DR14,$CF30*'Verwerking Bouwdelen'!Z14)</f>
        <v>0</v>
      </c>
      <c r="CN30" s="208">
        <f>IF($CE30=1,$CF30*'Verwerking Bouwdelen'!DS14,$CF30*'Verwerking Bouwdelen'!AA14)</f>
        <v>0</v>
      </c>
      <c r="CO30" s="208">
        <f>IF($CE30=1,$CF30*'Verwerking Bouwdelen'!DT14,$CF30*'Verwerking Bouwdelen'!AB14)</f>
        <v>0</v>
      </c>
      <c r="CP30" s="208">
        <f>IF($CE30=1,$CF30*'Verwerking Bouwdelen'!DU14,$CF30*'Verwerking Bouwdelen'!AC14)</f>
        <v>0</v>
      </c>
      <c r="CQ30" s="208">
        <f>IF($CE30=1,$CF30*'Verwerking Bouwdelen'!DV14,$CF30*'Verwerking Bouwdelen'!AD14)</f>
        <v>0</v>
      </c>
      <c r="CR30" s="208">
        <f>IF($CE30=1,$CF30*'Verwerking Bouwdelen'!DW14,$CF30*'Verwerking Bouwdelen'!AE14)</f>
        <v>0</v>
      </c>
      <c r="CS30" s="10">
        <f>IF(CG30=$B30,0,('Verwerking Bouwdelen'!$D14-'Verwerking Bouwdelen'!G14)*CE30*CF30)</f>
        <v>0</v>
      </c>
      <c r="CT30" s="260">
        <f>CE30*CF30*'Verwerking Bouwdelen'!GH14</f>
        <v>0</v>
      </c>
      <c r="CU30" s="261">
        <f>CE30*CF30*'Verwerking Bouwdelen'!GI14</f>
        <v>0</v>
      </c>
      <c r="CW30" s="209">
        <f>$AC30*'Verwerking Bouwdelen'!EE14</f>
        <v>0</v>
      </c>
      <c r="CX30" s="209">
        <f>$AC30*'Verwerking Bouwdelen'!EF14</f>
        <v>0</v>
      </c>
      <c r="CY30" s="209">
        <f>$AC30*'Verwerking Bouwdelen'!EG14</f>
        <v>0</v>
      </c>
      <c r="CZ30" s="209">
        <f>$AC30*'Verwerking Bouwdelen'!EH14</f>
        <v>0</v>
      </c>
      <c r="DA30" s="209">
        <f>$AC30*'Verwerking Bouwdelen'!EI14</f>
        <v>0</v>
      </c>
      <c r="DB30" s="209">
        <f>$AC30*'Verwerking Bouwdelen'!EJ14</f>
        <v>0</v>
      </c>
      <c r="DC30" s="209">
        <f>$AC30*'Verwerking Bouwdelen'!EK14</f>
        <v>0</v>
      </c>
      <c r="DD30" s="209">
        <f>$AC30*'Verwerking Bouwdelen'!EL14</f>
        <v>0</v>
      </c>
      <c r="DE30" s="209">
        <f>$AC30*'Verwerking Bouwdelen'!EM14</f>
        <v>0</v>
      </c>
      <c r="DF30" s="209">
        <f>$AC30*'Verwerking Bouwdelen'!EN14</f>
        <v>0</v>
      </c>
      <c r="DG30" s="209">
        <f>$AC30*'Verwerking Bouwdelen'!EO14</f>
        <v>0</v>
      </c>
      <c r="DH30" s="209">
        <f>$AC30*'Verwerking Bouwdelen'!EP14</f>
        <v>0</v>
      </c>
      <c r="DI30" s="10">
        <f>IF(CW30=$O30,0,'Verwerking Bouwdelen'!G14)</f>
        <v>0</v>
      </c>
      <c r="DJ30" s="259">
        <f>'Verwerking Bouwdelen'!GK14*CF30</f>
        <v>0</v>
      </c>
      <c r="DK30" s="259">
        <f>'Verwerking Bouwdelen'!GL14*CF30</f>
        <v>0</v>
      </c>
      <c r="DL30" s="125"/>
      <c r="FZ30" s="89">
        <f>IF('Verwerken verlichting'!B26=2,1,0)</f>
        <v>0</v>
      </c>
      <c r="GA30" s="89">
        <f>$FZ30*'Verwerken verlichting'!BX26</f>
        <v>0</v>
      </c>
      <c r="GB30" s="89">
        <f>$FZ30*'Verwerken verlichting'!BY26</f>
        <v>0</v>
      </c>
      <c r="GC30" s="89">
        <f>$FZ30*'Verwerken verlichting'!BZ26</f>
        <v>0</v>
      </c>
      <c r="GD30" s="89">
        <f>$FZ30*'Verwerken verlichting'!CA26</f>
        <v>0</v>
      </c>
      <c r="GE30" s="89">
        <f>$FZ30*'Verwerken verlichting'!CB26</f>
        <v>0</v>
      </c>
      <c r="GF30" s="89">
        <f>$FZ30*'Verwerken verlichting'!CC26</f>
        <v>0</v>
      </c>
      <c r="GG30" s="89">
        <f>FZ30*'Invoer verlichting'!N25</f>
        <v>0</v>
      </c>
      <c r="GH30" s="89">
        <f>FZ30*'Verwerken verlichting'!AH26</f>
        <v>0</v>
      </c>
      <c r="GI30" s="89">
        <f>FZ30*'Verwerken verlichting'!AG26</f>
        <v>0</v>
      </c>
      <c r="GJ30" s="89">
        <f>FZ30*'Verwerken verlichting'!CE26</f>
        <v>0</v>
      </c>
      <c r="GM30" s="89">
        <f t="shared" si="2"/>
        <v>0</v>
      </c>
      <c r="GN30" s="89">
        <f t="shared" si="3"/>
        <v>0</v>
      </c>
      <c r="GO30" s="208">
        <f>IF($GN30=1,$GN30*$GM30*'Verwerking Bouwdelen'!DL14,$GN30*$GM30*'Verwerking Bouwdelen'!T14)</f>
        <v>0</v>
      </c>
      <c r="GP30" s="208">
        <f>IF($GN30=1,$GN30*$GM30*'Verwerking Bouwdelen'!DM14,$GN30*$GM30*'Verwerking Bouwdelen'!U14)</f>
        <v>0</v>
      </c>
      <c r="GQ30" s="208">
        <f>IF($GN30=1,$GN30*$GM30*'Verwerking Bouwdelen'!DN14,$GN30*$GM30*'Verwerking Bouwdelen'!V14)</f>
        <v>0</v>
      </c>
      <c r="GR30" s="208">
        <f>IF($GN30=1,$GN30*$GM30*'Verwerking Bouwdelen'!DO14,$GN30*$GM30*'Verwerking Bouwdelen'!W14)</f>
        <v>0</v>
      </c>
      <c r="GS30" s="208">
        <f>IF($GN30=1,$GN30*$GM30*'Verwerking Bouwdelen'!DP14,$GN30*$GM30*'Verwerking Bouwdelen'!X14)</f>
        <v>0</v>
      </c>
      <c r="GT30" s="208">
        <f>IF($GN30=1,$GN30*$GM30*'Verwerking Bouwdelen'!DQ14,$GN30*$GM30*'Verwerking Bouwdelen'!Y14)</f>
        <v>0</v>
      </c>
      <c r="GU30" s="208">
        <f>IF($GN30=1,$GN30*$GM30*'Verwerking Bouwdelen'!DR14,$GN30*$GM30*'Verwerking Bouwdelen'!Z14)</f>
        <v>0</v>
      </c>
      <c r="GV30" s="208">
        <f>IF($GN30=1,$GN30*$GM30*'Verwerking Bouwdelen'!DS14,$GN30*$GM30*'Verwerking Bouwdelen'!AA14)</f>
        <v>0</v>
      </c>
      <c r="GW30" s="208">
        <f>IF($GN30=1,$GN30*$GM30*'Verwerking Bouwdelen'!DT14,$GN30*$GM30*'Verwerking Bouwdelen'!AB14)</f>
        <v>0</v>
      </c>
      <c r="GX30" s="208">
        <f>IF($GN30=1,$GN30*$GM30*'Verwerking Bouwdelen'!DU14,$GN30*$GM30*'Verwerking Bouwdelen'!AC14)</f>
        <v>0</v>
      </c>
      <c r="GY30" s="208">
        <f>IF($GN30=1,$GN30*$GM30*'Verwerking Bouwdelen'!DV14,$GN30*$GM30*'Verwerking Bouwdelen'!AD14)</f>
        <v>0</v>
      </c>
      <c r="GZ30" s="208">
        <f>IF($GN30=1,$GN30*$GM30*'Verwerking Bouwdelen'!DW14,$GN30*$GM30*'Verwerking Bouwdelen'!AE14)</f>
        <v>0</v>
      </c>
      <c r="HB30" s="89">
        <f t="shared" si="4"/>
        <v>0</v>
      </c>
      <c r="HC30" s="89">
        <f t="shared" si="1"/>
        <v>0</v>
      </c>
      <c r="HD30" s="89">
        <f t="shared" si="1"/>
        <v>0</v>
      </c>
      <c r="HE30" s="89">
        <f t="shared" si="1"/>
        <v>0</v>
      </c>
      <c r="HF30" s="89">
        <f t="shared" si="1"/>
        <v>0</v>
      </c>
      <c r="HG30" s="89">
        <f t="shared" si="1"/>
        <v>0</v>
      </c>
      <c r="HH30" s="89">
        <f t="shared" si="1"/>
        <v>0</v>
      </c>
      <c r="HI30" s="89">
        <f t="shared" si="1"/>
        <v>0</v>
      </c>
      <c r="HJ30" s="89">
        <f t="shared" si="1"/>
        <v>0</v>
      </c>
      <c r="HK30" s="89">
        <f t="shared" si="1"/>
        <v>0</v>
      </c>
      <c r="HL30" s="89">
        <f t="shared" si="1"/>
        <v>0</v>
      </c>
      <c r="HM30" s="89">
        <f t="shared" si="1"/>
        <v>0</v>
      </c>
      <c r="HO30" s="256"/>
      <c r="HZ30" s="256"/>
    </row>
    <row r="31" spans="1:234" x14ac:dyDescent="0.2">
      <c r="A31" s="130">
        <f>IF('Verwerking Bouwdelen'!A15=2,1,0)</f>
        <v>0</v>
      </c>
      <c r="B31" s="208">
        <f>$A31*'Verwerking Bouwdelen'!T15</f>
        <v>0</v>
      </c>
      <c r="C31" s="208">
        <f>$A31*'Verwerking Bouwdelen'!U15</f>
        <v>0</v>
      </c>
      <c r="D31" s="208">
        <f>$A31*'Verwerking Bouwdelen'!V15</f>
        <v>0</v>
      </c>
      <c r="E31" s="208">
        <f>$A31*'Verwerking Bouwdelen'!W15</f>
        <v>0</v>
      </c>
      <c r="F31" s="208">
        <f>$A31*'Verwerking Bouwdelen'!X15</f>
        <v>0</v>
      </c>
      <c r="G31" s="208">
        <f>$A31*'Verwerking Bouwdelen'!Y15</f>
        <v>0</v>
      </c>
      <c r="H31" s="208">
        <f>$A31*'Verwerking Bouwdelen'!Z15</f>
        <v>0</v>
      </c>
      <c r="I31" s="208">
        <f>$A31*'Verwerking Bouwdelen'!AA15</f>
        <v>0</v>
      </c>
      <c r="J31" s="208">
        <f>$A31*'Verwerking Bouwdelen'!AB15</f>
        <v>0</v>
      </c>
      <c r="K31" s="208">
        <f>$A31*'Verwerking Bouwdelen'!AC15</f>
        <v>0</v>
      </c>
      <c r="L31" s="208">
        <f>$A31*'Verwerking Bouwdelen'!AD15</f>
        <v>0</v>
      </c>
      <c r="M31" s="208">
        <f>$A31*'Verwerking Bouwdelen'!AE15</f>
        <v>0</v>
      </c>
      <c r="O31" s="114">
        <f>$A31*'Verwerking Bouwdelen'!AU15</f>
        <v>0</v>
      </c>
      <c r="P31" s="125">
        <f>$A31*'Verwerking Bouwdelen'!AV15</f>
        <v>0</v>
      </c>
      <c r="Q31" s="125">
        <f>$A31*'Verwerking Bouwdelen'!AW15</f>
        <v>0</v>
      </c>
      <c r="R31" s="125">
        <f>$A31*'Verwerking Bouwdelen'!AX15</f>
        <v>0</v>
      </c>
      <c r="S31" s="125">
        <f>$A31*'Verwerking Bouwdelen'!AY15</f>
        <v>0</v>
      </c>
      <c r="T31" s="125">
        <f>$A31*'Verwerking Bouwdelen'!AZ15</f>
        <v>0</v>
      </c>
      <c r="U31" s="125">
        <f>$A31*'Verwerking Bouwdelen'!BA15</f>
        <v>0</v>
      </c>
      <c r="V31" s="125">
        <f>$A31*'Verwerking Bouwdelen'!BB15</f>
        <v>0</v>
      </c>
      <c r="W31" s="125">
        <f>$A31*'Verwerking Bouwdelen'!BC15</f>
        <v>0</v>
      </c>
      <c r="X31" s="125">
        <f>$A31*'Verwerking Bouwdelen'!BD15</f>
        <v>0</v>
      </c>
      <c r="Y31" s="125">
        <f>$A31*'Verwerking Bouwdelen'!BE15</f>
        <v>0</v>
      </c>
      <c r="Z31" s="195">
        <f>$A31*'Verwerking Bouwdelen'!BF15</f>
        <v>0</v>
      </c>
      <c r="AB31" s="125">
        <f>IF(OR('Verwerking Bouwdelen'!C15=3,'Verwerking Bouwdelen'!C15=6),1,0)</f>
        <v>0</v>
      </c>
      <c r="AC31" s="130">
        <f>IF('Verwerking Bouwdelen'!A15=2,1,0)</f>
        <v>0</v>
      </c>
      <c r="AD31" s="208">
        <f>IF($AB31=1,$AC31*'Verwerking Bouwdelen'!DL15,$AC31*'Verwerking Bouwdelen'!T15)</f>
        <v>0</v>
      </c>
      <c r="AE31" s="208">
        <f>IF($AB31=1,$AC31*'Verwerking Bouwdelen'!DM15,$AC31*'Verwerking Bouwdelen'!U15)</f>
        <v>0</v>
      </c>
      <c r="AF31" s="208">
        <f>IF($AB31=1,$AC31*'Verwerking Bouwdelen'!DN15,$AC31*'Verwerking Bouwdelen'!V15)</f>
        <v>0</v>
      </c>
      <c r="AG31" s="208">
        <f>IF($AB31=1,$AC31*'Verwerking Bouwdelen'!DO15,$AC31*'Verwerking Bouwdelen'!W15)</f>
        <v>0</v>
      </c>
      <c r="AH31" s="208">
        <f>IF($AB31=1,$AC31*'Verwerking Bouwdelen'!DP15,$AC31*'Verwerking Bouwdelen'!X15)</f>
        <v>0</v>
      </c>
      <c r="AI31" s="208">
        <f>IF($AB31=1,$AC31*'Verwerking Bouwdelen'!DQ15,$AC31*'Verwerking Bouwdelen'!Y15)</f>
        <v>0</v>
      </c>
      <c r="AJ31" s="208">
        <f>IF($AB31=1,$AC31*'Verwerking Bouwdelen'!DR15,$AC31*'Verwerking Bouwdelen'!Z15)</f>
        <v>0</v>
      </c>
      <c r="AK31" s="208">
        <f>IF($AB31=1,$AC31*'Verwerking Bouwdelen'!DS15,$AC31*'Verwerking Bouwdelen'!AA15)</f>
        <v>0</v>
      </c>
      <c r="AL31" s="208">
        <f>IF($AB31=1,$AC31*'Verwerking Bouwdelen'!DT15,$AC31*'Verwerking Bouwdelen'!AB15)</f>
        <v>0</v>
      </c>
      <c r="AM31" s="208">
        <f>IF($AB31=1,$AC31*'Verwerking Bouwdelen'!DU15,$AC31*'Verwerking Bouwdelen'!AC15)</f>
        <v>0</v>
      </c>
      <c r="AN31" s="208">
        <f>IF($AB31=1,$AC31*'Verwerking Bouwdelen'!DV15,$AC31*'Verwerking Bouwdelen'!AD15)</f>
        <v>0</v>
      </c>
      <c r="AO31" s="208">
        <f>IF($AB31=1,$AC31*'Verwerking Bouwdelen'!DW15,$AC31*'Verwerking Bouwdelen'!AE15)</f>
        <v>0</v>
      </c>
      <c r="AP31" s="10">
        <f>IF(AD31=B31,0,'Verwerking Bouwdelen'!D15*AB31*AC31)</f>
        <v>0</v>
      </c>
      <c r="AQ31" s="10">
        <f>AB31*AC31*'Verwerking Bouwdelen'!GH15</f>
        <v>0</v>
      </c>
      <c r="AR31" s="10"/>
      <c r="AS31" s="248"/>
      <c r="AT31" s="125">
        <f>IF('Verwerking Bouwdelen'!C15=4,1,0)</f>
        <v>0</v>
      </c>
      <c r="AU31" s="130">
        <f>IF('Verwerking Bouwdelen'!A15=2,1,0)</f>
        <v>0</v>
      </c>
      <c r="AV31" s="208">
        <f>IF($AT31=1,$AU31*'Verwerking Bouwdelen'!DL15,$AU31*'Verwerking Bouwdelen'!T15)</f>
        <v>0</v>
      </c>
      <c r="AW31" s="208">
        <f>IF($AT31=1,$AU31*'Verwerking Bouwdelen'!DM15,$AU31*'Verwerking Bouwdelen'!U15)</f>
        <v>0</v>
      </c>
      <c r="AX31" s="208">
        <f>IF($AT31=1,$AU31*'Verwerking Bouwdelen'!DN15,$AU31*'Verwerking Bouwdelen'!V15)</f>
        <v>0</v>
      </c>
      <c r="AY31" s="208">
        <f>IF($AT31=1,$AU31*'Verwerking Bouwdelen'!DO15,$AU31*'Verwerking Bouwdelen'!W15)</f>
        <v>0</v>
      </c>
      <c r="AZ31" s="208">
        <f>IF($AT31=1,$AU31*'Verwerking Bouwdelen'!DP15,$AU31*'Verwerking Bouwdelen'!X15)</f>
        <v>0</v>
      </c>
      <c r="BA31" s="208">
        <f>IF($AT31=1,$AU31*'Verwerking Bouwdelen'!DQ15,$AU31*'Verwerking Bouwdelen'!Y15)</f>
        <v>0</v>
      </c>
      <c r="BB31" s="208">
        <f>IF($AT31=1,$AU31*'Verwerking Bouwdelen'!DR15,$AU31*'Verwerking Bouwdelen'!Z15)</f>
        <v>0</v>
      </c>
      <c r="BC31" s="208">
        <f>IF($AT31=1,$AU31*'Verwerking Bouwdelen'!DS15,$AU31*'Verwerking Bouwdelen'!AA15)</f>
        <v>0</v>
      </c>
      <c r="BD31" s="208">
        <f>IF($AT31=1,$AU31*'Verwerking Bouwdelen'!DT15,$AU31*'Verwerking Bouwdelen'!AB15)</f>
        <v>0</v>
      </c>
      <c r="BE31" s="208">
        <f>IF($AT31=1,$AU31*'Verwerking Bouwdelen'!DU15,$AU31*'Verwerking Bouwdelen'!AC15)</f>
        <v>0</v>
      </c>
      <c r="BF31" s="208">
        <f>IF($AT31=1,$AU31*'Verwerking Bouwdelen'!DV15,$AU31*'Verwerking Bouwdelen'!AD15)</f>
        <v>0</v>
      </c>
      <c r="BG31" s="208">
        <f>IF($AT31=1,$AU31*'Verwerking Bouwdelen'!DW15,$AU31*'Verwerking Bouwdelen'!AE15)</f>
        <v>0</v>
      </c>
      <c r="BH31" s="10">
        <f>IF(AV31=B31,0,'Verwerking Bouwdelen'!D15*AT31*AU31)</f>
        <v>0</v>
      </c>
      <c r="BI31" s="10">
        <f>AT31*AU31*'Verwerking Bouwdelen'!GH15</f>
        <v>0</v>
      </c>
      <c r="BJ31" s="10"/>
      <c r="BK31" s="10"/>
      <c r="BM31" s="125">
        <f>IF('Verwerking Bouwdelen'!C15=5,1,0)</f>
        <v>0</v>
      </c>
      <c r="BN31" s="130">
        <f>IF('Verwerking Bouwdelen'!A15=2,1,0)</f>
        <v>0</v>
      </c>
      <c r="BO31" s="208">
        <f>IF($BM31=1,$BN31*'Verwerking Bouwdelen'!DL15,$BN31*'Verwerking Bouwdelen'!T15)</f>
        <v>0</v>
      </c>
      <c r="BP31" s="208">
        <f>IF($BM31=1,$BN31*'Verwerking Bouwdelen'!DM15,$BN31*'Verwerking Bouwdelen'!U15)</f>
        <v>0</v>
      </c>
      <c r="BQ31" s="208">
        <f>IF($BM31=1,$BN31*'Verwerking Bouwdelen'!DN15,$BN31*'Verwerking Bouwdelen'!V15)</f>
        <v>0</v>
      </c>
      <c r="BR31" s="208">
        <f>IF($BM31=1,$BN31*'Verwerking Bouwdelen'!DO15,$BN31*'Verwerking Bouwdelen'!W15)</f>
        <v>0</v>
      </c>
      <c r="BS31" s="208">
        <f>IF($BM31=1,$BN31*'Verwerking Bouwdelen'!DP15,$BN31*'Verwerking Bouwdelen'!X15)</f>
        <v>0</v>
      </c>
      <c r="BT31" s="208">
        <f>IF($BM31=1,$BN31*'Verwerking Bouwdelen'!DQ15,$BN31*'Verwerking Bouwdelen'!Y15)</f>
        <v>0</v>
      </c>
      <c r="BU31" s="208">
        <f>IF($BM31=1,$BN31*'Verwerking Bouwdelen'!DR15,$BN31*'Verwerking Bouwdelen'!Z15)</f>
        <v>0</v>
      </c>
      <c r="BV31" s="208">
        <f>IF($BM31=1,$BN31*'Verwerking Bouwdelen'!DS15,$BN31*'Verwerking Bouwdelen'!AA15)</f>
        <v>0</v>
      </c>
      <c r="BW31" s="208">
        <f>IF($BM31=1,$BN31*'Verwerking Bouwdelen'!DT15,$BN31*'Verwerking Bouwdelen'!AB15)</f>
        <v>0</v>
      </c>
      <c r="BX31" s="208">
        <f>IF($BM31=1,$BN31*'Verwerking Bouwdelen'!DU15,$BN31*'Verwerking Bouwdelen'!AC15)</f>
        <v>0</v>
      </c>
      <c r="BY31" s="208">
        <f>IF($BM31=1,$BN31*'Verwerking Bouwdelen'!DV15,$BN31*'Verwerking Bouwdelen'!AD15)</f>
        <v>0</v>
      </c>
      <c r="BZ31" s="208">
        <f>IF($BM31=1,$BN31*'Verwerking Bouwdelen'!DW15,$BN31*'Verwerking Bouwdelen'!AE15)</f>
        <v>0</v>
      </c>
      <c r="CA31" s="10">
        <f>IF(BO31=B31,0,'Verwerking Bouwdelen'!D15*BM31*BN31)</f>
        <v>0</v>
      </c>
      <c r="CB31" s="10">
        <f>BM31*BN31*'Verwerking Bouwdelen'!GH15</f>
        <v>0</v>
      </c>
      <c r="CC31" s="10"/>
      <c r="CD31" s="248"/>
      <c r="CE31" s="125">
        <f>IF('Verwerking Bouwdelen'!C15=2,1,0)</f>
        <v>0</v>
      </c>
      <c r="CF31" s="130">
        <f>IF('Verwerking Bouwdelen'!A15=2,1,0)</f>
        <v>0</v>
      </c>
      <c r="CG31" s="208">
        <f>IF($CE31=1,$CF31*'Verwerking Bouwdelen'!DL15,$CF31*'Verwerking Bouwdelen'!T15)</f>
        <v>0</v>
      </c>
      <c r="CH31" s="208">
        <f>IF($CE31=1,$CF31*'Verwerking Bouwdelen'!DM15,$CF31*'Verwerking Bouwdelen'!U15)</f>
        <v>0</v>
      </c>
      <c r="CI31" s="208">
        <f>IF($CE31=1,$CF31*'Verwerking Bouwdelen'!DN15,$CF31*'Verwerking Bouwdelen'!V15)</f>
        <v>0</v>
      </c>
      <c r="CJ31" s="208">
        <f>IF($CE31=1,$CF31*'Verwerking Bouwdelen'!DO15,$CF31*'Verwerking Bouwdelen'!W15)</f>
        <v>0</v>
      </c>
      <c r="CK31" s="208">
        <f>IF($CE31=1,$CF31*'Verwerking Bouwdelen'!DP15,$CF31*'Verwerking Bouwdelen'!X15)</f>
        <v>0</v>
      </c>
      <c r="CL31" s="208">
        <f>IF($CE31=1,$CF31*'Verwerking Bouwdelen'!DQ15,$CF31*'Verwerking Bouwdelen'!Y15)</f>
        <v>0</v>
      </c>
      <c r="CM31" s="208">
        <f>IF($CE31=1,$CF31*'Verwerking Bouwdelen'!DR15,$CF31*'Verwerking Bouwdelen'!Z15)</f>
        <v>0</v>
      </c>
      <c r="CN31" s="208">
        <f>IF($CE31=1,$CF31*'Verwerking Bouwdelen'!DS15,$CF31*'Verwerking Bouwdelen'!AA15)</f>
        <v>0</v>
      </c>
      <c r="CO31" s="208">
        <f>IF($CE31=1,$CF31*'Verwerking Bouwdelen'!DT15,$CF31*'Verwerking Bouwdelen'!AB15)</f>
        <v>0</v>
      </c>
      <c r="CP31" s="208">
        <f>IF($CE31=1,$CF31*'Verwerking Bouwdelen'!DU15,$CF31*'Verwerking Bouwdelen'!AC15)</f>
        <v>0</v>
      </c>
      <c r="CQ31" s="208">
        <f>IF($CE31=1,$CF31*'Verwerking Bouwdelen'!DV15,$CF31*'Verwerking Bouwdelen'!AD15)</f>
        <v>0</v>
      </c>
      <c r="CR31" s="208">
        <f>IF($CE31=1,$CF31*'Verwerking Bouwdelen'!DW15,$CF31*'Verwerking Bouwdelen'!AE15)</f>
        <v>0</v>
      </c>
      <c r="CS31" s="10">
        <f>IF(CG31=$B31,0,('Verwerking Bouwdelen'!$D15-'Verwerking Bouwdelen'!G15)*CE31*CF31)</f>
        <v>0</v>
      </c>
      <c r="CT31" s="260">
        <f>CE31*CF31*'Verwerking Bouwdelen'!GH15</f>
        <v>0</v>
      </c>
      <c r="CU31" s="261">
        <f>CE31*CF31*'Verwerking Bouwdelen'!GI15</f>
        <v>0</v>
      </c>
      <c r="CW31" s="209">
        <f>$AC31*'Verwerking Bouwdelen'!EE15</f>
        <v>0</v>
      </c>
      <c r="CX31" s="209">
        <f>$AC31*'Verwerking Bouwdelen'!EF15</f>
        <v>0</v>
      </c>
      <c r="CY31" s="209">
        <f>$AC31*'Verwerking Bouwdelen'!EG15</f>
        <v>0</v>
      </c>
      <c r="CZ31" s="209">
        <f>$AC31*'Verwerking Bouwdelen'!EH15</f>
        <v>0</v>
      </c>
      <c r="DA31" s="209">
        <f>$AC31*'Verwerking Bouwdelen'!EI15</f>
        <v>0</v>
      </c>
      <c r="DB31" s="209">
        <f>$AC31*'Verwerking Bouwdelen'!EJ15</f>
        <v>0</v>
      </c>
      <c r="DC31" s="209">
        <f>$AC31*'Verwerking Bouwdelen'!EK15</f>
        <v>0</v>
      </c>
      <c r="DD31" s="209">
        <f>$AC31*'Verwerking Bouwdelen'!EL15</f>
        <v>0</v>
      </c>
      <c r="DE31" s="209">
        <f>$AC31*'Verwerking Bouwdelen'!EM15</f>
        <v>0</v>
      </c>
      <c r="DF31" s="209">
        <f>$AC31*'Verwerking Bouwdelen'!EN15</f>
        <v>0</v>
      </c>
      <c r="DG31" s="209">
        <f>$AC31*'Verwerking Bouwdelen'!EO15</f>
        <v>0</v>
      </c>
      <c r="DH31" s="209">
        <f>$AC31*'Verwerking Bouwdelen'!EP15</f>
        <v>0</v>
      </c>
      <c r="DI31" s="10">
        <f>IF(CW31=$O31,0,'Verwerking Bouwdelen'!G15)</f>
        <v>0</v>
      </c>
      <c r="DJ31" s="259">
        <f>'Verwerking Bouwdelen'!GK15*CF31</f>
        <v>0</v>
      </c>
      <c r="DK31" s="259">
        <f>'Verwerking Bouwdelen'!GL15*CF31</f>
        <v>0</v>
      </c>
      <c r="DL31" s="125"/>
      <c r="FZ31" s="89">
        <f>IF('Verwerken verlichting'!B27=2,1,0)</f>
        <v>0</v>
      </c>
      <c r="GA31" s="89">
        <f>$FZ31*'Verwerken verlichting'!BX27</f>
        <v>0</v>
      </c>
      <c r="GB31" s="89">
        <f>$FZ31*'Verwerken verlichting'!BY27</f>
        <v>0</v>
      </c>
      <c r="GC31" s="89">
        <f>$FZ31*'Verwerken verlichting'!BZ27</f>
        <v>0</v>
      </c>
      <c r="GD31" s="89">
        <f>$FZ31*'Verwerken verlichting'!CA27</f>
        <v>0</v>
      </c>
      <c r="GE31" s="89">
        <f>$FZ31*'Verwerken verlichting'!CB27</f>
        <v>0</v>
      </c>
      <c r="GF31" s="89">
        <f>$FZ31*'Verwerken verlichting'!CC27</f>
        <v>0</v>
      </c>
      <c r="GG31" s="89">
        <f>FZ31*'Invoer verlichting'!N26</f>
        <v>0</v>
      </c>
      <c r="GH31" s="89">
        <f>FZ31*'Verwerken verlichting'!AH27</f>
        <v>0</v>
      </c>
      <c r="GI31" s="89">
        <f>FZ31*'Verwerken verlichting'!AG27</f>
        <v>0</v>
      </c>
      <c r="GJ31" s="89">
        <f>FZ31*'Verwerken verlichting'!CE27</f>
        <v>0</v>
      </c>
      <c r="GM31" s="89">
        <f t="shared" si="2"/>
        <v>0</v>
      </c>
      <c r="GN31" s="89">
        <f t="shared" si="3"/>
        <v>0</v>
      </c>
      <c r="GO31" s="208">
        <f>IF($GN31=1,$GN31*$GM31*'Verwerking Bouwdelen'!DL15,$GN31*$GM31*'Verwerking Bouwdelen'!T15)</f>
        <v>0</v>
      </c>
      <c r="GP31" s="208">
        <f>IF($GN31=1,$GN31*$GM31*'Verwerking Bouwdelen'!DM15,$GN31*$GM31*'Verwerking Bouwdelen'!U15)</f>
        <v>0</v>
      </c>
      <c r="GQ31" s="208">
        <f>IF($GN31=1,$GN31*$GM31*'Verwerking Bouwdelen'!DN15,$GN31*$GM31*'Verwerking Bouwdelen'!V15)</f>
        <v>0</v>
      </c>
      <c r="GR31" s="208">
        <f>IF($GN31=1,$GN31*$GM31*'Verwerking Bouwdelen'!DO15,$GN31*$GM31*'Verwerking Bouwdelen'!W15)</f>
        <v>0</v>
      </c>
      <c r="GS31" s="208">
        <f>IF($GN31=1,$GN31*$GM31*'Verwerking Bouwdelen'!DP15,$GN31*$GM31*'Verwerking Bouwdelen'!X15)</f>
        <v>0</v>
      </c>
      <c r="GT31" s="208">
        <f>IF($GN31=1,$GN31*$GM31*'Verwerking Bouwdelen'!DQ15,$GN31*$GM31*'Verwerking Bouwdelen'!Y15)</f>
        <v>0</v>
      </c>
      <c r="GU31" s="208">
        <f>IF($GN31=1,$GN31*$GM31*'Verwerking Bouwdelen'!DR15,$GN31*$GM31*'Verwerking Bouwdelen'!Z15)</f>
        <v>0</v>
      </c>
      <c r="GV31" s="208">
        <f>IF($GN31=1,$GN31*$GM31*'Verwerking Bouwdelen'!DS15,$GN31*$GM31*'Verwerking Bouwdelen'!AA15)</f>
        <v>0</v>
      </c>
      <c r="GW31" s="208">
        <f>IF($GN31=1,$GN31*$GM31*'Verwerking Bouwdelen'!DT15,$GN31*$GM31*'Verwerking Bouwdelen'!AB15)</f>
        <v>0</v>
      </c>
      <c r="GX31" s="208">
        <f>IF($GN31=1,$GN31*$GM31*'Verwerking Bouwdelen'!DU15,$GN31*$GM31*'Verwerking Bouwdelen'!AC15)</f>
        <v>0</v>
      </c>
      <c r="GY31" s="208">
        <f>IF($GN31=1,$GN31*$GM31*'Verwerking Bouwdelen'!DV15,$GN31*$GM31*'Verwerking Bouwdelen'!AD15)</f>
        <v>0</v>
      </c>
      <c r="GZ31" s="208">
        <f>IF($GN31=1,$GN31*$GM31*'Verwerking Bouwdelen'!DW15,$GN31*$GM31*'Verwerking Bouwdelen'!AE15)</f>
        <v>0</v>
      </c>
      <c r="HB31" s="89">
        <f t="shared" si="4"/>
        <v>0</v>
      </c>
      <c r="HC31" s="89">
        <f t="shared" si="1"/>
        <v>0</v>
      </c>
      <c r="HD31" s="89">
        <f t="shared" si="1"/>
        <v>0</v>
      </c>
      <c r="HE31" s="89">
        <f t="shared" si="1"/>
        <v>0</v>
      </c>
      <c r="HF31" s="89">
        <f t="shared" si="1"/>
        <v>0</v>
      </c>
      <c r="HG31" s="89">
        <f t="shared" si="1"/>
        <v>0</v>
      </c>
      <c r="HH31" s="89">
        <f t="shared" si="1"/>
        <v>0</v>
      </c>
      <c r="HI31" s="89">
        <f t="shared" si="1"/>
        <v>0</v>
      </c>
      <c r="HJ31" s="89">
        <f t="shared" si="1"/>
        <v>0</v>
      </c>
      <c r="HK31" s="89">
        <f t="shared" si="1"/>
        <v>0</v>
      </c>
      <c r="HL31" s="89">
        <f t="shared" si="1"/>
        <v>0</v>
      </c>
      <c r="HM31" s="89">
        <f t="shared" si="1"/>
        <v>0</v>
      </c>
      <c r="HO31" s="256"/>
      <c r="HZ31" s="256"/>
    </row>
    <row r="32" spans="1:234" x14ac:dyDescent="0.2">
      <c r="A32" s="130">
        <f>IF('Verwerking Bouwdelen'!A16=2,1,0)</f>
        <v>0</v>
      </c>
      <c r="B32" s="208">
        <f>$A32*'Verwerking Bouwdelen'!T16</f>
        <v>0</v>
      </c>
      <c r="C32" s="208">
        <f>$A32*'Verwerking Bouwdelen'!U16</f>
        <v>0</v>
      </c>
      <c r="D32" s="208">
        <f>$A32*'Verwerking Bouwdelen'!V16</f>
        <v>0</v>
      </c>
      <c r="E32" s="208">
        <f>$A32*'Verwerking Bouwdelen'!W16</f>
        <v>0</v>
      </c>
      <c r="F32" s="208">
        <f>$A32*'Verwerking Bouwdelen'!X16</f>
        <v>0</v>
      </c>
      <c r="G32" s="208">
        <f>$A32*'Verwerking Bouwdelen'!Y16</f>
        <v>0</v>
      </c>
      <c r="H32" s="208">
        <f>$A32*'Verwerking Bouwdelen'!Z16</f>
        <v>0</v>
      </c>
      <c r="I32" s="208">
        <f>$A32*'Verwerking Bouwdelen'!AA16</f>
        <v>0</v>
      </c>
      <c r="J32" s="208">
        <f>$A32*'Verwerking Bouwdelen'!AB16</f>
        <v>0</v>
      </c>
      <c r="K32" s="208">
        <f>$A32*'Verwerking Bouwdelen'!AC16</f>
        <v>0</v>
      </c>
      <c r="L32" s="208">
        <f>$A32*'Verwerking Bouwdelen'!AD16</f>
        <v>0</v>
      </c>
      <c r="M32" s="208">
        <f>$A32*'Verwerking Bouwdelen'!AE16</f>
        <v>0</v>
      </c>
      <c r="O32" s="114">
        <f>$A32*'Verwerking Bouwdelen'!AU16</f>
        <v>0</v>
      </c>
      <c r="P32" s="125">
        <f>$A32*'Verwerking Bouwdelen'!AV16</f>
        <v>0</v>
      </c>
      <c r="Q32" s="125">
        <f>$A32*'Verwerking Bouwdelen'!AW16</f>
        <v>0</v>
      </c>
      <c r="R32" s="125">
        <f>$A32*'Verwerking Bouwdelen'!AX16</f>
        <v>0</v>
      </c>
      <c r="S32" s="125">
        <f>$A32*'Verwerking Bouwdelen'!AY16</f>
        <v>0</v>
      </c>
      <c r="T32" s="125">
        <f>$A32*'Verwerking Bouwdelen'!AZ16</f>
        <v>0</v>
      </c>
      <c r="U32" s="125">
        <f>$A32*'Verwerking Bouwdelen'!BA16</f>
        <v>0</v>
      </c>
      <c r="V32" s="125">
        <f>$A32*'Verwerking Bouwdelen'!BB16</f>
        <v>0</v>
      </c>
      <c r="W32" s="125">
        <f>$A32*'Verwerking Bouwdelen'!BC16</f>
        <v>0</v>
      </c>
      <c r="X32" s="125">
        <f>$A32*'Verwerking Bouwdelen'!BD16</f>
        <v>0</v>
      </c>
      <c r="Y32" s="125">
        <f>$A32*'Verwerking Bouwdelen'!BE16</f>
        <v>0</v>
      </c>
      <c r="Z32" s="195">
        <f>$A32*'Verwerking Bouwdelen'!BF16</f>
        <v>0</v>
      </c>
      <c r="AB32" s="125">
        <f>IF(OR('Verwerking Bouwdelen'!C16=3,'Verwerking Bouwdelen'!C16=6),1,0)</f>
        <v>0</v>
      </c>
      <c r="AC32" s="130">
        <f>IF('Verwerking Bouwdelen'!A16=2,1,0)</f>
        <v>0</v>
      </c>
      <c r="AD32" s="208">
        <f>IF($AB32=1,$AC32*'Verwerking Bouwdelen'!DL16,$AC32*'Verwerking Bouwdelen'!T16)</f>
        <v>0</v>
      </c>
      <c r="AE32" s="208">
        <f>IF($AB32=1,$AC32*'Verwerking Bouwdelen'!DM16,$AC32*'Verwerking Bouwdelen'!U16)</f>
        <v>0</v>
      </c>
      <c r="AF32" s="208">
        <f>IF($AB32=1,$AC32*'Verwerking Bouwdelen'!DN16,$AC32*'Verwerking Bouwdelen'!V16)</f>
        <v>0</v>
      </c>
      <c r="AG32" s="208">
        <f>IF($AB32=1,$AC32*'Verwerking Bouwdelen'!DO16,$AC32*'Verwerking Bouwdelen'!W16)</f>
        <v>0</v>
      </c>
      <c r="AH32" s="208">
        <f>IF($AB32=1,$AC32*'Verwerking Bouwdelen'!DP16,$AC32*'Verwerking Bouwdelen'!X16)</f>
        <v>0</v>
      </c>
      <c r="AI32" s="208">
        <f>IF($AB32=1,$AC32*'Verwerking Bouwdelen'!DQ16,$AC32*'Verwerking Bouwdelen'!Y16)</f>
        <v>0</v>
      </c>
      <c r="AJ32" s="208">
        <f>IF($AB32=1,$AC32*'Verwerking Bouwdelen'!DR16,$AC32*'Verwerking Bouwdelen'!Z16)</f>
        <v>0</v>
      </c>
      <c r="AK32" s="208">
        <f>IF($AB32=1,$AC32*'Verwerking Bouwdelen'!DS16,$AC32*'Verwerking Bouwdelen'!AA16)</f>
        <v>0</v>
      </c>
      <c r="AL32" s="208">
        <f>IF($AB32=1,$AC32*'Verwerking Bouwdelen'!DT16,$AC32*'Verwerking Bouwdelen'!AB16)</f>
        <v>0</v>
      </c>
      <c r="AM32" s="208">
        <f>IF($AB32=1,$AC32*'Verwerking Bouwdelen'!DU16,$AC32*'Verwerking Bouwdelen'!AC16)</f>
        <v>0</v>
      </c>
      <c r="AN32" s="208">
        <f>IF($AB32=1,$AC32*'Verwerking Bouwdelen'!DV16,$AC32*'Verwerking Bouwdelen'!AD16)</f>
        <v>0</v>
      </c>
      <c r="AO32" s="208">
        <f>IF($AB32=1,$AC32*'Verwerking Bouwdelen'!DW16,$AC32*'Verwerking Bouwdelen'!AE16)</f>
        <v>0</v>
      </c>
      <c r="AP32" s="10">
        <f>IF(AD32=B32,0,'Verwerking Bouwdelen'!D16*AB32*AC32)</f>
        <v>0</v>
      </c>
      <c r="AQ32" s="10">
        <f>AB32*AC32*'Verwerking Bouwdelen'!GH16</f>
        <v>0</v>
      </c>
      <c r="AR32" s="10"/>
      <c r="AS32" s="248"/>
      <c r="AT32" s="125">
        <f>IF('Verwerking Bouwdelen'!C16=4,1,0)</f>
        <v>0</v>
      </c>
      <c r="AU32" s="130">
        <f>IF('Verwerking Bouwdelen'!A16=2,1,0)</f>
        <v>0</v>
      </c>
      <c r="AV32" s="208">
        <f>IF($AT32=1,$AU32*'Verwerking Bouwdelen'!DL16,$AU32*'Verwerking Bouwdelen'!T16)</f>
        <v>0</v>
      </c>
      <c r="AW32" s="208">
        <f>IF($AT32=1,$AU32*'Verwerking Bouwdelen'!DM16,$AU32*'Verwerking Bouwdelen'!U16)</f>
        <v>0</v>
      </c>
      <c r="AX32" s="208">
        <f>IF($AT32=1,$AU32*'Verwerking Bouwdelen'!DN16,$AU32*'Verwerking Bouwdelen'!V16)</f>
        <v>0</v>
      </c>
      <c r="AY32" s="208">
        <f>IF($AT32=1,$AU32*'Verwerking Bouwdelen'!DO16,$AU32*'Verwerking Bouwdelen'!W16)</f>
        <v>0</v>
      </c>
      <c r="AZ32" s="208">
        <f>IF($AT32=1,$AU32*'Verwerking Bouwdelen'!DP16,$AU32*'Verwerking Bouwdelen'!X16)</f>
        <v>0</v>
      </c>
      <c r="BA32" s="208">
        <f>IF($AT32=1,$AU32*'Verwerking Bouwdelen'!DQ16,$AU32*'Verwerking Bouwdelen'!Y16)</f>
        <v>0</v>
      </c>
      <c r="BB32" s="208">
        <f>IF($AT32=1,$AU32*'Verwerking Bouwdelen'!DR16,$AU32*'Verwerking Bouwdelen'!Z16)</f>
        <v>0</v>
      </c>
      <c r="BC32" s="208">
        <f>IF($AT32=1,$AU32*'Verwerking Bouwdelen'!DS16,$AU32*'Verwerking Bouwdelen'!AA16)</f>
        <v>0</v>
      </c>
      <c r="BD32" s="208">
        <f>IF($AT32=1,$AU32*'Verwerking Bouwdelen'!DT16,$AU32*'Verwerking Bouwdelen'!AB16)</f>
        <v>0</v>
      </c>
      <c r="BE32" s="208">
        <f>IF($AT32=1,$AU32*'Verwerking Bouwdelen'!DU16,$AU32*'Verwerking Bouwdelen'!AC16)</f>
        <v>0</v>
      </c>
      <c r="BF32" s="208">
        <f>IF($AT32=1,$AU32*'Verwerking Bouwdelen'!DV16,$AU32*'Verwerking Bouwdelen'!AD16)</f>
        <v>0</v>
      </c>
      <c r="BG32" s="208">
        <f>IF($AT32=1,$AU32*'Verwerking Bouwdelen'!DW16,$AU32*'Verwerking Bouwdelen'!AE16)</f>
        <v>0</v>
      </c>
      <c r="BH32" s="10">
        <f>IF(AV32=B32,0,'Verwerking Bouwdelen'!D16*AT32*AU32)</f>
        <v>0</v>
      </c>
      <c r="BI32" s="10">
        <f>AT32*AU32*'Verwerking Bouwdelen'!GH16</f>
        <v>0</v>
      </c>
      <c r="BJ32" s="10"/>
      <c r="BK32" s="10"/>
      <c r="BM32" s="125">
        <f>IF('Verwerking Bouwdelen'!C16=5,1,0)</f>
        <v>0</v>
      </c>
      <c r="BN32" s="130">
        <f>IF('Verwerking Bouwdelen'!A16=2,1,0)</f>
        <v>0</v>
      </c>
      <c r="BO32" s="208">
        <f>IF($BM32=1,$BN32*'Verwerking Bouwdelen'!DL16,$BN32*'Verwerking Bouwdelen'!T16)</f>
        <v>0</v>
      </c>
      <c r="BP32" s="208">
        <f>IF($BM32=1,$BN32*'Verwerking Bouwdelen'!DM16,$BN32*'Verwerking Bouwdelen'!U16)</f>
        <v>0</v>
      </c>
      <c r="BQ32" s="208">
        <f>IF($BM32=1,$BN32*'Verwerking Bouwdelen'!DN16,$BN32*'Verwerking Bouwdelen'!V16)</f>
        <v>0</v>
      </c>
      <c r="BR32" s="208">
        <f>IF($BM32=1,$BN32*'Verwerking Bouwdelen'!DO16,$BN32*'Verwerking Bouwdelen'!W16)</f>
        <v>0</v>
      </c>
      <c r="BS32" s="208">
        <f>IF($BM32=1,$BN32*'Verwerking Bouwdelen'!DP16,$BN32*'Verwerking Bouwdelen'!X16)</f>
        <v>0</v>
      </c>
      <c r="BT32" s="208">
        <f>IF($BM32=1,$BN32*'Verwerking Bouwdelen'!DQ16,$BN32*'Verwerking Bouwdelen'!Y16)</f>
        <v>0</v>
      </c>
      <c r="BU32" s="208">
        <f>IF($BM32=1,$BN32*'Verwerking Bouwdelen'!DR16,$BN32*'Verwerking Bouwdelen'!Z16)</f>
        <v>0</v>
      </c>
      <c r="BV32" s="208">
        <f>IF($BM32=1,$BN32*'Verwerking Bouwdelen'!DS16,$BN32*'Verwerking Bouwdelen'!AA16)</f>
        <v>0</v>
      </c>
      <c r="BW32" s="208">
        <f>IF($BM32=1,$BN32*'Verwerking Bouwdelen'!DT16,$BN32*'Verwerking Bouwdelen'!AB16)</f>
        <v>0</v>
      </c>
      <c r="BX32" s="208">
        <f>IF($BM32=1,$BN32*'Verwerking Bouwdelen'!DU16,$BN32*'Verwerking Bouwdelen'!AC16)</f>
        <v>0</v>
      </c>
      <c r="BY32" s="208">
        <f>IF($BM32=1,$BN32*'Verwerking Bouwdelen'!DV16,$BN32*'Verwerking Bouwdelen'!AD16)</f>
        <v>0</v>
      </c>
      <c r="BZ32" s="208">
        <f>IF($BM32=1,$BN32*'Verwerking Bouwdelen'!DW16,$BN32*'Verwerking Bouwdelen'!AE16)</f>
        <v>0</v>
      </c>
      <c r="CA32" s="10">
        <f>IF(BO32=B32,0,'Verwerking Bouwdelen'!D16*BM32*BN32)</f>
        <v>0</v>
      </c>
      <c r="CB32" s="10">
        <f>BM32*BN32*'Verwerking Bouwdelen'!GH16</f>
        <v>0</v>
      </c>
      <c r="CC32" s="10"/>
      <c r="CD32" s="248"/>
      <c r="CE32" s="125">
        <f>IF('Verwerking Bouwdelen'!C16=2,1,0)</f>
        <v>0</v>
      </c>
      <c r="CF32" s="130">
        <f>IF('Verwerking Bouwdelen'!A16=2,1,0)</f>
        <v>0</v>
      </c>
      <c r="CG32" s="208">
        <f>IF($CE32=1,$CF32*'Verwerking Bouwdelen'!DL16,$CF32*'Verwerking Bouwdelen'!T16)</f>
        <v>0</v>
      </c>
      <c r="CH32" s="208">
        <f>IF($CE32=1,$CF32*'Verwerking Bouwdelen'!DM16,$CF32*'Verwerking Bouwdelen'!U16)</f>
        <v>0</v>
      </c>
      <c r="CI32" s="208">
        <f>IF($CE32=1,$CF32*'Verwerking Bouwdelen'!DN16,$CF32*'Verwerking Bouwdelen'!V16)</f>
        <v>0</v>
      </c>
      <c r="CJ32" s="208">
        <f>IF($CE32=1,$CF32*'Verwerking Bouwdelen'!DO16,$CF32*'Verwerking Bouwdelen'!W16)</f>
        <v>0</v>
      </c>
      <c r="CK32" s="208">
        <f>IF($CE32=1,$CF32*'Verwerking Bouwdelen'!DP16,$CF32*'Verwerking Bouwdelen'!X16)</f>
        <v>0</v>
      </c>
      <c r="CL32" s="208">
        <f>IF($CE32=1,$CF32*'Verwerking Bouwdelen'!DQ16,$CF32*'Verwerking Bouwdelen'!Y16)</f>
        <v>0</v>
      </c>
      <c r="CM32" s="208">
        <f>IF($CE32=1,$CF32*'Verwerking Bouwdelen'!DR16,$CF32*'Verwerking Bouwdelen'!Z16)</f>
        <v>0</v>
      </c>
      <c r="CN32" s="208">
        <f>IF($CE32=1,$CF32*'Verwerking Bouwdelen'!DS16,$CF32*'Verwerking Bouwdelen'!AA16)</f>
        <v>0</v>
      </c>
      <c r="CO32" s="208">
        <f>IF($CE32=1,$CF32*'Verwerking Bouwdelen'!DT16,$CF32*'Verwerking Bouwdelen'!AB16)</f>
        <v>0</v>
      </c>
      <c r="CP32" s="208">
        <f>IF($CE32=1,$CF32*'Verwerking Bouwdelen'!DU16,$CF32*'Verwerking Bouwdelen'!AC16)</f>
        <v>0</v>
      </c>
      <c r="CQ32" s="208">
        <f>IF($CE32=1,$CF32*'Verwerking Bouwdelen'!DV16,$CF32*'Verwerking Bouwdelen'!AD16)</f>
        <v>0</v>
      </c>
      <c r="CR32" s="208">
        <f>IF($CE32=1,$CF32*'Verwerking Bouwdelen'!DW16,$CF32*'Verwerking Bouwdelen'!AE16)</f>
        <v>0</v>
      </c>
      <c r="CS32" s="10">
        <f>IF(CG32=$B32,0,('Verwerking Bouwdelen'!$D16-'Verwerking Bouwdelen'!G16)*CE32*CF32)</f>
        <v>0</v>
      </c>
      <c r="CT32" s="260">
        <f>CE32*CF32*'Verwerking Bouwdelen'!GH16</f>
        <v>0</v>
      </c>
      <c r="CU32" s="261">
        <f>CE32*CF32*'Verwerking Bouwdelen'!GI16</f>
        <v>0</v>
      </c>
      <c r="CW32" s="209">
        <f>$AC32*'Verwerking Bouwdelen'!EE16</f>
        <v>0</v>
      </c>
      <c r="CX32" s="209">
        <f>$AC32*'Verwerking Bouwdelen'!EF16</f>
        <v>0</v>
      </c>
      <c r="CY32" s="209">
        <f>$AC32*'Verwerking Bouwdelen'!EG16</f>
        <v>0</v>
      </c>
      <c r="CZ32" s="209">
        <f>$AC32*'Verwerking Bouwdelen'!EH16</f>
        <v>0</v>
      </c>
      <c r="DA32" s="209">
        <f>$AC32*'Verwerking Bouwdelen'!EI16</f>
        <v>0</v>
      </c>
      <c r="DB32" s="209">
        <f>$AC32*'Verwerking Bouwdelen'!EJ16</f>
        <v>0</v>
      </c>
      <c r="DC32" s="209">
        <f>$AC32*'Verwerking Bouwdelen'!EK16</f>
        <v>0</v>
      </c>
      <c r="DD32" s="209">
        <f>$AC32*'Verwerking Bouwdelen'!EL16</f>
        <v>0</v>
      </c>
      <c r="DE32" s="209">
        <f>$AC32*'Verwerking Bouwdelen'!EM16</f>
        <v>0</v>
      </c>
      <c r="DF32" s="209">
        <f>$AC32*'Verwerking Bouwdelen'!EN16</f>
        <v>0</v>
      </c>
      <c r="DG32" s="209">
        <f>$AC32*'Verwerking Bouwdelen'!EO16</f>
        <v>0</v>
      </c>
      <c r="DH32" s="209">
        <f>$AC32*'Verwerking Bouwdelen'!EP16</f>
        <v>0</v>
      </c>
      <c r="DI32" s="10">
        <f>IF(CW32=$O32,0,'Verwerking Bouwdelen'!G16)</f>
        <v>0</v>
      </c>
      <c r="DJ32" s="259">
        <f>'Verwerking Bouwdelen'!GK16*CF32</f>
        <v>0</v>
      </c>
      <c r="DK32" s="259">
        <f>'Verwerking Bouwdelen'!GL16*CF32</f>
        <v>0</v>
      </c>
      <c r="DL32" s="125"/>
      <c r="FZ32" s="89">
        <f>IF('Verwerken verlichting'!B28=2,1,0)</f>
        <v>0</v>
      </c>
      <c r="GA32" s="89">
        <f>$FZ32*'Verwerken verlichting'!BX28</f>
        <v>0</v>
      </c>
      <c r="GB32" s="89">
        <f>$FZ32*'Verwerken verlichting'!BY28</f>
        <v>0</v>
      </c>
      <c r="GC32" s="89">
        <f>$FZ32*'Verwerken verlichting'!BZ28</f>
        <v>0</v>
      </c>
      <c r="GD32" s="89">
        <f>$FZ32*'Verwerken verlichting'!CA28</f>
        <v>0</v>
      </c>
      <c r="GE32" s="89">
        <f>$FZ32*'Verwerken verlichting'!CB28</f>
        <v>0</v>
      </c>
      <c r="GF32" s="89">
        <f>$FZ32*'Verwerken verlichting'!CC28</f>
        <v>0</v>
      </c>
      <c r="GG32" s="89">
        <f>FZ32*'Invoer verlichting'!N27</f>
        <v>0</v>
      </c>
      <c r="GH32" s="89">
        <f>FZ32*'Verwerken verlichting'!AH28</f>
        <v>0</v>
      </c>
      <c r="GI32" s="89">
        <f>FZ32*'Verwerken verlichting'!AG28</f>
        <v>0</v>
      </c>
      <c r="GJ32" s="89">
        <f>FZ32*'Verwerken verlichting'!CE28</f>
        <v>0</v>
      </c>
      <c r="GM32" s="89">
        <f t="shared" si="2"/>
        <v>0</v>
      </c>
      <c r="GN32" s="89">
        <f t="shared" si="3"/>
        <v>0</v>
      </c>
      <c r="GO32" s="208">
        <f>IF($GN32=1,$GN32*$GM32*'Verwerking Bouwdelen'!DL16,$GN32*$GM32*'Verwerking Bouwdelen'!T16)</f>
        <v>0</v>
      </c>
      <c r="GP32" s="208">
        <f>IF($GN32=1,$GN32*$GM32*'Verwerking Bouwdelen'!DM16,$GN32*$GM32*'Verwerking Bouwdelen'!U16)</f>
        <v>0</v>
      </c>
      <c r="GQ32" s="208">
        <f>IF($GN32=1,$GN32*$GM32*'Verwerking Bouwdelen'!DN16,$GN32*$GM32*'Verwerking Bouwdelen'!V16)</f>
        <v>0</v>
      </c>
      <c r="GR32" s="208">
        <f>IF($GN32=1,$GN32*$GM32*'Verwerking Bouwdelen'!DO16,$GN32*$GM32*'Verwerking Bouwdelen'!W16)</f>
        <v>0</v>
      </c>
      <c r="GS32" s="208">
        <f>IF($GN32=1,$GN32*$GM32*'Verwerking Bouwdelen'!DP16,$GN32*$GM32*'Verwerking Bouwdelen'!X16)</f>
        <v>0</v>
      </c>
      <c r="GT32" s="208">
        <f>IF($GN32=1,$GN32*$GM32*'Verwerking Bouwdelen'!DQ16,$GN32*$GM32*'Verwerking Bouwdelen'!Y16)</f>
        <v>0</v>
      </c>
      <c r="GU32" s="208">
        <f>IF($GN32=1,$GN32*$GM32*'Verwerking Bouwdelen'!DR16,$GN32*$GM32*'Verwerking Bouwdelen'!Z16)</f>
        <v>0</v>
      </c>
      <c r="GV32" s="208">
        <f>IF($GN32=1,$GN32*$GM32*'Verwerking Bouwdelen'!DS16,$GN32*$GM32*'Verwerking Bouwdelen'!AA16)</f>
        <v>0</v>
      </c>
      <c r="GW32" s="208">
        <f>IF($GN32=1,$GN32*$GM32*'Verwerking Bouwdelen'!DT16,$GN32*$GM32*'Verwerking Bouwdelen'!AB16)</f>
        <v>0</v>
      </c>
      <c r="GX32" s="208">
        <f>IF($GN32=1,$GN32*$GM32*'Verwerking Bouwdelen'!DU16,$GN32*$GM32*'Verwerking Bouwdelen'!AC16)</f>
        <v>0</v>
      </c>
      <c r="GY32" s="208">
        <f>IF($GN32=1,$GN32*$GM32*'Verwerking Bouwdelen'!DV16,$GN32*$GM32*'Verwerking Bouwdelen'!AD16)</f>
        <v>0</v>
      </c>
      <c r="GZ32" s="208">
        <f>IF($GN32=1,$GN32*$GM32*'Verwerking Bouwdelen'!DW16,$GN32*$GM32*'Verwerking Bouwdelen'!AE16)</f>
        <v>0</v>
      </c>
      <c r="HB32" s="89">
        <f t="shared" si="4"/>
        <v>0</v>
      </c>
      <c r="HC32" s="89">
        <f t="shared" si="1"/>
        <v>0</v>
      </c>
      <c r="HD32" s="89">
        <f t="shared" si="1"/>
        <v>0</v>
      </c>
      <c r="HE32" s="89">
        <f t="shared" si="1"/>
        <v>0</v>
      </c>
      <c r="HF32" s="89">
        <f t="shared" si="1"/>
        <v>0</v>
      </c>
      <c r="HG32" s="89">
        <f t="shared" si="1"/>
        <v>0</v>
      </c>
      <c r="HH32" s="89">
        <f t="shared" si="1"/>
        <v>0</v>
      </c>
      <c r="HI32" s="89">
        <f t="shared" si="1"/>
        <v>0</v>
      </c>
      <c r="HJ32" s="89">
        <f t="shared" si="1"/>
        <v>0</v>
      </c>
      <c r="HK32" s="89">
        <f t="shared" si="1"/>
        <v>0</v>
      </c>
      <c r="HL32" s="89">
        <f t="shared" si="1"/>
        <v>0</v>
      </c>
      <c r="HM32" s="89">
        <f t="shared" si="1"/>
        <v>0</v>
      </c>
      <c r="HO32" s="256"/>
      <c r="HZ32" s="256"/>
    </row>
    <row r="33" spans="1:234" x14ac:dyDescent="0.2">
      <c r="A33" s="130">
        <f>IF('Verwerking Bouwdelen'!A17=2,1,0)</f>
        <v>0</v>
      </c>
      <c r="B33" s="208">
        <f>$A33*'Verwerking Bouwdelen'!T17</f>
        <v>0</v>
      </c>
      <c r="C33" s="208">
        <f>$A33*'Verwerking Bouwdelen'!U17</f>
        <v>0</v>
      </c>
      <c r="D33" s="208">
        <f>$A33*'Verwerking Bouwdelen'!V17</f>
        <v>0</v>
      </c>
      <c r="E33" s="208">
        <f>$A33*'Verwerking Bouwdelen'!W17</f>
        <v>0</v>
      </c>
      <c r="F33" s="208">
        <f>$A33*'Verwerking Bouwdelen'!X17</f>
        <v>0</v>
      </c>
      <c r="G33" s="208">
        <f>$A33*'Verwerking Bouwdelen'!Y17</f>
        <v>0</v>
      </c>
      <c r="H33" s="208">
        <f>$A33*'Verwerking Bouwdelen'!Z17</f>
        <v>0</v>
      </c>
      <c r="I33" s="208">
        <f>$A33*'Verwerking Bouwdelen'!AA17</f>
        <v>0</v>
      </c>
      <c r="J33" s="208">
        <f>$A33*'Verwerking Bouwdelen'!AB17</f>
        <v>0</v>
      </c>
      <c r="K33" s="208">
        <f>$A33*'Verwerking Bouwdelen'!AC17</f>
        <v>0</v>
      </c>
      <c r="L33" s="208">
        <f>$A33*'Verwerking Bouwdelen'!AD17</f>
        <v>0</v>
      </c>
      <c r="M33" s="208">
        <f>$A33*'Verwerking Bouwdelen'!AE17</f>
        <v>0</v>
      </c>
      <c r="O33" s="114">
        <f>$A33*'Verwerking Bouwdelen'!AU17</f>
        <v>0</v>
      </c>
      <c r="P33" s="125">
        <f>$A33*'Verwerking Bouwdelen'!AV17</f>
        <v>0</v>
      </c>
      <c r="Q33" s="125">
        <f>$A33*'Verwerking Bouwdelen'!AW17</f>
        <v>0</v>
      </c>
      <c r="R33" s="125">
        <f>$A33*'Verwerking Bouwdelen'!AX17</f>
        <v>0</v>
      </c>
      <c r="S33" s="125">
        <f>$A33*'Verwerking Bouwdelen'!AY17</f>
        <v>0</v>
      </c>
      <c r="T33" s="125">
        <f>$A33*'Verwerking Bouwdelen'!AZ17</f>
        <v>0</v>
      </c>
      <c r="U33" s="125">
        <f>$A33*'Verwerking Bouwdelen'!BA17</f>
        <v>0</v>
      </c>
      <c r="V33" s="125">
        <f>$A33*'Verwerking Bouwdelen'!BB17</f>
        <v>0</v>
      </c>
      <c r="W33" s="125">
        <f>$A33*'Verwerking Bouwdelen'!BC17</f>
        <v>0</v>
      </c>
      <c r="X33" s="125">
        <f>$A33*'Verwerking Bouwdelen'!BD17</f>
        <v>0</v>
      </c>
      <c r="Y33" s="125">
        <f>$A33*'Verwerking Bouwdelen'!BE17</f>
        <v>0</v>
      </c>
      <c r="Z33" s="195">
        <f>$A33*'Verwerking Bouwdelen'!BF17</f>
        <v>0</v>
      </c>
      <c r="AB33" s="125">
        <f>IF(OR('Verwerking Bouwdelen'!C17=3,'Verwerking Bouwdelen'!C17=6),1,0)</f>
        <v>0</v>
      </c>
      <c r="AC33" s="130">
        <f>IF('Verwerking Bouwdelen'!A17=2,1,0)</f>
        <v>0</v>
      </c>
      <c r="AD33" s="208">
        <f>IF($AB33=1,$AC33*'Verwerking Bouwdelen'!DL17,$AC33*'Verwerking Bouwdelen'!T17)</f>
        <v>0</v>
      </c>
      <c r="AE33" s="208">
        <f>IF($AB33=1,$AC33*'Verwerking Bouwdelen'!DM17,$AC33*'Verwerking Bouwdelen'!U17)</f>
        <v>0</v>
      </c>
      <c r="AF33" s="208">
        <f>IF($AB33=1,$AC33*'Verwerking Bouwdelen'!DN17,$AC33*'Verwerking Bouwdelen'!V17)</f>
        <v>0</v>
      </c>
      <c r="AG33" s="208">
        <f>IF($AB33=1,$AC33*'Verwerking Bouwdelen'!DO17,$AC33*'Verwerking Bouwdelen'!W17)</f>
        <v>0</v>
      </c>
      <c r="AH33" s="208">
        <f>IF($AB33=1,$AC33*'Verwerking Bouwdelen'!DP17,$AC33*'Verwerking Bouwdelen'!X17)</f>
        <v>0</v>
      </c>
      <c r="AI33" s="208">
        <f>IF($AB33=1,$AC33*'Verwerking Bouwdelen'!DQ17,$AC33*'Verwerking Bouwdelen'!Y17)</f>
        <v>0</v>
      </c>
      <c r="AJ33" s="208">
        <f>IF($AB33=1,$AC33*'Verwerking Bouwdelen'!DR17,$AC33*'Verwerking Bouwdelen'!Z17)</f>
        <v>0</v>
      </c>
      <c r="AK33" s="208">
        <f>IF($AB33=1,$AC33*'Verwerking Bouwdelen'!DS17,$AC33*'Verwerking Bouwdelen'!AA17)</f>
        <v>0</v>
      </c>
      <c r="AL33" s="208">
        <f>IF($AB33=1,$AC33*'Verwerking Bouwdelen'!DT17,$AC33*'Verwerking Bouwdelen'!AB17)</f>
        <v>0</v>
      </c>
      <c r="AM33" s="208">
        <f>IF($AB33=1,$AC33*'Verwerking Bouwdelen'!DU17,$AC33*'Verwerking Bouwdelen'!AC17)</f>
        <v>0</v>
      </c>
      <c r="AN33" s="208">
        <f>IF($AB33=1,$AC33*'Verwerking Bouwdelen'!DV17,$AC33*'Verwerking Bouwdelen'!AD17)</f>
        <v>0</v>
      </c>
      <c r="AO33" s="208">
        <f>IF($AB33=1,$AC33*'Verwerking Bouwdelen'!DW17,$AC33*'Verwerking Bouwdelen'!AE17)</f>
        <v>0</v>
      </c>
      <c r="AP33" s="10">
        <f>IF(AD33=B33,0,'Verwerking Bouwdelen'!D17*AB33*AC33)</f>
        <v>0</v>
      </c>
      <c r="AQ33" s="10">
        <f>AB33*AC33*'Verwerking Bouwdelen'!GH17</f>
        <v>0</v>
      </c>
      <c r="AR33" s="10"/>
      <c r="AS33" s="248"/>
      <c r="AT33" s="125">
        <f>IF('Verwerking Bouwdelen'!C17=4,1,0)</f>
        <v>0</v>
      </c>
      <c r="AU33" s="130">
        <f>IF('Verwerking Bouwdelen'!A17=2,1,0)</f>
        <v>0</v>
      </c>
      <c r="AV33" s="208">
        <f>IF($AT33=1,$AU33*'Verwerking Bouwdelen'!DL17,$AU33*'Verwerking Bouwdelen'!T17)</f>
        <v>0</v>
      </c>
      <c r="AW33" s="208">
        <f>IF($AT33=1,$AU33*'Verwerking Bouwdelen'!DM17,$AU33*'Verwerking Bouwdelen'!U17)</f>
        <v>0</v>
      </c>
      <c r="AX33" s="208">
        <f>IF($AT33=1,$AU33*'Verwerking Bouwdelen'!DN17,$AU33*'Verwerking Bouwdelen'!V17)</f>
        <v>0</v>
      </c>
      <c r="AY33" s="208">
        <f>IF($AT33=1,$AU33*'Verwerking Bouwdelen'!DO17,$AU33*'Verwerking Bouwdelen'!W17)</f>
        <v>0</v>
      </c>
      <c r="AZ33" s="208">
        <f>IF($AT33=1,$AU33*'Verwerking Bouwdelen'!DP17,$AU33*'Verwerking Bouwdelen'!X17)</f>
        <v>0</v>
      </c>
      <c r="BA33" s="208">
        <f>IF($AT33=1,$AU33*'Verwerking Bouwdelen'!DQ17,$AU33*'Verwerking Bouwdelen'!Y17)</f>
        <v>0</v>
      </c>
      <c r="BB33" s="208">
        <f>IF($AT33=1,$AU33*'Verwerking Bouwdelen'!DR17,$AU33*'Verwerking Bouwdelen'!Z17)</f>
        <v>0</v>
      </c>
      <c r="BC33" s="208">
        <f>IF($AT33=1,$AU33*'Verwerking Bouwdelen'!DS17,$AU33*'Verwerking Bouwdelen'!AA17)</f>
        <v>0</v>
      </c>
      <c r="BD33" s="208">
        <f>IF($AT33=1,$AU33*'Verwerking Bouwdelen'!DT17,$AU33*'Verwerking Bouwdelen'!AB17)</f>
        <v>0</v>
      </c>
      <c r="BE33" s="208">
        <f>IF($AT33=1,$AU33*'Verwerking Bouwdelen'!DU17,$AU33*'Verwerking Bouwdelen'!AC17)</f>
        <v>0</v>
      </c>
      <c r="BF33" s="208">
        <f>IF($AT33=1,$AU33*'Verwerking Bouwdelen'!DV17,$AU33*'Verwerking Bouwdelen'!AD17)</f>
        <v>0</v>
      </c>
      <c r="BG33" s="208">
        <f>IF($AT33=1,$AU33*'Verwerking Bouwdelen'!DW17,$AU33*'Verwerking Bouwdelen'!AE17)</f>
        <v>0</v>
      </c>
      <c r="BH33" s="10">
        <f>IF(AV33=B33,0,'Verwerking Bouwdelen'!D17*AT33*AU33)</f>
        <v>0</v>
      </c>
      <c r="BI33" s="10">
        <f>AT33*AU33*'Verwerking Bouwdelen'!GH17</f>
        <v>0</v>
      </c>
      <c r="BJ33" s="10"/>
      <c r="BK33" s="10"/>
      <c r="BM33" s="125">
        <f>IF('Verwerking Bouwdelen'!C17=5,1,0)</f>
        <v>0</v>
      </c>
      <c r="BN33" s="130">
        <f>IF('Verwerking Bouwdelen'!A17=2,1,0)</f>
        <v>0</v>
      </c>
      <c r="BO33" s="208">
        <f>IF($BM33=1,$BN33*'Verwerking Bouwdelen'!DL17,$BN33*'Verwerking Bouwdelen'!T17)</f>
        <v>0</v>
      </c>
      <c r="BP33" s="208">
        <f>IF($BM33=1,$BN33*'Verwerking Bouwdelen'!DM17,$BN33*'Verwerking Bouwdelen'!U17)</f>
        <v>0</v>
      </c>
      <c r="BQ33" s="208">
        <f>IF($BM33=1,$BN33*'Verwerking Bouwdelen'!DN17,$BN33*'Verwerking Bouwdelen'!V17)</f>
        <v>0</v>
      </c>
      <c r="BR33" s="208">
        <f>IF($BM33=1,$BN33*'Verwerking Bouwdelen'!DO17,$BN33*'Verwerking Bouwdelen'!W17)</f>
        <v>0</v>
      </c>
      <c r="BS33" s="208">
        <f>IF($BM33=1,$BN33*'Verwerking Bouwdelen'!DP17,$BN33*'Verwerking Bouwdelen'!X17)</f>
        <v>0</v>
      </c>
      <c r="BT33" s="208">
        <f>IF($BM33=1,$BN33*'Verwerking Bouwdelen'!DQ17,$BN33*'Verwerking Bouwdelen'!Y17)</f>
        <v>0</v>
      </c>
      <c r="BU33" s="208">
        <f>IF($BM33=1,$BN33*'Verwerking Bouwdelen'!DR17,$BN33*'Verwerking Bouwdelen'!Z17)</f>
        <v>0</v>
      </c>
      <c r="BV33" s="208">
        <f>IF($BM33=1,$BN33*'Verwerking Bouwdelen'!DS17,$BN33*'Verwerking Bouwdelen'!AA17)</f>
        <v>0</v>
      </c>
      <c r="BW33" s="208">
        <f>IF($BM33=1,$BN33*'Verwerking Bouwdelen'!DT17,$BN33*'Verwerking Bouwdelen'!AB17)</f>
        <v>0</v>
      </c>
      <c r="BX33" s="208">
        <f>IF($BM33=1,$BN33*'Verwerking Bouwdelen'!DU17,$BN33*'Verwerking Bouwdelen'!AC17)</f>
        <v>0</v>
      </c>
      <c r="BY33" s="208">
        <f>IF($BM33=1,$BN33*'Verwerking Bouwdelen'!DV17,$BN33*'Verwerking Bouwdelen'!AD17)</f>
        <v>0</v>
      </c>
      <c r="BZ33" s="208">
        <f>IF($BM33=1,$BN33*'Verwerking Bouwdelen'!DW17,$BN33*'Verwerking Bouwdelen'!AE17)</f>
        <v>0</v>
      </c>
      <c r="CA33" s="10">
        <f>IF(BO33=B33,0,'Verwerking Bouwdelen'!D17*BM33*BN33)</f>
        <v>0</v>
      </c>
      <c r="CB33" s="10">
        <f>BM33*BN33*'Verwerking Bouwdelen'!GH17</f>
        <v>0</v>
      </c>
      <c r="CC33" s="10"/>
      <c r="CD33" s="248"/>
      <c r="CE33" s="125">
        <f>IF('Verwerking Bouwdelen'!C17=2,1,0)</f>
        <v>0</v>
      </c>
      <c r="CF33" s="130">
        <f>IF('Verwerking Bouwdelen'!A17=2,1,0)</f>
        <v>0</v>
      </c>
      <c r="CG33" s="208">
        <f>IF($CE33=1,$CF33*'Verwerking Bouwdelen'!DL17,$CF33*'Verwerking Bouwdelen'!T17)</f>
        <v>0</v>
      </c>
      <c r="CH33" s="208">
        <f>IF($CE33=1,$CF33*'Verwerking Bouwdelen'!DM17,$CF33*'Verwerking Bouwdelen'!U17)</f>
        <v>0</v>
      </c>
      <c r="CI33" s="208">
        <f>IF($CE33=1,$CF33*'Verwerking Bouwdelen'!DN17,$CF33*'Verwerking Bouwdelen'!V17)</f>
        <v>0</v>
      </c>
      <c r="CJ33" s="208">
        <f>IF($CE33=1,$CF33*'Verwerking Bouwdelen'!DO17,$CF33*'Verwerking Bouwdelen'!W17)</f>
        <v>0</v>
      </c>
      <c r="CK33" s="208">
        <f>IF($CE33=1,$CF33*'Verwerking Bouwdelen'!DP17,$CF33*'Verwerking Bouwdelen'!X17)</f>
        <v>0</v>
      </c>
      <c r="CL33" s="208">
        <f>IF($CE33=1,$CF33*'Verwerking Bouwdelen'!DQ17,$CF33*'Verwerking Bouwdelen'!Y17)</f>
        <v>0</v>
      </c>
      <c r="CM33" s="208">
        <f>IF($CE33=1,$CF33*'Verwerking Bouwdelen'!DR17,$CF33*'Verwerking Bouwdelen'!Z17)</f>
        <v>0</v>
      </c>
      <c r="CN33" s="208">
        <f>IF($CE33=1,$CF33*'Verwerking Bouwdelen'!DS17,$CF33*'Verwerking Bouwdelen'!AA17)</f>
        <v>0</v>
      </c>
      <c r="CO33" s="208">
        <f>IF($CE33=1,$CF33*'Verwerking Bouwdelen'!DT17,$CF33*'Verwerking Bouwdelen'!AB17)</f>
        <v>0</v>
      </c>
      <c r="CP33" s="208">
        <f>IF($CE33=1,$CF33*'Verwerking Bouwdelen'!DU17,$CF33*'Verwerking Bouwdelen'!AC17)</f>
        <v>0</v>
      </c>
      <c r="CQ33" s="208">
        <f>IF($CE33=1,$CF33*'Verwerking Bouwdelen'!DV17,$CF33*'Verwerking Bouwdelen'!AD17)</f>
        <v>0</v>
      </c>
      <c r="CR33" s="208">
        <f>IF($CE33=1,$CF33*'Verwerking Bouwdelen'!DW17,$CF33*'Verwerking Bouwdelen'!AE17)</f>
        <v>0</v>
      </c>
      <c r="CS33" s="10">
        <f>IF(CG33=$B33,0,('Verwerking Bouwdelen'!$D17-'Verwerking Bouwdelen'!G17)*CE33*CF33)</f>
        <v>0</v>
      </c>
      <c r="CT33" s="260">
        <f>CE33*CF33*'Verwerking Bouwdelen'!GH17</f>
        <v>0</v>
      </c>
      <c r="CU33" s="261">
        <f>CE33*CF33*'Verwerking Bouwdelen'!GI17</f>
        <v>0</v>
      </c>
      <c r="CW33" s="209">
        <f>$AC33*'Verwerking Bouwdelen'!EE17</f>
        <v>0</v>
      </c>
      <c r="CX33" s="209">
        <f>$AC33*'Verwerking Bouwdelen'!EF17</f>
        <v>0</v>
      </c>
      <c r="CY33" s="209">
        <f>$AC33*'Verwerking Bouwdelen'!EG17</f>
        <v>0</v>
      </c>
      <c r="CZ33" s="209">
        <f>$AC33*'Verwerking Bouwdelen'!EH17</f>
        <v>0</v>
      </c>
      <c r="DA33" s="209">
        <f>$AC33*'Verwerking Bouwdelen'!EI17</f>
        <v>0</v>
      </c>
      <c r="DB33" s="209">
        <f>$AC33*'Verwerking Bouwdelen'!EJ17</f>
        <v>0</v>
      </c>
      <c r="DC33" s="209">
        <f>$AC33*'Verwerking Bouwdelen'!EK17</f>
        <v>0</v>
      </c>
      <c r="DD33" s="209">
        <f>$AC33*'Verwerking Bouwdelen'!EL17</f>
        <v>0</v>
      </c>
      <c r="DE33" s="209">
        <f>$AC33*'Verwerking Bouwdelen'!EM17</f>
        <v>0</v>
      </c>
      <c r="DF33" s="209">
        <f>$AC33*'Verwerking Bouwdelen'!EN17</f>
        <v>0</v>
      </c>
      <c r="DG33" s="209">
        <f>$AC33*'Verwerking Bouwdelen'!EO17</f>
        <v>0</v>
      </c>
      <c r="DH33" s="209">
        <f>$AC33*'Verwerking Bouwdelen'!EP17</f>
        <v>0</v>
      </c>
      <c r="DI33" s="10">
        <f>IF(CW33=$O33,0,'Verwerking Bouwdelen'!G17)</f>
        <v>0</v>
      </c>
      <c r="DJ33" s="259">
        <f>'Verwerking Bouwdelen'!GK17*CF33</f>
        <v>0</v>
      </c>
      <c r="DK33" s="259">
        <f>'Verwerking Bouwdelen'!GL17*CF33</f>
        <v>0</v>
      </c>
      <c r="DL33" s="125"/>
      <c r="GA33" s="89">
        <f t="shared" ref="GA33:GH33" si="5">SUM(GA9:GA32)</f>
        <v>0</v>
      </c>
      <c r="GB33" s="89">
        <f t="shared" si="5"/>
        <v>0</v>
      </c>
      <c r="GC33" s="89">
        <f t="shared" si="5"/>
        <v>0</v>
      </c>
      <c r="GD33" s="89">
        <f t="shared" si="5"/>
        <v>0</v>
      </c>
      <c r="GE33" s="89">
        <f t="shared" si="5"/>
        <v>0</v>
      </c>
      <c r="GF33" s="89">
        <f t="shared" si="5"/>
        <v>0</v>
      </c>
      <c r="GG33" s="89">
        <f t="shared" si="5"/>
        <v>0</v>
      </c>
      <c r="GH33" s="89">
        <f t="shared" si="5"/>
        <v>0</v>
      </c>
      <c r="GI33" s="89">
        <f>SUM(GI9:GI32)</f>
        <v>0</v>
      </c>
      <c r="GJ33" s="89">
        <f>SUM(GJ9:GJ32)</f>
        <v>0</v>
      </c>
      <c r="GM33" s="89">
        <f t="shared" si="2"/>
        <v>0</v>
      </c>
      <c r="GN33" s="89">
        <f t="shared" si="3"/>
        <v>0</v>
      </c>
      <c r="GO33" s="208">
        <f>IF($GN33=1,$GN33*$GM33*'Verwerking Bouwdelen'!DL17,$GN33*$GM33*'Verwerking Bouwdelen'!T17)</f>
        <v>0</v>
      </c>
      <c r="GP33" s="208">
        <f>IF($GN33=1,$GN33*$GM33*'Verwerking Bouwdelen'!DM17,$GN33*$GM33*'Verwerking Bouwdelen'!U17)</f>
        <v>0</v>
      </c>
      <c r="GQ33" s="208">
        <f>IF($GN33=1,$GN33*$GM33*'Verwerking Bouwdelen'!DN17,$GN33*$GM33*'Verwerking Bouwdelen'!V17)</f>
        <v>0</v>
      </c>
      <c r="GR33" s="208">
        <f>IF($GN33=1,$GN33*$GM33*'Verwerking Bouwdelen'!DO17,$GN33*$GM33*'Verwerking Bouwdelen'!W17)</f>
        <v>0</v>
      </c>
      <c r="GS33" s="208">
        <f>IF($GN33=1,$GN33*$GM33*'Verwerking Bouwdelen'!DP17,$GN33*$GM33*'Verwerking Bouwdelen'!X17)</f>
        <v>0</v>
      </c>
      <c r="GT33" s="208">
        <f>IF($GN33=1,$GN33*$GM33*'Verwerking Bouwdelen'!DQ17,$GN33*$GM33*'Verwerking Bouwdelen'!Y17)</f>
        <v>0</v>
      </c>
      <c r="GU33" s="208">
        <f>IF($GN33=1,$GN33*$GM33*'Verwerking Bouwdelen'!DR17,$GN33*$GM33*'Verwerking Bouwdelen'!Z17)</f>
        <v>0</v>
      </c>
      <c r="GV33" s="208">
        <f>IF($GN33=1,$GN33*$GM33*'Verwerking Bouwdelen'!DS17,$GN33*$GM33*'Verwerking Bouwdelen'!AA17)</f>
        <v>0</v>
      </c>
      <c r="GW33" s="208">
        <f>IF($GN33=1,$GN33*$GM33*'Verwerking Bouwdelen'!DT17,$GN33*$GM33*'Verwerking Bouwdelen'!AB17)</f>
        <v>0</v>
      </c>
      <c r="GX33" s="208">
        <f>IF($GN33=1,$GN33*$GM33*'Verwerking Bouwdelen'!DU17,$GN33*$GM33*'Verwerking Bouwdelen'!AC17)</f>
        <v>0</v>
      </c>
      <c r="GY33" s="208">
        <f>IF($GN33=1,$GN33*$GM33*'Verwerking Bouwdelen'!DV17,$GN33*$GM33*'Verwerking Bouwdelen'!AD17)</f>
        <v>0</v>
      </c>
      <c r="GZ33" s="208">
        <f>IF($GN33=1,$GN33*$GM33*'Verwerking Bouwdelen'!DW17,$GN33*$GM33*'Verwerking Bouwdelen'!AE17)</f>
        <v>0</v>
      </c>
      <c r="HB33" s="89">
        <f t="shared" si="4"/>
        <v>0</v>
      </c>
      <c r="HC33" s="89">
        <f t="shared" si="1"/>
        <v>0</v>
      </c>
      <c r="HD33" s="89">
        <f t="shared" si="1"/>
        <v>0</v>
      </c>
      <c r="HE33" s="89">
        <f t="shared" si="1"/>
        <v>0</v>
      </c>
      <c r="HF33" s="89">
        <f t="shared" si="1"/>
        <v>0</v>
      </c>
      <c r="HG33" s="89">
        <f t="shared" si="1"/>
        <v>0</v>
      </c>
      <c r="HH33" s="89">
        <f t="shared" si="1"/>
        <v>0</v>
      </c>
      <c r="HI33" s="89">
        <f t="shared" si="1"/>
        <v>0</v>
      </c>
      <c r="HJ33" s="89">
        <f t="shared" si="1"/>
        <v>0</v>
      </c>
      <c r="HK33" s="89">
        <f t="shared" si="1"/>
        <v>0</v>
      </c>
      <c r="HL33" s="89">
        <f t="shared" si="1"/>
        <v>0</v>
      </c>
      <c r="HM33" s="89">
        <f t="shared" si="1"/>
        <v>0</v>
      </c>
      <c r="HO33" s="256"/>
      <c r="HZ33" s="256"/>
    </row>
    <row r="34" spans="1:234" x14ac:dyDescent="0.2">
      <c r="A34" s="130">
        <f>IF('Verwerking Bouwdelen'!A18=2,1,0)</f>
        <v>0</v>
      </c>
      <c r="B34" s="208">
        <f>$A34*'Verwerking Bouwdelen'!T18</f>
        <v>0</v>
      </c>
      <c r="C34" s="208">
        <f>$A34*'Verwerking Bouwdelen'!U18</f>
        <v>0</v>
      </c>
      <c r="D34" s="208">
        <f>$A34*'Verwerking Bouwdelen'!V18</f>
        <v>0</v>
      </c>
      <c r="E34" s="208">
        <f>$A34*'Verwerking Bouwdelen'!W18</f>
        <v>0</v>
      </c>
      <c r="F34" s="208">
        <f>$A34*'Verwerking Bouwdelen'!X18</f>
        <v>0</v>
      </c>
      <c r="G34" s="208">
        <f>$A34*'Verwerking Bouwdelen'!Y18</f>
        <v>0</v>
      </c>
      <c r="H34" s="208">
        <f>$A34*'Verwerking Bouwdelen'!Z18</f>
        <v>0</v>
      </c>
      <c r="I34" s="208">
        <f>$A34*'Verwerking Bouwdelen'!AA18</f>
        <v>0</v>
      </c>
      <c r="J34" s="208">
        <f>$A34*'Verwerking Bouwdelen'!AB18</f>
        <v>0</v>
      </c>
      <c r="K34" s="208">
        <f>$A34*'Verwerking Bouwdelen'!AC18</f>
        <v>0</v>
      </c>
      <c r="L34" s="208">
        <f>$A34*'Verwerking Bouwdelen'!AD18</f>
        <v>0</v>
      </c>
      <c r="M34" s="208">
        <f>$A34*'Verwerking Bouwdelen'!AE18</f>
        <v>0</v>
      </c>
      <c r="O34" s="114">
        <f>$A34*'Verwerking Bouwdelen'!AU18</f>
        <v>0</v>
      </c>
      <c r="P34" s="125">
        <f>$A34*'Verwerking Bouwdelen'!AV18</f>
        <v>0</v>
      </c>
      <c r="Q34" s="125">
        <f>$A34*'Verwerking Bouwdelen'!AW18</f>
        <v>0</v>
      </c>
      <c r="R34" s="125">
        <f>$A34*'Verwerking Bouwdelen'!AX18</f>
        <v>0</v>
      </c>
      <c r="S34" s="125">
        <f>$A34*'Verwerking Bouwdelen'!AY18</f>
        <v>0</v>
      </c>
      <c r="T34" s="125">
        <f>$A34*'Verwerking Bouwdelen'!AZ18</f>
        <v>0</v>
      </c>
      <c r="U34" s="125">
        <f>$A34*'Verwerking Bouwdelen'!BA18</f>
        <v>0</v>
      </c>
      <c r="V34" s="125">
        <f>$A34*'Verwerking Bouwdelen'!BB18</f>
        <v>0</v>
      </c>
      <c r="W34" s="125">
        <f>$A34*'Verwerking Bouwdelen'!BC18</f>
        <v>0</v>
      </c>
      <c r="X34" s="125">
        <f>$A34*'Verwerking Bouwdelen'!BD18</f>
        <v>0</v>
      </c>
      <c r="Y34" s="125">
        <f>$A34*'Verwerking Bouwdelen'!BE18</f>
        <v>0</v>
      </c>
      <c r="Z34" s="195">
        <f>$A34*'Verwerking Bouwdelen'!BF18</f>
        <v>0</v>
      </c>
      <c r="AB34" s="125">
        <f>IF(OR('Verwerking Bouwdelen'!C18=3,'Verwerking Bouwdelen'!C18=6),1,0)</f>
        <v>0</v>
      </c>
      <c r="AC34" s="130">
        <f>IF('Verwerking Bouwdelen'!A18=2,1,0)</f>
        <v>0</v>
      </c>
      <c r="AD34" s="208">
        <f>IF($AB34=1,$AC34*'Verwerking Bouwdelen'!DL18,$AC34*'Verwerking Bouwdelen'!T18)</f>
        <v>0</v>
      </c>
      <c r="AE34" s="208">
        <f>IF($AB34=1,$AC34*'Verwerking Bouwdelen'!DM18,$AC34*'Verwerking Bouwdelen'!U18)</f>
        <v>0</v>
      </c>
      <c r="AF34" s="208">
        <f>IF($AB34=1,$AC34*'Verwerking Bouwdelen'!DN18,$AC34*'Verwerking Bouwdelen'!V18)</f>
        <v>0</v>
      </c>
      <c r="AG34" s="208">
        <f>IF($AB34=1,$AC34*'Verwerking Bouwdelen'!DO18,$AC34*'Verwerking Bouwdelen'!W18)</f>
        <v>0</v>
      </c>
      <c r="AH34" s="208">
        <f>IF($AB34=1,$AC34*'Verwerking Bouwdelen'!DP18,$AC34*'Verwerking Bouwdelen'!X18)</f>
        <v>0</v>
      </c>
      <c r="AI34" s="208">
        <f>IF($AB34=1,$AC34*'Verwerking Bouwdelen'!DQ18,$AC34*'Verwerking Bouwdelen'!Y18)</f>
        <v>0</v>
      </c>
      <c r="AJ34" s="208">
        <f>IF($AB34=1,$AC34*'Verwerking Bouwdelen'!DR18,$AC34*'Verwerking Bouwdelen'!Z18)</f>
        <v>0</v>
      </c>
      <c r="AK34" s="208">
        <f>IF($AB34=1,$AC34*'Verwerking Bouwdelen'!DS18,$AC34*'Verwerking Bouwdelen'!AA18)</f>
        <v>0</v>
      </c>
      <c r="AL34" s="208">
        <f>IF($AB34=1,$AC34*'Verwerking Bouwdelen'!DT18,$AC34*'Verwerking Bouwdelen'!AB18)</f>
        <v>0</v>
      </c>
      <c r="AM34" s="208">
        <f>IF($AB34=1,$AC34*'Verwerking Bouwdelen'!DU18,$AC34*'Verwerking Bouwdelen'!AC18)</f>
        <v>0</v>
      </c>
      <c r="AN34" s="208">
        <f>IF($AB34=1,$AC34*'Verwerking Bouwdelen'!DV18,$AC34*'Verwerking Bouwdelen'!AD18)</f>
        <v>0</v>
      </c>
      <c r="AO34" s="208">
        <f>IF($AB34=1,$AC34*'Verwerking Bouwdelen'!DW18,$AC34*'Verwerking Bouwdelen'!AE18)</f>
        <v>0</v>
      </c>
      <c r="AP34" s="10">
        <f>IF(AD34=B34,0,'Verwerking Bouwdelen'!D18*AB34*AC34)</f>
        <v>0</v>
      </c>
      <c r="AQ34" s="10">
        <f>AB34*AC34*'Verwerking Bouwdelen'!GH18</f>
        <v>0</v>
      </c>
      <c r="AR34" s="10"/>
      <c r="AS34" s="248"/>
      <c r="AT34" s="125">
        <f>IF('Verwerking Bouwdelen'!C18=4,1,0)</f>
        <v>0</v>
      </c>
      <c r="AU34" s="130">
        <f>IF('Verwerking Bouwdelen'!A18=2,1,0)</f>
        <v>0</v>
      </c>
      <c r="AV34" s="208">
        <f>IF($AT34=1,$AU34*'Verwerking Bouwdelen'!DL18,$AU34*'Verwerking Bouwdelen'!T18)</f>
        <v>0</v>
      </c>
      <c r="AW34" s="208">
        <f>IF($AT34=1,$AU34*'Verwerking Bouwdelen'!DM18,$AU34*'Verwerking Bouwdelen'!U18)</f>
        <v>0</v>
      </c>
      <c r="AX34" s="208">
        <f>IF($AT34=1,$AU34*'Verwerking Bouwdelen'!DN18,$AU34*'Verwerking Bouwdelen'!V18)</f>
        <v>0</v>
      </c>
      <c r="AY34" s="208">
        <f>IF($AT34=1,$AU34*'Verwerking Bouwdelen'!DO18,$AU34*'Verwerking Bouwdelen'!W18)</f>
        <v>0</v>
      </c>
      <c r="AZ34" s="208">
        <f>IF($AT34=1,$AU34*'Verwerking Bouwdelen'!DP18,$AU34*'Verwerking Bouwdelen'!X18)</f>
        <v>0</v>
      </c>
      <c r="BA34" s="208">
        <f>IF($AT34=1,$AU34*'Verwerking Bouwdelen'!DQ18,$AU34*'Verwerking Bouwdelen'!Y18)</f>
        <v>0</v>
      </c>
      <c r="BB34" s="208">
        <f>IF($AT34=1,$AU34*'Verwerking Bouwdelen'!DR18,$AU34*'Verwerking Bouwdelen'!Z18)</f>
        <v>0</v>
      </c>
      <c r="BC34" s="208">
        <f>IF($AT34=1,$AU34*'Verwerking Bouwdelen'!DS18,$AU34*'Verwerking Bouwdelen'!AA18)</f>
        <v>0</v>
      </c>
      <c r="BD34" s="208">
        <f>IF($AT34=1,$AU34*'Verwerking Bouwdelen'!DT18,$AU34*'Verwerking Bouwdelen'!AB18)</f>
        <v>0</v>
      </c>
      <c r="BE34" s="208">
        <f>IF($AT34=1,$AU34*'Verwerking Bouwdelen'!DU18,$AU34*'Verwerking Bouwdelen'!AC18)</f>
        <v>0</v>
      </c>
      <c r="BF34" s="208">
        <f>IF($AT34=1,$AU34*'Verwerking Bouwdelen'!DV18,$AU34*'Verwerking Bouwdelen'!AD18)</f>
        <v>0</v>
      </c>
      <c r="BG34" s="208">
        <f>IF($AT34=1,$AU34*'Verwerking Bouwdelen'!DW18,$AU34*'Verwerking Bouwdelen'!AE18)</f>
        <v>0</v>
      </c>
      <c r="BH34" s="10">
        <f>IF(AV34=B34,0,'Verwerking Bouwdelen'!D18*AT34*AU34)</f>
        <v>0</v>
      </c>
      <c r="BI34" s="10">
        <f>AT34*AU34*'Verwerking Bouwdelen'!GH18</f>
        <v>0</v>
      </c>
      <c r="BJ34" s="10"/>
      <c r="BK34" s="10"/>
      <c r="BM34" s="125">
        <f>IF('Verwerking Bouwdelen'!C18=5,1,0)</f>
        <v>0</v>
      </c>
      <c r="BN34" s="130">
        <f>IF('Verwerking Bouwdelen'!A18=2,1,0)</f>
        <v>0</v>
      </c>
      <c r="BO34" s="208">
        <f>IF($BM34=1,$BN34*'Verwerking Bouwdelen'!DL18,$BN34*'Verwerking Bouwdelen'!T18)</f>
        <v>0</v>
      </c>
      <c r="BP34" s="208">
        <f>IF($BM34=1,$BN34*'Verwerking Bouwdelen'!DM18,$BN34*'Verwerking Bouwdelen'!U18)</f>
        <v>0</v>
      </c>
      <c r="BQ34" s="208">
        <f>IF($BM34=1,$BN34*'Verwerking Bouwdelen'!DN18,$BN34*'Verwerking Bouwdelen'!V18)</f>
        <v>0</v>
      </c>
      <c r="BR34" s="208">
        <f>IF($BM34=1,$BN34*'Verwerking Bouwdelen'!DO18,$BN34*'Verwerking Bouwdelen'!W18)</f>
        <v>0</v>
      </c>
      <c r="BS34" s="208">
        <f>IF($BM34=1,$BN34*'Verwerking Bouwdelen'!DP18,$BN34*'Verwerking Bouwdelen'!X18)</f>
        <v>0</v>
      </c>
      <c r="BT34" s="208">
        <f>IF($BM34=1,$BN34*'Verwerking Bouwdelen'!DQ18,$BN34*'Verwerking Bouwdelen'!Y18)</f>
        <v>0</v>
      </c>
      <c r="BU34" s="208">
        <f>IF($BM34=1,$BN34*'Verwerking Bouwdelen'!DR18,$BN34*'Verwerking Bouwdelen'!Z18)</f>
        <v>0</v>
      </c>
      <c r="BV34" s="208">
        <f>IF($BM34=1,$BN34*'Verwerking Bouwdelen'!DS18,$BN34*'Verwerking Bouwdelen'!AA18)</f>
        <v>0</v>
      </c>
      <c r="BW34" s="208">
        <f>IF($BM34=1,$BN34*'Verwerking Bouwdelen'!DT18,$BN34*'Verwerking Bouwdelen'!AB18)</f>
        <v>0</v>
      </c>
      <c r="BX34" s="208">
        <f>IF($BM34=1,$BN34*'Verwerking Bouwdelen'!DU18,$BN34*'Verwerking Bouwdelen'!AC18)</f>
        <v>0</v>
      </c>
      <c r="BY34" s="208">
        <f>IF($BM34=1,$BN34*'Verwerking Bouwdelen'!DV18,$BN34*'Verwerking Bouwdelen'!AD18)</f>
        <v>0</v>
      </c>
      <c r="BZ34" s="208">
        <f>IF($BM34=1,$BN34*'Verwerking Bouwdelen'!DW18,$BN34*'Verwerking Bouwdelen'!AE18)</f>
        <v>0</v>
      </c>
      <c r="CA34" s="10">
        <f>IF(BO34=B34,0,'Verwerking Bouwdelen'!D18*BM34*BN34)</f>
        <v>0</v>
      </c>
      <c r="CB34" s="10">
        <f>BM34*BN34*'Verwerking Bouwdelen'!GH18</f>
        <v>0</v>
      </c>
      <c r="CC34" s="10"/>
      <c r="CD34" s="248"/>
      <c r="CE34" s="125">
        <f>IF('Verwerking Bouwdelen'!C18=2,1,0)</f>
        <v>0</v>
      </c>
      <c r="CF34" s="130">
        <f>IF('Verwerking Bouwdelen'!A18=2,1,0)</f>
        <v>0</v>
      </c>
      <c r="CG34" s="208">
        <f>IF($CE34=1,$CF34*'Verwerking Bouwdelen'!DL18,$CF34*'Verwerking Bouwdelen'!T18)</f>
        <v>0</v>
      </c>
      <c r="CH34" s="208">
        <f>IF($CE34=1,$CF34*'Verwerking Bouwdelen'!DM18,$CF34*'Verwerking Bouwdelen'!U18)</f>
        <v>0</v>
      </c>
      <c r="CI34" s="208">
        <f>IF($CE34=1,$CF34*'Verwerking Bouwdelen'!DN18,$CF34*'Verwerking Bouwdelen'!V18)</f>
        <v>0</v>
      </c>
      <c r="CJ34" s="208">
        <f>IF($CE34=1,$CF34*'Verwerking Bouwdelen'!DO18,$CF34*'Verwerking Bouwdelen'!W18)</f>
        <v>0</v>
      </c>
      <c r="CK34" s="208">
        <f>IF($CE34=1,$CF34*'Verwerking Bouwdelen'!DP18,$CF34*'Verwerking Bouwdelen'!X18)</f>
        <v>0</v>
      </c>
      <c r="CL34" s="208">
        <f>IF($CE34=1,$CF34*'Verwerking Bouwdelen'!DQ18,$CF34*'Verwerking Bouwdelen'!Y18)</f>
        <v>0</v>
      </c>
      <c r="CM34" s="208">
        <f>IF($CE34=1,$CF34*'Verwerking Bouwdelen'!DR18,$CF34*'Verwerking Bouwdelen'!Z18)</f>
        <v>0</v>
      </c>
      <c r="CN34" s="208">
        <f>IF($CE34=1,$CF34*'Verwerking Bouwdelen'!DS18,$CF34*'Verwerking Bouwdelen'!AA18)</f>
        <v>0</v>
      </c>
      <c r="CO34" s="208">
        <f>IF($CE34=1,$CF34*'Verwerking Bouwdelen'!DT18,$CF34*'Verwerking Bouwdelen'!AB18)</f>
        <v>0</v>
      </c>
      <c r="CP34" s="208">
        <f>IF($CE34=1,$CF34*'Verwerking Bouwdelen'!DU18,$CF34*'Verwerking Bouwdelen'!AC18)</f>
        <v>0</v>
      </c>
      <c r="CQ34" s="208">
        <f>IF($CE34=1,$CF34*'Verwerking Bouwdelen'!DV18,$CF34*'Verwerking Bouwdelen'!AD18)</f>
        <v>0</v>
      </c>
      <c r="CR34" s="208">
        <f>IF($CE34=1,$CF34*'Verwerking Bouwdelen'!DW18,$CF34*'Verwerking Bouwdelen'!AE18)</f>
        <v>0</v>
      </c>
      <c r="CS34" s="10">
        <f>IF(CG34=$B34,0,('Verwerking Bouwdelen'!$D18-'Verwerking Bouwdelen'!G18)*CE34*CF34)</f>
        <v>0</v>
      </c>
      <c r="CT34" s="260">
        <f>CE34*CF34*'Verwerking Bouwdelen'!GH18</f>
        <v>0</v>
      </c>
      <c r="CU34" s="261">
        <f>CE34*CF34*'Verwerking Bouwdelen'!GI18</f>
        <v>0</v>
      </c>
      <c r="CW34" s="209">
        <f>$AC34*'Verwerking Bouwdelen'!EE18</f>
        <v>0</v>
      </c>
      <c r="CX34" s="209">
        <f>$AC34*'Verwerking Bouwdelen'!EF18</f>
        <v>0</v>
      </c>
      <c r="CY34" s="209">
        <f>$AC34*'Verwerking Bouwdelen'!EG18</f>
        <v>0</v>
      </c>
      <c r="CZ34" s="209">
        <f>$AC34*'Verwerking Bouwdelen'!EH18</f>
        <v>0</v>
      </c>
      <c r="DA34" s="209">
        <f>$AC34*'Verwerking Bouwdelen'!EI18</f>
        <v>0</v>
      </c>
      <c r="DB34" s="209">
        <f>$AC34*'Verwerking Bouwdelen'!EJ18</f>
        <v>0</v>
      </c>
      <c r="DC34" s="209">
        <f>$AC34*'Verwerking Bouwdelen'!EK18</f>
        <v>0</v>
      </c>
      <c r="DD34" s="209">
        <f>$AC34*'Verwerking Bouwdelen'!EL18</f>
        <v>0</v>
      </c>
      <c r="DE34" s="209">
        <f>$AC34*'Verwerking Bouwdelen'!EM18</f>
        <v>0</v>
      </c>
      <c r="DF34" s="209">
        <f>$AC34*'Verwerking Bouwdelen'!EN18</f>
        <v>0</v>
      </c>
      <c r="DG34" s="209">
        <f>$AC34*'Verwerking Bouwdelen'!EO18</f>
        <v>0</v>
      </c>
      <c r="DH34" s="209">
        <f>$AC34*'Verwerking Bouwdelen'!EP18</f>
        <v>0</v>
      </c>
      <c r="DI34" s="10">
        <f>IF(CW34=$O34,0,'Verwerking Bouwdelen'!G18)</f>
        <v>0</v>
      </c>
      <c r="DJ34" s="259">
        <f>'Verwerking Bouwdelen'!GK18*CF34</f>
        <v>0</v>
      </c>
      <c r="DK34" s="259">
        <f>'Verwerking Bouwdelen'!GL18*CF34</f>
        <v>0</v>
      </c>
      <c r="DL34" s="125"/>
      <c r="GM34" s="89">
        <f t="shared" si="2"/>
        <v>0</v>
      </c>
      <c r="GN34" s="89">
        <f t="shared" si="3"/>
        <v>0</v>
      </c>
      <c r="GO34" s="208">
        <f>IF($GN34=1,$GN34*$GM34*'Verwerking Bouwdelen'!DL18,$GN34*$GM34*'Verwerking Bouwdelen'!T18)</f>
        <v>0</v>
      </c>
      <c r="GP34" s="208">
        <f>IF($GN34=1,$GN34*$GM34*'Verwerking Bouwdelen'!DM18,$GN34*$GM34*'Verwerking Bouwdelen'!U18)</f>
        <v>0</v>
      </c>
      <c r="GQ34" s="208">
        <f>IF($GN34=1,$GN34*$GM34*'Verwerking Bouwdelen'!DN18,$GN34*$GM34*'Verwerking Bouwdelen'!V18)</f>
        <v>0</v>
      </c>
      <c r="GR34" s="208">
        <f>IF($GN34=1,$GN34*$GM34*'Verwerking Bouwdelen'!DO18,$GN34*$GM34*'Verwerking Bouwdelen'!W18)</f>
        <v>0</v>
      </c>
      <c r="GS34" s="208">
        <f>IF($GN34=1,$GN34*$GM34*'Verwerking Bouwdelen'!DP18,$GN34*$GM34*'Verwerking Bouwdelen'!X18)</f>
        <v>0</v>
      </c>
      <c r="GT34" s="208">
        <f>IF($GN34=1,$GN34*$GM34*'Verwerking Bouwdelen'!DQ18,$GN34*$GM34*'Verwerking Bouwdelen'!Y18)</f>
        <v>0</v>
      </c>
      <c r="GU34" s="208">
        <f>IF($GN34=1,$GN34*$GM34*'Verwerking Bouwdelen'!DR18,$GN34*$GM34*'Verwerking Bouwdelen'!Z18)</f>
        <v>0</v>
      </c>
      <c r="GV34" s="208">
        <f>IF($GN34=1,$GN34*$GM34*'Verwerking Bouwdelen'!DS18,$GN34*$GM34*'Verwerking Bouwdelen'!AA18)</f>
        <v>0</v>
      </c>
      <c r="GW34" s="208">
        <f>IF($GN34=1,$GN34*$GM34*'Verwerking Bouwdelen'!DT18,$GN34*$GM34*'Verwerking Bouwdelen'!AB18)</f>
        <v>0</v>
      </c>
      <c r="GX34" s="208">
        <f>IF($GN34=1,$GN34*$GM34*'Verwerking Bouwdelen'!DU18,$GN34*$GM34*'Verwerking Bouwdelen'!AC18)</f>
        <v>0</v>
      </c>
      <c r="GY34" s="208">
        <f>IF($GN34=1,$GN34*$GM34*'Verwerking Bouwdelen'!DV18,$GN34*$GM34*'Verwerking Bouwdelen'!AD18)</f>
        <v>0</v>
      </c>
      <c r="GZ34" s="208">
        <f>IF($GN34=1,$GN34*$GM34*'Verwerking Bouwdelen'!DW18,$GN34*$GM34*'Verwerking Bouwdelen'!AE18)</f>
        <v>0</v>
      </c>
      <c r="HB34" s="89">
        <f t="shared" si="4"/>
        <v>0</v>
      </c>
      <c r="HC34" s="89">
        <f t="shared" si="1"/>
        <v>0</v>
      </c>
      <c r="HD34" s="89">
        <f t="shared" si="1"/>
        <v>0</v>
      </c>
      <c r="HE34" s="89">
        <f t="shared" si="1"/>
        <v>0</v>
      </c>
      <c r="HF34" s="89">
        <f t="shared" si="1"/>
        <v>0</v>
      </c>
      <c r="HG34" s="89">
        <f t="shared" si="1"/>
        <v>0</v>
      </c>
      <c r="HH34" s="89">
        <f t="shared" si="1"/>
        <v>0</v>
      </c>
      <c r="HI34" s="89">
        <f t="shared" si="1"/>
        <v>0</v>
      </c>
      <c r="HJ34" s="89">
        <f t="shared" si="1"/>
        <v>0</v>
      </c>
      <c r="HK34" s="89">
        <f t="shared" si="1"/>
        <v>0</v>
      </c>
      <c r="HL34" s="89">
        <f t="shared" si="1"/>
        <v>0</v>
      </c>
      <c r="HM34" s="89">
        <f t="shared" si="1"/>
        <v>0</v>
      </c>
      <c r="HO34" s="256"/>
      <c r="HZ34" s="256"/>
    </row>
    <row r="35" spans="1:234" x14ac:dyDescent="0.2">
      <c r="A35" s="130">
        <f>IF('Verwerking Bouwdelen'!A19=2,1,0)</f>
        <v>0</v>
      </c>
      <c r="B35" s="208">
        <f>$A35*'Verwerking Bouwdelen'!T19</f>
        <v>0</v>
      </c>
      <c r="C35" s="208">
        <f>$A35*'Verwerking Bouwdelen'!U19</f>
        <v>0</v>
      </c>
      <c r="D35" s="208">
        <f>$A35*'Verwerking Bouwdelen'!V19</f>
        <v>0</v>
      </c>
      <c r="E35" s="208">
        <f>$A35*'Verwerking Bouwdelen'!W19</f>
        <v>0</v>
      </c>
      <c r="F35" s="208">
        <f>$A35*'Verwerking Bouwdelen'!X19</f>
        <v>0</v>
      </c>
      <c r="G35" s="208">
        <f>$A35*'Verwerking Bouwdelen'!Y19</f>
        <v>0</v>
      </c>
      <c r="H35" s="208">
        <f>$A35*'Verwerking Bouwdelen'!Z19</f>
        <v>0</v>
      </c>
      <c r="I35" s="208">
        <f>$A35*'Verwerking Bouwdelen'!AA19</f>
        <v>0</v>
      </c>
      <c r="J35" s="208">
        <f>$A35*'Verwerking Bouwdelen'!AB19</f>
        <v>0</v>
      </c>
      <c r="K35" s="208">
        <f>$A35*'Verwerking Bouwdelen'!AC19</f>
        <v>0</v>
      </c>
      <c r="L35" s="208">
        <f>$A35*'Verwerking Bouwdelen'!AD19</f>
        <v>0</v>
      </c>
      <c r="M35" s="208">
        <f>$A35*'Verwerking Bouwdelen'!AE19</f>
        <v>0</v>
      </c>
      <c r="O35" s="114">
        <f>$A35*'Verwerking Bouwdelen'!AU19</f>
        <v>0</v>
      </c>
      <c r="P35" s="125">
        <f>$A35*'Verwerking Bouwdelen'!AV19</f>
        <v>0</v>
      </c>
      <c r="Q35" s="125">
        <f>$A35*'Verwerking Bouwdelen'!AW19</f>
        <v>0</v>
      </c>
      <c r="R35" s="125">
        <f>$A35*'Verwerking Bouwdelen'!AX19</f>
        <v>0</v>
      </c>
      <c r="S35" s="125">
        <f>$A35*'Verwerking Bouwdelen'!AY19</f>
        <v>0</v>
      </c>
      <c r="T35" s="125">
        <f>$A35*'Verwerking Bouwdelen'!AZ19</f>
        <v>0</v>
      </c>
      <c r="U35" s="125">
        <f>$A35*'Verwerking Bouwdelen'!BA19</f>
        <v>0</v>
      </c>
      <c r="V35" s="125">
        <f>$A35*'Verwerking Bouwdelen'!BB19</f>
        <v>0</v>
      </c>
      <c r="W35" s="125">
        <f>$A35*'Verwerking Bouwdelen'!BC19</f>
        <v>0</v>
      </c>
      <c r="X35" s="125">
        <f>$A35*'Verwerking Bouwdelen'!BD19</f>
        <v>0</v>
      </c>
      <c r="Y35" s="125">
        <f>$A35*'Verwerking Bouwdelen'!BE19</f>
        <v>0</v>
      </c>
      <c r="Z35" s="195">
        <f>$A35*'Verwerking Bouwdelen'!BF19</f>
        <v>0</v>
      </c>
      <c r="AB35" s="125">
        <f>IF(OR('Verwerking Bouwdelen'!C19=3,'Verwerking Bouwdelen'!C19=6),1,0)</f>
        <v>0</v>
      </c>
      <c r="AC35" s="130">
        <f>IF('Verwerking Bouwdelen'!A19=2,1,0)</f>
        <v>0</v>
      </c>
      <c r="AD35" s="208">
        <f>IF($AB35=1,$AC35*'Verwerking Bouwdelen'!DL19,$AC35*'Verwerking Bouwdelen'!T19)</f>
        <v>0</v>
      </c>
      <c r="AE35" s="208">
        <f>IF($AB35=1,$AC35*'Verwerking Bouwdelen'!DM19,$AC35*'Verwerking Bouwdelen'!U19)</f>
        <v>0</v>
      </c>
      <c r="AF35" s="208">
        <f>IF($AB35=1,$AC35*'Verwerking Bouwdelen'!DN19,$AC35*'Verwerking Bouwdelen'!V19)</f>
        <v>0</v>
      </c>
      <c r="AG35" s="208">
        <f>IF($AB35=1,$AC35*'Verwerking Bouwdelen'!DO19,$AC35*'Verwerking Bouwdelen'!W19)</f>
        <v>0</v>
      </c>
      <c r="AH35" s="208">
        <f>IF($AB35=1,$AC35*'Verwerking Bouwdelen'!DP19,$AC35*'Verwerking Bouwdelen'!X19)</f>
        <v>0</v>
      </c>
      <c r="AI35" s="208">
        <f>IF($AB35=1,$AC35*'Verwerking Bouwdelen'!DQ19,$AC35*'Verwerking Bouwdelen'!Y19)</f>
        <v>0</v>
      </c>
      <c r="AJ35" s="208">
        <f>IF($AB35=1,$AC35*'Verwerking Bouwdelen'!DR19,$AC35*'Verwerking Bouwdelen'!Z19)</f>
        <v>0</v>
      </c>
      <c r="AK35" s="208">
        <f>IF($AB35=1,$AC35*'Verwerking Bouwdelen'!DS19,$AC35*'Verwerking Bouwdelen'!AA19)</f>
        <v>0</v>
      </c>
      <c r="AL35" s="208">
        <f>IF($AB35=1,$AC35*'Verwerking Bouwdelen'!DT19,$AC35*'Verwerking Bouwdelen'!AB19)</f>
        <v>0</v>
      </c>
      <c r="AM35" s="208">
        <f>IF($AB35=1,$AC35*'Verwerking Bouwdelen'!DU19,$AC35*'Verwerking Bouwdelen'!AC19)</f>
        <v>0</v>
      </c>
      <c r="AN35" s="208">
        <f>IF($AB35=1,$AC35*'Verwerking Bouwdelen'!DV19,$AC35*'Verwerking Bouwdelen'!AD19)</f>
        <v>0</v>
      </c>
      <c r="AO35" s="208">
        <f>IF($AB35=1,$AC35*'Verwerking Bouwdelen'!DW19,$AC35*'Verwerking Bouwdelen'!AE19)</f>
        <v>0</v>
      </c>
      <c r="AP35" s="10">
        <f>IF(AD35=B35,0,'Verwerking Bouwdelen'!D19*AB35*AC35)</f>
        <v>0</v>
      </c>
      <c r="AQ35" s="10">
        <f>AB35*AC35*'Verwerking Bouwdelen'!GH19</f>
        <v>0</v>
      </c>
      <c r="AR35" s="10"/>
      <c r="AS35" s="248"/>
      <c r="AT35" s="125">
        <f>IF('Verwerking Bouwdelen'!C19=4,1,0)</f>
        <v>0</v>
      </c>
      <c r="AU35" s="130">
        <f>IF('Verwerking Bouwdelen'!A19=2,1,0)</f>
        <v>0</v>
      </c>
      <c r="AV35" s="208">
        <f>IF($AT35=1,$AU35*'Verwerking Bouwdelen'!DL19,$AU35*'Verwerking Bouwdelen'!T19)</f>
        <v>0</v>
      </c>
      <c r="AW35" s="208">
        <f>IF($AT35=1,$AU35*'Verwerking Bouwdelen'!DM19,$AU35*'Verwerking Bouwdelen'!U19)</f>
        <v>0</v>
      </c>
      <c r="AX35" s="208">
        <f>IF($AT35=1,$AU35*'Verwerking Bouwdelen'!DN19,$AU35*'Verwerking Bouwdelen'!V19)</f>
        <v>0</v>
      </c>
      <c r="AY35" s="208">
        <f>IF($AT35=1,$AU35*'Verwerking Bouwdelen'!DO19,$AU35*'Verwerking Bouwdelen'!W19)</f>
        <v>0</v>
      </c>
      <c r="AZ35" s="208">
        <f>IF($AT35=1,$AU35*'Verwerking Bouwdelen'!DP19,$AU35*'Verwerking Bouwdelen'!X19)</f>
        <v>0</v>
      </c>
      <c r="BA35" s="208">
        <f>IF($AT35=1,$AU35*'Verwerking Bouwdelen'!DQ19,$AU35*'Verwerking Bouwdelen'!Y19)</f>
        <v>0</v>
      </c>
      <c r="BB35" s="208">
        <f>IF($AT35=1,$AU35*'Verwerking Bouwdelen'!DR19,$AU35*'Verwerking Bouwdelen'!Z19)</f>
        <v>0</v>
      </c>
      <c r="BC35" s="208">
        <f>IF($AT35=1,$AU35*'Verwerking Bouwdelen'!DS19,$AU35*'Verwerking Bouwdelen'!AA19)</f>
        <v>0</v>
      </c>
      <c r="BD35" s="208">
        <f>IF($AT35=1,$AU35*'Verwerking Bouwdelen'!DT19,$AU35*'Verwerking Bouwdelen'!AB19)</f>
        <v>0</v>
      </c>
      <c r="BE35" s="208">
        <f>IF($AT35=1,$AU35*'Verwerking Bouwdelen'!DU19,$AU35*'Verwerking Bouwdelen'!AC19)</f>
        <v>0</v>
      </c>
      <c r="BF35" s="208">
        <f>IF($AT35=1,$AU35*'Verwerking Bouwdelen'!DV19,$AU35*'Verwerking Bouwdelen'!AD19)</f>
        <v>0</v>
      </c>
      <c r="BG35" s="208">
        <f>IF($AT35=1,$AU35*'Verwerking Bouwdelen'!DW19,$AU35*'Verwerking Bouwdelen'!AE19)</f>
        <v>0</v>
      </c>
      <c r="BH35" s="10">
        <f>IF(AV35=B35,0,'Verwerking Bouwdelen'!D19*AT35*AU35)</f>
        <v>0</v>
      </c>
      <c r="BI35" s="10">
        <f>AT35*AU35*'Verwerking Bouwdelen'!GH19</f>
        <v>0</v>
      </c>
      <c r="BJ35" s="10"/>
      <c r="BK35" s="10"/>
      <c r="BM35" s="125">
        <f>IF('Verwerking Bouwdelen'!C19=5,1,0)</f>
        <v>0</v>
      </c>
      <c r="BN35" s="130">
        <f>IF('Verwerking Bouwdelen'!A19=2,1,0)</f>
        <v>0</v>
      </c>
      <c r="BO35" s="208">
        <f>IF($BM35=1,$BN35*'Verwerking Bouwdelen'!DL19,$BN35*'Verwerking Bouwdelen'!T19)</f>
        <v>0</v>
      </c>
      <c r="BP35" s="208">
        <f>IF($BM35=1,$BN35*'Verwerking Bouwdelen'!DM19,$BN35*'Verwerking Bouwdelen'!U19)</f>
        <v>0</v>
      </c>
      <c r="BQ35" s="208">
        <f>IF($BM35=1,$BN35*'Verwerking Bouwdelen'!DN19,$BN35*'Verwerking Bouwdelen'!V19)</f>
        <v>0</v>
      </c>
      <c r="BR35" s="208">
        <f>IF($BM35=1,$BN35*'Verwerking Bouwdelen'!DO19,$BN35*'Verwerking Bouwdelen'!W19)</f>
        <v>0</v>
      </c>
      <c r="BS35" s="208">
        <f>IF($BM35=1,$BN35*'Verwerking Bouwdelen'!DP19,$BN35*'Verwerking Bouwdelen'!X19)</f>
        <v>0</v>
      </c>
      <c r="BT35" s="208">
        <f>IF($BM35=1,$BN35*'Verwerking Bouwdelen'!DQ19,$BN35*'Verwerking Bouwdelen'!Y19)</f>
        <v>0</v>
      </c>
      <c r="BU35" s="208">
        <f>IF($BM35=1,$BN35*'Verwerking Bouwdelen'!DR19,$BN35*'Verwerking Bouwdelen'!Z19)</f>
        <v>0</v>
      </c>
      <c r="BV35" s="208">
        <f>IF($BM35=1,$BN35*'Verwerking Bouwdelen'!DS19,$BN35*'Verwerking Bouwdelen'!AA19)</f>
        <v>0</v>
      </c>
      <c r="BW35" s="208">
        <f>IF($BM35=1,$BN35*'Verwerking Bouwdelen'!DT19,$BN35*'Verwerking Bouwdelen'!AB19)</f>
        <v>0</v>
      </c>
      <c r="BX35" s="208">
        <f>IF($BM35=1,$BN35*'Verwerking Bouwdelen'!DU19,$BN35*'Verwerking Bouwdelen'!AC19)</f>
        <v>0</v>
      </c>
      <c r="BY35" s="208">
        <f>IF($BM35=1,$BN35*'Verwerking Bouwdelen'!DV19,$BN35*'Verwerking Bouwdelen'!AD19)</f>
        <v>0</v>
      </c>
      <c r="BZ35" s="208">
        <f>IF($BM35=1,$BN35*'Verwerking Bouwdelen'!DW19,$BN35*'Verwerking Bouwdelen'!AE19)</f>
        <v>0</v>
      </c>
      <c r="CA35" s="10">
        <f>IF(BO35=B35,0,'Verwerking Bouwdelen'!D19*BM35*BN35)</f>
        <v>0</v>
      </c>
      <c r="CB35" s="10">
        <f>BM35*BN35*'Verwerking Bouwdelen'!GH19</f>
        <v>0</v>
      </c>
      <c r="CC35" s="10"/>
      <c r="CD35" s="248"/>
      <c r="CE35" s="125">
        <f>IF('Verwerking Bouwdelen'!C19=2,1,0)</f>
        <v>0</v>
      </c>
      <c r="CF35" s="130">
        <f>IF('Verwerking Bouwdelen'!A19=2,1,0)</f>
        <v>0</v>
      </c>
      <c r="CG35" s="208">
        <f>IF($CE35=1,$CF35*'Verwerking Bouwdelen'!DL19,$CF35*'Verwerking Bouwdelen'!T19)</f>
        <v>0</v>
      </c>
      <c r="CH35" s="208">
        <f>IF($CE35=1,$CF35*'Verwerking Bouwdelen'!DM19,$CF35*'Verwerking Bouwdelen'!U19)</f>
        <v>0</v>
      </c>
      <c r="CI35" s="208">
        <f>IF($CE35=1,$CF35*'Verwerking Bouwdelen'!DN19,$CF35*'Verwerking Bouwdelen'!V19)</f>
        <v>0</v>
      </c>
      <c r="CJ35" s="208">
        <f>IF($CE35=1,$CF35*'Verwerking Bouwdelen'!DO19,$CF35*'Verwerking Bouwdelen'!W19)</f>
        <v>0</v>
      </c>
      <c r="CK35" s="208">
        <f>IF($CE35=1,$CF35*'Verwerking Bouwdelen'!DP19,$CF35*'Verwerking Bouwdelen'!X19)</f>
        <v>0</v>
      </c>
      <c r="CL35" s="208">
        <f>IF($CE35=1,$CF35*'Verwerking Bouwdelen'!DQ19,$CF35*'Verwerking Bouwdelen'!Y19)</f>
        <v>0</v>
      </c>
      <c r="CM35" s="208">
        <f>IF($CE35=1,$CF35*'Verwerking Bouwdelen'!DR19,$CF35*'Verwerking Bouwdelen'!Z19)</f>
        <v>0</v>
      </c>
      <c r="CN35" s="208">
        <f>IF($CE35=1,$CF35*'Verwerking Bouwdelen'!DS19,$CF35*'Verwerking Bouwdelen'!AA19)</f>
        <v>0</v>
      </c>
      <c r="CO35" s="208">
        <f>IF($CE35=1,$CF35*'Verwerking Bouwdelen'!DT19,$CF35*'Verwerking Bouwdelen'!AB19)</f>
        <v>0</v>
      </c>
      <c r="CP35" s="208">
        <f>IF($CE35=1,$CF35*'Verwerking Bouwdelen'!DU19,$CF35*'Verwerking Bouwdelen'!AC19)</f>
        <v>0</v>
      </c>
      <c r="CQ35" s="208">
        <f>IF($CE35=1,$CF35*'Verwerking Bouwdelen'!DV19,$CF35*'Verwerking Bouwdelen'!AD19)</f>
        <v>0</v>
      </c>
      <c r="CR35" s="208">
        <f>IF($CE35=1,$CF35*'Verwerking Bouwdelen'!DW19,$CF35*'Verwerking Bouwdelen'!AE19)</f>
        <v>0</v>
      </c>
      <c r="CS35" s="10">
        <f>IF(CG35=$B35,0,('Verwerking Bouwdelen'!$D19-'Verwerking Bouwdelen'!G19)*CE35*CF35)</f>
        <v>0</v>
      </c>
      <c r="CT35" s="260">
        <f>CE35*CF35*'Verwerking Bouwdelen'!GH19</f>
        <v>0</v>
      </c>
      <c r="CU35" s="261">
        <f>CE35*CF35*'Verwerking Bouwdelen'!GI19</f>
        <v>0</v>
      </c>
      <c r="CW35" s="209">
        <f>$AC35*'Verwerking Bouwdelen'!EE19</f>
        <v>0</v>
      </c>
      <c r="CX35" s="209">
        <f>$AC35*'Verwerking Bouwdelen'!EF19</f>
        <v>0</v>
      </c>
      <c r="CY35" s="209">
        <f>$AC35*'Verwerking Bouwdelen'!EG19</f>
        <v>0</v>
      </c>
      <c r="CZ35" s="209">
        <f>$AC35*'Verwerking Bouwdelen'!EH19</f>
        <v>0</v>
      </c>
      <c r="DA35" s="209">
        <f>$AC35*'Verwerking Bouwdelen'!EI19</f>
        <v>0</v>
      </c>
      <c r="DB35" s="209">
        <f>$AC35*'Verwerking Bouwdelen'!EJ19</f>
        <v>0</v>
      </c>
      <c r="DC35" s="209">
        <f>$AC35*'Verwerking Bouwdelen'!EK19</f>
        <v>0</v>
      </c>
      <c r="DD35" s="209">
        <f>$AC35*'Verwerking Bouwdelen'!EL19</f>
        <v>0</v>
      </c>
      <c r="DE35" s="209">
        <f>$AC35*'Verwerking Bouwdelen'!EM19</f>
        <v>0</v>
      </c>
      <c r="DF35" s="209">
        <f>$AC35*'Verwerking Bouwdelen'!EN19</f>
        <v>0</v>
      </c>
      <c r="DG35" s="209">
        <f>$AC35*'Verwerking Bouwdelen'!EO19</f>
        <v>0</v>
      </c>
      <c r="DH35" s="209">
        <f>$AC35*'Verwerking Bouwdelen'!EP19</f>
        <v>0</v>
      </c>
      <c r="DI35" s="10">
        <f>IF(CW35=$O35,0,'Verwerking Bouwdelen'!G19)</f>
        <v>0</v>
      </c>
      <c r="DJ35" s="259">
        <f>'Verwerking Bouwdelen'!GK19*CF35</f>
        <v>0</v>
      </c>
      <c r="DK35" s="259">
        <f>'Verwerking Bouwdelen'!GL19*CF35</f>
        <v>0</v>
      </c>
      <c r="DL35" s="125"/>
      <c r="GM35" s="89">
        <f t="shared" si="2"/>
        <v>0</v>
      </c>
      <c r="GN35" s="89">
        <f t="shared" si="3"/>
        <v>0</v>
      </c>
      <c r="GO35" s="208">
        <f>IF($GN35=1,$GN35*$GM35*'Verwerking Bouwdelen'!DL19,$GN35*$GM35*'Verwerking Bouwdelen'!T19)</f>
        <v>0</v>
      </c>
      <c r="GP35" s="208">
        <f>IF($GN35=1,$GN35*$GM35*'Verwerking Bouwdelen'!DM19,$GN35*$GM35*'Verwerking Bouwdelen'!U19)</f>
        <v>0</v>
      </c>
      <c r="GQ35" s="208">
        <f>IF($GN35=1,$GN35*$GM35*'Verwerking Bouwdelen'!DN19,$GN35*$GM35*'Verwerking Bouwdelen'!V19)</f>
        <v>0</v>
      </c>
      <c r="GR35" s="208">
        <f>IF($GN35=1,$GN35*$GM35*'Verwerking Bouwdelen'!DO19,$GN35*$GM35*'Verwerking Bouwdelen'!W19)</f>
        <v>0</v>
      </c>
      <c r="GS35" s="208">
        <f>IF($GN35=1,$GN35*$GM35*'Verwerking Bouwdelen'!DP19,$GN35*$GM35*'Verwerking Bouwdelen'!X19)</f>
        <v>0</v>
      </c>
      <c r="GT35" s="208">
        <f>IF($GN35=1,$GN35*$GM35*'Verwerking Bouwdelen'!DQ19,$GN35*$GM35*'Verwerking Bouwdelen'!Y19)</f>
        <v>0</v>
      </c>
      <c r="GU35" s="208">
        <f>IF($GN35=1,$GN35*$GM35*'Verwerking Bouwdelen'!DR19,$GN35*$GM35*'Verwerking Bouwdelen'!Z19)</f>
        <v>0</v>
      </c>
      <c r="GV35" s="208">
        <f>IF($GN35=1,$GN35*$GM35*'Verwerking Bouwdelen'!DS19,$GN35*$GM35*'Verwerking Bouwdelen'!AA19)</f>
        <v>0</v>
      </c>
      <c r="GW35" s="208">
        <f>IF($GN35=1,$GN35*$GM35*'Verwerking Bouwdelen'!DT19,$GN35*$GM35*'Verwerking Bouwdelen'!AB19)</f>
        <v>0</v>
      </c>
      <c r="GX35" s="208">
        <f>IF($GN35=1,$GN35*$GM35*'Verwerking Bouwdelen'!DU19,$GN35*$GM35*'Verwerking Bouwdelen'!AC19)</f>
        <v>0</v>
      </c>
      <c r="GY35" s="208">
        <f>IF($GN35=1,$GN35*$GM35*'Verwerking Bouwdelen'!DV19,$GN35*$GM35*'Verwerking Bouwdelen'!AD19)</f>
        <v>0</v>
      </c>
      <c r="GZ35" s="208">
        <f>IF($GN35=1,$GN35*$GM35*'Verwerking Bouwdelen'!DW19,$GN35*$GM35*'Verwerking Bouwdelen'!AE19)</f>
        <v>0</v>
      </c>
      <c r="HB35" s="89">
        <f t="shared" si="4"/>
        <v>0</v>
      </c>
      <c r="HC35" s="89">
        <f t="shared" si="4"/>
        <v>0</v>
      </c>
      <c r="HD35" s="89">
        <f t="shared" si="4"/>
        <v>0</v>
      </c>
      <c r="HE35" s="89">
        <f t="shared" si="4"/>
        <v>0</v>
      </c>
      <c r="HF35" s="89">
        <f t="shared" si="4"/>
        <v>0</v>
      </c>
      <c r="HG35" s="89">
        <f t="shared" si="4"/>
        <v>0</v>
      </c>
      <c r="HH35" s="89">
        <f t="shared" si="4"/>
        <v>0</v>
      </c>
      <c r="HI35" s="89">
        <f t="shared" si="4"/>
        <v>0</v>
      </c>
      <c r="HJ35" s="89">
        <f t="shared" si="4"/>
        <v>0</v>
      </c>
      <c r="HK35" s="89">
        <f t="shared" si="4"/>
        <v>0</v>
      </c>
      <c r="HL35" s="89">
        <f t="shared" si="4"/>
        <v>0</v>
      </c>
      <c r="HM35" s="89">
        <f t="shared" si="4"/>
        <v>0</v>
      </c>
      <c r="HO35" s="256"/>
      <c r="HZ35" s="256"/>
    </row>
    <row r="36" spans="1:234" x14ac:dyDescent="0.2">
      <c r="A36" s="130">
        <f>IF('Verwerking Bouwdelen'!A20=2,1,0)</f>
        <v>0</v>
      </c>
      <c r="B36" s="208">
        <f>$A36*'Verwerking Bouwdelen'!T20</f>
        <v>0</v>
      </c>
      <c r="C36" s="208">
        <f>$A36*'Verwerking Bouwdelen'!U20</f>
        <v>0</v>
      </c>
      <c r="D36" s="208">
        <f>$A36*'Verwerking Bouwdelen'!V20</f>
        <v>0</v>
      </c>
      <c r="E36" s="208">
        <f>$A36*'Verwerking Bouwdelen'!W20</f>
        <v>0</v>
      </c>
      <c r="F36" s="208">
        <f>$A36*'Verwerking Bouwdelen'!X20</f>
        <v>0</v>
      </c>
      <c r="G36" s="208">
        <f>$A36*'Verwerking Bouwdelen'!Y20</f>
        <v>0</v>
      </c>
      <c r="H36" s="208">
        <f>$A36*'Verwerking Bouwdelen'!Z20</f>
        <v>0</v>
      </c>
      <c r="I36" s="208">
        <f>$A36*'Verwerking Bouwdelen'!AA20</f>
        <v>0</v>
      </c>
      <c r="J36" s="208">
        <f>$A36*'Verwerking Bouwdelen'!AB20</f>
        <v>0</v>
      </c>
      <c r="K36" s="208">
        <f>$A36*'Verwerking Bouwdelen'!AC20</f>
        <v>0</v>
      </c>
      <c r="L36" s="208">
        <f>$A36*'Verwerking Bouwdelen'!AD20</f>
        <v>0</v>
      </c>
      <c r="M36" s="208">
        <f>$A36*'Verwerking Bouwdelen'!AE20</f>
        <v>0</v>
      </c>
      <c r="O36" s="114">
        <f>$A36*'Verwerking Bouwdelen'!AU20</f>
        <v>0</v>
      </c>
      <c r="P36" s="125">
        <f>$A36*'Verwerking Bouwdelen'!AV20</f>
        <v>0</v>
      </c>
      <c r="Q36" s="125">
        <f>$A36*'Verwerking Bouwdelen'!AW20</f>
        <v>0</v>
      </c>
      <c r="R36" s="125">
        <f>$A36*'Verwerking Bouwdelen'!AX20</f>
        <v>0</v>
      </c>
      <c r="S36" s="125">
        <f>$A36*'Verwerking Bouwdelen'!AY20</f>
        <v>0</v>
      </c>
      <c r="T36" s="125">
        <f>$A36*'Verwerking Bouwdelen'!AZ20</f>
        <v>0</v>
      </c>
      <c r="U36" s="125">
        <f>$A36*'Verwerking Bouwdelen'!BA20</f>
        <v>0</v>
      </c>
      <c r="V36" s="125">
        <f>$A36*'Verwerking Bouwdelen'!BB20</f>
        <v>0</v>
      </c>
      <c r="W36" s="125">
        <f>$A36*'Verwerking Bouwdelen'!BC20</f>
        <v>0</v>
      </c>
      <c r="X36" s="125">
        <f>$A36*'Verwerking Bouwdelen'!BD20</f>
        <v>0</v>
      </c>
      <c r="Y36" s="125">
        <f>$A36*'Verwerking Bouwdelen'!BE20</f>
        <v>0</v>
      </c>
      <c r="Z36" s="195">
        <f>$A36*'Verwerking Bouwdelen'!BF20</f>
        <v>0</v>
      </c>
      <c r="AB36" s="125">
        <f>IF(OR('Verwerking Bouwdelen'!C20=3,'Verwerking Bouwdelen'!C20=6),1,0)</f>
        <v>0</v>
      </c>
      <c r="AC36" s="130">
        <f>IF('Verwerking Bouwdelen'!A20=2,1,0)</f>
        <v>0</v>
      </c>
      <c r="AD36" s="208">
        <f>IF($AB36=1,$AC36*'Verwerking Bouwdelen'!DL20,$AC36*'Verwerking Bouwdelen'!T20)</f>
        <v>0</v>
      </c>
      <c r="AE36" s="208">
        <f>IF($AB36=1,$AC36*'Verwerking Bouwdelen'!DM20,$AC36*'Verwerking Bouwdelen'!U20)</f>
        <v>0</v>
      </c>
      <c r="AF36" s="208">
        <f>IF($AB36=1,$AC36*'Verwerking Bouwdelen'!DN20,$AC36*'Verwerking Bouwdelen'!V20)</f>
        <v>0</v>
      </c>
      <c r="AG36" s="208">
        <f>IF($AB36=1,$AC36*'Verwerking Bouwdelen'!DO20,$AC36*'Verwerking Bouwdelen'!W20)</f>
        <v>0</v>
      </c>
      <c r="AH36" s="208">
        <f>IF($AB36=1,$AC36*'Verwerking Bouwdelen'!DP20,$AC36*'Verwerking Bouwdelen'!X20)</f>
        <v>0</v>
      </c>
      <c r="AI36" s="208">
        <f>IF($AB36=1,$AC36*'Verwerking Bouwdelen'!DQ20,$AC36*'Verwerking Bouwdelen'!Y20)</f>
        <v>0</v>
      </c>
      <c r="AJ36" s="208">
        <f>IF($AB36=1,$AC36*'Verwerking Bouwdelen'!DR20,$AC36*'Verwerking Bouwdelen'!Z20)</f>
        <v>0</v>
      </c>
      <c r="AK36" s="208">
        <f>IF($AB36=1,$AC36*'Verwerking Bouwdelen'!DS20,$AC36*'Verwerking Bouwdelen'!AA20)</f>
        <v>0</v>
      </c>
      <c r="AL36" s="208">
        <f>IF($AB36=1,$AC36*'Verwerking Bouwdelen'!DT20,$AC36*'Verwerking Bouwdelen'!AB20)</f>
        <v>0</v>
      </c>
      <c r="AM36" s="208">
        <f>IF($AB36=1,$AC36*'Verwerking Bouwdelen'!DU20,$AC36*'Verwerking Bouwdelen'!AC20)</f>
        <v>0</v>
      </c>
      <c r="AN36" s="208">
        <f>IF($AB36=1,$AC36*'Verwerking Bouwdelen'!DV20,$AC36*'Verwerking Bouwdelen'!AD20)</f>
        <v>0</v>
      </c>
      <c r="AO36" s="208">
        <f>IF($AB36=1,$AC36*'Verwerking Bouwdelen'!DW20,$AC36*'Verwerking Bouwdelen'!AE20)</f>
        <v>0</v>
      </c>
      <c r="AP36" s="10">
        <f>IF(AD36=B36,0,'Verwerking Bouwdelen'!D20*AB36*AC36)</f>
        <v>0</v>
      </c>
      <c r="AQ36" s="10">
        <f>AB36*AC36*'Verwerking Bouwdelen'!GH20</f>
        <v>0</v>
      </c>
      <c r="AR36" s="10"/>
      <c r="AS36" s="248"/>
      <c r="AT36" s="125">
        <f>IF('Verwerking Bouwdelen'!C20=4,1,0)</f>
        <v>0</v>
      </c>
      <c r="AU36" s="130">
        <f>IF('Verwerking Bouwdelen'!A20=2,1,0)</f>
        <v>0</v>
      </c>
      <c r="AV36" s="208">
        <f>IF($AT36=1,$AU36*'Verwerking Bouwdelen'!DL20,$AU36*'Verwerking Bouwdelen'!T20)</f>
        <v>0</v>
      </c>
      <c r="AW36" s="208">
        <f>IF($AT36=1,$AU36*'Verwerking Bouwdelen'!DM20,$AU36*'Verwerking Bouwdelen'!U20)</f>
        <v>0</v>
      </c>
      <c r="AX36" s="208">
        <f>IF($AT36=1,$AU36*'Verwerking Bouwdelen'!DN20,$AU36*'Verwerking Bouwdelen'!V20)</f>
        <v>0</v>
      </c>
      <c r="AY36" s="208">
        <f>IF($AT36=1,$AU36*'Verwerking Bouwdelen'!DO20,$AU36*'Verwerking Bouwdelen'!W20)</f>
        <v>0</v>
      </c>
      <c r="AZ36" s="208">
        <f>IF($AT36=1,$AU36*'Verwerking Bouwdelen'!DP20,$AU36*'Verwerking Bouwdelen'!X20)</f>
        <v>0</v>
      </c>
      <c r="BA36" s="208">
        <f>IF($AT36=1,$AU36*'Verwerking Bouwdelen'!DQ20,$AU36*'Verwerking Bouwdelen'!Y20)</f>
        <v>0</v>
      </c>
      <c r="BB36" s="208">
        <f>IF($AT36=1,$AU36*'Verwerking Bouwdelen'!DR20,$AU36*'Verwerking Bouwdelen'!Z20)</f>
        <v>0</v>
      </c>
      <c r="BC36" s="208">
        <f>IF($AT36=1,$AU36*'Verwerking Bouwdelen'!DS20,$AU36*'Verwerking Bouwdelen'!AA20)</f>
        <v>0</v>
      </c>
      <c r="BD36" s="208">
        <f>IF($AT36=1,$AU36*'Verwerking Bouwdelen'!DT20,$AU36*'Verwerking Bouwdelen'!AB20)</f>
        <v>0</v>
      </c>
      <c r="BE36" s="208">
        <f>IF($AT36=1,$AU36*'Verwerking Bouwdelen'!DU20,$AU36*'Verwerking Bouwdelen'!AC20)</f>
        <v>0</v>
      </c>
      <c r="BF36" s="208">
        <f>IF($AT36=1,$AU36*'Verwerking Bouwdelen'!DV20,$AU36*'Verwerking Bouwdelen'!AD20)</f>
        <v>0</v>
      </c>
      <c r="BG36" s="208">
        <f>IF($AT36=1,$AU36*'Verwerking Bouwdelen'!DW20,$AU36*'Verwerking Bouwdelen'!AE20)</f>
        <v>0</v>
      </c>
      <c r="BH36" s="10">
        <f>IF(AV36=B36,0,'Verwerking Bouwdelen'!D20*AT36*AU36)</f>
        <v>0</v>
      </c>
      <c r="BI36" s="10">
        <f>AT36*AU36*'Verwerking Bouwdelen'!GH20</f>
        <v>0</v>
      </c>
      <c r="BJ36" s="10"/>
      <c r="BK36" s="10"/>
      <c r="BM36" s="125">
        <f>IF('Verwerking Bouwdelen'!C20=5,1,0)</f>
        <v>0</v>
      </c>
      <c r="BN36" s="130">
        <f>IF('Verwerking Bouwdelen'!A20=2,1,0)</f>
        <v>0</v>
      </c>
      <c r="BO36" s="208">
        <f>IF($BM36=1,$BN36*'Verwerking Bouwdelen'!DL20,$BN36*'Verwerking Bouwdelen'!T20)</f>
        <v>0</v>
      </c>
      <c r="BP36" s="208">
        <f>IF($BM36=1,$BN36*'Verwerking Bouwdelen'!DM20,$BN36*'Verwerking Bouwdelen'!U20)</f>
        <v>0</v>
      </c>
      <c r="BQ36" s="208">
        <f>IF($BM36=1,$BN36*'Verwerking Bouwdelen'!DN20,$BN36*'Verwerking Bouwdelen'!V20)</f>
        <v>0</v>
      </c>
      <c r="BR36" s="208">
        <f>IF($BM36=1,$BN36*'Verwerking Bouwdelen'!DO20,$BN36*'Verwerking Bouwdelen'!W20)</f>
        <v>0</v>
      </c>
      <c r="BS36" s="208">
        <f>IF($BM36=1,$BN36*'Verwerking Bouwdelen'!DP20,$BN36*'Verwerking Bouwdelen'!X20)</f>
        <v>0</v>
      </c>
      <c r="BT36" s="208">
        <f>IF($BM36=1,$BN36*'Verwerking Bouwdelen'!DQ20,$BN36*'Verwerking Bouwdelen'!Y20)</f>
        <v>0</v>
      </c>
      <c r="BU36" s="208">
        <f>IF($BM36=1,$BN36*'Verwerking Bouwdelen'!DR20,$BN36*'Verwerking Bouwdelen'!Z20)</f>
        <v>0</v>
      </c>
      <c r="BV36" s="208">
        <f>IF($BM36=1,$BN36*'Verwerking Bouwdelen'!DS20,$BN36*'Verwerking Bouwdelen'!AA20)</f>
        <v>0</v>
      </c>
      <c r="BW36" s="208">
        <f>IF($BM36=1,$BN36*'Verwerking Bouwdelen'!DT20,$BN36*'Verwerking Bouwdelen'!AB20)</f>
        <v>0</v>
      </c>
      <c r="BX36" s="208">
        <f>IF($BM36=1,$BN36*'Verwerking Bouwdelen'!DU20,$BN36*'Verwerking Bouwdelen'!AC20)</f>
        <v>0</v>
      </c>
      <c r="BY36" s="208">
        <f>IF($BM36=1,$BN36*'Verwerking Bouwdelen'!DV20,$BN36*'Verwerking Bouwdelen'!AD20)</f>
        <v>0</v>
      </c>
      <c r="BZ36" s="208">
        <f>IF($BM36=1,$BN36*'Verwerking Bouwdelen'!DW20,$BN36*'Verwerking Bouwdelen'!AE20)</f>
        <v>0</v>
      </c>
      <c r="CA36" s="10">
        <f>IF(BO36=B36,0,'Verwerking Bouwdelen'!D20*BM36*BN36)</f>
        <v>0</v>
      </c>
      <c r="CB36" s="10">
        <f>BM36*BN36*'Verwerking Bouwdelen'!GH20</f>
        <v>0</v>
      </c>
      <c r="CC36" s="10"/>
      <c r="CD36" s="248"/>
      <c r="CE36" s="125">
        <f>IF('Verwerking Bouwdelen'!C20=2,1,0)</f>
        <v>0</v>
      </c>
      <c r="CF36" s="130">
        <f>IF('Verwerking Bouwdelen'!A20=2,1,0)</f>
        <v>0</v>
      </c>
      <c r="CG36" s="208">
        <f>IF($CE36=1,$CF36*'Verwerking Bouwdelen'!DL20,$CF36*'Verwerking Bouwdelen'!T20)</f>
        <v>0</v>
      </c>
      <c r="CH36" s="208">
        <f>IF($CE36=1,$CF36*'Verwerking Bouwdelen'!DM20,$CF36*'Verwerking Bouwdelen'!U20)</f>
        <v>0</v>
      </c>
      <c r="CI36" s="208">
        <f>IF($CE36=1,$CF36*'Verwerking Bouwdelen'!DN20,$CF36*'Verwerking Bouwdelen'!V20)</f>
        <v>0</v>
      </c>
      <c r="CJ36" s="208">
        <f>IF($CE36=1,$CF36*'Verwerking Bouwdelen'!DO20,$CF36*'Verwerking Bouwdelen'!W20)</f>
        <v>0</v>
      </c>
      <c r="CK36" s="208">
        <f>IF($CE36=1,$CF36*'Verwerking Bouwdelen'!DP20,$CF36*'Verwerking Bouwdelen'!X20)</f>
        <v>0</v>
      </c>
      <c r="CL36" s="208">
        <f>IF($CE36=1,$CF36*'Verwerking Bouwdelen'!DQ20,$CF36*'Verwerking Bouwdelen'!Y20)</f>
        <v>0</v>
      </c>
      <c r="CM36" s="208">
        <f>IF($CE36=1,$CF36*'Verwerking Bouwdelen'!DR20,$CF36*'Verwerking Bouwdelen'!Z20)</f>
        <v>0</v>
      </c>
      <c r="CN36" s="208">
        <f>IF($CE36=1,$CF36*'Verwerking Bouwdelen'!DS20,$CF36*'Verwerking Bouwdelen'!AA20)</f>
        <v>0</v>
      </c>
      <c r="CO36" s="208">
        <f>IF($CE36=1,$CF36*'Verwerking Bouwdelen'!DT20,$CF36*'Verwerking Bouwdelen'!AB20)</f>
        <v>0</v>
      </c>
      <c r="CP36" s="208">
        <f>IF($CE36=1,$CF36*'Verwerking Bouwdelen'!DU20,$CF36*'Verwerking Bouwdelen'!AC20)</f>
        <v>0</v>
      </c>
      <c r="CQ36" s="208">
        <f>IF($CE36=1,$CF36*'Verwerking Bouwdelen'!DV20,$CF36*'Verwerking Bouwdelen'!AD20)</f>
        <v>0</v>
      </c>
      <c r="CR36" s="208">
        <f>IF($CE36=1,$CF36*'Verwerking Bouwdelen'!DW20,$CF36*'Verwerking Bouwdelen'!AE20)</f>
        <v>0</v>
      </c>
      <c r="CS36" s="10">
        <f>IF(CG36=$B36,0,('Verwerking Bouwdelen'!$D20-'Verwerking Bouwdelen'!G20)*CE36*CF36)</f>
        <v>0</v>
      </c>
      <c r="CT36" s="260">
        <f>CE36*CF36*'Verwerking Bouwdelen'!GH20</f>
        <v>0</v>
      </c>
      <c r="CU36" s="261">
        <f>CE36*CF36*'Verwerking Bouwdelen'!GI20</f>
        <v>0</v>
      </c>
      <c r="CW36" s="209">
        <f>$AC36*'Verwerking Bouwdelen'!EE20</f>
        <v>0</v>
      </c>
      <c r="CX36" s="209">
        <f>$AC36*'Verwerking Bouwdelen'!EF20</f>
        <v>0</v>
      </c>
      <c r="CY36" s="209">
        <f>$AC36*'Verwerking Bouwdelen'!EG20</f>
        <v>0</v>
      </c>
      <c r="CZ36" s="209">
        <f>$AC36*'Verwerking Bouwdelen'!EH20</f>
        <v>0</v>
      </c>
      <c r="DA36" s="209">
        <f>$AC36*'Verwerking Bouwdelen'!EI20</f>
        <v>0</v>
      </c>
      <c r="DB36" s="209">
        <f>$AC36*'Verwerking Bouwdelen'!EJ20</f>
        <v>0</v>
      </c>
      <c r="DC36" s="209">
        <f>$AC36*'Verwerking Bouwdelen'!EK20</f>
        <v>0</v>
      </c>
      <c r="DD36" s="209">
        <f>$AC36*'Verwerking Bouwdelen'!EL20</f>
        <v>0</v>
      </c>
      <c r="DE36" s="209">
        <f>$AC36*'Verwerking Bouwdelen'!EM20</f>
        <v>0</v>
      </c>
      <c r="DF36" s="209">
        <f>$AC36*'Verwerking Bouwdelen'!EN20</f>
        <v>0</v>
      </c>
      <c r="DG36" s="209">
        <f>$AC36*'Verwerking Bouwdelen'!EO20</f>
        <v>0</v>
      </c>
      <c r="DH36" s="209">
        <f>$AC36*'Verwerking Bouwdelen'!EP20</f>
        <v>0</v>
      </c>
      <c r="DI36" s="10">
        <f>IF(CW36=$O36,0,'Verwerking Bouwdelen'!G20)</f>
        <v>0</v>
      </c>
      <c r="DJ36" s="259">
        <f>'Verwerking Bouwdelen'!GK20*CF36</f>
        <v>0</v>
      </c>
      <c r="DK36" s="259">
        <f>'Verwerking Bouwdelen'!GL20*CF36</f>
        <v>0</v>
      </c>
      <c r="DL36" s="125"/>
      <c r="GM36" s="89">
        <f t="shared" si="2"/>
        <v>0</v>
      </c>
      <c r="GN36" s="89">
        <f t="shared" si="3"/>
        <v>0</v>
      </c>
      <c r="GO36" s="208">
        <f>IF($GN36=1,$GN36*$GM36*'Verwerking Bouwdelen'!DL20,$GN36*$GM36*'Verwerking Bouwdelen'!T20)</f>
        <v>0</v>
      </c>
      <c r="GP36" s="208">
        <f>IF($GN36=1,$GN36*$GM36*'Verwerking Bouwdelen'!DM20,$GN36*$GM36*'Verwerking Bouwdelen'!U20)</f>
        <v>0</v>
      </c>
      <c r="GQ36" s="208">
        <f>IF($GN36=1,$GN36*$GM36*'Verwerking Bouwdelen'!DN20,$GN36*$GM36*'Verwerking Bouwdelen'!V20)</f>
        <v>0</v>
      </c>
      <c r="GR36" s="208">
        <f>IF($GN36=1,$GN36*$GM36*'Verwerking Bouwdelen'!DO20,$GN36*$GM36*'Verwerking Bouwdelen'!W20)</f>
        <v>0</v>
      </c>
      <c r="GS36" s="208">
        <f>IF($GN36=1,$GN36*$GM36*'Verwerking Bouwdelen'!DP20,$GN36*$GM36*'Verwerking Bouwdelen'!X20)</f>
        <v>0</v>
      </c>
      <c r="GT36" s="208">
        <f>IF($GN36=1,$GN36*$GM36*'Verwerking Bouwdelen'!DQ20,$GN36*$GM36*'Verwerking Bouwdelen'!Y20)</f>
        <v>0</v>
      </c>
      <c r="GU36" s="208">
        <f>IF($GN36=1,$GN36*$GM36*'Verwerking Bouwdelen'!DR20,$GN36*$GM36*'Verwerking Bouwdelen'!Z20)</f>
        <v>0</v>
      </c>
      <c r="GV36" s="208">
        <f>IF($GN36=1,$GN36*$GM36*'Verwerking Bouwdelen'!DS20,$GN36*$GM36*'Verwerking Bouwdelen'!AA20)</f>
        <v>0</v>
      </c>
      <c r="GW36" s="208">
        <f>IF($GN36=1,$GN36*$GM36*'Verwerking Bouwdelen'!DT20,$GN36*$GM36*'Verwerking Bouwdelen'!AB20)</f>
        <v>0</v>
      </c>
      <c r="GX36" s="208">
        <f>IF($GN36=1,$GN36*$GM36*'Verwerking Bouwdelen'!DU20,$GN36*$GM36*'Verwerking Bouwdelen'!AC20)</f>
        <v>0</v>
      </c>
      <c r="GY36" s="208">
        <f>IF($GN36=1,$GN36*$GM36*'Verwerking Bouwdelen'!DV20,$GN36*$GM36*'Verwerking Bouwdelen'!AD20)</f>
        <v>0</v>
      </c>
      <c r="GZ36" s="208">
        <f>IF($GN36=1,$GN36*$GM36*'Verwerking Bouwdelen'!DW20,$GN36*$GM36*'Verwerking Bouwdelen'!AE20)</f>
        <v>0</v>
      </c>
      <c r="HB36" s="89">
        <f t="shared" si="4"/>
        <v>0</v>
      </c>
      <c r="HC36" s="89">
        <f t="shared" si="4"/>
        <v>0</v>
      </c>
      <c r="HD36" s="89">
        <f t="shared" si="4"/>
        <v>0</v>
      </c>
      <c r="HE36" s="89">
        <f t="shared" si="4"/>
        <v>0</v>
      </c>
      <c r="HF36" s="89">
        <f t="shared" si="4"/>
        <v>0</v>
      </c>
      <c r="HG36" s="89">
        <f t="shared" si="4"/>
        <v>0</v>
      </c>
      <c r="HH36" s="89">
        <f t="shared" si="4"/>
        <v>0</v>
      </c>
      <c r="HI36" s="89">
        <f t="shared" si="4"/>
        <v>0</v>
      </c>
      <c r="HJ36" s="89">
        <f t="shared" si="4"/>
        <v>0</v>
      </c>
      <c r="HK36" s="89">
        <f t="shared" si="4"/>
        <v>0</v>
      </c>
      <c r="HL36" s="89">
        <f t="shared" si="4"/>
        <v>0</v>
      </c>
      <c r="HM36" s="89">
        <f t="shared" si="4"/>
        <v>0</v>
      </c>
      <c r="HO36" s="256"/>
      <c r="HZ36" s="256"/>
    </row>
    <row r="37" spans="1:234" x14ac:dyDescent="0.2">
      <c r="A37" s="130">
        <f>IF('Verwerking Bouwdelen'!A21=2,1,0)</f>
        <v>0</v>
      </c>
      <c r="B37" s="208">
        <f>$A37*'Verwerking Bouwdelen'!T21</f>
        <v>0</v>
      </c>
      <c r="C37" s="208">
        <f>$A37*'Verwerking Bouwdelen'!U21</f>
        <v>0</v>
      </c>
      <c r="D37" s="208">
        <f>$A37*'Verwerking Bouwdelen'!V21</f>
        <v>0</v>
      </c>
      <c r="E37" s="208">
        <f>$A37*'Verwerking Bouwdelen'!W21</f>
        <v>0</v>
      </c>
      <c r="F37" s="208">
        <f>$A37*'Verwerking Bouwdelen'!X21</f>
        <v>0</v>
      </c>
      <c r="G37" s="208">
        <f>$A37*'Verwerking Bouwdelen'!Y21</f>
        <v>0</v>
      </c>
      <c r="H37" s="208">
        <f>$A37*'Verwerking Bouwdelen'!Z21</f>
        <v>0</v>
      </c>
      <c r="I37" s="208">
        <f>$A37*'Verwerking Bouwdelen'!AA21</f>
        <v>0</v>
      </c>
      <c r="J37" s="208">
        <f>$A37*'Verwerking Bouwdelen'!AB21</f>
        <v>0</v>
      </c>
      <c r="K37" s="208">
        <f>$A37*'Verwerking Bouwdelen'!AC21</f>
        <v>0</v>
      </c>
      <c r="L37" s="208">
        <f>$A37*'Verwerking Bouwdelen'!AD21</f>
        <v>0</v>
      </c>
      <c r="M37" s="208">
        <f>$A37*'Verwerking Bouwdelen'!AE21</f>
        <v>0</v>
      </c>
      <c r="O37" s="114">
        <f>$A37*'Verwerking Bouwdelen'!AU21</f>
        <v>0</v>
      </c>
      <c r="P37" s="125">
        <f>$A37*'Verwerking Bouwdelen'!AV21</f>
        <v>0</v>
      </c>
      <c r="Q37" s="125">
        <f>$A37*'Verwerking Bouwdelen'!AW21</f>
        <v>0</v>
      </c>
      <c r="R37" s="125">
        <f>$A37*'Verwerking Bouwdelen'!AX21</f>
        <v>0</v>
      </c>
      <c r="S37" s="125">
        <f>$A37*'Verwerking Bouwdelen'!AY21</f>
        <v>0</v>
      </c>
      <c r="T37" s="125">
        <f>$A37*'Verwerking Bouwdelen'!AZ21</f>
        <v>0</v>
      </c>
      <c r="U37" s="125">
        <f>$A37*'Verwerking Bouwdelen'!BA21</f>
        <v>0</v>
      </c>
      <c r="V37" s="125">
        <f>$A37*'Verwerking Bouwdelen'!BB21</f>
        <v>0</v>
      </c>
      <c r="W37" s="125">
        <f>$A37*'Verwerking Bouwdelen'!BC21</f>
        <v>0</v>
      </c>
      <c r="X37" s="125">
        <f>$A37*'Verwerking Bouwdelen'!BD21</f>
        <v>0</v>
      </c>
      <c r="Y37" s="125">
        <f>$A37*'Verwerking Bouwdelen'!BE21</f>
        <v>0</v>
      </c>
      <c r="Z37" s="195">
        <f>$A37*'Verwerking Bouwdelen'!BF21</f>
        <v>0</v>
      </c>
      <c r="AB37" s="125">
        <f>IF(OR('Verwerking Bouwdelen'!C21=3,'Verwerking Bouwdelen'!C21=6),1,0)</f>
        <v>0</v>
      </c>
      <c r="AC37" s="130">
        <f>IF('Verwerking Bouwdelen'!A21=2,1,0)</f>
        <v>0</v>
      </c>
      <c r="AD37" s="208">
        <f>IF($AB37=1,$AC37*'Verwerking Bouwdelen'!DL21,$AC37*'Verwerking Bouwdelen'!T21)</f>
        <v>0</v>
      </c>
      <c r="AE37" s="208">
        <f>IF($AB37=1,$AC37*'Verwerking Bouwdelen'!DM21,$AC37*'Verwerking Bouwdelen'!U21)</f>
        <v>0</v>
      </c>
      <c r="AF37" s="208">
        <f>IF($AB37=1,$AC37*'Verwerking Bouwdelen'!DN21,$AC37*'Verwerking Bouwdelen'!V21)</f>
        <v>0</v>
      </c>
      <c r="AG37" s="208">
        <f>IF($AB37=1,$AC37*'Verwerking Bouwdelen'!DO21,$AC37*'Verwerking Bouwdelen'!W21)</f>
        <v>0</v>
      </c>
      <c r="AH37" s="208">
        <f>IF($AB37=1,$AC37*'Verwerking Bouwdelen'!DP21,$AC37*'Verwerking Bouwdelen'!X21)</f>
        <v>0</v>
      </c>
      <c r="AI37" s="208">
        <f>IF($AB37=1,$AC37*'Verwerking Bouwdelen'!DQ21,$AC37*'Verwerking Bouwdelen'!Y21)</f>
        <v>0</v>
      </c>
      <c r="AJ37" s="208">
        <f>IF($AB37=1,$AC37*'Verwerking Bouwdelen'!DR21,$AC37*'Verwerking Bouwdelen'!Z21)</f>
        <v>0</v>
      </c>
      <c r="AK37" s="208">
        <f>IF($AB37=1,$AC37*'Verwerking Bouwdelen'!DS21,$AC37*'Verwerking Bouwdelen'!AA21)</f>
        <v>0</v>
      </c>
      <c r="AL37" s="208">
        <f>IF($AB37=1,$AC37*'Verwerking Bouwdelen'!DT21,$AC37*'Verwerking Bouwdelen'!AB21)</f>
        <v>0</v>
      </c>
      <c r="AM37" s="208">
        <f>IF($AB37=1,$AC37*'Verwerking Bouwdelen'!DU21,$AC37*'Verwerking Bouwdelen'!AC21)</f>
        <v>0</v>
      </c>
      <c r="AN37" s="208">
        <f>IF($AB37=1,$AC37*'Verwerking Bouwdelen'!DV21,$AC37*'Verwerking Bouwdelen'!AD21)</f>
        <v>0</v>
      </c>
      <c r="AO37" s="208">
        <f>IF($AB37=1,$AC37*'Verwerking Bouwdelen'!DW21,$AC37*'Verwerking Bouwdelen'!AE21)</f>
        <v>0</v>
      </c>
      <c r="AP37" s="10">
        <f>IF(AD37=B37,0,'Verwerking Bouwdelen'!D21*AB37*AC37)</f>
        <v>0</v>
      </c>
      <c r="AQ37" s="10">
        <f>AB37*AC37*'Verwerking Bouwdelen'!GH21</f>
        <v>0</v>
      </c>
      <c r="AR37" s="10"/>
      <c r="AS37" s="248"/>
      <c r="AT37" s="125">
        <f>IF('Verwerking Bouwdelen'!C21=4,1,0)</f>
        <v>0</v>
      </c>
      <c r="AU37" s="130">
        <f>IF('Verwerking Bouwdelen'!A21=2,1,0)</f>
        <v>0</v>
      </c>
      <c r="AV37" s="208">
        <f>IF($AT37=1,$AU37*'Verwerking Bouwdelen'!DL21,$AU37*'Verwerking Bouwdelen'!T21)</f>
        <v>0</v>
      </c>
      <c r="AW37" s="208">
        <f>IF($AT37=1,$AU37*'Verwerking Bouwdelen'!DM21,$AU37*'Verwerking Bouwdelen'!U21)</f>
        <v>0</v>
      </c>
      <c r="AX37" s="208">
        <f>IF($AT37=1,$AU37*'Verwerking Bouwdelen'!DN21,$AU37*'Verwerking Bouwdelen'!V21)</f>
        <v>0</v>
      </c>
      <c r="AY37" s="208">
        <f>IF($AT37=1,$AU37*'Verwerking Bouwdelen'!DO21,$AU37*'Verwerking Bouwdelen'!W21)</f>
        <v>0</v>
      </c>
      <c r="AZ37" s="208">
        <f>IF($AT37=1,$AU37*'Verwerking Bouwdelen'!DP21,$AU37*'Verwerking Bouwdelen'!X21)</f>
        <v>0</v>
      </c>
      <c r="BA37" s="208">
        <f>IF($AT37=1,$AU37*'Verwerking Bouwdelen'!DQ21,$AU37*'Verwerking Bouwdelen'!Y21)</f>
        <v>0</v>
      </c>
      <c r="BB37" s="208">
        <f>IF($AT37=1,$AU37*'Verwerking Bouwdelen'!DR21,$AU37*'Verwerking Bouwdelen'!Z21)</f>
        <v>0</v>
      </c>
      <c r="BC37" s="208">
        <f>IF($AT37=1,$AU37*'Verwerking Bouwdelen'!DS21,$AU37*'Verwerking Bouwdelen'!AA21)</f>
        <v>0</v>
      </c>
      <c r="BD37" s="208">
        <f>IF($AT37=1,$AU37*'Verwerking Bouwdelen'!DT21,$AU37*'Verwerking Bouwdelen'!AB21)</f>
        <v>0</v>
      </c>
      <c r="BE37" s="208">
        <f>IF($AT37=1,$AU37*'Verwerking Bouwdelen'!DU21,$AU37*'Verwerking Bouwdelen'!AC21)</f>
        <v>0</v>
      </c>
      <c r="BF37" s="208">
        <f>IF($AT37=1,$AU37*'Verwerking Bouwdelen'!DV21,$AU37*'Verwerking Bouwdelen'!AD21)</f>
        <v>0</v>
      </c>
      <c r="BG37" s="208">
        <f>IF($AT37=1,$AU37*'Verwerking Bouwdelen'!DW21,$AU37*'Verwerking Bouwdelen'!AE21)</f>
        <v>0</v>
      </c>
      <c r="BH37" s="10">
        <f>IF(AV37=B37,0,'Verwerking Bouwdelen'!D21*AT37*AU37)</f>
        <v>0</v>
      </c>
      <c r="BI37" s="10">
        <f>AT37*AU37*'Verwerking Bouwdelen'!GH21</f>
        <v>0</v>
      </c>
      <c r="BJ37" s="10"/>
      <c r="BK37" s="10"/>
      <c r="BM37" s="125">
        <f>IF('Verwerking Bouwdelen'!C21=5,1,0)</f>
        <v>0</v>
      </c>
      <c r="BN37" s="130">
        <f>IF('Verwerking Bouwdelen'!A21=2,1,0)</f>
        <v>0</v>
      </c>
      <c r="BO37" s="208">
        <f>IF($BM37=1,$BN37*'Verwerking Bouwdelen'!DL21,$BN37*'Verwerking Bouwdelen'!T21)</f>
        <v>0</v>
      </c>
      <c r="BP37" s="208">
        <f>IF($BM37=1,$BN37*'Verwerking Bouwdelen'!DM21,$BN37*'Verwerking Bouwdelen'!U21)</f>
        <v>0</v>
      </c>
      <c r="BQ37" s="208">
        <f>IF($BM37=1,$BN37*'Verwerking Bouwdelen'!DN21,$BN37*'Verwerking Bouwdelen'!V21)</f>
        <v>0</v>
      </c>
      <c r="BR37" s="208">
        <f>IF($BM37=1,$BN37*'Verwerking Bouwdelen'!DO21,$BN37*'Verwerking Bouwdelen'!W21)</f>
        <v>0</v>
      </c>
      <c r="BS37" s="208">
        <f>IF($BM37=1,$BN37*'Verwerking Bouwdelen'!DP21,$BN37*'Verwerking Bouwdelen'!X21)</f>
        <v>0</v>
      </c>
      <c r="BT37" s="208">
        <f>IF($BM37=1,$BN37*'Verwerking Bouwdelen'!DQ21,$BN37*'Verwerking Bouwdelen'!Y21)</f>
        <v>0</v>
      </c>
      <c r="BU37" s="208">
        <f>IF($BM37=1,$BN37*'Verwerking Bouwdelen'!DR21,$BN37*'Verwerking Bouwdelen'!Z21)</f>
        <v>0</v>
      </c>
      <c r="BV37" s="208">
        <f>IF($BM37=1,$BN37*'Verwerking Bouwdelen'!DS21,$BN37*'Verwerking Bouwdelen'!AA21)</f>
        <v>0</v>
      </c>
      <c r="BW37" s="208">
        <f>IF($BM37=1,$BN37*'Verwerking Bouwdelen'!DT21,$BN37*'Verwerking Bouwdelen'!AB21)</f>
        <v>0</v>
      </c>
      <c r="BX37" s="208">
        <f>IF($BM37=1,$BN37*'Verwerking Bouwdelen'!DU21,$BN37*'Verwerking Bouwdelen'!AC21)</f>
        <v>0</v>
      </c>
      <c r="BY37" s="208">
        <f>IF($BM37=1,$BN37*'Verwerking Bouwdelen'!DV21,$BN37*'Verwerking Bouwdelen'!AD21)</f>
        <v>0</v>
      </c>
      <c r="BZ37" s="208">
        <f>IF($BM37=1,$BN37*'Verwerking Bouwdelen'!DW21,$BN37*'Verwerking Bouwdelen'!AE21)</f>
        <v>0</v>
      </c>
      <c r="CA37" s="10">
        <f>IF(BO37=B37,0,'Verwerking Bouwdelen'!D21*BM37*BN37)</f>
        <v>0</v>
      </c>
      <c r="CB37" s="10">
        <f>BM37*BN37*'Verwerking Bouwdelen'!GH21</f>
        <v>0</v>
      </c>
      <c r="CC37" s="10"/>
      <c r="CD37" s="248"/>
      <c r="CE37" s="125">
        <f>IF('Verwerking Bouwdelen'!C21=2,1,0)</f>
        <v>0</v>
      </c>
      <c r="CF37" s="130">
        <f>IF('Verwerking Bouwdelen'!A21=2,1,0)</f>
        <v>0</v>
      </c>
      <c r="CG37" s="208">
        <f>IF($CE37=1,$CF37*'Verwerking Bouwdelen'!DL21,$CF37*'Verwerking Bouwdelen'!T21)</f>
        <v>0</v>
      </c>
      <c r="CH37" s="208">
        <f>IF($CE37=1,$CF37*'Verwerking Bouwdelen'!DM21,$CF37*'Verwerking Bouwdelen'!U21)</f>
        <v>0</v>
      </c>
      <c r="CI37" s="208">
        <f>IF($CE37=1,$CF37*'Verwerking Bouwdelen'!DN21,$CF37*'Verwerking Bouwdelen'!V21)</f>
        <v>0</v>
      </c>
      <c r="CJ37" s="208">
        <f>IF($CE37=1,$CF37*'Verwerking Bouwdelen'!DO21,$CF37*'Verwerking Bouwdelen'!W21)</f>
        <v>0</v>
      </c>
      <c r="CK37" s="208">
        <f>IF($CE37=1,$CF37*'Verwerking Bouwdelen'!DP21,$CF37*'Verwerking Bouwdelen'!X21)</f>
        <v>0</v>
      </c>
      <c r="CL37" s="208">
        <f>IF($CE37=1,$CF37*'Verwerking Bouwdelen'!DQ21,$CF37*'Verwerking Bouwdelen'!Y21)</f>
        <v>0</v>
      </c>
      <c r="CM37" s="208">
        <f>IF($CE37=1,$CF37*'Verwerking Bouwdelen'!DR21,$CF37*'Verwerking Bouwdelen'!Z21)</f>
        <v>0</v>
      </c>
      <c r="CN37" s="208">
        <f>IF($CE37=1,$CF37*'Verwerking Bouwdelen'!DS21,$CF37*'Verwerking Bouwdelen'!AA21)</f>
        <v>0</v>
      </c>
      <c r="CO37" s="208">
        <f>IF($CE37=1,$CF37*'Verwerking Bouwdelen'!DT21,$CF37*'Verwerking Bouwdelen'!AB21)</f>
        <v>0</v>
      </c>
      <c r="CP37" s="208">
        <f>IF($CE37=1,$CF37*'Verwerking Bouwdelen'!DU21,$CF37*'Verwerking Bouwdelen'!AC21)</f>
        <v>0</v>
      </c>
      <c r="CQ37" s="208">
        <f>IF($CE37=1,$CF37*'Verwerking Bouwdelen'!DV21,$CF37*'Verwerking Bouwdelen'!AD21)</f>
        <v>0</v>
      </c>
      <c r="CR37" s="208">
        <f>IF($CE37=1,$CF37*'Verwerking Bouwdelen'!DW21,$CF37*'Verwerking Bouwdelen'!AE21)</f>
        <v>0</v>
      </c>
      <c r="CS37" s="10">
        <f>IF(CG37=$B37,0,('Verwerking Bouwdelen'!$D21-'Verwerking Bouwdelen'!G21)*CE37*CF37)</f>
        <v>0</v>
      </c>
      <c r="CT37" s="260">
        <f>CE37*CF37*'Verwerking Bouwdelen'!GH21</f>
        <v>0</v>
      </c>
      <c r="CU37" s="261">
        <f>CE37*CF37*'Verwerking Bouwdelen'!GI21</f>
        <v>0</v>
      </c>
      <c r="CW37" s="209">
        <f>$AC37*'Verwerking Bouwdelen'!EE21</f>
        <v>0</v>
      </c>
      <c r="CX37" s="209">
        <f>$AC37*'Verwerking Bouwdelen'!EF21</f>
        <v>0</v>
      </c>
      <c r="CY37" s="209">
        <f>$AC37*'Verwerking Bouwdelen'!EG21</f>
        <v>0</v>
      </c>
      <c r="CZ37" s="209">
        <f>$AC37*'Verwerking Bouwdelen'!EH21</f>
        <v>0</v>
      </c>
      <c r="DA37" s="209">
        <f>$AC37*'Verwerking Bouwdelen'!EI21</f>
        <v>0</v>
      </c>
      <c r="DB37" s="209">
        <f>$AC37*'Verwerking Bouwdelen'!EJ21</f>
        <v>0</v>
      </c>
      <c r="DC37" s="209">
        <f>$AC37*'Verwerking Bouwdelen'!EK21</f>
        <v>0</v>
      </c>
      <c r="DD37" s="209">
        <f>$AC37*'Verwerking Bouwdelen'!EL21</f>
        <v>0</v>
      </c>
      <c r="DE37" s="209">
        <f>$AC37*'Verwerking Bouwdelen'!EM21</f>
        <v>0</v>
      </c>
      <c r="DF37" s="209">
        <f>$AC37*'Verwerking Bouwdelen'!EN21</f>
        <v>0</v>
      </c>
      <c r="DG37" s="209">
        <f>$AC37*'Verwerking Bouwdelen'!EO21</f>
        <v>0</v>
      </c>
      <c r="DH37" s="209">
        <f>$AC37*'Verwerking Bouwdelen'!EP21</f>
        <v>0</v>
      </c>
      <c r="DI37" s="10">
        <f>IF(CW37=$O37,0,'Verwerking Bouwdelen'!G21)</f>
        <v>0</v>
      </c>
      <c r="DJ37" s="259">
        <f>'Verwerking Bouwdelen'!GK21*CF37</f>
        <v>0</v>
      </c>
      <c r="DK37" s="259">
        <f>'Verwerking Bouwdelen'!GL21*CF37</f>
        <v>0</v>
      </c>
      <c r="DL37" s="125"/>
      <c r="GM37" s="89">
        <f t="shared" si="2"/>
        <v>0</v>
      </c>
      <c r="GN37" s="89">
        <f t="shared" si="3"/>
        <v>0</v>
      </c>
      <c r="GO37" s="208">
        <f>IF($GN37=1,$GN37*$GM37*'Verwerking Bouwdelen'!DL21,$GN37*$GM37*'Verwerking Bouwdelen'!T21)</f>
        <v>0</v>
      </c>
      <c r="GP37" s="208">
        <f>IF($GN37=1,$GN37*$GM37*'Verwerking Bouwdelen'!DM21,$GN37*$GM37*'Verwerking Bouwdelen'!U21)</f>
        <v>0</v>
      </c>
      <c r="GQ37" s="208">
        <f>IF($GN37=1,$GN37*$GM37*'Verwerking Bouwdelen'!DN21,$GN37*$GM37*'Verwerking Bouwdelen'!V21)</f>
        <v>0</v>
      </c>
      <c r="GR37" s="208">
        <f>IF($GN37=1,$GN37*$GM37*'Verwerking Bouwdelen'!DO21,$GN37*$GM37*'Verwerking Bouwdelen'!W21)</f>
        <v>0</v>
      </c>
      <c r="GS37" s="208">
        <f>IF($GN37=1,$GN37*$GM37*'Verwerking Bouwdelen'!DP21,$GN37*$GM37*'Verwerking Bouwdelen'!X21)</f>
        <v>0</v>
      </c>
      <c r="GT37" s="208">
        <f>IF($GN37=1,$GN37*$GM37*'Verwerking Bouwdelen'!DQ21,$GN37*$GM37*'Verwerking Bouwdelen'!Y21)</f>
        <v>0</v>
      </c>
      <c r="GU37" s="208">
        <f>IF($GN37=1,$GN37*$GM37*'Verwerking Bouwdelen'!DR21,$GN37*$GM37*'Verwerking Bouwdelen'!Z21)</f>
        <v>0</v>
      </c>
      <c r="GV37" s="208">
        <f>IF($GN37=1,$GN37*$GM37*'Verwerking Bouwdelen'!DS21,$GN37*$GM37*'Verwerking Bouwdelen'!AA21)</f>
        <v>0</v>
      </c>
      <c r="GW37" s="208">
        <f>IF($GN37=1,$GN37*$GM37*'Verwerking Bouwdelen'!DT21,$GN37*$GM37*'Verwerking Bouwdelen'!AB21)</f>
        <v>0</v>
      </c>
      <c r="GX37" s="208">
        <f>IF($GN37=1,$GN37*$GM37*'Verwerking Bouwdelen'!DU21,$GN37*$GM37*'Verwerking Bouwdelen'!AC21)</f>
        <v>0</v>
      </c>
      <c r="GY37" s="208">
        <f>IF($GN37=1,$GN37*$GM37*'Verwerking Bouwdelen'!DV21,$GN37*$GM37*'Verwerking Bouwdelen'!AD21)</f>
        <v>0</v>
      </c>
      <c r="GZ37" s="208">
        <f>IF($GN37=1,$GN37*$GM37*'Verwerking Bouwdelen'!DW21,$GN37*$GM37*'Verwerking Bouwdelen'!AE21)</f>
        <v>0</v>
      </c>
      <c r="HB37" s="89">
        <f t="shared" si="4"/>
        <v>0</v>
      </c>
      <c r="HC37" s="89">
        <f t="shared" si="4"/>
        <v>0</v>
      </c>
      <c r="HD37" s="89">
        <f t="shared" si="4"/>
        <v>0</v>
      </c>
      <c r="HE37" s="89">
        <f t="shared" si="4"/>
        <v>0</v>
      </c>
      <c r="HF37" s="89">
        <f t="shared" si="4"/>
        <v>0</v>
      </c>
      <c r="HG37" s="89">
        <f t="shared" si="4"/>
        <v>0</v>
      </c>
      <c r="HH37" s="89">
        <f t="shared" si="4"/>
        <v>0</v>
      </c>
      <c r="HI37" s="89">
        <f t="shared" si="4"/>
        <v>0</v>
      </c>
      <c r="HJ37" s="89">
        <f t="shared" si="4"/>
        <v>0</v>
      </c>
      <c r="HK37" s="89">
        <f t="shared" si="4"/>
        <v>0</v>
      </c>
      <c r="HL37" s="89">
        <f t="shared" si="4"/>
        <v>0</v>
      </c>
      <c r="HM37" s="89">
        <f t="shared" si="4"/>
        <v>0</v>
      </c>
      <c r="HO37" s="256"/>
      <c r="HZ37" s="256"/>
    </row>
    <row r="38" spans="1:234" x14ac:dyDescent="0.2">
      <c r="A38" s="130">
        <f>IF('Verwerking Bouwdelen'!A22=2,1,0)</f>
        <v>0</v>
      </c>
      <c r="B38" s="208">
        <f>$A38*'Verwerking Bouwdelen'!T22</f>
        <v>0</v>
      </c>
      <c r="C38" s="208">
        <f>$A38*'Verwerking Bouwdelen'!U22</f>
        <v>0</v>
      </c>
      <c r="D38" s="208">
        <f>$A38*'Verwerking Bouwdelen'!V22</f>
        <v>0</v>
      </c>
      <c r="E38" s="208">
        <f>$A38*'Verwerking Bouwdelen'!W22</f>
        <v>0</v>
      </c>
      <c r="F38" s="208">
        <f>$A38*'Verwerking Bouwdelen'!X22</f>
        <v>0</v>
      </c>
      <c r="G38" s="208">
        <f>$A38*'Verwerking Bouwdelen'!Y22</f>
        <v>0</v>
      </c>
      <c r="H38" s="208">
        <f>$A38*'Verwerking Bouwdelen'!Z22</f>
        <v>0</v>
      </c>
      <c r="I38" s="208">
        <f>$A38*'Verwerking Bouwdelen'!AA22</f>
        <v>0</v>
      </c>
      <c r="J38" s="208">
        <f>$A38*'Verwerking Bouwdelen'!AB22</f>
        <v>0</v>
      </c>
      <c r="K38" s="208">
        <f>$A38*'Verwerking Bouwdelen'!AC22</f>
        <v>0</v>
      </c>
      <c r="L38" s="208">
        <f>$A38*'Verwerking Bouwdelen'!AD22</f>
        <v>0</v>
      </c>
      <c r="M38" s="208">
        <f>$A38*'Verwerking Bouwdelen'!AE22</f>
        <v>0</v>
      </c>
      <c r="O38" s="114">
        <f>$A38*'Verwerking Bouwdelen'!AU22</f>
        <v>0</v>
      </c>
      <c r="P38" s="125">
        <f>$A38*'Verwerking Bouwdelen'!AV22</f>
        <v>0</v>
      </c>
      <c r="Q38" s="125">
        <f>$A38*'Verwerking Bouwdelen'!AW22</f>
        <v>0</v>
      </c>
      <c r="R38" s="125">
        <f>$A38*'Verwerking Bouwdelen'!AX22</f>
        <v>0</v>
      </c>
      <c r="S38" s="125">
        <f>$A38*'Verwerking Bouwdelen'!AY22</f>
        <v>0</v>
      </c>
      <c r="T38" s="125">
        <f>$A38*'Verwerking Bouwdelen'!AZ22</f>
        <v>0</v>
      </c>
      <c r="U38" s="125">
        <f>$A38*'Verwerking Bouwdelen'!BA22</f>
        <v>0</v>
      </c>
      <c r="V38" s="125">
        <f>$A38*'Verwerking Bouwdelen'!BB22</f>
        <v>0</v>
      </c>
      <c r="W38" s="125">
        <f>$A38*'Verwerking Bouwdelen'!BC22</f>
        <v>0</v>
      </c>
      <c r="X38" s="125">
        <f>$A38*'Verwerking Bouwdelen'!BD22</f>
        <v>0</v>
      </c>
      <c r="Y38" s="125">
        <f>$A38*'Verwerking Bouwdelen'!BE22</f>
        <v>0</v>
      </c>
      <c r="Z38" s="195">
        <f>$A38*'Verwerking Bouwdelen'!BF22</f>
        <v>0</v>
      </c>
      <c r="AB38" s="125">
        <f>IF(OR('Verwerking Bouwdelen'!C22=3,'Verwerking Bouwdelen'!C22=6),1,0)</f>
        <v>0</v>
      </c>
      <c r="AC38" s="130">
        <f>IF('Verwerking Bouwdelen'!A22=2,1,0)</f>
        <v>0</v>
      </c>
      <c r="AD38" s="208">
        <f>IF($AB38=1,$AC38*'Verwerking Bouwdelen'!DL22,$AC38*'Verwerking Bouwdelen'!T22)</f>
        <v>0</v>
      </c>
      <c r="AE38" s="208">
        <f>IF($AB38=1,$AC38*'Verwerking Bouwdelen'!DM22,$AC38*'Verwerking Bouwdelen'!U22)</f>
        <v>0</v>
      </c>
      <c r="AF38" s="208">
        <f>IF($AB38=1,$AC38*'Verwerking Bouwdelen'!DN22,$AC38*'Verwerking Bouwdelen'!V22)</f>
        <v>0</v>
      </c>
      <c r="AG38" s="208">
        <f>IF($AB38=1,$AC38*'Verwerking Bouwdelen'!DO22,$AC38*'Verwerking Bouwdelen'!W22)</f>
        <v>0</v>
      </c>
      <c r="AH38" s="208">
        <f>IF($AB38=1,$AC38*'Verwerking Bouwdelen'!DP22,$AC38*'Verwerking Bouwdelen'!X22)</f>
        <v>0</v>
      </c>
      <c r="AI38" s="208">
        <f>IF($AB38=1,$AC38*'Verwerking Bouwdelen'!DQ22,$AC38*'Verwerking Bouwdelen'!Y22)</f>
        <v>0</v>
      </c>
      <c r="AJ38" s="208">
        <f>IF($AB38=1,$AC38*'Verwerking Bouwdelen'!DR22,$AC38*'Verwerking Bouwdelen'!Z22)</f>
        <v>0</v>
      </c>
      <c r="AK38" s="208">
        <f>IF($AB38=1,$AC38*'Verwerking Bouwdelen'!DS22,$AC38*'Verwerking Bouwdelen'!AA22)</f>
        <v>0</v>
      </c>
      <c r="AL38" s="208">
        <f>IF($AB38=1,$AC38*'Verwerking Bouwdelen'!DT22,$AC38*'Verwerking Bouwdelen'!AB22)</f>
        <v>0</v>
      </c>
      <c r="AM38" s="208">
        <f>IF($AB38=1,$AC38*'Verwerking Bouwdelen'!DU22,$AC38*'Verwerking Bouwdelen'!AC22)</f>
        <v>0</v>
      </c>
      <c r="AN38" s="208">
        <f>IF($AB38=1,$AC38*'Verwerking Bouwdelen'!DV22,$AC38*'Verwerking Bouwdelen'!AD22)</f>
        <v>0</v>
      </c>
      <c r="AO38" s="208">
        <f>IF($AB38=1,$AC38*'Verwerking Bouwdelen'!DW22,$AC38*'Verwerking Bouwdelen'!AE22)</f>
        <v>0</v>
      </c>
      <c r="AP38" s="10">
        <f>IF(AD38=B38,0,'Verwerking Bouwdelen'!D22*AB38*AC38)</f>
        <v>0</v>
      </c>
      <c r="AQ38" s="10">
        <f>AB38*AC38*'Verwerking Bouwdelen'!GH22</f>
        <v>0</v>
      </c>
      <c r="AR38" s="10"/>
      <c r="AS38" s="248"/>
      <c r="AT38" s="125">
        <f>IF('Verwerking Bouwdelen'!C22=4,1,0)</f>
        <v>0</v>
      </c>
      <c r="AU38" s="130">
        <f>IF('Verwerking Bouwdelen'!A22=2,1,0)</f>
        <v>0</v>
      </c>
      <c r="AV38" s="208">
        <f>IF($AT38=1,$AU38*'Verwerking Bouwdelen'!DL22,$AU38*'Verwerking Bouwdelen'!T22)</f>
        <v>0</v>
      </c>
      <c r="AW38" s="208">
        <f>IF($AT38=1,$AU38*'Verwerking Bouwdelen'!DM22,$AU38*'Verwerking Bouwdelen'!U22)</f>
        <v>0</v>
      </c>
      <c r="AX38" s="208">
        <f>IF($AT38=1,$AU38*'Verwerking Bouwdelen'!DN22,$AU38*'Verwerking Bouwdelen'!V22)</f>
        <v>0</v>
      </c>
      <c r="AY38" s="208">
        <f>IF($AT38=1,$AU38*'Verwerking Bouwdelen'!DO22,$AU38*'Verwerking Bouwdelen'!W22)</f>
        <v>0</v>
      </c>
      <c r="AZ38" s="208">
        <f>IF($AT38=1,$AU38*'Verwerking Bouwdelen'!DP22,$AU38*'Verwerking Bouwdelen'!X22)</f>
        <v>0</v>
      </c>
      <c r="BA38" s="208">
        <f>IF($AT38=1,$AU38*'Verwerking Bouwdelen'!DQ22,$AU38*'Verwerking Bouwdelen'!Y22)</f>
        <v>0</v>
      </c>
      <c r="BB38" s="208">
        <f>IF($AT38=1,$AU38*'Verwerking Bouwdelen'!DR22,$AU38*'Verwerking Bouwdelen'!Z22)</f>
        <v>0</v>
      </c>
      <c r="BC38" s="208">
        <f>IF($AT38=1,$AU38*'Verwerking Bouwdelen'!DS22,$AU38*'Verwerking Bouwdelen'!AA22)</f>
        <v>0</v>
      </c>
      <c r="BD38" s="208">
        <f>IF($AT38=1,$AU38*'Verwerking Bouwdelen'!DT22,$AU38*'Verwerking Bouwdelen'!AB22)</f>
        <v>0</v>
      </c>
      <c r="BE38" s="208">
        <f>IF($AT38=1,$AU38*'Verwerking Bouwdelen'!DU22,$AU38*'Verwerking Bouwdelen'!AC22)</f>
        <v>0</v>
      </c>
      <c r="BF38" s="208">
        <f>IF($AT38=1,$AU38*'Verwerking Bouwdelen'!DV22,$AU38*'Verwerking Bouwdelen'!AD22)</f>
        <v>0</v>
      </c>
      <c r="BG38" s="208">
        <f>IF($AT38=1,$AU38*'Verwerking Bouwdelen'!DW22,$AU38*'Verwerking Bouwdelen'!AE22)</f>
        <v>0</v>
      </c>
      <c r="BH38" s="10">
        <f>IF(AV38=B38,0,'Verwerking Bouwdelen'!D22*AT38*AU38)</f>
        <v>0</v>
      </c>
      <c r="BI38" s="10">
        <f>AT38*AU38*'Verwerking Bouwdelen'!GH22</f>
        <v>0</v>
      </c>
      <c r="BJ38" s="10"/>
      <c r="BK38" s="10"/>
      <c r="BM38" s="125">
        <f>IF('Verwerking Bouwdelen'!C22=5,1,0)</f>
        <v>0</v>
      </c>
      <c r="BN38" s="130">
        <f>IF('Verwerking Bouwdelen'!A22=2,1,0)</f>
        <v>0</v>
      </c>
      <c r="BO38" s="208">
        <f>IF($BM38=1,$BN38*'Verwerking Bouwdelen'!DL22,$BN38*'Verwerking Bouwdelen'!T22)</f>
        <v>0</v>
      </c>
      <c r="BP38" s="208">
        <f>IF($BM38=1,$BN38*'Verwerking Bouwdelen'!DM22,$BN38*'Verwerking Bouwdelen'!U22)</f>
        <v>0</v>
      </c>
      <c r="BQ38" s="208">
        <f>IF($BM38=1,$BN38*'Verwerking Bouwdelen'!DN22,$BN38*'Verwerking Bouwdelen'!V22)</f>
        <v>0</v>
      </c>
      <c r="BR38" s="208">
        <f>IF($BM38=1,$BN38*'Verwerking Bouwdelen'!DO22,$BN38*'Verwerking Bouwdelen'!W22)</f>
        <v>0</v>
      </c>
      <c r="BS38" s="208">
        <f>IF($BM38=1,$BN38*'Verwerking Bouwdelen'!DP22,$BN38*'Verwerking Bouwdelen'!X22)</f>
        <v>0</v>
      </c>
      <c r="BT38" s="208">
        <f>IF($BM38=1,$BN38*'Verwerking Bouwdelen'!DQ22,$BN38*'Verwerking Bouwdelen'!Y22)</f>
        <v>0</v>
      </c>
      <c r="BU38" s="208">
        <f>IF($BM38=1,$BN38*'Verwerking Bouwdelen'!DR22,$BN38*'Verwerking Bouwdelen'!Z22)</f>
        <v>0</v>
      </c>
      <c r="BV38" s="208">
        <f>IF($BM38=1,$BN38*'Verwerking Bouwdelen'!DS22,$BN38*'Verwerking Bouwdelen'!AA22)</f>
        <v>0</v>
      </c>
      <c r="BW38" s="208">
        <f>IF($BM38=1,$BN38*'Verwerking Bouwdelen'!DT22,$BN38*'Verwerking Bouwdelen'!AB22)</f>
        <v>0</v>
      </c>
      <c r="BX38" s="208">
        <f>IF($BM38=1,$BN38*'Verwerking Bouwdelen'!DU22,$BN38*'Verwerking Bouwdelen'!AC22)</f>
        <v>0</v>
      </c>
      <c r="BY38" s="208">
        <f>IF($BM38=1,$BN38*'Verwerking Bouwdelen'!DV22,$BN38*'Verwerking Bouwdelen'!AD22)</f>
        <v>0</v>
      </c>
      <c r="BZ38" s="208">
        <f>IF($BM38=1,$BN38*'Verwerking Bouwdelen'!DW22,$BN38*'Verwerking Bouwdelen'!AE22)</f>
        <v>0</v>
      </c>
      <c r="CA38" s="10">
        <f>IF(BO38=B38,0,'Verwerking Bouwdelen'!D22*BM38*BN38)</f>
        <v>0</v>
      </c>
      <c r="CB38" s="10">
        <f>BM38*BN38*'Verwerking Bouwdelen'!GH22</f>
        <v>0</v>
      </c>
      <c r="CC38" s="10"/>
      <c r="CD38" s="248"/>
      <c r="CE38" s="125">
        <f>IF('Verwerking Bouwdelen'!C22=2,1,0)</f>
        <v>0</v>
      </c>
      <c r="CF38" s="130">
        <f>IF('Verwerking Bouwdelen'!A22=2,1,0)</f>
        <v>0</v>
      </c>
      <c r="CG38" s="208">
        <f>IF($CE38=1,$CF38*'Verwerking Bouwdelen'!DL22,$CF38*'Verwerking Bouwdelen'!T22)</f>
        <v>0</v>
      </c>
      <c r="CH38" s="208">
        <f>IF($CE38=1,$CF38*'Verwerking Bouwdelen'!DM22,$CF38*'Verwerking Bouwdelen'!U22)</f>
        <v>0</v>
      </c>
      <c r="CI38" s="208">
        <f>IF($CE38=1,$CF38*'Verwerking Bouwdelen'!DN22,$CF38*'Verwerking Bouwdelen'!V22)</f>
        <v>0</v>
      </c>
      <c r="CJ38" s="208">
        <f>IF($CE38=1,$CF38*'Verwerking Bouwdelen'!DO22,$CF38*'Verwerking Bouwdelen'!W22)</f>
        <v>0</v>
      </c>
      <c r="CK38" s="208">
        <f>IF($CE38=1,$CF38*'Verwerking Bouwdelen'!DP22,$CF38*'Verwerking Bouwdelen'!X22)</f>
        <v>0</v>
      </c>
      <c r="CL38" s="208">
        <f>IF($CE38=1,$CF38*'Verwerking Bouwdelen'!DQ22,$CF38*'Verwerking Bouwdelen'!Y22)</f>
        <v>0</v>
      </c>
      <c r="CM38" s="208">
        <f>IF($CE38=1,$CF38*'Verwerking Bouwdelen'!DR22,$CF38*'Verwerking Bouwdelen'!Z22)</f>
        <v>0</v>
      </c>
      <c r="CN38" s="208">
        <f>IF($CE38=1,$CF38*'Verwerking Bouwdelen'!DS22,$CF38*'Verwerking Bouwdelen'!AA22)</f>
        <v>0</v>
      </c>
      <c r="CO38" s="208">
        <f>IF($CE38=1,$CF38*'Verwerking Bouwdelen'!DT22,$CF38*'Verwerking Bouwdelen'!AB22)</f>
        <v>0</v>
      </c>
      <c r="CP38" s="208">
        <f>IF($CE38=1,$CF38*'Verwerking Bouwdelen'!DU22,$CF38*'Verwerking Bouwdelen'!AC22)</f>
        <v>0</v>
      </c>
      <c r="CQ38" s="208">
        <f>IF($CE38=1,$CF38*'Verwerking Bouwdelen'!DV22,$CF38*'Verwerking Bouwdelen'!AD22)</f>
        <v>0</v>
      </c>
      <c r="CR38" s="208">
        <f>IF($CE38=1,$CF38*'Verwerking Bouwdelen'!DW22,$CF38*'Verwerking Bouwdelen'!AE22)</f>
        <v>0</v>
      </c>
      <c r="CS38" s="10">
        <f>IF(CG38=$B38,0,('Verwerking Bouwdelen'!$D22-'Verwerking Bouwdelen'!G22)*CE38*CF38)</f>
        <v>0</v>
      </c>
      <c r="CT38" s="260">
        <f>CE38*CF38*'Verwerking Bouwdelen'!GH22</f>
        <v>0</v>
      </c>
      <c r="CU38" s="261">
        <f>CE38*CF38*'Verwerking Bouwdelen'!GI22</f>
        <v>0</v>
      </c>
      <c r="CW38" s="209">
        <f>$AC38*'Verwerking Bouwdelen'!EE22</f>
        <v>0</v>
      </c>
      <c r="CX38" s="209">
        <f>$AC38*'Verwerking Bouwdelen'!EF22</f>
        <v>0</v>
      </c>
      <c r="CY38" s="209">
        <f>$AC38*'Verwerking Bouwdelen'!EG22</f>
        <v>0</v>
      </c>
      <c r="CZ38" s="209">
        <f>$AC38*'Verwerking Bouwdelen'!EH22</f>
        <v>0</v>
      </c>
      <c r="DA38" s="209">
        <f>$AC38*'Verwerking Bouwdelen'!EI22</f>
        <v>0</v>
      </c>
      <c r="DB38" s="209">
        <f>$AC38*'Verwerking Bouwdelen'!EJ22</f>
        <v>0</v>
      </c>
      <c r="DC38" s="209">
        <f>$AC38*'Verwerking Bouwdelen'!EK22</f>
        <v>0</v>
      </c>
      <c r="DD38" s="209">
        <f>$AC38*'Verwerking Bouwdelen'!EL22</f>
        <v>0</v>
      </c>
      <c r="DE38" s="209">
        <f>$AC38*'Verwerking Bouwdelen'!EM22</f>
        <v>0</v>
      </c>
      <c r="DF38" s="209">
        <f>$AC38*'Verwerking Bouwdelen'!EN22</f>
        <v>0</v>
      </c>
      <c r="DG38" s="209">
        <f>$AC38*'Verwerking Bouwdelen'!EO22</f>
        <v>0</v>
      </c>
      <c r="DH38" s="209">
        <f>$AC38*'Verwerking Bouwdelen'!EP22</f>
        <v>0</v>
      </c>
      <c r="DI38" s="10">
        <f>IF(CW38=$O38,0,'Verwerking Bouwdelen'!G22)</f>
        <v>0</v>
      </c>
      <c r="DJ38" s="259">
        <f>'Verwerking Bouwdelen'!GK22*CF38</f>
        <v>0</v>
      </c>
      <c r="DK38" s="259">
        <f>'Verwerking Bouwdelen'!GL22*CF38</f>
        <v>0</v>
      </c>
      <c r="DL38" s="125"/>
      <c r="GM38" s="89">
        <f t="shared" si="2"/>
        <v>0</v>
      </c>
      <c r="GN38" s="89">
        <f t="shared" si="3"/>
        <v>0</v>
      </c>
      <c r="GO38" s="208">
        <f>IF($GN38=1,$GN38*$GM38*'Verwerking Bouwdelen'!DL22,$GN38*$GM38*'Verwerking Bouwdelen'!T22)</f>
        <v>0</v>
      </c>
      <c r="GP38" s="208">
        <f>IF($GN38=1,$GN38*$GM38*'Verwerking Bouwdelen'!DM22,$GN38*$GM38*'Verwerking Bouwdelen'!U22)</f>
        <v>0</v>
      </c>
      <c r="GQ38" s="208">
        <f>IF($GN38=1,$GN38*$GM38*'Verwerking Bouwdelen'!DN22,$GN38*$GM38*'Verwerking Bouwdelen'!V22)</f>
        <v>0</v>
      </c>
      <c r="GR38" s="208">
        <f>IF($GN38=1,$GN38*$GM38*'Verwerking Bouwdelen'!DO22,$GN38*$GM38*'Verwerking Bouwdelen'!W22)</f>
        <v>0</v>
      </c>
      <c r="GS38" s="208">
        <f>IF($GN38=1,$GN38*$GM38*'Verwerking Bouwdelen'!DP22,$GN38*$GM38*'Verwerking Bouwdelen'!X22)</f>
        <v>0</v>
      </c>
      <c r="GT38" s="208">
        <f>IF($GN38=1,$GN38*$GM38*'Verwerking Bouwdelen'!DQ22,$GN38*$GM38*'Verwerking Bouwdelen'!Y22)</f>
        <v>0</v>
      </c>
      <c r="GU38" s="208">
        <f>IF($GN38=1,$GN38*$GM38*'Verwerking Bouwdelen'!DR22,$GN38*$GM38*'Verwerking Bouwdelen'!Z22)</f>
        <v>0</v>
      </c>
      <c r="GV38" s="208">
        <f>IF($GN38=1,$GN38*$GM38*'Verwerking Bouwdelen'!DS22,$GN38*$GM38*'Verwerking Bouwdelen'!AA22)</f>
        <v>0</v>
      </c>
      <c r="GW38" s="208">
        <f>IF($GN38=1,$GN38*$GM38*'Verwerking Bouwdelen'!DT22,$GN38*$GM38*'Verwerking Bouwdelen'!AB22)</f>
        <v>0</v>
      </c>
      <c r="GX38" s="208">
        <f>IF($GN38=1,$GN38*$GM38*'Verwerking Bouwdelen'!DU22,$GN38*$GM38*'Verwerking Bouwdelen'!AC22)</f>
        <v>0</v>
      </c>
      <c r="GY38" s="208">
        <f>IF($GN38=1,$GN38*$GM38*'Verwerking Bouwdelen'!DV22,$GN38*$GM38*'Verwerking Bouwdelen'!AD22)</f>
        <v>0</v>
      </c>
      <c r="GZ38" s="208">
        <f>IF($GN38=1,$GN38*$GM38*'Verwerking Bouwdelen'!DW22,$GN38*$GM38*'Verwerking Bouwdelen'!AE22)</f>
        <v>0</v>
      </c>
      <c r="HB38" s="89">
        <f t="shared" si="4"/>
        <v>0</v>
      </c>
      <c r="HC38" s="89">
        <f t="shared" si="4"/>
        <v>0</v>
      </c>
      <c r="HD38" s="89">
        <f t="shared" si="4"/>
        <v>0</v>
      </c>
      <c r="HE38" s="89">
        <f t="shared" si="4"/>
        <v>0</v>
      </c>
      <c r="HF38" s="89">
        <f t="shared" si="4"/>
        <v>0</v>
      </c>
      <c r="HG38" s="89">
        <f t="shared" si="4"/>
        <v>0</v>
      </c>
      <c r="HH38" s="89">
        <f t="shared" si="4"/>
        <v>0</v>
      </c>
      <c r="HI38" s="89">
        <f t="shared" si="4"/>
        <v>0</v>
      </c>
      <c r="HJ38" s="89">
        <f t="shared" si="4"/>
        <v>0</v>
      </c>
      <c r="HK38" s="89">
        <f t="shared" si="4"/>
        <v>0</v>
      </c>
      <c r="HL38" s="89">
        <f t="shared" si="4"/>
        <v>0</v>
      </c>
      <c r="HM38" s="89">
        <f t="shared" si="4"/>
        <v>0</v>
      </c>
      <c r="HO38" s="256"/>
      <c r="HZ38" s="256"/>
    </row>
    <row r="39" spans="1:234" x14ac:dyDescent="0.2">
      <c r="A39" s="130">
        <f>IF('Verwerking Bouwdelen'!A23=2,1,0)</f>
        <v>0</v>
      </c>
      <c r="B39" s="208">
        <f>$A39*'Verwerking Bouwdelen'!T23</f>
        <v>0</v>
      </c>
      <c r="C39" s="208">
        <f>$A39*'Verwerking Bouwdelen'!U23</f>
        <v>0</v>
      </c>
      <c r="D39" s="208">
        <f>$A39*'Verwerking Bouwdelen'!V23</f>
        <v>0</v>
      </c>
      <c r="E39" s="208">
        <f>$A39*'Verwerking Bouwdelen'!W23</f>
        <v>0</v>
      </c>
      <c r="F39" s="208">
        <f>$A39*'Verwerking Bouwdelen'!X23</f>
        <v>0</v>
      </c>
      <c r="G39" s="208">
        <f>$A39*'Verwerking Bouwdelen'!Y23</f>
        <v>0</v>
      </c>
      <c r="H39" s="208">
        <f>$A39*'Verwerking Bouwdelen'!Z23</f>
        <v>0</v>
      </c>
      <c r="I39" s="208">
        <f>$A39*'Verwerking Bouwdelen'!AA23</f>
        <v>0</v>
      </c>
      <c r="J39" s="208">
        <f>$A39*'Verwerking Bouwdelen'!AB23</f>
        <v>0</v>
      </c>
      <c r="K39" s="208">
        <f>$A39*'Verwerking Bouwdelen'!AC23</f>
        <v>0</v>
      </c>
      <c r="L39" s="208">
        <f>$A39*'Verwerking Bouwdelen'!AD23</f>
        <v>0</v>
      </c>
      <c r="M39" s="208">
        <f>$A39*'Verwerking Bouwdelen'!AE23</f>
        <v>0</v>
      </c>
      <c r="O39" s="114">
        <f>$A39*'Verwerking Bouwdelen'!AU23</f>
        <v>0</v>
      </c>
      <c r="P39" s="125">
        <f>$A39*'Verwerking Bouwdelen'!AV23</f>
        <v>0</v>
      </c>
      <c r="Q39" s="125">
        <f>$A39*'Verwerking Bouwdelen'!AW23</f>
        <v>0</v>
      </c>
      <c r="R39" s="125">
        <f>$A39*'Verwerking Bouwdelen'!AX23</f>
        <v>0</v>
      </c>
      <c r="S39" s="125">
        <f>$A39*'Verwerking Bouwdelen'!AY23</f>
        <v>0</v>
      </c>
      <c r="T39" s="125">
        <f>$A39*'Verwerking Bouwdelen'!AZ23</f>
        <v>0</v>
      </c>
      <c r="U39" s="125">
        <f>$A39*'Verwerking Bouwdelen'!BA23</f>
        <v>0</v>
      </c>
      <c r="V39" s="125">
        <f>$A39*'Verwerking Bouwdelen'!BB23</f>
        <v>0</v>
      </c>
      <c r="W39" s="125">
        <f>$A39*'Verwerking Bouwdelen'!BC23</f>
        <v>0</v>
      </c>
      <c r="X39" s="125">
        <f>$A39*'Verwerking Bouwdelen'!BD23</f>
        <v>0</v>
      </c>
      <c r="Y39" s="125">
        <f>$A39*'Verwerking Bouwdelen'!BE23</f>
        <v>0</v>
      </c>
      <c r="Z39" s="195">
        <f>$A39*'Verwerking Bouwdelen'!BF23</f>
        <v>0</v>
      </c>
      <c r="AB39" s="125">
        <f>IF(OR('Verwerking Bouwdelen'!C23=3,'Verwerking Bouwdelen'!C23=6),1,0)</f>
        <v>0</v>
      </c>
      <c r="AC39" s="130">
        <f>IF('Verwerking Bouwdelen'!A23=2,1,0)</f>
        <v>0</v>
      </c>
      <c r="AD39" s="208">
        <f>IF($AB39=1,$AC39*'Verwerking Bouwdelen'!DL23,$AC39*'Verwerking Bouwdelen'!T23)</f>
        <v>0</v>
      </c>
      <c r="AE39" s="208">
        <f>IF($AB39=1,$AC39*'Verwerking Bouwdelen'!DM23,$AC39*'Verwerking Bouwdelen'!U23)</f>
        <v>0</v>
      </c>
      <c r="AF39" s="208">
        <f>IF($AB39=1,$AC39*'Verwerking Bouwdelen'!DN23,$AC39*'Verwerking Bouwdelen'!V23)</f>
        <v>0</v>
      </c>
      <c r="AG39" s="208">
        <f>IF($AB39=1,$AC39*'Verwerking Bouwdelen'!DO23,$AC39*'Verwerking Bouwdelen'!W23)</f>
        <v>0</v>
      </c>
      <c r="AH39" s="208">
        <f>IF($AB39=1,$AC39*'Verwerking Bouwdelen'!DP23,$AC39*'Verwerking Bouwdelen'!X23)</f>
        <v>0</v>
      </c>
      <c r="AI39" s="208">
        <f>IF($AB39=1,$AC39*'Verwerking Bouwdelen'!DQ23,$AC39*'Verwerking Bouwdelen'!Y23)</f>
        <v>0</v>
      </c>
      <c r="AJ39" s="208">
        <f>IF($AB39=1,$AC39*'Verwerking Bouwdelen'!DR23,$AC39*'Verwerking Bouwdelen'!Z23)</f>
        <v>0</v>
      </c>
      <c r="AK39" s="208">
        <f>IF($AB39=1,$AC39*'Verwerking Bouwdelen'!DS23,$AC39*'Verwerking Bouwdelen'!AA23)</f>
        <v>0</v>
      </c>
      <c r="AL39" s="208">
        <f>IF($AB39=1,$AC39*'Verwerking Bouwdelen'!DT23,$AC39*'Verwerking Bouwdelen'!AB23)</f>
        <v>0</v>
      </c>
      <c r="AM39" s="208">
        <f>IF($AB39=1,$AC39*'Verwerking Bouwdelen'!DU23,$AC39*'Verwerking Bouwdelen'!AC23)</f>
        <v>0</v>
      </c>
      <c r="AN39" s="208">
        <f>IF($AB39=1,$AC39*'Verwerking Bouwdelen'!DV23,$AC39*'Verwerking Bouwdelen'!AD23)</f>
        <v>0</v>
      </c>
      <c r="AO39" s="208">
        <f>IF($AB39=1,$AC39*'Verwerking Bouwdelen'!DW23,$AC39*'Verwerking Bouwdelen'!AE23)</f>
        <v>0</v>
      </c>
      <c r="AP39" s="10">
        <f>IF(AD39=B39,0,'Verwerking Bouwdelen'!D23*AB39*AC39)</f>
        <v>0</v>
      </c>
      <c r="AQ39" s="10">
        <f>AB39*AC39*'Verwerking Bouwdelen'!GH23</f>
        <v>0</v>
      </c>
      <c r="AR39" s="10"/>
      <c r="AS39" s="248"/>
      <c r="AT39" s="125">
        <f>IF('Verwerking Bouwdelen'!C23=4,1,0)</f>
        <v>0</v>
      </c>
      <c r="AU39" s="130">
        <f>IF('Verwerking Bouwdelen'!A23=2,1,0)</f>
        <v>0</v>
      </c>
      <c r="AV39" s="208">
        <f>IF($AT39=1,$AU39*'Verwerking Bouwdelen'!DL23,$AU39*'Verwerking Bouwdelen'!T23)</f>
        <v>0</v>
      </c>
      <c r="AW39" s="208">
        <f>IF($AT39=1,$AU39*'Verwerking Bouwdelen'!DM23,$AU39*'Verwerking Bouwdelen'!U23)</f>
        <v>0</v>
      </c>
      <c r="AX39" s="208">
        <f>IF($AT39=1,$AU39*'Verwerking Bouwdelen'!DN23,$AU39*'Verwerking Bouwdelen'!V23)</f>
        <v>0</v>
      </c>
      <c r="AY39" s="208">
        <f>IF($AT39=1,$AU39*'Verwerking Bouwdelen'!DO23,$AU39*'Verwerking Bouwdelen'!W23)</f>
        <v>0</v>
      </c>
      <c r="AZ39" s="208">
        <f>IF($AT39=1,$AU39*'Verwerking Bouwdelen'!DP23,$AU39*'Verwerking Bouwdelen'!X23)</f>
        <v>0</v>
      </c>
      <c r="BA39" s="208">
        <f>IF($AT39=1,$AU39*'Verwerking Bouwdelen'!DQ23,$AU39*'Verwerking Bouwdelen'!Y23)</f>
        <v>0</v>
      </c>
      <c r="BB39" s="208">
        <f>IF($AT39=1,$AU39*'Verwerking Bouwdelen'!DR23,$AU39*'Verwerking Bouwdelen'!Z23)</f>
        <v>0</v>
      </c>
      <c r="BC39" s="208">
        <f>IF($AT39=1,$AU39*'Verwerking Bouwdelen'!DS23,$AU39*'Verwerking Bouwdelen'!AA23)</f>
        <v>0</v>
      </c>
      <c r="BD39" s="208">
        <f>IF($AT39=1,$AU39*'Verwerking Bouwdelen'!DT23,$AU39*'Verwerking Bouwdelen'!AB23)</f>
        <v>0</v>
      </c>
      <c r="BE39" s="208">
        <f>IF($AT39=1,$AU39*'Verwerking Bouwdelen'!DU23,$AU39*'Verwerking Bouwdelen'!AC23)</f>
        <v>0</v>
      </c>
      <c r="BF39" s="208">
        <f>IF($AT39=1,$AU39*'Verwerking Bouwdelen'!DV23,$AU39*'Verwerking Bouwdelen'!AD23)</f>
        <v>0</v>
      </c>
      <c r="BG39" s="208">
        <f>IF($AT39=1,$AU39*'Verwerking Bouwdelen'!DW23,$AU39*'Verwerking Bouwdelen'!AE23)</f>
        <v>0</v>
      </c>
      <c r="BH39" s="10">
        <f>IF(AV39=B39,0,'Verwerking Bouwdelen'!D23*AT39*AU39)</f>
        <v>0</v>
      </c>
      <c r="BI39" s="10">
        <f>AT39*AU39*'Verwerking Bouwdelen'!GH23</f>
        <v>0</v>
      </c>
      <c r="BJ39" s="10"/>
      <c r="BK39" s="10"/>
      <c r="BM39" s="125">
        <f>IF('Verwerking Bouwdelen'!C23=5,1,0)</f>
        <v>0</v>
      </c>
      <c r="BN39" s="130">
        <f>IF('Verwerking Bouwdelen'!A23=2,1,0)</f>
        <v>0</v>
      </c>
      <c r="BO39" s="208">
        <f>IF($BM39=1,$BN39*'Verwerking Bouwdelen'!DL23,$BN39*'Verwerking Bouwdelen'!T23)</f>
        <v>0</v>
      </c>
      <c r="BP39" s="208">
        <f>IF($BM39=1,$BN39*'Verwerking Bouwdelen'!DM23,$BN39*'Verwerking Bouwdelen'!U23)</f>
        <v>0</v>
      </c>
      <c r="BQ39" s="208">
        <f>IF($BM39=1,$BN39*'Verwerking Bouwdelen'!DN23,$BN39*'Verwerking Bouwdelen'!V23)</f>
        <v>0</v>
      </c>
      <c r="BR39" s="208">
        <f>IF($BM39=1,$BN39*'Verwerking Bouwdelen'!DO23,$BN39*'Verwerking Bouwdelen'!W23)</f>
        <v>0</v>
      </c>
      <c r="BS39" s="208">
        <f>IF($BM39=1,$BN39*'Verwerking Bouwdelen'!DP23,$BN39*'Verwerking Bouwdelen'!X23)</f>
        <v>0</v>
      </c>
      <c r="BT39" s="208">
        <f>IF($BM39=1,$BN39*'Verwerking Bouwdelen'!DQ23,$BN39*'Verwerking Bouwdelen'!Y23)</f>
        <v>0</v>
      </c>
      <c r="BU39" s="208">
        <f>IF($BM39=1,$BN39*'Verwerking Bouwdelen'!DR23,$BN39*'Verwerking Bouwdelen'!Z23)</f>
        <v>0</v>
      </c>
      <c r="BV39" s="208">
        <f>IF($BM39=1,$BN39*'Verwerking Bouwdelen'!DS23,$BN39*'Verwerking Bouwdelen'!AA23)</f>
        <v>0</v>
      </c>
      <c r="BW39" s="208">
        <f>IF($BM39=1,$BN39*'Verwerking Bouwdelen'!DT23,$BN39*'Verwerking Bouwdelen'!AB23)</f>
        <v>0</v>
      </c>
      <c r="BX39" s="208">
        <f>IF($BM39=1,$BN39*'Verwerking Bouwdelen'!DU23,$BN39*'Verwerking Bouwdelen'!AC23)</f>
        <v>0</v>
      </c>
      <c r="BY39" s="208">
        <f>IF($BM39=1,$BN39*'Verwerking Bouwdelen'!DV23,$BN39*'Verwerking Bouwdelen'!AD23)</f>
        <v>0</v>
      </c>
      <c r="BZ39" s="208">
        <f>IF($BM39=1,$BN39*'Verwerking Bouwdelen'!DW23,$BN39*'Verwerking Bouwdelen'!AE23)</f>
        <v>0</v>
      </c>
      <c r="CA39" s="10">
        <f>IF(BO39=B39,0,'Verwerking Bouwdelen'!D23*BM39*BN39)</f>
        <v>0</v>
      </c>
      <c r="CB39" s="10">
        <f>BM39*BN39*'Verwerking Bouwdelen'!GH23</f>
        <v>0</v>
      </c>
      <c r="CC39" s="10"/>
      <c r="CD39" s="248"/>
      <c r="CE39" s="125">
        <f>IF('Verwerking Bouwdelen'!C23=2,1,0)</f>
        <v>0</v>
      </c>
      <c r="CF39" s="130">
        <f>IF('Verwerking Bouwdelen'!A23=2,1,0)</f>
        <v>0</v>
      </c>
      <c r="CG39" s="208">
        <f>IF($CE39=1,$CF39*'Verwerking Bouwdelen'!DL23,$CF39*'Verwerking Bouwdelen'!T23)</f>
        <v>0</v>
      </c>
      <c r="CH39" s="208">
        <f>IF($CE39=1,$CF39*'Verwerking Bouwdelen'!DM23,$CF39*'Verwerking Bouwdelen'!U23)</f>
        <v>0</v>
      </c>
      <c r="CI39" s="208">
        <f>IF($CE39=1,$CF39*'Verwerking Bouwdelen'!DN23,$CF39*'Verwerking Bouwdelen'!V23)</f>
        <v>0</v>
      </c>
      <c r="CJ39" s="208">
        <f>IF($CE39=1,$CF39*'Verwerking Bouwdelen'!DO23,$CF39*'Verwerking Bouwdelen'!W23)</f>
        <v>0</v>
      </c>
      <c r="CK39" s="208">
        <f>IF($CE39=1,$CF39*'Verwerking Bouwdelen'!DP23,$CF39*'Verwerking Bouwdelen'!X23)</f>
        <v>0</v>
      </c>
      <c r="CL39" s="208">
        <f>IF($CE39=1,$CF39*'Verwerking Bouwdelen'!DQ23,$CF39*'Verwerking Bouwdelen'!Y23)</f>
        <v>0</v>
      </c>
      <c r="CM39" s="208">
        <f>IF($CE39=1,$CF39*'Verwerking Bouwdelen'!DR23,$CF39*'Verwerking Bouwdelen'!Z23)</f>
        <v>0</v>
      </c>
      <c r="CN39" s="208">
        <f>IF($CE39=1,$CF39*'Verwerking Bouwdelen'!DS23,$CF39*'Verwerking Bouwdelen'!AA23)</f>
        <v>0</v>
      </c>
      <c r="CO39" s="208">
        <f>IF($CE39=1,$CF39*'Verwerking Bouwdelen'!DT23,$CF39*'Verwerking Bouwdelen'!AB23)</f>
        <v>0</v>
      </c>
      <c r="CP39" s="208">
        <f>IF($CE39=1,$CF39*'Verwerking Bouwdelen'!DU23,$CF39*'Verwerking Bouwdelen'!AC23)</f>
        <v>0</v>
      </c>
      <c r="CQ39" s="208">
        <f>IF($CE39=1,$CF39*'Verwerking Bouwdelen'!DV23,$CF39*'Verwerking Bouwdelen'!AD23)</f>
        <v>0</v>
      </c>
      <c r="CR39" s="208">
        <f>IF($CE39=1,$CF39*'Verwerking Bouwdelen'!DW23,$CF39*'Verwerking Bouwdelen'!AE23)</f>
        <v>0</v>
      </c>
      <c r="CS39" s="10">
        <f>IF(CG39=$B39,0,('Verwerking Bouwdelen'!$D23-'Verwerking Bouwdelen'!G23)*CE39*CF39)</f>
        <v>0</v>
      </c>
      <c r="CT39" s="260">
        <f>CE39*CF39*'Verwerking Bouwdelen'!GH23</f>
        <v>0</v>
      </c>
      <c r="CU39" s="261">
        <f>CE39*CF39*'Verwerking Bouwdelen'!GI23</f>
        <v>0</v>
      </c>
      <c r="CW39" s="209">
        <f>$AC39*'Verwerking Bouwdelen'!EE23</f>
        <v>0</v>
      </c>
      <c r="CX39" s="209">
        <f>$AC39*'Verwerking Bouwdelen'!EF23</f>
        <v>0</v>
      </c>
      <c r="CY39" s="209">
        <f>$AC39*'Verwerking Bouwdelen'!EG23</f>
        <v>0</v>
      </c>
      <c r="CZ39" s="209">
        <f>$AC39*'Verwerking Bouwdelen'!EH23</f>
        <v>0</v>
      </c>
      <c r="DA39" s="209">
        <f>$AC39*'Verwerking Bouwdelen'!EI23</f>
        <v>0</v>
      </c>
      <c r="DB39" s="209">
        <f>$AC39*'Verwerking Bouwdelen'!EJ23</f>
        <v>0</v>
      </c>
      <c r="DC39" s="209">
        <f>$AC39*'Verwerking Bouwdelen'!EK23</f>
        <v>0</v>
      </c>
      <c r="DD39" s="209">
        <f>$AC39*'Verwerking Bouwdelen'!EL23</f>
        <v>0</v>
      </c>
      <c r="DE39" s="209">
        <f>$AC39*'Verwerking Bouwdelen'!EM23</f>
        <v>0</v>
      </c>
      <c r="DF39" s="209">
        <f>$AC39*'Verwerking Bouwdelen'!EN23</f>
        <v>0</v>
      </c>
      <c r="DG39" s="209">
        <f>$AC39*'Verwerking Bouwdelen'!EO23</f>
        <v>0</v>
      </c>
      <c r="DH39" s="209">
        <f>$AC39*'Verwerking Bouwdelen'!EP23</f>
        <v>0</v>
      </c>
      <c r="DI39" s="10">
        <f>IF(CW39=$O39,0,'Verwerking Bouwdelen'!G23)</f>
        <v>0</v>
      </c>
      <c r="DJ39" s="259">
        <f>'Verwerking Bouwdelen'!GK23*CF39</f>
        <v>0</v>
      </c>
      <c r="DK39" s="259">
        <f>'Verwerking Bouwdelen'!GL23*CF39</f>
        <v>0</v>
      </c>
      <c r="DL39" s="125"/>
      <c r="GM39" s="89">
        <f t="shared" si="2"/>
        <v>0</v>
      </c>
      <c r="GN39" s="89">
        <f t="shared" si="3"/>
        <v>0</v>
      </c>
      <c r="GO39" s="208">
        <f>IF($GN39=1,$GN39*$GM39*'Verwerking Bouwdelen'!DL23,$GN39*$GM39*'Verwerking Bouwdelen'!T23)</f>
        <v>0</v>
      </c>
      <c r="GP39" s="208">
        <f>IF($GN39=1,$GN39*$GM39*'Verwerking Bouwdelen'!DM23,$GN39*$GM39*'Verwerking Bouwdelen'!U23)</f>
        <v>0</v>
      </c>
      <c r="GQ39" s="208">
        <f>IF($GN39=1,$GN39*$GM39*'Verwerking Bouwdelen'!DN23,$GN39*$GM39*'Verwerking Bouwdelen'!V23)</f>
        <v>0</v>
      </c>
      <c r="GR39" s="208">
        <f>IF($GN39=1,$GN39*$GM39*'Verwerking Bouwdelen'!DO23,$GN39*$GM39*'Verwerking Bouwdelen'!W23)</f>
        <v>0</v>
      </c>
      <c r="GS39" s="208">
        <f>IF($GN39=1,$GN39*$GM39*'Verwerking Bouwdelen'!DP23,$GN39*$GM39*'Verwerking Bouwdelen'!X23)</f>
        <v>0</v>
      </c>
      <c r="GT39" s="208">
        <f>IF($GN39=1,$GN39*$GM39*'Verwerking Bouwdelen'!DQ23,$GN39*$GM39*'Verwerking Bouwdelen'!Y23)</f>
        <v>0</v>
      </c>
      <c r="GU39" s="208">
        <f>IF($GN39=1,$GN39*$GM39*'Verwerking Bouwdelen'!DR23,$GN39*$GM39*'Verwerking Bouwdelen'!Z23)</f>
        <v>0</v>
      </c>
      <c r="GV39" s="208">
        <f>IF($GN39=1,$GN39*$GM39*'Verwerking Bouwdelen'!DS23,$GN39*$GM39*'Verwerking Bouwdelen'!AA23)</f>
        <v>0</v>
      </c>
      <c r="GW39" s="208">
        <f>IF($GN39=1,$GN39*$GM39*'Verwerking Bouwdelen'!DT23,$GN39*$GM39*'Verwerking Bouwdelen'!AB23)</f>
        <v>0</v>
      </c>
      <c r="GX39" s="208">
        <f>IF($GN39=1,$GN39*$GM39*'Verwerking Bouwdelen'!DU23,$GN39*$GM39*'Verwerking Bouwdelen'!AC23)</f>
        <v>0</v>
      </c>
      <c r="GY39" s="208">
        <f>IF($GN39=1,$GN39*$GM39*'Verwerking Bouwdelen'!DV23,$GN39*$GM39*'Verwerking Bouwdelen'!AD23)</f>
        <v>0</v>
      </c>
      <c r="GZ39" s="208">
        <f>IF($GN39=1,$GN39*$GM39*'Verwerking Bouwdelen'!DW23,$GN39*$GM39*'Verwerking Bouwdelen'!AE23)</f>
        <v>0</v>
      </c>
      <c r="HB39" s="89">
        <f t="shared" si="4"/>
        <v>0</v>
      </c>
      <c r="HC39" s="89">
        <f t="shared" si="4"/>
        <v>0</v>
      </c>
      <c r="HD39" s="89">
        <f t="shared" si="4"/>
        <v>0</v>
      </c>
      <c r="HE39" s="89">
        <f t="shared" si="4"/>
        <v>0</v>
      </c>
      <c r="HF39" s="89">
        <f t="shared" si="4"/>
        <v>0</v>
      </c>
      <c r="HG39" s="89">
        <f t="shared" si="4"/>
        <v>0</v>
      </c>
      <c r="HH39" s="89">
        <f t="shared" si="4"/>
        <v>0</v>
      </c>
      <c r="HI39" s="89">
        <f t="shared" si="4"/>
        <v>0</v>
      </c>
      <c r="HJ39" s="89">
        <f t="shared" si="4"/>
        <v>0</v>
      </c>
      <c r="HK39" s="89">
        <f t="shared" si="4"/>
        <v>0</v>
      </c>
      <c r="HL39" s="89">
        <f t="shared" si="4"/>
        <v>0</v>
      </c>
      <c r="HM39" s="89">
        <f t="shared" si="4"/>
        <v>0</v>
      </c>
      <c r="HO39" s="256"/>
      <c r="HZ39" s="256"/>
    </row>
    <row r="40" spans="1:234" x14ac:dyDescent="0.2">
      <c r="A40" s="130">
        <f>IF('Verwerking Bouwdelen'!A24=2,1,0)</f>
        <v>0</v>
      </c>
      <c r="B40" s="208">
        <f>$A40*'Verwerking Bouwdelen'!T24</f>
        <v>0</v>
      </c>
      <c r="C40" s="208">
        <f>$A40*'Verwerking Bouwdelen'!U24</f>
        <v>0</v>
      </c>
      <c r="D40" s="208">
        <f>$A40*'Verwerking Bouwdelen'!V24</f>
        <v>0</v>
      </c>
      <c r="E40" s="208">
        <f>$A40*'Verwerking Bouwdelen'!W24</f>
        <v>0</v>
      </c>
      <c r="F40" s="208">
        <f>$A40*'Verwerking Bouwdelen'!X24</f>
        <v>0</v>
      </c>
      <c r="G40" s="208">
        <f>$A40*'Verwerking Bouwdelen'!Y24</f>
        <v>0</v>
      </c>
      <c r="H40" s="208">
        <f>$A40*'Verwerking Bouwdelen'!Z24</f>
        <v>0</v>
      </c>
      <c r="I40" s="208">
        <f>$A40*'Verwerking Bouwdelen'!AA24</f>
        <v>0</v>
      </c>
      <c r="J40" s="208">
        <f>$A40*'Verwerking Bouwdelen'!AB24</f>
        <v>0</v>
      </c>
      <c r="K40" s="208">
        <f>$A40*'Verwerking Bouwdelen'!AC24</f>
        <v>0</v>
      </c>
      <c r="L40" s="208">
        <f>$A40*'Verwerking Bouwdelen'!AD24</f>
        <v>0</v>
      </c>
      <c r="M40" s="208">
        <f>$A40*'Verwerking Bouwdelen'!AE24</f>
        <v>0</v>
      </c>
      <c r="O40" s="114">
        <f>$A40*'Verwerking Bouwdelen'!AU24</f>
        <v>0</v>
      </c>
      <c r="P40" s="125">
        <f>$A40*'Verwerking Bouwdelen'!AV24</f>
        <v>0</v>
      </c>
      <c r="Q40" s="125">
        <f>$A40*'Verwerking Bouwdelen'!AW24</f>
        <v>0</v>
      </c>
      <c r="R40" s="125">
        <f>$A40*'Verwerking Bouwdelen'!AX24</f>
        <v>0</v>
      </c>
      <c r="S40" s="125">
        <f>$A40*'Verwerking Bouwdelen'!AY24</f>
        <v>0</v>
      </c>
      <c r="T40" s="125">
        <f>$A40*'Verwerking Bouwdelen'!AZ24</f>
        <v>0</v>
      </c>
      <c r="U40" s="125">
        <f>$A40*'Verwerking Bouwdelen'!BA24</f>
        <v>0</v>
      </c>
      <c r="V40" s="125">
        <f>$A40*'Verwerking Bouwdelen'!BB24</f>
        <v>0</v>
      </c>
      <c r="W40" s="125">
        <f>$A40*'Verwerking Bouwdelen'!BC24</f>
        <v>0</v>
      </c>
      <c r="X40" s="125">
        <f>$A40*'Verwerking Bouwdelen'!BD24</f>
        <v>0</v>
      </c>
      <c r="Y40" s="125">
        <f>$A40*'Verwerking Bouwdelen'!BE24</f>
        <v>0</v>
      </c>
      <c r="Z40" s="195">
        <f>$A40*'Verwerking Bouwdelen'!BF24</f>
        <v>0</v>
      </c>
      <c r="AB40" s="125">
        <f>IF(OR('Verwerking Bouwdelen'!C24=3,'Verwerking Bouwdelen'!C24=6),1,0)</f>
        <v>0</v>
      </c>
      <c r="AC40" s="130">
        <f>IF('Verwerking Bouwdelen'!A24=2,1,0)</f>
        <v>0</v>
      </c>
      <c r="AD40" s="208">
        <f>IF($AB40=1,$AC40*'Verwerking Bouwdelen'!DL24,$AC40*'Verwerking Bouwdelen'!T24)</f>
        <v>0</v>
      </c>
      <c r="AE40" s="208">
        <f>IF($AB40=1,$AC40*'Verwerking Bouwdelen'!DM24,$AC40*'Verwerking Bouwdelen'!U24)</f>
        <v>0</v>
      </c>
      <c r="AF40" s="208">
        <f>IF($AB40=1,$AC40*'Verwerking Bouwdelen'!DN24,$AC40*'Verwerking Bouwdelen'!V24)</f>
        <v>0</v>
      </c>
      <c r="AG40" s="208">
        <f>IF($AB40=1,$AC40*'Verwerking Bouwdelen'!DO24,$AC40*'Verwerking Bouwdelen'!W24)</f>
        <v>0</v>
      </c>
      <c r="AH40" s="208">
        <f>IF($AB40=1,$AC40*'Verwerking Bouwdelen'!DP24,$AC40*'Verwerking Bouwdelen'!X24)</f>
        <v>0</v>
      </c>
      <c r="AI40" s="208">
        <f>IF($AB40=1,$AC40*'Verwerking Bouwdelen'!DQ24,$AC40*'Verwerking Bouwdelen'!Y24)</f>
        <v>0</v>
      </c>
      <c r="AJ40" s="208">
        <f>IF($AB40=1,$AC40*'Verwerking Bouwdelen'!DR24,$AC40*'Verwerking Bouwdelen'!Z24)</f>
        <v>0</v>
      </c>
      <c r="AK40" s="208">
        <f>IF($AB40=1,$AC40*'Verwerking Bouwdelen'!DS24,$AC40*'Verwerking Bouwdelen'!AA24)</f>
        <v>0</v>
      </c>
      <c r="AL40" s="208">
        <f>IF($AB40=1,$AC40*'Verwerking Bouwdelen'!DT24,$AC40*'Verwerking Bouwdelen'!AB24)</f>
        <v>0</v>
      </c>
      <c r="AM40" s="208">
        <f>IF($AB40=1,$AC40*'Verwerking Bouwdelen'!DU24,$AC40*'Verwerking Bouwdelen'!AC24)</f>
        <v>0</v>
      </c>
      <c r="AN40" s="208">
        <f>IF($AB40=1,$AC40*'Verwerking Bouwdelen'!DV24,$AC40*'Verwerking Bouwdelen'!AD24)</f>
        <v>0</v>
      </c>
      <c r="AO40" s="208">
        <f>IF($AB40=1,$AC40*'Verwerking Bouwdelen'!DW24,$AC40*'Verwerking Bouwdelen'!AE24)</f>
        <v>0</v>
      </c>
      <c r="AP40" s="10">
        <f>IF(AD40=B40,0,'Verwerking Bouwdelen'!D24*AB40*AC40)</f>
        <v>0</v>
      </c>
      <c r="AQ40" s="10">
        <f>AB40*AC40*'Verwerking Bouwdelen'!GH24</f>
        <v>0</v>
      </c>
      <c r="AR40" s="10"/>
      <c r="AS40" s="248"/>
      <c r="AT40" s="125">
        <f>IF('Verwerking Bouwdelen'!C24=4,1,0)</f>
        <v>0</v>
      </c>
      <c r="AU40" s="130">
        <f>IF('Verwerking Bouwdelen'!A24=2,1,0)</f>
        <v>0</v>
      </c>
      <c r="AV40" s="208">
        <f>IF($AT40=1,$AU40*'Verwerking Bouwdelen'!DL24,$AU40*'Verwerking Bouwdelen'!T24)</f>
        <v>0</v>
      </c>
      <c r="AW40" s="208">
        <f>IF($AT40=1,$AU40*'Verwerking Bouwdelen'!DM24,$AU40*'Verwerking Bouwdelen'!U24)</f>
        <v>0</v>
      </c>
      <c r="AX40" s="208">
        <f>IF($AT40=1,$AU40*'Verwerking Bouwdelen'!DN24,$AU40*'Verwerking Bouwdelen'!V24)</f>
        <v>0</v>
      </c>
      <c r="AY40" s="208">
        <f>IF($AT40=1,$AU40*'Verwerking Bouwdelen'!DO24,$AU40*'Verwerking Bouwdelen'!W24)</f>
        <v>0</v>
      </c>
      <c r="AZ40" s="208">
        <f>IF($AT40=1,$AU40*'Verwerking Bouwdelen'!DP24,$AU40*'Verwerking Bouwdelen'!X24)</f>
        <v>0</v>
      </c>
      <c r="BA40" s="208">
        <f>IF($AT40=1,$AU40*'Verwerking Bouwdelen'!DQ24,$AU40*'Verwerking Bouwdelen'!Y24)</f>
        <v>0</v>
      </c>
      <c r="BB40" s="208">
        <f>IF($AT40=1,$AU40*'Verwerking Bouwdelen'!DR24,$AU40*'Verwerking Bouwdelen'!Z24)</f>
        <v>0</v>
      </c>
      <c r="BC40" s="208">
        <f>IF($AT40=1,$AU40*'Verwerking Bouwdelen'!DS24,$AU40*'Verwerking Bouwdelen'!AA24)</f>
        <v>0</v>
      </c>
      <c r="BD40" s="208">
        <f>IF($AT40=1,$AU40*'Verwerking Bouwdelen'!DT24,$AU40*'Verwerking Bouwdelen'!AB24)</f>
        <v>0</v>
      </c>
      <c r="BE40" s="208">
        <f>IF($AT40=1,$AU40*'Verwerking Bouwdelen'!DU24,$AU40*'Verwerking Bouwdelen'!AC24)</f>
        <v>0</v>
      </c>
      <c r="BF40" s="208">
        <f>IF($AT40=1,$AU40*'Verwerking Bouwdelen'!DV24,$AU40*'Verwerking Bouwdelen'!AD24)</f>
        <v>0</v>
      </c>
      <c r="BG40" s="208">
        <f>IF($AT40=1,$AU40*'Verwerking Bouwdelen'!DW24,$AU40*'Verwerking Bouwdelen'!AE24)</f>
        <v>0</v>
      </c>
      <c r="BH40" s="10">
        <f>IF(AV40=B40,0,'Verwerking Bouwdelen'!D24*AT40*AU40)</f>
        <v>0</v>
      </c>
      <c r="BI40" s="10">
        <f>AT40*AU40*'Verwerking Bouwdelen'!GH24</f>
        <v>0</v>
      </c>
      <c r="BJ40" s="10"/>
      <c r="BK40" s="10"/>
      <c r="BM40" s="125">
        <f>IF('Verwerking Bouwdelen'!C24=5,1,0)</f>
        <v>0</v>
      </c>
      <c r="BN40" s="130">
        <f>IF('Verwerking Bouwdelen'!A24=2,1,0)</f>
        <v>0</v>
      </c>
      <c r="BO40" s="208">
        <f>IF($BM40=1,$BN40*'Verwerking Bouwdelen'!DL24,$BN40*'Verwerking Bouwdelen'!T24)</f>
        <v>0</v>
      </c>
      <c r="BP40" s="208">
        <f>IF($BM40=1,$BN40*'Verwerking Bouwdelen'!DM24,$BN40*'Verwerking Bouwdelen'!U24)</f>
        <v>0</v>
      </c>
      <c r="BQ40" s="208">
        <f>IF($BM40=1,$BN40*'Verwerking Bouwdelen'!DN24,$BN40*'Verwerking Bouwdelen'!V24)</f>
        <v>0</v>
      </c>
      <c r="BR40" s="208">
        <f>IF($BM40=1,$BN40*'Verwerking Bouwdelen'!DO24,$BN40*'Verwerking Bouwdelen'!W24)</f>
        <v>0</v>
      </c>
      <c r="BS40" s="208">
        <f>IF($BM40=1,$BN40*'Verwerking Bouwdelen'!DP24,$BN40*'Verwerking Bouwdelen'!X24)</f>
        <v>0</v>
      </c>
      <c r="BT40" s="208">
        <f>IF($BM40=1,$BN40*'Verwerking Bouwdelen'!DQ24,$BN40*'Verwerking Bouwdelen'!Y24)</f>
        <v>0</v>
      </c>
      <c r="BU40" s="208">
        <f>IF($BM40=1,$BN40*'Verwerking Bouwdelen'!DR24,$BN40*'Verwerking Bouwdelen'!Z24)</f>
        <v>0</v>
      </c>
      <c r="BV40" s="208">
        <f>IF($BM40=1,$BN40*'Verwerking Bouwdelen'!DS24,$BN40*'Verwerking Bouwdelen'!AA24)</f>
        <v>0</v>
      </c>
      <c r="BW40" s="208">
        <f>IF($BM40=1,$BN40*'Verwerking Bouwdelen'!DT24,$BN40*'Verwerking Bouwdelen'!AB24)</f>
        <v>0</v>
      </c>
      <c r="BX40" s="208">
        <f>IF($BM40=1,$BN40*'Verwerking Bouwdelen'!DU24,$BN40*'Verwerking Bouwdelen'!AC24)</f>
        <v>0</v>
      </c>
      <c r="BY40" s="208">
        <f>IF($BM40=1,$BN40*'Verwerking Bouwdelen'!DV24,$BN40*'Verwerking Bouwdelen'!AD24)</f>
        <v>0</v>
      </c>
      <c r="BZ40" s="208">
        <f>IF($BM40=1,$BN40*'Verwerking Bouwdelen'!DW24,$BN40*'Verwerking Bouwdelen'!AE24)</f>
        <v>0</v>
      </c>
      <c r="CA40" s="10">
        <f>IF(BO40=B40,0,'Verwerking Bouwdelen'!D24*BM40*BN40)</f>
        <v>0</v>
      </c>
      <c r="CB40" s="10">
        <f>BM40*BN40*'Verwerking Bouwdelen'!GH24</f>
        <v>0</v>
      </c>
      <c r="CC40" s="10"/>
      <c r="CD40" s="248"/>
      <c r="CE40" s="125">
        <f>IF('Verwerking Bouwdelen'!C24=2,1,0)</f>
        <v>0</v>
      </c>
      <c r="CF40" s="130">
        <f>IF('Verwerking Bouwdelen'!A24=2,1,0)</f>
        <v>0</v>
      </c>
      <c r="CG40" s="208">
        <f>IF($CE40=1,$CF40*'Verwerking Bouwdelen'!DL24,$CF40*'Verwerking Bouwdelen'!T24)</f>
        <v>0</v>
      </c>
      <c r="CH40" s="208">
        <f>IF($CE40=1,$CF40*'Verwerking Bouwdelen'!DM24,$CF40*'Verwerking Bouwdelen'!U24)</f>
        <v>0</v>
      </c>
      <c r="CI40" s="208">
        <f>IF($CE40=1,$CF40*'Verwerking Bouwdelen'!DN24,$CF40*'Verwerking Bouwdelen'!V24)</f>
        <v>0</v>
      </c>
      <c r="CJ40" s="208">
        <f>IF($CE40=1,$CF40*'Verwerking Bouwdelen'!DO24,$CF40*'Verwerking Bouwdelen'!W24)</f>
        <v>0</v>
      </c>
      <c r="CK40" s="208">
        <f>IF($CE40=1,$CF40*'Verwerking Bouwdelen'!DP24,$CF40*'Verwerking Bouwdelen'!X24)</f>
        <v>0</v>
      </c>
      <c r="CL40" s="208">
        <f>IF($CE40=1,$CF40*'Verwerking Bouwdelen'!DQ24,$CF40*'Verwerking Bouwdelen'!Y24)</f>
        <v>0</v>
      </c>
      <c r="CM40" s="208">
        <f>IF($CE40=1,$CF40*'Verwerking Bouwdelen'!DR24,$CF40*'Verwerking Bouwdelen'!Z24)</f>
        <v>0</v>
      </c>
      <c r="CN40" s="208">
        <f>IF($CE40=1,$CF40*'Verwerking Bouwdelen'!DS24,$CF40*'Verwerking Bouwdelen'!AA24)</f>
        <v>0</v>
      </c>
      <c r="CO40" s="208">
        <f>IF($CE40=1,$CF40*'Verwerking Bouwdelen'!DT24,$CF40*'Verwerking Bouwdelen'!AB24)</f>
        <v>0</v>
      </c>
      <c r="CP40" s="208">
        <f>IF($CE40=1,$CF40*'Verwerking Bouwdelen'!DU24,$CF40*'Verwerking Bouwdelen'!AC24)</f>
        <v>0</v>
      </c>
      <c r="CQ40" s="208">
        <f>IF($CE40=1,$CF40*'Verwerking Bouwdelen'!DV24,$CF40*'Verwerking Bouwdelen'!AD24)</f>
        <v>0</v>
      </c>
      <c r="CR40" s="208">
        <f>IF($CE40=1,$CF40*'Verwerking Bouwdelen'!DW24,$CF40*'Verwerking Bouwdelen'!AE24)</f>
        <v>0</v>
      </c>
      <c r="CS40" s="10">
        <f>IF(CG40=$B40,0,('Verwerking Bouwdelen'!$D24-'Verwerking Bouwdelen'!G24)*CE40*CF40)</f>
        <v>0</v>
      </c>
      <c r="CT40" s="260">
        <f>CE40*CF40*'Verwerking Bouwdelen'!GH24</f>
        <v>0</v>
      </c>
      <c r="CU40" s="261">
        <f>CE40*CF40*'Verwerking Bouwdelen'!GI24</f>
        <v>0</v>
      </c>
      <c r="CW40" s="209">
        <f>$AC40*'Verwerking Bouwdelen'!EE24</f>
        <v>0</v>
      </c>
      <c r="CX40" s="209">
        <f>$AC40*'Verwerking Bouwdelen'!EF24</f>
        <v>0</v>
      </c>
      <c r="CY40" s="209">
        <f>$AC40*'Verwerking Bouwdelen'!EG24</f>
        <v>0</v>
      </c>
      <c r="CZ40" s="209">
        <f>$AC40*'Verwerking Bouwdelen'!EH24</f>
        <v>0</v>
      </c>
      <c r="DA40" s="209">
        <f>$AC40*'Verwerking Bouwdelen'!EI24</f>
        <v>0</v>
      </c>
      <c r="DB40" s="209">
        <f>$AC40*'Verwerking Bouwdelen'!EJ24</f>
        <v>0</v>
      </c>
      <c r="DC40" s="209">
        <f>$AC40*'Verwerking Bouwdelen'!EK24</f>
        <v>0</v>
      </c>
      <c r="DD40" s="209">
        <f>$AC40*'Verwerking Bouwdelen'!EL24</f>
        <v>0</v>
      </c>
      <c r="DE40" s="209">
        <f>$AC40*'Verwerking Bouwdelen'!EM24</f>
        <v>0</v>
      </c>
      <c r="DF40" s="209">
        <f>$AC40*'Verwerking Bouwdelen'!EN24</f>
        <v>0</v>
      </c>
      <c r="DG40" s="209">
        <f>$AC40*'Verwerking Bouwdelen'!EO24</f>
        <v>0</v>
      </c>
      <c r="DH40" s="209">
        <f>$AC40*'Verwerking Bouwdelen'!EP24</f>
        <v>0</v>
      </c>
      <c r="DI40" s="10">
        <f>IF(CW40=$O40,0,'Verwerking Bouwdelen'!G24)</f>
        <v>0</v>
      </c>
      <c r="DJ40" s="259">
        <f>'Verwerking Bouwdelen'!GK24*CF40</f>
        <v>0</v>
      </c>
      <c r="DK40" s="259">
        <f>'Verwerking Bouwdelen'!GL24*CF40</f>
        <v>0</v>
      </c>
      <c r="DL40" s="125"/>
      <c r="GM40" s="89">
        <f t="shared" si="2"/>
        <v>0</v>
      </c>
      <c r="GN40" s="89">
        <f t="shared" si="3"/>
        <v>0</v>
      </c>
      <c r="GO40" s="208">
        <f>IF($GN40=1,$GN40*$GM40*'Verwerking Bouwdelen'!DL24,$GN40*$GM40*'Verwerking Bouwdelen'!T24)</f>
        <v>0</v>
      </c>
      <c r="GP40" s="208">
        <f>IF($GN40=1,$GN40*$GM40*'Verwerking Bouwdelen'!DM24,$GN40*$GM40*'Verwerking Bouwdelen'!U24)</f>
        <v>0</v>
      </c>
      <c r="GQ40" s="208">
        <f>IF($GN40=1,$GN40*$GM40*'Verwerking Bouwdelen'!DN24,$GN40*$GM40*'Verwerking Bouwdelen'!V24)</f>
        <v>0</v>
      </c>
      <c r="GR40" s="208">
        <f>IF($GN40=1,$GN40*$GM40*'Verwerking Bouwdelen'!DO24,$GN40*$GM40*'Verwerking Bouwdelen'!W24)</f>
        <v>0</v>
      </c>
      <c r="GS40" s="208">
        <f>IF($GN40=1,$GN40*$GM40*'Verwerking Bouwdelen'!DP24,$GN40*$GM40*'Verwerking Bouwdelen'!X24)</f>
        <v>0</v>
      </c>
      <c r="GT40" s="208">
        <f>IF($GN40=1,$GN40*$GM40*'Verwerking Bouwdelen'!DQ24,$GN40*$GM40*'Verwerking Bouwdelen'!Y24)</f>
        <v>0</v>
      </c>
      <c r="GU40" s="208">
        <f>IF($GN40=1,$GN40*$GM40*'Verwerking Bouwdelen'!DR24,$GN40*$GM40*'Verwerking Bouwdelen'!Z24)</f>
        <v>0</v>
      </c>
      <c r="GV40" s="208">
        <f>IF($GN40=1,$GN40*$GM40*'Verwerking Bouwdelen'!DS24,$GN40*$GM40*'Verwerking Bouwdelen'!AA24)</f>
        <v>0</v>
      </c>
      <c r="GW40" s="208">
        <f>IF($GN40=1,$GN40*$GM40*'Verwerking Bouwdelen'!DT24,$GN40*$GM40*'Verwerking Bouwdelen'!AB24)</f>
        <v>0</v>
      </c>
      <c r="GX40" s="208">
        <f>IF($GN40=1,$GN40*$GM40*'Verwerking Bouwdelen'!DU24,$GN40*$GM40*'Verwerking Bouwdelen'!AC24)</f>
        <v>0</v>
      </c>
      <c r="GY40" s="208">
        <f>IF($GN40=1,$GN40*$GM40*'Verwerking Bouwdelen'!DV24,$GN40*$GM40*'Verwerking Bouwdelen'!AD24)</f>
        <v>0</v>
      </c>
      <c r="GZ40" s="208">
        <f>IF($GN40=1,$GN40*$GM40*'Verwerking Bouwdelen'!DW24,$GN40*$GM40*'Verwerking Bouwdelen'!AE24)</f>
        <v>0</v>
      </c>
      <c r="HB40" s="89">
        <f t="shared" si="4"/>
        <v>0</v>
      </c>
      <c r="HC40" s="89">
        <f t="shared" si="4"/>
        <v>0</v>
      </c>
      <c r="HD40" s="89">
        <f t="shared" si="4"/>
        <v>0</v>
      </c>
      <c r="HE40" s="89">
        <f t="shared" si="4"/>
        <v>0</v>
      </c>
      <c r="HF40" s="89">
        <f t="shared" si="4"/>
        <v>0</v>
      </c>
      <c r="HG40" s="89">
        <f t="shared" si="4"/>
        <v>0</v>
      </c>
      <c r="HH40" s="89">
        <f t="shared" si="4"/>
        <v>0</v>
      </c>
      <c r="HI40" s="89">
        <f t="shared" si="4"/>
        <v>0</v>
      </c>
      <c r="HJ40" s="89">
        <f t="shared" si="4"/>
        <v>0</v>
      </c>
      <c r="HK40" s="89">
        <f t="shared" si="4"/>
        <v>0</v>
      </c>
      <c r="HL40" s="89">
        <f t="shared" si="4"/>
        <v>0</v>
      </c>
      <c r="HM40" s="89">
        <f t="shared" si="4"/>
        <v>0</v>
      </c>
      <c r="HO40" s="256"/>
      <c r="HZ40" s="256"/>
    </row>
    <row r="41" spans="1:234" x14ac:dyDescent="0.2">
      <c r="A41" s="130">
        <f>IF('Verwerking Bouwdelen'!A25=2,1,0)</f>
        <v>0</v>
      </c>
      <c r="B41" s="208">
        <f>$A41*'Verwerking Bouwdelen'!T25</f>
        <v>0</v>
      </c>
      <c r="C41" s="208">
        <f>$A41*'Verwerking Bouwdelen'!U25</f>
        <v>0</v>
      </c>
      <c r="D41" s="208">
        <f>$A41*'Verwerking Bouwdelen'!V25</f>
        <v>0</v>
      </c>
      <c r="E41" s="208">
        <f>$A41*'Verwerking Bouwdelen'!W25</f>
        <v>0</v>
      </c>
      <c r="F41" s="208">
        <f>$A41*'Verwerking Bouwdelen'!X25</f>
        <v>0</v>
      </c>
      <c r="G41" s="208">
        <f>$A41*'Verwerking Bouwdelen'!Y25</f>
        <v>0</v>
      </c>
      <c r="H41" s="208">
        <f>$A41*'Verwerking Bouwdelen'!Z25</f>
        <v>0</v>
      </c>
      <c r="I41" s="208">
        <f>$A41*'Verwerking Bouwdelen'!AA25</f>
        <v>0</v>
      </c>
      <c r="J41" s="208">
        <f>$A41*'Verwerking Bouwdelen'!AB25</f>
        <v>0</v>
      </c>
      <c r="K41" s="208">
        <f>$A41*'Verwerking Bouwdelen'!AC25</f>
        <v>0</v>
      </c>
      <c r="L41" s="208">
        <f>$A41*'Verwerking Bouwdelen'!AD25</f>
        <v>0</v>
      </c>
      <c r="M41" s="208">
        <f>$A41*'Verwerking Bouwdelen'!AE25</f>
        <v>0</v>
      </c>
      <c r="O41" s="114">
        <f>$A41*'Verwerking Bouwdelen'!AU25</f>
        <v>0</v>
      </c>
      <c r="P41" s="125">
        <f>$A41*'Verwerking Bouwdelen'!AV25</f>
        <v>0</v>
      </c>
      <c r="Q41" s="125">
        <f>$A41*'Verwerking Bouwdelen'!AW25</f>
        <v>0</v>
      </c>
      <c r="R41" s="125">
        <f>$A41*'Verwerking Bouwdelen'!AX25</f>
        <v>0</v>
      </c>
      <c r="S41" s="125">
        <f>$A41*'Verwerking Bouwdelen'!AY25</f>
        <v>0</v>
      </c>
      <c r="T41" s="125">
        <f>$A41*'Verwerking Bouwdelen'!AZ25</f>
        <v>0</v>
      </c>
      <c r="U41" s="125">
        <f>$A41*'Verwerking Bouwdelen'!BA25</f>
        <v>0</v>
      </c>
      <c r="V41" s="125">
        <f>$A41*'Verwerking Bouwdelen'!BB25</f>
        <v>0</v>
      </c>
      <c r="W41" s="125">
        <f>$A41*'Verwerking Bouwdelen'!BC25</f>
        <v>0</v>
      </c>
      <c r="X41" s="125">
        <f>$A41*'Verwerking Bouwdelen'!BD25</f>
        <v>0</v>
      </c>
      <c r="Y41" s="125">
        <f>$A41*'Verwerking Bouwdelen'!BE25</f>
        <v>0</v>
      </c>
      <c r="Z41" s="195">
        <f>$A41*'Verwerking Bouwdelen'!BF25</f>
        <v>0</v>
      </c>
      <c r="AB41" s="125">
        <f>IF(OR('Verwerking Bouwdelen'!C25=3,'Verwerking Bouwdelen'!C25=6),1,0)</f>
        <v>0</v>
      </c>
      <c r="AC41" s="130">
        <f>IF('Verwerking Bouwdelen'!A25=2,1,0)</f>
        <v>0</v>
      </c>
      <c r="AD41" s="208">
        <f>IF($AB41=1,$AC41*'Verwerking Bouwdelen'!DL25,$AC41*'Verwerking Bouwdelen'!T25)</f>
        <v>0</v>
      </c>
      <c r="AE41" s="208">
        <f>IF($AB41=1,$AC41*'Verwerking Bouwdelen'!DM25,$AC41*'Verwerking Bouwdelen'!U25)</f>
        <v>0</v>
      </c>
      <c r="AF41" s="208">
        <f>IF($AB41=1,$AC41*'Verwerking Bouwdelen'!DN25,$AC41*'Verwerking Bouwdelen'!V25)</f>
        <v>0</v>
      </c>
      <c r="AG41" s="208">
        <f>IF($AB41=1,$AC41*'Verwerking Bouwdelen'!DO25,$AC41*'Verwerking Bouwdelen'!W25)</f>
        <v>0</v>
      </c>
      <c r="AH41" s="208">
        <f>IF($AB41=1,$AC41*'Verwerking Bouwdelen'!DP25,$AC41*'Verwerking Bouwdelen'!X25)</f>
        <v>0</v>
      </c>
      <c r="AI41" s="208">
        <f>IF($AB41=1,$AC41*'Verwerking Bouwdelen'!DQ25,$AC41*'Verwerking Bouwdelen'!Y25)</f>
        <v>0</v>
      </c>
      <c r="AJ41" s="208">
        <f>IF($AB41=1,$AC41*'Verwerking Bouwdelen'!DR25,$AC41*'Verwerking Bouwdelen'!Z25)</f>
        <v>0</v>
      </c>
      <c r="AK41" s="208">
        <f>IF($AB41=1,$AC41*'Verwerking Bouwdelen'!DS25,$AC41*'Verwerking Bouwdelen'!AA25)</f>
        <v>0</v>
      </c>
      <c r="AL41" s="208">
        <f>IF($AB41=1,$AC41*'Verwerking Bouwdelen'!DT25,$AC41*'Verwerking Bouwdelen'!AB25)</f>
        <v>0</v>
      </c>
      <c r="AM41" s="208">
        <f>IF($AB41=1,$AC41*'Verwerking Bouwdelen'!DU25,$AC41*'Verwerking Bouwdelen'!AC25)</f>
        <v>0</v>
      </c>
      <c r="AN41" s="208">
        <f>IF($AB41=1,$AC41*'Verwerking Bouwdelen'!DV25,$AC41*'Verwerking Bouwdelen'!AD25)</f>
        <v>0</v>
      </c>
      <c r="AO41" s="208">
        <f>IF($AB41=1,$AC41*'Verwerking Bouwdelen'!DW25,$AC41*'Verwerking Bouwdelen'!AE25)</f>
        <v>0</v>
      </c>
      <c r="AP41" s="10">
        <f>IF(AD41=B41,0,'Verwerking Bouwdelen'!D25*AB41*AC41)</f>
        <v>0</v>
      </c>
      <c r="AQ41" s="10">
        <f>AB41*AC41*'Verwerking Bouwdelen'!GH25</f>
        <v>0</v>
      </c>
      <c r="AR41" s="10"/>
      <c r="AS41" s="248"/>
      <c r="AT41" s="125">
        <f>IF('Verwerking Bouwdelen'!C25=4,1,0)</f>
        <v>0</v>
      </c>
      <c r="AU41" s="130">
        <f>IF('Verwerking Bouwdelen'!A25=2,1,0)</f>
        <v>0</v>
      </c>
      <c r="AV41" s="208">
        <f>IF($AT41=1,$AU41*'Verwerking Bouwdelen'!DL25,$AU41*'Verwerking Bouwdelen'!T25)</f>
        <v>0</v>
      </c>
      <c r="AW41" s="208">
        <f>IF($AT41=1,$AU41*'Verwerking Bouwdelen'!DM25,$AU41*'Verwerking Bouwdelen'!U25)</f>
        <v>0</v>
      </c>
      <c r="AX41" s="208">
        <f>IF($AT41=1,$AU41*'Verwerking Bouwdelen'!DN25,$AU41*'Verwerking Bouwdelen'!V25)</f>
        <v>0</v>
      </c>
      <c r="AY41" s="208">
        <f>IF($AT41=1,$AU41*'Verwerking Bouwdelen'!DO25,$AU41*'Verwerking Bouwdelen'!W25)</f>
        <v>0</v>
      </c>
      <c r="AZ41" s="208">
        <f>IF($AT41=1,$AU41*'Verwerking Bouwdelen'!DP25,$AU41*'Verwerking Bouwdelen'!X25)</f>
        <v>0</v>
      </c>
      <c r="BA41" s="208">
        <f>IF($AT41=1,$AU41*'Verwerking Bouwdelen'!DQ25,$AU41*'Verwerking Bouwdelen'!Y25)</f>
        <v>0</v>
      </c>
      <c r="BB41" s="208">
        <f>IF($AT41=1,$AU41*'Verwerking Bouwdelen'!DR25,$AU41*'Verwerking Bouwdelen'!Z25)</f>
        <v>0</v>
      </c>
      <c r="BC41" s="208">
        <f>IF($AT41=1,$AU41*'Verwerking Bouwdelen'!DS25,$AU41*'Verwerking Bouwdelen'!AA25)</f>
        <v>0</v>
      </c>
      <c r="BD41" s="208">
        <f>IF($AT41=1,$AU41*'Verwerking Bouwdelen'!DT25,$AU41*'Verwerking Bouwdelen'!AB25)</f>
        <v>0</v>
      </c>
      <c r="BE41" s="208">
        <f>IF($AT41=1,$AU41*'Verwerking Bouwdelen'!DU25,$AU41*'Verwerking Bouwdelen'!AC25)</f>
        <v>0</v>
      </c>
      <c r="BF41" s="208">
        <f>IF($AT41=1,$AU41*'Verwerking Bouwdelen'!DV25,$AU41*'Verwerking Bouwdelen'!AD25)</f>
        <v>0</v>
      </c>
      <c r="BG41" s="208">
        <f>IF($AT41=1,$AU41*'Verwerking Bouwdelen'!DW25,$AU41*'Verwerking Bouwdelen'!AE25)</f>
        <v>0</v>
      </c>
      <c r="BH41" s="10">
        <f>IF(AV41=B41,0,'Verwerking Bouwdelen'!D25*AT41*AU41)</f>
        <v>0</v>
      </c>
      <c r="BI41" s="10">
        <f>AT41*AU41*'Verwerking Bouwdelen'!GH25</f>
        <v>0</v>
      </c>
      <c r="BJ41" s="10"/>
      <c r="BK41" s="10"/>
      <c r="BM41" s="125">
        <f>IF('Verwerking Bouwdelen'!C25=5,1,0)</f>
        <v>0</v>
      </c>
      <c r="BN41" s="130">
        <f>IF('Verwerking Bouwdelen'!A25=2,1,0)</f>
        <v>0</v>
      </c>
      <c r="BO41" s="208">
        <f>IF($BM41=1,$BN41*'Verwerking Bouwdelen'!DL25,$BN41*'Verwerking Bouwdelen'!T25)</f>
        <v>0</v>
      </c>
      <c r="BP41" s="208">
        <f>IF($BM41=1,$BN41*'Verwerking Bouwdelen'!DM25,$BN41*'Verwerking Bouwdelen'!U25)</f>
        <v>0</v>
      </c>
      <c r="BQ41" s="208">
        <f>IF($BM41=1,$BN41*'Verwerking Bouwdelen'!DN25,$BN41*'Verwerking Bouwdelen'!V25)</f>
        <v>0</v>
      </c>
      <c r="BR41" s="208">
        <f>IF($BM41=1,$BN41*'Verwerking Bouwdelen'!DO25,$BN41*'Verwerking Bouwdelen'!W25)</f>
        <v>0</v>
      </c>
      <c r="BS41" s="208">
        <f>IF($BM41=1,$BN41*'Verwerking Bouwdelen'!DP25,$BN41*'Verwerking Bouwdelen'!X25)</f>
        <v>0</v>
      </c>
      <c r="BT41" s="208">
        <f>IF($BM41=1,$BN41*'Verwerking Bouwdelen'!DQ25,$BN41*'Verwerking Bouwdelen'!Y25)</f>
        <v>0</v>
      </c>
      <c r="BU41" s="208">
        <f>IF($BM41=1,$BN41*'Verwerking Bouwdelen'!DR25,$BN41*'Verwerking Bouwdelen'!Z25)</f>
        <v>0</v>
      </c>
      <c r="BV41" s="208">
        <f>IF($BM41=1,$BN41*'Verwerking Bouwdelen'!DS25,$BN41*'Verwerking Bouwdelen'!AA25)</f>
        <v>0</v>
      </c>
      <c r="BW41" s="208">
        <f>IF($BM41=1,$BN41*'Verwerking Bouwdelen'!DT25,$BN41*'Verwerking Bouwdelen'!AB25)</f>
        <v>0</v>
      </c>
      <c r="BX41" s="208">
        <f>IF($BM41=1,$BN41*'Verwerking Bouwdelen'!DU25,$BN41*'Verwerking Bouwdelen'!AC25)</f>
        <v>0</v>
      </c>
      <c r="BY41" s="208">
        <f>IF($BM41=1,$BN41*'Verwerking Bouwdelen'!DV25,$BN41*'Verwerking Bouwdelen'!AD25)</f>
        <v>0</v>
      </c>
      <c r="BZ41" s="208">
        <f>IF($BM41=1,$BN41*'Verwerking Bouwdelen'!DW25,$BN41*'Verwerking Bouwdelen'!AE25)</f>
        <v>0</v>
      </c>
      <c r="CA41" s="10">
        <f>IF(BO41=B41,0,'Verwerking Bouwdelen'!D25*BM41*BN41)</f>
        <v>0</v>
      </c>
      <c r="CB41" s="10">
        <f>BM41*BN41*'Verwerking Bouwdelen'!GH25</f>
        <v>0</v>
      </c>
      <c r="CC41" s="10"/>
      <c r="CD41" s="248"/>
      <c r="CE41" s="125">
        <f>IF('Verwerking Bouwdelen'!C25=2,1,0)</f>
        <v>0</v>
      </c>
      <c r="CF41" s="130">
        <f>IF('Verwerking Bouwdelen'!A25=2,1,0)</f>
        <v>0</v>
      </c>
      <c r="CG41" s="208">
        <f>IF($CE41=1,$CF41*'Verwerking Bouwdelen'!DL25,$CF41*'Verwerking Bouwdelen'!T25)</f>
        <v>0</v>
      </c>
      <c r="CH41" s="208">
        <f>IF($CE41=1,$CF41*'Verwerking Bouwdelen'!DM25,$CF41*'Verwerking Bouwdelen'!U25)</f>
        <v>0</v>
      </c>
      <c r="CI41" s="208">
        <f>IF($CE41=1,$CF41*'Verwerking Bouwdelen'!DN25,$CF41*'Verwerking Bouwdelen'!V25)</f>
        <v>0</v>
      </c>
      <c r="CJ41" s="208">
        <f>IF($CE41=1,$CF41*'Verwerking Bouwdelen'!DO25,$CF41*'Verwerking Bouwdelen'!W25)</f>
        <v>0</v>
      </c>
      <c r="CK41" s="208">
        <f>IF($CE41=1,$CF41*'Verwerking Bouwdelen'!DP25,$CF41*'Verwerking Bouwdelen'!X25)</f>
        <v>0</v>
      </c>
      <c r="CL41" s="208">
        <f>IF($CE41=1,$CF41*'Verwerking Bouwdelen'!DQ25,$CF41*'Verwerking Bouwdelen'!Y25)</f>
        <v>0</v>
      </c>
      <c r="CM41" s="208">
        <f>IF($CE41=1,$CF41*'Verwerking Bouwdelen'!DR25,$CF41*'Verwerking Bouwdelen'!Z25)</f>
        <v>0</v>
      </c>
      <c r="CN41" s="208">
        <f>IF($CE41=1,$CF41*'Verwerking Bouwdelen'!DS25,$CF41*'Verwerking Bouwdelen'!AA25)</f>
        <v>0</v>
      </c>
      <c r="CO41" s="208">
        <f>IF($CE41=1,$CF41*'Verwerking Bouwdelen'!DT25,$CF41*'Verwerking Bouwdelen'!AB25)</f>
        <v>0</v>
      </c>
      <c r="CP41" s="208">
        <f>IF($CE41=1,$CF41*'Verwerking Bouwdelen'!DU25,$CF41*'Verwerking Bouwdelen'!AC25)</f>
        <v>0</v>
      </c>
      <c r="CQ41" s="208">
        <f>IF($CE41=1,$CF41*'Verwerking Bouwdelen'!DV25,$CF41*'Verwerking Bouwdelen'!AD25)</f>
        <v>0</v>
      </c>
      <c r="CR41" s="208">
        <f>IF($CE41=1,$CF41*'Verwerking Bouwdelen'!DW25,$CF41*'Verwerking Bouwdelen'!AE25)</f>
        <v>0</v>
      </c>
      <c r="CS41" s="10">
        <f>IF(CG41=$B41,0,('Verwerking Bouwdelen'!$D25-'Verwerking Bouwdelen'!G25)*CE41*CF41)</f>
        <v>0</v>
      </c>
      <c r="CT41" s="260">
        <f>CE41*CF41*'Verwerking Bouwdelen'!GH25</f>
        <v>0</v>
      </c>
      <c r="CU41" s="261">
        <f>CE41*CF41*'Verwerking Bouwdelen'!GI25</f>
        <v>0</v>
      </c>
      <c r="CW41" s="209">
        <f>$AC41*'Verwerking Bouwdelen'!EE25</f>
        <v>0</v>
      </c>
      <c r="CX41" s="209">
        <f>$AC41*'Verwerking Bouwdelen'!EF25</f>
        <v>0</v>
      </c>
      <c r="CY41" s="209">
        <f>$AC41*'Verwerking Bouwdelen'!EG25</f>
        <v>0</v>
      </c>
      <c r="CZ41" s="209">
        <f>$AC41*'Verwerking Bouwdelen'!EH25</f>
        <v>0</v>
      </c>
      <c r="DA41" s="209">
        <f>$AC41*'Verwerking Bouwdelen'!EI25</f>
        <v>0</v>
      </c>
      <c r="DB41" s="209">
        <f>$AC41*'Verwerking Bouwdelen'!EJ25</f>
        <v>0</v>
      </c>
      <c r="DC41" s="209">
        <f>$AC41*'Verwerking Bouwdelen'!EK25</f>
        <v>0</v>
      </c>
      <c r="DD41" s="209">
        <f>$AC41*'Verwerking Bouwdelen'!EL25</f>
        <v>0</v>
      </c>
      <c r="DE41" s="209">
        <f>$AC41*'Verwerking Bouwdelen'!EM25</f>
        <v>0</v>
      </c>
      <c r="DF41" s="209">
        <f>$AC41*'Verwerking Bouwdelen'!EN25</f>
        <v>0</v>
      </c>
      <c r="DG41" s="209">
        <f>$AC41*'Verwerking Bouwdelen'!EO25</f>
        <v>0</v>
      </c>
      <c r="DH41" s="209">
        <f>$AC41*'Verwerking Bouwdelen'!EP25</f>
        <v>0</v>
      </c>
      <c r="DI41" s="10">
        <f>IF(CW41=$O41,0,'Verwerking Bouwdelen'!G25)</f>
        <v>0</v>
      </c>
      <c r="DJ41" s="259">
        <f>'Verwerking Bouwdelen'!GK25*CF41</f>
        <v>0</v>
      </c>
      <c r="DK41" s="259">
        <f>'Verwerking Bouwdelen'!GL25*CF41</f>
        <v>0</v>
      </c>
      <c r="DL41" s="125"/>
      <c r="GM41" s="89">
        <f t="shared" si="2"/>
        <v>0</v>
      </c>
      <c r="GN41" s="89">
        <f t="shared" si="3"/>
        <v>0</v>
      </c>
      <c r="GO41" s="208">
        <f>IF($GN41=1,$GN41*$GM41*'Verwerking Bouwdelen'!DL25,$GN41*$GM41*'Verwerking Bouwdelen'!T25)</f>
        <v>0</v>
      </c>
      <c r="GP41" s="208">
        <f>IF($GN41=1,$GN41*$GM41*'Verwerking Bouwdelen'!DM25,$GN41*$GM41*'Verwerking Bouwdelen'!U25)</f>
        <v>0</v>
      </c>
      <c r="GQ41" s="208">
        <f>IF($GN41=1,$GN41*$GM41*'Verwerking Bouwdelen'!DN25,$GN41*$GM41*'Verwerking Bouwdelen'!V25)</f>
        <v>0</v>
      </c>
      <c r="GR41" s="208">
        <f>IF($GN41=1,$GN41*$GM41*'Verwerking Bouwdelen'!DO25,$GN41*$GM41*'Verwerking Bouwdelen'!W25)</f>
        <v>0</v>
      </c>
      <c r="GS41" s="208">
        <f>IF($GN41=1,$GN41*$GM41*'Verwerking Bouwdelen'!DP25,$GN41*$GM41*'Verwerking Bouwdelen'!X25)</f>
        <v>0</v>
      </c>
      <c r="GT41" s="208">
        <f>IF($GN41=1,$GN41*$GM41*'Verwerking Bouwdelen'!DQ25,$GN41*$GM41*'Verwerking Bouwdelen'!Y25)</f>
        <v>0</v>
      </c>
      <c r="GU41" s="208">
        <f>IF($GN41=1,$GN41*$GM41*'Verwerking Bouwdelen'!DR25,$GN41*$GM41*'Verwerking Bouwdelen'!Z25)</f>
        <v>0</v>
      </c>
      <c r="GV41" s="208">
        <f>IF($GN41=1,$GN41*$GM41*'Verwerking Bouwdelen'!DS25,$GN41*$GM41*'Verwerking Bouwdelen'!AA25)</f>
        <v>0</v>
      </c>
      <c r="GW41" s="208">
        <f>IF($GN41=1,$GN41*$GM41*'Verwerking Bouwdelen'!DT25,$GN41*$GM41*'Verwerking Bouwdelen'!AB25)</f>
        <v>0</v>
      </c>
      <c r="GX41" s="208">
        <f>IF($GN41=1,$GN41*$GM41*'Verwerking Bouwdelen'!DU25,$GN41*$GM41*'Verwerking Bouwdelen'!AC25)</f>
        <v>0</v>
      </c>
      <c r="GY41" s="208">
        <f>IF($GN41=1,$GN41*$GM41*'Verwerking Bouwdelen'!DV25,$GN41*$GM41*'Verwerking Bouwdelen'!AD25)</f>
        <v>0</v>
      </c>
      <c r="GZ41" s="208">
        <f>IF($GN41=1,$GN41*$GM41*'Verwerking Bouwdelen'!DW25,$GN41*$GM41*'Verwerking Bouwdelen'!AE25)</f>
        <v>0</v>
      </c>
      <c r="HB41" s="89">
        <f t="shared" si="4"/>
        <v>0</v>
      </c>
      <c r="HC41" s="89">
        <f t="shared" si="4"/>
        <v>0</v>
      </c>
      <c r="HD41" s="89">
        <f t="shared" si="4"/>
        <v>0</v>
      </c>
      <c r="HE41" s="89">
        <f t="shared" si="4"/>
        <v>0</v>
      </c>
      <c r="HF41" s="89">
        <f t="shared" si="4"/>
        <v>0</v>
      </c>
      <c r="HG41" s="89">
        <f t="shared" si="4"/>
        <v>0</v>
      </c>
      <c r="HH41" s="89">
        <f t="shared" si="4"/>
        <v>0</v>
      </c>
      <c r="HI41" s="89">
        <f t="shared" si="4"/>
        <v>0</v>
      </c>
      <c r="HJ41" s="89">
        <f t="shared" si="4"/>
        <v>0</v>
      </c>
      <c r="HK41" s="89">
        <f t="shared" si="4"/>
        <v>0</v>
      </c>
      <c r="HL41" s="89">
        <f t="shared" si="4"/>
        <v>0</v>
      </c>
      <c r="HM41" s="89">
        <f t="shared" si="4"/>
        <v>0</v>
      </c>
      <c r="HO41" s="256"/>
      <c r="HZ41" s="256"/>
    </row>
    <row r="42" spans="1:234" x14ac:dyDescent="0.2">
      <c r="A42" s="130">
        <f>IF('Verwerking Bouwdelen'!A26=2,1,0)</f>
        <v>0</v>
      </c>
      <c r="B42" s="208">
        <f>$A42*'Verwerking Bouwdelen'!T26</f>
        <v>0</v>
      </c>
      <c r="C42" s="208">
        <f>$A42*'Verwerking Bouwdelen'!U26</f>
        <v>0</v>
      </c>
      <c r="D42" s="208">
        <f>$A42*'Verwerking Bouwdelen'!V26</f>
        <v>0</v>
      </c>
      <c r="E42" s="208">
        <f>$A42*'Verwerking Bouwdelen'!W26</f>
        <v>0</v>
      </c>
      <c r="F42" s="208">
        <f>$A42*'Verwerking Bouwdelen'!X26</f>
        <v>0</v>
      </c>
      <c r="G42" s="208">
        <f>$A42*'Verwerking Bouwdelen'!Y26</f>
        <v>0</v>
      </c>
      <c r="H42" s="208">
        <f>$A42*'Verwerking Bouwdelen'!Z26</f>
        <v>0</v>
      </c>
      <c r="I42" s="208">
        <f>$A42*'Verwerking Bouwdelen'!AA26</f>
        <v>0</v>
      </c>
      <c r="J42" s="208">
        <f>$A42*'Verwerking Bouwdelen'!AB26</f>
        <v>0</v>
      </c>
      <c r="K42" s="208">
        <f>$A42*'Verwerking Bouwdelen'!AC26</f>
        <v>0</v>
      </c>
      <c r="L42" s="208">
        <f>$A42*'Verwerking Bouwdelen'!AD26</f>
        <v>0</v>
      </c>
      <c r="M42" s="208">
        <f>$A42*'Verwerking Bouwdelen'!AE26</f>
        <v>0</v>
      </c>
      <c r="O42" s="114">
        <f>$A42*'Verwerking Bouwdelen'!AU26</f>
        <v>0</v>
      </c>
      <c r="P42" s="125">
        <f>$A42*'Verwerking Bouwdelen'!AV26</f>
        <v>0</v>
      </c>
      <c r="Q42" s="125">
        <f>$A42*'Verwerking Bouwdelen'!AW26</f>
        <v>0</v>
      </c>
      <c r="R42" s="125">
        <f>$A42*'Verwerking Bouwdelen'!AX26</f>
        <v>0</v>
      </c>
      <c r="S42" s="125">
        <f>$A42*'Verwerking Bouwdelen'!AY26</f>
        <v>0</v>
      </c>
      <c r="T42" s="125">
        <f>$A42*'Verwerking Bouwdelen'!AZ26</f>
        <v>0</v>
      </c>
      <c r="U42" s="125">
        <f>$A42*'Verwerking Bouwdelen'!BA26</f>
        <v>0</v>
      </c>
      <c r="V42" s="125">
        <f>$A42*'Verwerking Bouwdelen'!BB26</f>
        <v>0</v>
      </c>
      <c r="W42" s="125">
        <f>$A42*'Verwerking Bouwdelen'!BC26</f>
        <v>0</v>
      </c>
      <c r="X42" s="125">
        <f>$A42*'Verwerking Bouwdelen'!BD26</f>
        <v>0</v>
      </c>
      <c r="Y42" s="125">
        <f>$A42*'Verwerking Bouwdelen'!BE26</f>
        <v>0</v>
      </c>
      <c r="Z42" s="195">
        <f>$A42*'Verwerking Bouwdelen'!BF26</f>
        <v>0</v>
      </c>
      <c r="AB42" s="125">
        <f>IF(OR('Verwerking Bouwdelen'!C26=3,'Verwerking Bouwdelen'!C26=6),1,0)</f>
        <v>0</v>
      </c>
      <c r="AC42" s="130">
        <f>IF('Verwerking Bouwdelen'!A26=2,1,0)</f>
        <v>0</v>
      </c>
      <c r="AD42" s="208">
        <f>IF($AB42=1,$AC42*'Verwerking Bouwdelen'!DL26,$AC42*'Verwerking Bouwdelen'!T26)</f>
        <v>0</v>
      </c>
      <c r="AE42" s="208">
        <f>IF($AB42=1,$AC42*'Verwerking Bouwdelen'!DM26,$AC42*'Verwerking Bouwdelen'!U26)</f>
        <v>0</v>
      </c>
      <c r="AF42" s="208">
        <f>IF($AB42=1,$AC42*'Verwerking Bouwdelen'!DN26,$AC42*'Verwerking Bouwdelen'!V26)</f>
        <v>0</v>
      </c>
      <c r="AG42" s="208">
        <f>IF($AB42=1,$AC42*'Verwerking Bouwdelen'!DO26,$AC42*'Verwerking Bouwdelen'!W26)</f>
        <v>0</v>
      </c>
      <c r="AH42" s="208">
        <f>IF($AB42=1,$AC42*'Verwerking Bouwdelen'!DP26,$AC42*'Verwerking Bouwdelen'!X26)</f>
        <v>0</v>
      </c>
      <c r="AI42" s="208">
        <f>IF($AB42=1,$AC42*'Verwerking Bouwdelen'!DQ26,$AC42*'Verwerking Bouwdelen'!Y26)</f>
        <v>0</v>
      </c>
      <c r="AJ42" s="208">
        <f>IF($AB42=1,$AC42*'Verwerking Bouwdelen'!DR26,$AC42*'Verwerking Bouwdelen'!Z26)</f>
        <v>0</v>
      </c>
      <c r="AK42" s="208">
        <f>IF($AB42=1,$AC42*'Verwerking Bouwdelen'!DS26,$AC42*'Verwerking Bouwdelen'!AA26)</f>
        <v>0</v>
      </c>
      <c r="AL42" s="208">
        <f>IF($AB42=1,$AC42*'Verwerking Bouwdelen'!DT26,$AC42*'Verwerking Bouwdelen'!AB26)</f>
        <v>0</v>
      </c>
      <c r="AM42" s="208">
        <f>IF($AB42=1,$AC42*'Verwerking Bouwdelen'!DU26,$AC42*'Verwerking Bouwdelen'!AC26)</f>
        <v>0</v>
      </c>
      <c r="AN42" s="208">
        <f>IF($AB42=1,$AC42*'Verwerking Bouwdelen'!DV26,$AC42*'Verwerking Bouwdelen'!AD26)</f>
        <v>0</v>
      </c>
      <c r="AO42" s="208">
        <f>IF($AB42=1,$AC42*'Verwerking Bouwdelen'!DW26,$AC42*'Verwerking Bouwdelen'!AE26)</f>
        <v>0</v>
      </c>
      <c r="AP42" s="10">
        <f>IF(AD42=B42,0,'Verwerking Bouwdelen'!D26*AB42*AC42)</f>
        <v>0</v>
      </c>
      <c r="AQ42" s="10">
        <f>AB42*AC42*'Verwerking Bouwdelen'!GH26</f>
        <v>0</v>
      </c>
      <c r="AR42" s="10"/>
      <c r="AS42" s="248"/>
      <c r="AT42" s="125">
        <f>IF('Verwerking Bouwdelen'!C26=4,1,0)</f>
        <v>0</v>
      </c>
      <c r="AU42" s="130">
        <f>IF('Verwerking Bouwdelen'!A26=2,1,0)</f>
        <v>0</v>
      </c>
      <c r="AV42" s="208">
        <f>IF($AT42=1,$AU42*'Verwerking Bouwdelen'!DL26,$AU42*'Verwerking Bouwdelen'!T26)</f>
        <v>0</v>
      </c>
      <c r="AW42" s="208">
        <f>IF($AT42=1,$AU42*'Verwerking Bouwdelen'!DM26,$AU42*'Verwerking Bouwdelen'!U26)</f>
        <v>0</v>
      </c>
      <c r="AX42" s="208">
        <f>IF($AT42=1,$AU42*'Verwerking Bouwdelen'!DN26,$AU42*'Verwerking Bouwdelen'!V26)</f>
        <v>0</v>
      </c>
      <c r="AY42" s="208">
        <f>IF($AT42=1,$AU42*'Verwerking Bouwdelen'!DO26,$AU42*'Verwerking Bouwdelen'!W26)</f>
        <v>0</v>
      </c>
      <c r="AZ42" s="208">
        <f>IF($AT42=1,$AU42*'Verwerking Bouwdelen'!DP26,$AU42*'Verwerking Bouwdelen'!X26)</f>
        <v>0</v>
      </c>
      <c r="BA42" s="208">
        <f>IF($AT42=1,$AU42*'Verwerking Bouwdelen'!DQ26,$AU42*'Verwerking Bouwdelen'!Y26)</f>
        <v>0</v>
      </c>
      <c r="BB42" s="208">
        <f>IF($AT42=1,$AU42*'Verwerking Bouwdelen'!DR26,$AU42*'Verwerking Bouwdelen'!Z26)</f>
        <v>0</v>
      </c>
      <c r="BC42" s="208">
        <f>IF($AT42=1,$AU42*'Verwerking Bouwdelen'!DS26,$AU42*'Verwerking Bouwdelen'!AA26)</f>
        <v>0</v>
      </c>
      <c r="BD42" s="208">
        <f>IF($AT42=1,$AU42*'Verwerking Bouwdelen'!DT26,$AU42*'Verwerking Bouwdelen'!AB26)</f>
        <v>0</v>
      </c>
      <c r="BE42" s="208">
        <f>IF($AT42=1,$AU42*'Verwerking Bouwdelen'!DU26,$AU42*'Verwerking Bouwdelen'!AC26)</f>
        <v>0</v>
      </c>
      <c r="BF42" s="208">
        <f>IF($AT42=1,$AU42*'Verwerking Bouwdelen'!DV26,$AU42*'Verwerking Bouwdelen'!AD26)</f>
        <v>0</v>
      </c>
      <c r="BG42" s="208">
        <f>IF($AT42=1,$AU42*'Verwerking Bouwdelen'!DW26,$AU42*'Verwerking Bouwdelen'!AE26)</f>
        <v>0</v>
      </c>
      <c r="BH42" s="10">
        <f>IF(AV42=B42,0,'Verwerking Bouwdelen'!D26*AT42*AU42)</f>
        <v>0</v>
      </c>
      <c r="BI42" s="10">
        <f>AT42*AU42*'Verwerking Bouwdelen'!GH26</f>
        <v>0</v>
      </c>
      <c r="BJ42" s="10"/>
      <c r="BK42" s="10"/>
      <c r="BM42" s="125">
        <f>IF('Verwerking Bouwdelen'!C26=5,1,0)</f>
        <v>0</v>
      </c>
      <c r="BN42" s="130">
        <f>IF('Verwerking Bouwdelen'!A26=2,1,0)</f>
        <v>0</v>
      </c>
      <c r="BO42" s="208">
        <f>IF($BM42=1,$BN42*'Verwerking Bouwdelen'!DL26,$BN42*'Verwerking Bouwdelen'!T26)</f>
        <v>0</v>
      </c>
      <c r="BP42" s="208">
        <f>IF($BM42=1,$BN42*'Verwerking Bouwdelen'!DM26,$BN42*'Verwerking Bouwdelen'!U26)</f>
        <v>0</v>
      </c>
      <c r="BQ42" s="208">
        <f>IF($BM42=1,$BN42*'Verwerking Bouwdelen'!DN26,$BN42*'Verwerking Bouwdelen'!V26)</f>
        <v>0</v>
      </c>
      <c r="BR42" s="208">
        <f>IF($BM42=1,$BN42*'Verwerking Bouwdelen'!DO26,$BN42*'Verwerking Bouwdelen'!W26)</f>
        <v>0</v>
      </c>
      <c r="BS42" s="208">
        <f>IF($BM42=1,$BN42*'Verwerking Bouwdelen'!DP26,$BN42*'Verwerking Bouwdelen'!X26)</f>
        <v>0</v>
      </c>
      <c r="BT42" s="208">
        <f>IF($BM42=1,$BN42*'Verwerking Bouwdelen'!DQ26,$BN42*'Verwerking Bouwdelen'!Y26)</f>
        <v>0</v>
      </c>
      <c r="BU42" s="208">
        <f>IF($BM42=1,$BN42*'Verwerking Bouwdelen'!DR26,$BN42*'Verwerking Bouwdelen'!Z26)</f>
        <v>0</v>
      </c>
      <c r="BV42" s="208">
        <f>IF($BM42=1,$BN42*'Verwerking Bouwdelen'!DS26,$BN42*'Verwerking Bouwdelen'!AA26)</f>
        <v>0</v>
      </c>
      <c r="BW42" s="208">
        <f>IF($BM42=1,$BN42*'Verwerking Bouwdelen'!DT26,$BN42*'Verwerking Bouwdelen'!AB26)</f>
        <v>0</v>
      </c>
      <c r="BX42" s="208">
        <f>IF($BM42=1,$BN42*'Verwerking Bouwdelen'!DU26,$BN42*'Verwerking Bouwdelen'!AC26)</f>
        <v>0</v>
      </c>
      <c r="BY42" s="208">
        <f>IF($BM42=1,$BN42*'Verwerking Bouwdelen'!DV26,$BN42*'Verwerking Bouwdelen'!AD26)</f>
        <v>0</v>
      </c>
      <c r="BZ42" s="208">
        <f>IF($BM42=1,$BN42*'Verwerking Bouwdelen'!DW26,$BN42*'Verwerking Bouwdelen'!AE26)</f>
        <v>0</v>
      </c>
      <c r="CA42" s="10">
        <f>IF(BO42=B42,0,'Verwerking Bouwdelen'!D26*BM42*BN42)</f>
        <v>0</v>
      </c>
      <c r="CB42" s="10">
        <f>BM42*BN42*'Verwerking Bouwdelen'!GH26</f>
        <v>0</v>
      </c>
      <c r="CC42" s="10"/>
      <c r="CD42" s="248"/>
      <c r="CE42" s="125">
        <f>IF('Verwerking Bouwdelen'!C26=2,1,0)</f>
        <v>0</v>
      </c>
      <c r="CF42" s="130">
        <f>IF('Verwerking Bouwdelen'!A26=2,1,0)</f>
        <v>0</v>
      </c>
      <c r="CG42" s="208">
        <f>IF($CE42=1,$CF42*'Verwerking Bouwdelen'!DL26,$CF42*'Verwerking Bouwdelen'!T26)</f>
        <v>0</v>
      </c>
      <c r="CH42" s="208">
        <f>IF($CE42=1,$CF42*'Verwerking Bouwdelen'!DM26,$CF42*'Verwerking Bouwdelen'!U26)</f>
        <v>0</v>
      </c>
      <c r="CI42" s="208">
        <f>IF($CE42=1,$CF42*'Verwerking Bouwdelen'!DN26,$CF42*'Verwerking Bouwdelen'!V26)</f>
        <v>0</v>
      </c>
      <c r="CJ42" s="208">
        <f>IF($CE42=1,$CF42*'Verwerking Bouwdelen'!DO26,$CF42*'Verwerking Bouwdelen'!W26)</f>
        <v>0</v>
      </c>
      <c r="CK42" s="208">
        <f>IF($CE42=1,$CF42*'Verwerking Bouwdelen'!DP26,$CF42*'Verwerking Bouwdelen'!X26)</f>
        <v>0</v>
      </c>
      <c r="CL42" s="208">
        <f>IF($CE42=1,$CF42*'Verwerking Bouwdelen'!DQ26,$CF42*'Verwerking Bouwdelen'!Y26)</f>
        <v>0</v>
      </c>
      <c r="CM42" s="208">
        <f>IF($CE42=1,$CF42*'Verwerking Bouwdelen'!DR26,$CF42*'Verwerking Bouwdelen'!Z26)</f>
        <v>0</v>
      </c>
      <c r="CN42" s="208">
        <f>IF($CE42=1,$CF42*'Verwerking Bouwdelen'!DS26,$CF42*'Verwerking Bouwdelen'!AA26)</f>
        <v>0</v>
      </c>
      <c r="CO42" s="208">
        <f>IF($CE42=1,$CF42*'Verwerking Bouwdelen'!DT26,$CF42*'Verwerking Bouwdelen'!AB26)</f>
        <v>0</v>
      </c>
      <c r="CP42" s="208">
        <f>IF($CE42=1,$CF42*'Verwerking Bouwdelen'!DU26,$CF42*'Verwerking Bouwdelen'!AC26)</f>
        <v>0</v>
      </c>
      <c r="CQ42" s="208">
        <f>IF($CE42=1,$CF42*'Verwerking Bouwdelen'!DV26,$CF42*'Verwerking Bouwdelen'!AD26)</f>
        <v>0</v>
      </c>
      <c r="CR42" s="208">
        <f>IF($CE42=1,$CF42*'Verwerking Bouwdelen'!DW26,$CF42*'Verwerking Bouwdelen'!AE26)</f>
        <v>0</v>
      </c>
      <c r="CS42" s="10">
        <f>IF(CG42=$B42,0,('Verwerking Bouwdelen'!$D26-'Verwerking Bouwdelen'!G26)*CE42*CF42)</f>
        <v>0</v>
      </c>
      <c r="CT42" s="260">
        <f>CE42*CF42*'Verwerking Bouwdelen'!GH26</f>
        <v>0</v>
      </c>
      <c r="CU42" s="261">
        <f>CE42*CF42*'Verwerking Bouwdelen'!GI26</f>
        <v>0</v>
      </c>
      <c r="CW42" s="209">
        <f>$AC42*'Verwerking Bouwdelen'!EE26</f>
        <v>0</v>
      </c>
      <c r="CX42" s="209">
        <f>$AC42*'Verwerking Bouwdelen'!EF26</f>
        <v>0</v>
      </c>
      <c r="CY42" s="209">
        <f>$AC42*'Verwerking Bouwdelen'!EG26</f>
        <v>0</v>
      </c>
      <c r="CZ42" s="209">
        <f>$AC42*'Verwerking Bouwdelen'!EH26</f>
        <v>0</v>
      </c>
      <c r="DA42" s="209">
        <f>$AC42*'Verwerking Bouwdelen'!EI26</f>
        <v>0</v>
      </c>
      <c r="DB42" s="209">
        <f>$AC42*'Verwerking Bouwdelen'!EJ26</f>
        <v>0</v>
      </c>
      <c r="DC42" s="209">
        <f>$AC42*'Verwerking Bouwdelen'!EK26</f>
        <v>0</v>
      </c>
      <c r="DD42" s="209">
        <f>$AC42*'Verwerking Bouwdelen'!EL26</f>
        <v>0</v>
      </c>
      <c r="DE42" s="209">
        <f>$AC42*'Verwerking Bouwdelen'!EM26</f>
        <v>0</v>
      </c>
      <c r="DF42" s="209">
        <f>$AC42*'Verwerking Bouwdelen'!EN26</f>
        <v>0</v>
      </c>
      <c r="DG42" s="209">
        <f>$AC42*'Verwerking Bouwdelen'!EO26</f>
        <v>0</v>
      </c>
      <c r="DH42" s="209">
        <f>$AC42*'Verwerking Bouwdelen'!EP26</f>
        <v>0</v>
      </c>
      <c r="DI42" s="10">
        <f>IF(CW42=$O42,0,'Verwerking Bouwdelen'!G26)</f>
        <v>0</v>
      </c>
      <c r="DJ42" s="259">
        <f>'Verwerking Bouwdelen'!GK26*CF42</f>
        <v>0</v>
      </c>
      <c r="DK42" s="259">
        <f>'Verwerking Bouwdelen'!GL26*CF42</f>
        <v>0</v>
      </c>
      <c r="DL42" s="125"/>
      <c r="GM42" s="89">
        <f t="shared" si="2"/>
        <v>0</v>
      </c>
      <c r="GN42" s="89">
        <f t="shared" si="3"/>
        <v>0</v>
      </c>
      <c r="GO42" s="208">
        <f>IF($GN42=1,$GN42*$GM42*'Verwerking Bouwdelen'!DL26,$GN42*$GM42*'Verwerking Bouwdelen'!T26)</f>
        <v>0</v>
      </c>
      <c r="GP42" s="208">
        <f>IF($GN42=1,$GN42*$GM42*'Verwerking Bouwdelen'!DM26,$GN42*$GM42*'Verwerking Bouwdelen'!U26)</f>
        <v>0</v>
      </c>
      <c r="GQ42" s="208">
        <f>IF($GN42=1,$GN42*$GM42*'Verwerking Bouwdelen'!DN26,$GN42*$GM42*'Verwerking Bouwdelen'!V26)</f>
        <v>0</v>
      </c>
      <c r="GR42" s="208">
        <f>IF($GN42=1,$GN42*$GM42*'Verwerking Bouwdelen'!DO26,$GN42*$GM42*'Verwerking Bouwdelen'!W26)</f>
        <v>0</v>
      </c>
      <c r="GS42" s="208">
        <f>IF($GN42=1,$GN42*$GM42*'Verwerking Bouwdelen'!DP26,$GN42*$GM42*'Verwerking Bouwdelen'!X26)</f>
        <v>0</v>
      </c>
      <c r="GT42" s="208">
        <f>IF($GN42=1,$GN42*$GM42*'Verwerking Bouwdelen'!DQ26,$GN42*$GM42*'Verwerking Bouwdelen'!Y26)</f>
        <v>0</v>
      </c>
      <c r="GU42" s="208">
        <f>IF($GN42=1,$GN42*$GM42*'Verwerking Bouwdelen'!DR26,$GN42*$GM42*'Verwerking Bouwdelen'!Z26)</f>
        <v>0</v>
      </c>
      <c r="GV42" s="208">
        <f>IF($GN42=1,$GN42*$GM42*'Verwerking Bouwdelen'!DS26,$GN42*$GM42*'Verwerking Bouwdelen'!AA26)</f>
        <v>0</v>
      </c>
      <c r="GW42" s="208">
        <f>IF($GN42=1,$GN42*$GM42*'Verwerking Bouwdelen'!DT26,$GN42*$GM42*'Verwerking Bouwdelen'!AB26)</f>
        <v>0</v>
      </c>
      <c r="GX42" s="208">
        <f>IF($GN42=1,$GN42*$GM42*'Verwerking Bouwdelen'!DU26,$GN42*$GM42*'Verwerking Bouwdelen'!AC26)</f>
        <v>0</v>
      </c>
      <c r="GY42" s="208">
        <f>IF($GN42=1,$GN42*$GM42*'Verwerking Bouwdelen'!DV26,$GN42*$GM42*'Verwerking Bouwdelen'!AD26)</f>
        <v>0</v>
      </c>
      <c r="GZ42" s="208">
        <f>IF($GN42=1,$GN42*$GM42*'Verwerking Bouwdelen'!DW26,$GN42*$GM42*'Verwerking Bouwdelen'!AE26)</f>
        <v>0</v>
      </c>
      <c r="HB42" s="89">
        <f t="shared" si="4"/>
        <v>0</v>
      </c>
      <c r="HC42" s="89">
        <f t="shared" si="4"/>
        <v>0</v>
      </c>
      <c r="HD42" s="89">
        <f t="shared" si="4"/>
        <v>0</v>
      </c>
      <c r="HE42" s="89">
        <f t="shared" si="4"/>
        <v>0</v>
      </c>
      <c r="HF42" s="89">
        <f t="shared" si="4"/>
        <v>0</v>
      </c>
      <c r="HG42" s="89">
        <f t="shared" si="4"/>
        <v>0</v>
      </c>
      <c r="HH42" s="89">
        <f t="shared" si="4"/>
        <v>0</v>
      </c>
      <c r="HI42" s="89">
        <f t="shared" si="4"/>
        <v>0</v>
      </c>
      <c r="HJ42" s="89">
        <f t="shared" si="4"/>
        <v>0</v>
      </c>
      <c r="HK42" s="89">
        <f t="shared" si="4"/>
        <v>0</v>
      </c>
      <c r="HL42" s="89">
        <f t="shared" si="4"/>
        <v>0</v>
      </c>
      <c r="HM42" s="89">
        <f t="shared" si="4"/>
        <v>0</v>
      </c>
      <c r="HO42" s="256"/>
      <c r="HZ42" s="256"/>
    </row>
    <row r="43" spans="1:234" x14ac:dyDescent="0.2">
      <c r="A43" s="130">
        <f>IF('Verwerking Bouwdelen'!A27=2,1,0)</f>
        <v>0</v>
      </c>
      <c r="B43" s="208">
        <f>$A43*'Verwerking Bouwdelen'!T27</f>
        <v>0</v>
      </c>
      <c r="C43" s="208">
        <f>$A43*'Verwerking Bouwdelen'!U27</f>
        <v>0</v>
      </c>
      <c r="D43" s="208">
        <f>$A43*'Verwerking Bouwdelen'!V27</f>
        <v>0</v>
      </c>
      <c r="E43" s="208">
        <f>$A43*'Verwerking Bouwdelen'!W27</f>
        <v>0</v>
      </c>
      <c r="F43" s="208">
        <f>$A43*'Verwerking Bouwdelen'!X27</f>
        <v>0</v>
      </c>
      <c r="G43" s="208">
        <f>$A43*'Verwerking Bouwdelen'!Y27</f>
        <v>0</v>
      </c>
      <c r="H43" s="208">
        <f>$A43*'Verwerking Bouwdelen'!Z27</f>
        <v>0</v>
      </c>
      <c r="I43" s="208">
        <f>$A43*'Verwerking Bouwdelen'!AA27</f>
        <v>0</v>
      </c>
      <c r="J43" s="208">
        <f>$A43*'Verwerking Bouwdelen'!AB27</f>
        <v>0</v>
      </c>
      <c r="K43" s="208">
        <f>$A43*'Verwerking Bouwdelen'!AC27</f>
        <v>0</v>
      </c>
      <c r="L43" s="208">
        <f>$A43*'Verwerking Bouwdelen'!AD27</f>
        <v>0</v>
      </c>
      <c r="M43" s="208">
        <f>$A43*'Verwerking Bouwdelen'!AE27</f>
        <v>0</v>
      </c>
      <c r="O43" s="114">
        <f>$A43*'Verwerking Bouwdelen'!AU27</f>
        <v>0</v>
      </c>
      <c r="P43" s="125">
        <f>$A43*'Verwerking Bouwdelen'!AV27</f>
        <v>0</v>
      </c>
      <c r="Q43" s="125">
        <f>$A43*'Verwerking Bouwdelen'!AW27</f>
        <v>0</v>
      </c>
      <c r="R43" s="125">
        <f>$A43*'Verwerking Bouwdelen'!AX27</f>
        <v>0</v>
      </c>
      <c r="S43" s="125">
        <f>$A43*'Verwerking Bouwdelen'!AY27</f>
        <v>0</v>
      </c>
      <c r="T43" s="125">
        <f>$A43*'Verwerking Bouwdelen'!AZ27</f>
        <v>0</v>
      </c>
      <c r="U43" s="125">
        <f>$A43*'Verwerking Bouwdelen'!BA27</f>
        <v>0</v>
      </c>
      <c r="V43" s="125">
        <f>$A43*'Verwerking Bouwdelen'!BB27</f>
        <v>0</v>
      </c>
      <c r="W43" s="125">
        <f>$A43*'Verwerking Bouwdelen'!BC27</f>
        <v>0</v>
      </c>
      <c r="X43" s="125">
        <f>$A43*'Verwerking Bouwdelen'!BD27</f>
        <v>0</v>
      </c>
      <c r="Y43" s="125">
        <f>$A43*'Verwerking Bouwdelen'!BE27</f>
        <v>0</v>
      </c>
      <c r="Z43" s="195">
        <f>$A43*'Verwerking Bouwdelen'!BF27</f>
        <v>0</v>
      </c>
      <c r="AB43" s="125">
        <f>IF(OR('Verwerking Bouwdelen'!C27=3,'Verwerking Bouwdelen'!C27=6),1,0)</f>
        <v>0</v>
      </c>
      <c r="AC43" s="130">
        <f>IF('Verwerking Bouwdelen'!A27=2,1,0)</f>
        <v>0</v>
      </c>
      <c r="AD43" s="208">
        <f>IF($AB43=1,$AC43*'Verwerking Bouwdelen'!DL27,$AC43*'Verwerking Bouwdelen'!T27)</f>
        <v>0</v>
      </c>
      <c r="AE43" s="208">
        <f>IF($AB43=1,$AC43*'Verwerking Bouwdelen'!DM27,$AC43*'Verwerking Bouwdelen'!U27)</f>
        <v>0</v>
      </c>
      <c r="AF43" s="208">
        <f>IF($AB43=1,$AC43*'Verwerking Bouwdelen'!DN27,$AC43*'Verwerking Bouwdelen'!V27)</f>
        <v>0</v>
      </c>
      <c r="AG43" s="208">
        <f>IF($AB43=1,$AC43*'Verwerking Bouwdelen'!DO27,$AC43*'Verwerking Bouwdelen'!W27)</f>
        <v>0</v>
      </c>
      <c r="AH43" s="208">
        <f>IF($AB43=1,$AC43*'Verwerking Bouwdelen'!DP27,$AC43*'Verwerking Bouwdelen'!X27)</f>
        <v>0</v>
      </c>
      <c r="AI43" s="208">
        <f>IF($AB43=1,$AC43*'Verwerking Bouwdelen'!DQ27,$AC43*'Verwerking Bouwdelen'!Y27)</f>
        <v>0</v>
      </c>
      <c r="AJ43" s="208">
        <f>IF($AB43=1,$AC43*'Verwerking Bouwdelen'!DR27,$AC43*'Verwerking Bouwdelen'!Z27)</f>
        <v>0</v>
      </c>
      <c r="AK43" s="208">
        <f>IF($AB43=1,$AC43*'Verwerking Bouwdelen'!DS27,$AC43*'Verwerking Bouwdelen'!AA27)</f>
        <v>0</v>
      </c>
      <c r="AL43" s="208">
        <f>IF($AB43=1,$AC43*'Verwerking Bouwdelen'!DT27,$AC43*'Verwerking Bouwdelen'!AB27)</f>
        <v>0</v>
      </c>
      <c r="AM43" s="208">
        <f>IF($AB43=1,$AC43*'Verwerking Bouwdelen'!DU27,$AC43*'Verwerking Bouwdelen'!AC27)</f>
        <v>0</v>
      </c>
      <c r="AN43" s="208">
        <f>IF($AB43=1,$AC43*'Verwerking Bouwdelen'!DV27,$AC43*'Verwerking Bouwdelen'!AD27)</f>
        <v>0</v>
      </c>
      <c r="AO43" s="208">
        <f>IF($AB43=1,$AC43*'Verwerking Bouwdelen'!DW27,$AC43*'Verwerking Bouwdelen'!AE27)</f>
        <v>0</v>
      </c>
      <c r="AP43" s="10">
        <f>IF(AD43=B43,0,'Verwerking Bouwdelen'!D27*AB43*AC43)</f>
        <v>0</v>
      </c>
      <c r="AQ43" s="10">
        <f>AB43*AC43*'Verwerking Bouwdelen'!GH27</f>
        <v>0</v>
      </c>
      <c r="AR43" s="10"/>
      <c r="AS43" s="248"/>
      <c r="AT43" s="125">
        <f>IF('Verwerking Bouwdelen'!C27=4,1,0)</f>
        <v>0</v>
      </c>
      <c r="AU43" s="130">
        <f>IF('Verwerking Bouwdelen'!A27=2,1,0)</f>
        <v>0</v>
      </c>
      <c r="AV43" s="208">
        <f>IF($AT43=1,$AU43*'Verwerking Bouwdelen'!DL27,$AU43*'Verwerking Bouwdelen'!T27)</f>
        <v>0</v>
      </c>
      <c r="AW43" s="208">
        <f>IF($AT43=1,$AU43*'Verwerking Bouwdelen'!DM27,$AU43*'Verwerking Bouwdelen'!U27)</f>
        <v>0</v>
      </c>
      <c r="AX43" s="208">
        <f>IF($AT43=1,$AU43*'Verwerking Bouwdelen'!DN27,$AU43*'Verwerking Bouwdelen'!V27)</f>
        <v>0</v>
      </c>
      <c r="AY43" s="208">
        <f>IF($AT43=1,$AU43*'Verwerking Bouwdelen'!DO27,$AU43*'Verwerking Bouwdelen'!W27)</f>
        <v>0</v>
      </c>
      <c r="AZ43" s="208">
        <f>IF($AT43=1,$AU43*'Verwerking Bouwdelen'!DP27,$AU43*'Verwerking Bouwdelen'!X27)</f>
        <v>0</v>
      </c>
      <c r="BA43" s="208">
        <f>IF($AT43=1,$AU43*'Verwerking Bouwdelen'!DQ27,$AU43*'Verwerking Bouwdelen'!Y27)</f>
        <v>0</v>
      </c>
      <c r="BB43" s="208">
        <f>IF($AT43=1,$AU43*'Verwerking Bouwdelen'!DR27,$AU43*'Verwerking Bouwdelen'!Z27)</f>
        <v>0</v>
      </c>
      <c r="BC43" s="208">
        <f>IF($AT43=1,$AU43*'Verwerking Bouwdelen'!DS27,$AU43*'Verwerking Bouwdelen'!AA27)</f>
        <v>0</v>
      </c>
      <c r="BD43" s="208">
        <f>IF($AT43=1,$AU43*'Verwerking Bouwdelen'!DT27,$AU43*'Verwerking Bouwdelen'!AB27)</f>
        <v>0</v>
      </c>
      <c r="BE43" s="208">
        <f>IF($AT43=1,$AU43*'Verwerking Bouwdelen'!DU27,$AU43*'Verwerking Bouwdelen'!AC27)</f>
        <v>0</v>
      </c>
      <c r="BF43" s="208">
        <f>IF($AT43=1,$AU43*'Verwerking Bouwdelen'!DV27,$AU43*'Verwerking Bouwdelen'!AD27)</f>
        <v>0</v>
      </c>
      <c r="BG43" s="208">
        <f>IF($AT43=1,$AU43*'Verwerking Bouwdelen'!DW27,$AU43*'Verwerking Bouwdelen'!AE27)</f>
        <v>0</v>
      </c>
      <c r="BH43" s="10">
        <f>IF(AV43=B43,0,'Verwerking Bouwdelen'!D27*AT43*AU43)</f>
        <v>0</v>
      </c>
      <c r="BI43" s="10">
        <f>AT43*AU43*'Verwerking Bouwdelen'!GH27</f>
        <v>0</v>
      </c>
      <c r="BJ43" s="10"/>
      <c r="BK43" s="10"/>
      <c r="BM43" s="125">
        <f>IF('Verwerking Bouwdelen'!C27=5,1,0)</f>
        <v>0</v>
      </c>
      <c r="BN43" s="130">
        <f>IF('Verwerking Bouwdelen'!A27=2,1,0)</f>
        <v>0</v>
      </c>
      <c r="BO43" s="208">
        <f>IF($BM43=1,$BN43*'Verwerking Bouwdelen'!DL27,$BN43*'Verwerking Bouwdelen'!T27)</f>
        <v>0</v>
      </c>
      <c r="BP43" s="208">
        <f>IF($BM43=1,$BN43*'Verwerking Bouwdelen'!DM27,$BN43*'Verwerking Bouwdelen'!U27)</f>
        <v>0</v>
      </c>
      <c r="BQ43" s="208">
        <f>IF($BM43=1,$BN43*'Verwerking Bouwdelen'!DN27,$BN43*'Verwerking Bouwdelen'!V27)</f>
        <v>0</v>
      </c>
      <c r="BR43" s="208">
        <f>IF($BM43=1,$BN43*'Verwerking Bouwdelen'!DO27,$BN43*'Verwerking Bouwdelen'!W27)</f>
        <v>0</v>
      </c>
      <c r="BS43" s="208">
        <f>IF($BM43=1,$BN43*'Verwerking Bouwdelen'!DP27,$BN43*'Verwerking Bouwdelen'!X27)</f>
        <v>0</v>
      </c>
      <c r="BT43" s="208">
        <f>IF($BM43=1,$BN43*'Verwerking Bouwdelen'!DQ27,$BN43*'Verwerking Bouwdelen'!Y27)</f>
        <v>0</v>
      </c>
      <c r="BU43" s="208">
        <f>IF($BM43=1,$BN43*'Verwerking Bouwdelen'!DR27,$BN43*'Verwerking Bouwdelen'!Z27)</f>
        <v>0</v>
      </c>
      <c r="BV43" s="208">
        <f>IF($BM43=1,$BN43*'Verwerking Bouwdelen'!DS27,$BN43*'Verwerking Bouwdelen'!AA27)</f>
        <v>0</v>
      </c>
      <c r="BW43" s="208">
        <f>IF($BM43=1,$BN43*'Verwerking Bouwdelen'!DT27,$BN43*'Verwerking Bouwdelen'!AB27)</f>
        <v>0</v>
      </c>
      <c r="BX43" s="208">
        <f>IF($BM43=1,$BN43*'Verwerking Bouwdelen'!DU27,$BN43*'Verwerking Bouwdelen'!AC27)</f>
        <v>0</v>
      </c>
      <c r="BY43" s="208">
        <f>IF($BM43=1,$BN43*'Verwerking Bouwdelen'!DV27,$BN43*'Verwerking Bouwdelen'!AD27)</f>
        <v>0</v>
      </c>
      <c r="BZ43" s="208">
        <f>IF($BM43=1,$BN43*'Verwerking Bouwdelen'!DW27,$BN43*'Verwerking Bouwdelen'!AE27)</f>
        <v>0</v>
      </c>
      <c r="CA43" s="10">
        <f>IF(BO43=B43,0,'Verwerking Bouwdelen'!D27*BM43*BN43)</f>
        <v>0</v>
      </c>
      <c r="CB43" s="10">
        <f>BM43*BN43*'Verwerking Bouwdelen'!GH27</f>
        <v>0</v>
      </c>
      <c r="CC43" s="10"/>
      <c r="CD43" s="248"/>
      <c r="CE43" s="125">
        <f>IF('Verwerking Bouwdelen'!C27=2,1,0)</f>
        <v>0</v>
      </c>
      <c r="CF43" s="130">
        <f>IF('Verwerking Bouwdelen'!A27=2,1,0)</f>
        <v>0</v>
      </c>
      <c r="CG43" s="208">
        <f>IF($CE43=1,$CF43*'Verwerking Bouwdelen'!DL27,$CF43*'Verwerking Bouwdelen'!T27)</f>
        <v>0</v>
      </c>
      <c r="CH43" s="208">
        <f>IF($CE43=1,$CF43*'Verwerking Bouwdelen'!DM27,$CF43*'Verwerking Bouwdelen'!U27)</f>
        <v>0</v>
      </c>
      <c r="CI43" s="208">
        <f>IF($CE43=1,$CF43*'Verwerking Bouwdelen'!DN27,$CF43*'Verwerking Bouwdelen'!V27)</f>
        <v>0</v>
      </c>
      <c r="CJ43" s="208">
        <f>IF($CE43=1,$CF43*'Verwerking Bouwdelen'!DO27,$CF43*'Verwerking Bouwdelen'!W27)</f>
        <v>0</v>
      </c>
      <c r="CK43" s="208">
        <f>IF($CE43=1,$CF43*'Verwerking Bouwdelen'!DP27,$CF43*'Verwerking Bouwdelen'!X27)</f>
        <v>0</v>
      </c>
      <c r="CL43" s="208">
        <f>IF($CE43=1,$CF43*'Verwerking Bouwdelen'!DQ27,$CF43*'Verwerking Bouwdelen'!Y27)</f>
        <v>0</v>
      </c>
      <c r="CM43" s="208">
        <f>IF($CE43=1,$CF43*'Verwerking Bouwdelen'!DR27,$CF43*'Verwerking Bouwdelen'!Z27)</f>
        <v>0</v>
      </c>
      <c r="CN43" s="208">
        <f>IF($CE43=1,$CF43*'Verwerking Bouwdelen'!DS27,$CF43*'Verwerking Bouwdelen'!AA27)</f>
        <v>0</v>
      </c>
      <c r="CO43" s="208">
        <f>IF($CE43=1,$CF43*'Verwerking Bouwdelen'!DT27,$CF43*'Verwerking Bouwdelen'!AB27)</f>
        <v>0</v>
      </c>
      <c r="CP43" s="208">
        <f>IF($CE43=1,$CF43*'Verwerking Bouwdelen'!DU27,$CF43*'Verwerking Bouwdelen'!AC27)</f>
        <v>0</v>
      </c>
      <c r="CQ43" s="208">
        <f>IF($CE43=1,$CF43*'Verwerking Bouwdelen'!DV27,$CF43*'Verwerking Bouwdelen'!AD27)</f>
        <v>0</v>
      </c>
      <c r="CR43" s="208">
        <f>IF($CE43=1,$CF43*'Verwerking Bouwdelen'!DW27,$CF43*'Verwerking Bouwdelen'!AE27)</f>
        <v>0</v>
      </c>
      <c r="CS43" s="10">
        <f>IF(CG43=$B43,0,('Verwerking Bouwdelen'!$D27-'Verwerking Bouwdelen'!G27)*CE43*CF43)</f>
        <v>0</v>
      </c>
      <c r="CT43" s="260">
        <f>CE43*CF43*'Verwerking Bouwdelen'!GH27</f>
        <v>0</v>
      </c>
      <c r="CU43" s="261">
        <f>CE43*CF43*'Verwerking Bouwdelen'!GI27</f>
        <v>0</v>
      </c>
      <c r="CW43" s="209">
        <f>$AC43*'Verwerking Bouwdelen'!EE27</f>
        <v>0</v>
      </c>
      <c r="CX43" s="209">
        <f>$AC43*'Verwerking Bouwdelen'!EF27</f>
        <v>0</v>
      </c>
      <c r="CY43" s="209">
        <f>$AC43*'Verwerking Bouwdelen'!EG27</f>
        <v>0</v>
      </c>
      <c r="CZ43" s="209">
        <f>$AC43*'Verwerking Bouwdelen'!EH27</f>
        <v>0</v>
      </c>
      <c r="DA43" s="209">
        <f>$AC43*'Verwerking Bouwdelen'!EI27</f>
        <v>0</v>
      </c>
      <c r="DB43" s="209">
        <f>$AC43*'Verwerking Bouwdelen'!EJ27</f>
        <v>0</v>
      </c>
      <c r="DC43" s="209">
        <f>$AC43*'Verwerking Bouwdelen'!EK27</f>
        <v>0</v>
      </c>
      <c r="DD43" s="209">
        <f>$AC43*'Verwerking Bouwdelen'!EL27</f>
        <v>0</v>
      </c>
      <c r="DE43" s="209">
        <f>$AC43*'Verwerking Bouwdelen'!EM27</f>
        <v>0</v>
      </c>
      <c r="DF43" s="209">
        <f>$AC43*'Verwerking Bouwdelen'!EN27</f>
        <v>0</v>
      </c>
      <c r="DG43" s="209">
        <f>$AC43*'Verwerking Bouwdelen'!EO27</f>
        <v>0</v>
      </c>
      <c r="DH43" s="209">
        <f>$AC43*'Verwerking Bouwdelen'!EP27</f>
        <v>0</v>
      </c>
      <c r="DI43" s="10">
        <f>IF(CW43=$O43,0,'Verwerking Bouwdelen'!G27)</f>
        <v>0</v>
      </c>
      <c r="DJ43" s="259">
        <f>'Verwerking Bouwdelen'!GK27*CF43</f>
        <v>0</v>
      </c>
      <c r="DK43" s="259">
        <f>'Verwerking Bouwdelen'!GL27*CF43</f>
        <v>0</v>
      </c>
      <c r="DL43" s="125"/>
      <c r="GM43" s="89">
        <f t="shared" si="2"/>
        <v>0</v>
      </c>
      <c r="GN43" s="89">
        <f t="shared" si="3"/>
        <v>0</v>
      </c>
      <c r="GO43" s="208">
        <f>IF($GN43=1,$GN43*$GM43*'Verwerking Bouwdelen'!DL27,$GN43*$GM43*'Verwerking Bouwdelen'!T27)</f>
        <v>0</v>
      </c>
      <c r="GP43" s="208">
        <f>IF($GN43=1,$GN43*$GM43*'Verwerking Bouwdelen'!DM27,$GN43*$GM43*'Verwerking Bouwdelen'!U27)</f>
        <v>0</v>
      </c>
      <c r="GQ43" s="208">
        <f>IF($GN43=1,$GN43*$GM43*'Verwerking Bouwdelen'!DN27,$GN43*$GM43*'Verwerking Bouwdelen'!V27)</f>
        <v>0</v>
      </c>
      <c r="GR43" s="208">
        <f>IF($GN43=1,$GN43*$GM43*'Verwerking Bouwdelen'!DO27,$GN43*$GM43*'Verwerking Bouwdelen'!W27)</f>
        <v>0</v>
      </c>
      <c r="GS43" s="208">
        <f>IF($GN43=1,$GN43*$GM43*'Verwerking Bouwdelen'!DP27,$GN43*$GM43*'Verwerking Bouwdelen'!X27)</f>
        <v>0</v>
      </c>
      <c r="GT43" s="208">
        <f>IF($GN43=1,$GN43*$GM43*'Verwerking Bouwdelen'!DQ27,$GN43*$GM43*'Verwerking Bouwdelen'!Y27)</f>
        <v>0</v>
      </c>
      <c r="GU43" s="208">
        <f>IF($GN43=1,$GN43*$GM43*'Verwerking Bouwdelen'!DR27,$GN43*$GM43*'Verwerking Bouwdelen'!Z27)</f>
        <v>0</v>
      </c>
      <c r="GV43" s="208">
        <f>IF($GN43=1,$GN43*$GM43*'Verwerking Bouwdelen'!DS27,$GN43*$GM43*'Verwerking Bouwdelen'!AA27)</f>
        <v>0</v>
      </c>
      <c r="GW43" s="208">
        <f>IF($GN43=1,$GN43*$GM43*'Verwerking Bouwdelen'!DT27,$GN43*$GM43*'Verwerking Bouwdelen'!AB27)</f>
        <v>0</v>
      </c>
      <c r="GX43" s="208">
        <f>IF($GN43=1,$GN43*$GM43*'Verwerking Bouwdelen'!DU27,$GN43*$GM43*'Verwerking Bouwdelen'!AC27)</f>
        <v>0</v>
      </c>
      <c r="GY43" s="208">
        <f>IF($GN43=1,$GN43*$GM43*'Verwerking Bouwdelen'!DV27,$GN43*$GM43*'Verwerking Bouwdelen'!AD27)</f>
        <v>0</v>
      </c>
      <c r="GZ43" s="208">
        <f>IF($GN43=1,$GN43*$GM43*'Verwerking Bouwdelen'!DW27,$GN43*$GM43*'Verwerking Bouwdelen'!AE27)</f>
        <v>0</v>
      </c>
      <c r="HB43" s="89">
        <f t="shared" si="4"/>
        <v>0</v>
      </c>
      <c r="HC43" s="89">
        <f t="shared" si="4"/>
        <v>0</v>
      </c>
      <c r="HD43" s="89">
        <f t="shared" si="4"/>
        <v>0</v>
      </c>
      <c r="HE43" s="89">
        <f t="shared" si="4"/>
        <v>0</v>
      </c>
      <c r="HF43" s="89">
        <f t="shared" si="4"/>
        <v>0</v>
      </c>
      <c r="HG43" s="89">
        <f t="shared" si="4"/>
        <v>0</v>
      </c>
      <c r="HH43" s="89">
        <f t="shared" si="4"/>
        <v>0</v>
      </c>
      <c r="HI43" s="89">
        <f t="shared" si="4"/>
        <v>0</v>
      </c>
      <c r="HJ43" s="89">
        <f t="shared" si="4"/>
        <v>0</v>
      </c>
      <c r="HK43" s="89">
        <f t="shared" si="4"/>
        <v>0</v>
      </c>
      <c r="HL43" s="89">
        <f t="shared" si="4"/>
        <v>0</v>
      </c>
      <c r="HM43" s="89">
        <f t="shared" si="4"/>
        <v>0</v>
      </c>
      <c r="HO43" s="256"/>
      <c r="HZ43" s="256"/>
    </row>
    <row r="44" spans="1:234" x14ac:dyDescent="0.2">
      <c r="A44" s="130">
        <f>IF('Verwerking Bouwdelen'!A28=2,1,0)</f>
        <v>0</v>
      </c>
      <c r="B44" s="208">
        <f>$A44*'Verwerking Bouwdelen'!T28</f>
        <v>0</v>
      </c>
      <c r="C44" s="208">
        <f>$A44*'Verwerking Bouwdelen'!U28</f>
        <v>0</v>
      </c>
      <c r="D44" s="208">
        <f>$A44*'Verwerking Bouwdelen'!V28</f>
        <v>0</v>
      </c>
      <c r="E44" s="208">
        <f>$A44*'Verwerking Bouwdelen'!W28</f>
        <v>0</v>
      </c>
      <c r="F44" s="208">
        <f>$A44*'Verwerking Bouwdelen'!X28</f>
        <v>0</v>
      </c>
      <c r="G44" s="208">
        <f>$A44*'Verwerking Bouwdelen'!Y28</f>
        <v>0</v>
      </c>
      <c r="H44" s="208">
        <f>$A44*'Verwerking Bouwdelen'!Z28</f>
        <v>0</v>
      </c>
      <c r="I44" s="208">
        <f>$A44*'Verwerking Bouwdelen'!AA28</f>
        <v>0</v>
      </c>
      <c r="J44" s="208">
        <f>$A44*'Verwerking Bouwdelen'!AB28</f>
        <v>0</v>
      </c>
      <c r="K44" s="208">
        <f>$A44*'Verwerking Bouwdelen'!AC28</f>
        <v>0</v>
      </c>
      <c r="L44" s="208">
        <f>$A44*'Verwerking Bouwdelen'!AD28</f>
        <v>0</v>
      </c>
      <c r="M44" s="208">
        <f>$A44*'Verwerking Bouwdelen'!AE28</f>
        <v>0</v>
      </c>
      <c r="O44" s="114">
        <f>$A44*'Verwerking Bouwdelen'!AU28</f>
        <v>0</v>
      </c>
      <c r="P44" s="125">
        <f>$A44*'Verwerking Bouwdelen'!AV28</f>
        <v>0</v>
      </c>
      <c r="Q44" s="125">
        <f>$A44*'Verwerking Bouwdelen'!AW28</f>
        <v>0</v>
      </c>
      <c r="R44" s="125">
        <f>$A44*'Verwerking Bouwdelen'!AX28</f>
        <v>0</v>
      </c>
      <c r="S44" s="125">
        <f>$A44*'Verwerking Bouwdelen'!AY28</f>
        <v>0</v>
      </c>
      <c r="T44" s="125">
        <f>$A44*'Verwerking Bouwdelen'!AZ28</f>
        <v>0</v>
      </c>
      <c r="U44" s="125">
        <f>$A44*'Verwerking Bouwdelen'!BA28</f>
        <v>0</v>
      </c>
      <c r="V44" s="125">
        <f>$A44*'Verwerking Bouwdelen'!BB28</f>
        <v>0</v>
      </c>
      <c r="W44" s="125">
        <f>$A44*'Verwerking Bouwdelen'!BC28</f>
        <v>0</v>
      </c>
      <c r="X44" s="125">
        <f>$A44*'Verwerking Bouwdelen'!BD28</f>
        <v>0</v>
      </c>
      <c r="Y44" s="125">
        <f>$A44*'Verwerking Bouwdelen'!BE28</f>
        <v>0</v>
      </c>
      <c r="Z44" s="195">
        <f>$A44*'Verwerking Bouwdelen'!BF28</f>
        <v>0</v>
      </c>
      <c r="AB44" s="125">
        <f>IF(OR('Verwerking Bouwdelen'!C28=3,'Verwerking Bouwdelen'!C28=6),1,0)</f>
        <v>0</v>
      </c>
      <c r="AC44" s="130">
        <f>IF('Verwerking Bouwdelen'!A28=2,1,0)</f>
        <v>0</v>
      </c>
      <c r="AD44" s="208">
        <f>IF($AB44=1,$AC44*'Verwerking Bouwdelen'!DL28,$AC44*'Verwerking Bouwdelen'!T28)</f>
        <v>0</v>
      </c>
      <c r="AE44" s="208">
        <f>IF($AB44=1,$AC44*'Verwerking Bouwdelen'!DM28,$AC44*'Verwerking Bouwdelen'!U28)</f>
        <v>0</v>
      </c>
      <c r="AF44" s="208">
        <f>IF($AB44=1,$AC44*'Verwerking Bouwdelen'!DN28,$AC44*'Verwerking Bouwdelen'!V28)</f>
        <v>0</v>
      </c>
      <c r="AG44" s="208">
        <f>IF($AB44=1,$AC44*'Verwerking Bouwdelen'!DO28,$AC44*'Verwerking Bouwdelen'!W28)</f>
        <v>0</v>
      </c>
      <c r="AH44" s="208">
        <f>IF($AB44=1,$AC44*'Verwerking Bouwdelen'!DP28,$AC44*'Verwerking Bouwdelen'!X28)</f>
        <v>0</v>
      </c>
      <c r="AI44" s="208">
        <f>IF($AB44=1,$AC44*'Verwerking Bouwdelen'!DQ28,$AC44*'Verwerking Bouwdelen'!Y28)</f>
        <v>0</v>
      </c>
      <c r="AJ44" s="208">
        <f>IF($AB44=1,$AC44*'Verwerking Bouwdelen'!DR28,$AC44*'Verwerking Bouwdelen'!Z28)</f>
        <v>0</v>
      </c>
      <c r="AK44" s="208">
        <f>IF($AB44=1,$AC44*'Verwerking Bouwdelen'!DS28,$AC44*'Verwerking Bouwdelen'!AA28)</f>
        <v>0</v>
      </c>
      <c r="AL44" s="208">
        <f>IF($AB44=1,$AC44*'Verwerking Bouwdelen'!DT28,$AC44*'Verwerking Bouwdelen'!AB28)</f>
        <v>0</v>
      </c>
      <c r="AM44" s="208">
        <f>IF($AB44=1,$AC44*'Verwerking Bouwdelen'!DU28,$AC44*'Verwerking Bouwdelen'!AC28)</f>
        <v>0</v>
      </c>
      <c r="AN44" s="208">
        <f>IF($AB44=1,$AC44*'Verwerking Bouwdelen'!DV28,$AC44*'Verwerking Bouwdelen'!AD28)</f>
        <v>0</v>
      </c>
      <c r="AO44" s="208">
        <f>IF($AB44=1,$AC44*'Verwerking Bouwdelen'!DW28,$AC44*'Verwerking Bouwdelen'!AE28)</f>
        <v>0</v>
      </c>
      <c r="AP44" s="10">
        <f>IF(AD44=B44,0,'Verwerking Bouwdelen'!D28*AB44*AC44)</f>
        <v>0</v>
      </c>
      <c r="AQ44" s="10">
        <f>AB44*AC44*'Verwerking Bouwdelen'!GH28</f>
        <v>0</v>
      </c>
      <c r="AR44" s="10"/>
      <c r="AS44" s="248"/>
      <c r="AT44" s="125">
        <f>IF('Verwerking Bouwdelen'!C28=4,1,0)</f>
        <v>0</v>
      </c>
      <c r="AU44" s="130">
        <f>IF('Verwerking Bouwdelen'!A28=2,1,0)</f>
        <v>0</v>
      </c>
      <c r="AV44" s="208">
        <f>IF($AT44=1,$AU44*'Verwerking Bouwdelen'!DL28,$AU44*'Verwerking Bouwdelen'!T28)</f>
        <v>0</v>
      </c>
      <c r="AW44" s="208">
        <f>IF($AT44=1,$AU44*'Verwerking Bouwdelen'!DM28,$AU44*'Verwerking Bouwdelen'!U28)</f>
        <v>0</v>
      </c>
      <c r="AX44" s="208">
        <f>IF($AT44=1,$AU44*'Verwerking Bouwdelen'!DN28,$AU44*'Verwerking Bouwdelen'!V28)</f>
        <v>0</v>
      </c>
      <c r="AY44" s="208">
        <f>IF($AT44=1,$AU44*'Verwerking Bouwdelen'!DO28,$AU44*'Verwerking Bouwdelen'!W28)</f>
        <v>0</v>
      </c>
      <c r="AZ44" s="208">
        <f>IF($AT44=1,$AU44*'Verwerking Bouwdelen'!DP28,$AU44*'Verwerking Bouwdelen'!X28)</f>
        <v>0</v>
      </c>
      <c r="BA44" s="208">
        <f>IF($AT44=1,$AU44*'Verwerking Bouwdelen'!DQ28,$AU44*'Verwerking Bouwdelen'!Y28)</f>
        <v>0</v>
      </c>
      <c r="BB44" s="208">
        <f>IF($AT44=1,$AU44*'Verwerking Bouwdelen'!DR28,$AU44*'Verwerking Bouwdelen'!Z28)</f>
        <v>0</v>
      </c>
      <c r="BC44" s="208">
        <f>IF($AT44=1,$AU44*'Verwerking Bouwdelen'!DS28,$AU44*'Verwerking Bouwdelen'!AA28)</f>
        <v>0</v>
      </c>
      <c r="BD44" s="208">
        <f>IF($AT44=1,$AU44*'Verwerking Bouwdelen'!DT28,$AU44*'Verwerking Bouwdelen'!AB28)</f>
        <v>0</v>
      </c>
      <c r="BE44" s="208">
        <f>IF($AT44=1,$AU44*'Verwerking Bouwdelen'!DU28,$AU44*'Verwerking Bouwdelen'!AC28)</f>
        <v>0</v>
      </c>
      <c r="BF44" s="208">
        <f>IF($AT44=1,$AU44*'Verwerking Bouwdelen'!DV28,$AU44*'Verwerking Bouwdelen'!AD28)</f>
        <v>0</v>
      </c>
      <c r="BG44" s="208">
        <f>IF($AT44=1,$AU44*'Verwerking Bouwdelen'!DW28,$AU44*'Verwerking Bouwdelen'!AE28)</f>
        <v>0</v>
      </c>
      <c r="BH44" s="10">
        <f>IF(AV44=B44,0,'Verwerking Bouwdelen'!D28*AT44*AU44)</f>
        <v>0</v>
      </c>
      <c r="BI44" s="10">
        <f>AT44*AU44*'Verwerking Bouwdelen'!GH28</f>
        <v>0</v>
      </c>
      <c r="BJ44" s="10"/>
      <c r="BK44" s="10"/>
      <c r="BM44" s="125">
        <f>IF('Verwerking Bouwdelen'!C28=5,1,0)</f>
        <v>0</v>
      </c>
      <c r="BN44" s="130">
        <f>IF('Verwerking Bouwdelen'!A28=2,1,0)</f>
        <v>0</v>
      </c>
      <c r="BO44" s="208">
        <f>IF($BM44=1,$BN44*'Verwerking Bouwdelen'!DL28,$BN44*'Verwerking Bouwdelen'!T28)</f>
        <v>0</v>
      </c>
      <c r="BP44" s="208">
        <f>IF($BM44=1,$BN44*'Verwerking Bouwdelen'!DM28,$BN44*'Verwerking Bouwdelen'!U28)</f>
        <v>0</v>
      </c>
      <c r="BQ44" s="208">
        <f>IF($BM44=1,$BN44*'Verwerking Bouwdelen'!DN28,$BN44*'Verwerking Bouwdelen'!V28)</f>
        <v>0</v>
      </c>
      <c r="BR44" s="208">
        <f>IF($BM44=1,$BN44*'Verwerking Bouwdelen'!DO28,$BN44*'Verwerking Bouwdelen'!W28)</f>
        <v>0</v>
      </c>
      <c r="BS44" s="208">
        <f>IF($BM44=1,$BN44*'Verwerking Bouwdelen'!DP28,$BN44*'Verwerking Bouwdelen'!X28)</f>
        <v>0</v>
      </c>
      <c r="BT44" s="208">
        <f>IF($BM44=1,$BN44*'Verwerking Bouwdelen'!DQ28,$BN44*'Verwerking Bouwdelen'!Y28)</f>
        <v>0</v>
      </c>
      <c r="BU44" s="208">
        <f>IF($BM44=1,$BN44*'Verwerking Bouwdelen'!DR28,$BN44*'Verwerking Bouwdelen'!Z28)</f>
        <v>0</v>
      </c>
      <c r="BV44" s="208">
        <f>IF($BM44=1,$BN44*'Verwerking Bouwdelen'!DS28,$BN44*'Verwerking Bouwdelen'!AA28)</f>
        <v>0</v>
      </c>
      <c r="BW44" s="208">
        <f>IF($BM44=1,$BN44*'Verwerking Bouwdelen'!DT28,$BN44*'Verwerking Bouwdelen'!AB28)</f>
        <v>0</v>
      </c>
      <c r="BX44" s="208">
        <f>IF($BM44=1,$BN44*'Verwerking Bouwdelen'!DU28,$BN44*'Verwerking Bouwdelen'!AC28)</f>
        <v>0</v>
      </c>
      <c r="BY44" s="208">
        <f>IF($BM44=1,$BN44*'Verwerking Bouwdelen'!DV28,$BN44*'Verwerking Bouwdelen'!AD28)</f>
        <v>0</v>
      </c>
      <c r="BZ44" s="208">
        <f>IF($BM44=1,$BN44*'Verwerking Bouwdelen'!DW28,$BN44*'Verwerking Bouwdelen'!AE28)</f>
        <v>0</v>
      </c>
      <c r="CA44" s="10">
        <f>IF(BO44=B44,0,'Verwerking Bouwdelen'!D28*BM44*BN44)</f>
        <v>0</v>
      </c>
      <c r="CB44" s="10">
        <f>BM44*BN44*'Verwerking Bouwdelen'!GH28</f>
        <v>0</v>
      </c>
      <c r="CC44" s="10"/>
      <c r="CD44" s="248"/>
      <c r="CE44" s="125">
        <f>IF('Verwerking Bouwdelen'!C28=2,1,0)</f>
        <v>0</v>
      </c>
      <c r="CF44" s="130">
        <f>IF('Verwerking Bouwdelen'!A28=2,1,0)</f>
        <v>0</v>
      </c>
      <c r="CG44" s="208">
        <f>IF($CE44=1,$CF44*'Verwerking Bouwdelen'!DL28,$CF44*'Verwerking Bouwdelen'!T28)</f>
        <v>0</v>
      </c>
      <c r="CH44" s="208">
        <f>IF($CE44=1,$CF44*'Verwerking Bouwdelen'!DM28,$CF44*'Verwerking Bouwdelen'!U28)</f>
        <v>0</v>
      </c>
      <c r="CI44" s="208">
        <f>IF($CE44=1,$CF44*'Verwerking Bouwdelen'!DN28,$CF44*'Verwerking Bouwdelen'!V28)</f>
        <v>0</v>
      </c>
      <c r="CJ44" s="208">
        <f>IF($CE44=1,$CF44*'Verwerking Bouwdelen'!DO28,$CF44*'Verwerking Bouwdelen'!W28)</f>
        <v>0</v>
      </c>
      <c r="CK44" s="208">
        <f>IF($CE44=1,$CF44*'Verwerking Bouwdelen'!DP28,$CF44*'Verwerking Bouwdelen'!X28)</f>
        <v>0</v>
      </c>
      <c r="CL44" s="208">
        <f>IF($CE44=1,$CF44*'Verwerking Bouwdelen'!DQ28,$CF44*'Verwerking Bouwdelen'!Y28)</f>
        <v>0</v>
      </c>
      <c r="CM44" s="208">
        <f>IF($CE44=1,$CF44*'Verwerking Bouwdelen'!DR28,$CF44*'Verwerking Bouwdelen'!Z28)</f>
        <v>0</v>
      </c>
      <c r="CN44" s="208">
        <f>IF($CE44=1,$CF44*'Verwerking Bouwdelen'!DS28,$CF44*'Verwerking Bouwdelen'!AA28)</f>
        <v>0</v>
      </c>
      <c r="CO44" s="208">
        <f>IF($CE44=1,$CF44*'Verwerking Bouwdelen'!DT28,$CF44*'Verwerking Bouwdelen'!AB28)</f>
        <v>0</v>
      </c>
      <c r="CP44" s="208">
        <f>IF($CE44=1,$CF44*'Verwerking Bouwdelen'!DU28,$CF44*'Verwerking Bouwdelen'!AC28)</f>
        <v>0</v>
      </c>
      <c r="CQ44" s="208">
        <f>IF($CE44=1,$CF44*'Verwerking Bouwdelen'!DV28,$CF44*'Verwerking Bouwdelen'!AD28)</f>
        <v>0</v>
      </c>
      <c r="CR44" s="208">
        <f>IF($CE44=1,$CF44*'Verwerking Bouwdelen'!DW28,$CF44*'Verwerking Bouwdelen'!AE28)</f>
        <v>0</v>
      </c>
      <c r="CS44" s="10">
        <f>IF(CG44=$B44,0,('Verwerking Bouwdelen'!$D28-'Verwerking Bouwdelen'!G28)*CE44*CF44)</f>
        <v>0</v>
      </c>
      <c r="CT44" s="260">
        <f>CE44*CF44*'Verwerking Bouwdelen'!GH28</f>
        <v>0</v>
      </c>
      <c r="CU44" s="261">
        <f>CE44*CF44*'Verwerking Bouwdelen'!GI28</f>
        <v>0</v>
      </c>
      <c r="CW44" s="209">
        <f>$AC44*'Verwerking Bouwdelen'!EE28</f>
        <v>0</v>
      </c>
      <c r="CX44" s="209">
        <f>$AC44*'Verwerking Bouwdelen'!EF28</f>
        <v>0</v>
      </c>
      <c r="CY44" s="209">
        <f>$AC44*'Verwerking Bouwdelen'!EG28</f>
        <v>0</v>
      </c>
      <c r="CZ44" s="209">
        <f>$AC44*'Verwerking Bouwdelen'!EH28</f>
        <v>0</v>
      </c>
      <c r="DA44" s="209">
        <f>$AC44*'Verwerking Bouwdelen'!EI28</f>
        <v>0</v>
      </c>
      <c r="DB44" s="209">
        <f>$AC44*'Verwerking Bouwdelen'!EJ28</f>
        <v>0</v>
      </c>
      <c r="DC44" s="209">
        <f>$AC44*'Verwerking Bouwdelen'!EK28</f>
        <v>0</v>
      </c>
      <c r="DD44" s="209">
        <f>$AC44*'Verwerking Bouwdelen'!EL28</f>
        <v>0</v>
      </c>
      <c r="DE44" s="209">
        <f>$AC44*'Verwerking Bouwdelen'!EM28</f>
        <v>0</v>
      </c>
      <c r="DF44" s="209">
        <f>$AC44*'Verwerking Bouwdelen'!EN28</f>
        <v>0</v>
      </c>
      <c r="DG44" s="209">
        <f>$AC44*'Verwerking Bouwdelen'!EO28</f>
        <v>0</v>
      </c>
      <c r="DH44" s="209">
        <f>$AC44*'Verwerking Bouwdelen'!EP28</f>
        <v>0</v>
      </c>
      <c r="DI44" s="10">
        <f>IF(CW44=$O44,0,'Verwerking Bouwdelen'!G28)</f>
        <v>0</v>
      </c>
      <c r="DJ44" s="259">
        <f>'Verwerking Bouwdelen'!GK28*CF44</f>
        <v>0</v>
      </c>
      <c r="DK44" s="259">
        <f>'Verwerking Bouwdelen'!GL28*CF44</f>
        <v>0</v>
      </c>
      <c r="DL44" s="125"/>
      <c r="GM44" s="89">
        <f t="shared" si="2"/>
        <v>0</v>
      </c>
      <c r="GN44" s="89">
        <f t="shared" si="3"/>
        <v>0</v>
      </c>
      <c r="GO44" s="208">
        <f>IF($GN44=1,$GN44*$GM44*'Verwerking Bouwdelen'!DL28,$GN44*$GM44*'Verwerking Bouwdelen'!T28)</f>
        <v>0</v>
      </c>
      <c r="GP44" s="208">
        <f>IF($GN44=1,$GN44*$GM44*'Verwerking Bouwdelen'!DM28,$GN44*$GM44*'Verwerking Bouwdelen'!U28)</f>
        <v>0</v>
      </c>
      <c r="GQ44" s="208">
        <f>IF($GN44=1,$GN44*$GM44*'Verwerking Bouwdelen'!DN28,$GN44*$GM44*'Verwerking Bouwdelen'!V28)</f>
        <v>0</v>
      </c>
      <c r="GR44" s="208">
        <f>IF($GN44=1,$GN44*$GM44*'Verwerking Bouwdelen'!DO28,$GN44*$GM44*'Verwerking Bouwdelen'!W28)</f>
        <v>0</v>
      </c>
      <c r="GS44" s="208">
        <f>IF($GN44=1,$GN44*$GM44*'Verwerking Bouwdelen'!DP28,$GN44*$GM44*'Verwerking Bouwdelen'!X28)</f>
        <v>0</v>
      </c>
      <c r="GT44" s="208">
        <f>IF($GN44=1,$GN44*$GM44*'Verwerking Bouwdelen'!DQ28,$GN44*$GM44*'Verwerking Bouwdelen'!Y28)</f>
        <v>0</v>
      </c>
      <c r="GU44" s="208">
        <f>IF($GN44=1,$GN44*$GM44*'Verwerking Bouwdelen'!DR28,$GN44*$GM44*'Verwerking Bouwdelen'!Z28)</f>
        <v>0</v>
      </c>
      <c r="GV44" s="208">
        <f>IF($GN44=1,$GN44*$GM44*'Verwerking Bouwdelen'!DS28,$GN44*$GM44*'Verwerking Bouwdelen'!AA28)</f>
        <v>0</v>
      </c>
      <c r="GW44" s="208">
        <f>IF($GN44=1,$GN44*$GM44*'Verwerking Bouwdelen'!DT28,$GN44*$GM44*'Verwerking Bouwdelen'!AB28)</f>
        <v>0</v>
      </c>
      <c r="GX44" s="208">
        <f>IF($GN44=1,$GN44*$GM44*'Verwerking Bouwdelen'!DU28,$GN44*$GM44*'Verwerking Bouwdelen'!AC28)</f>
        <v>0</v>
      </c>
      <c r="GY44" s="208">
        <f>IF($GN44=1,$GN44*$GM44*'Verwerking Bouwdelen'!DV28,$GN44*$GM44*'Verwerking Bouwdelen'!AD28)</f>
        <v>0</v>
      </c>
      <c r="GZ44" s="208">
        <f>IF($GN44=1,$GN44*$GM44*'Verwerking Bouwdelen'!DW28,$GN44*$GM44*'Verwerking Bouwdelen'!AE28)</f>
        <v>0</v>
      </c>
      <c r="HB44" s="89">
        <f t="shared" si="4"/>
        <v>0</v>
      </c>
      <c r="HC44" s="89">
        <f t="shared" si="4"/>
        <v>0</v>
      </c>
      <c r="HD44" s="89">
        <f t="shared" si="4"/>
        <v>0</v>
      </c>
      <c r="HE44" s="89">
        <f t="shared" si="4"/>
        <v>0</v>
      </c>
      <c r="HF44" s="89">
        <f t="shared" si="4"/>
        <v>0</v>
      </c>
      <c r="HG44" s="89">
        <f t="shared" si="4"/>
        <v>0</v>
      </c>
      <c r="HH44" s="89">
        <f t="shared" si="4"/>
        <v>0</v>
      </c>
      <c r="HI44" s="89">
        <f t="shared" si="4"/>
        <v>0</v>
      </c>
      <c r="HJ44" s="89">
        <f t="shared" si="4"/>
        <v>0</v>
      </c>
      <c r="HK44" s="89">
        <f t="shared" si="4"/>
        <v>0</v>
      </c>
      <c r="HL44" s="89">
        <f t="shared" si="4"/>
        <v>0</v>
      </c>
      <c r="HM44" s="89">
        <f t="shared" si="4"/>
        <v>0</v>
      </c>
      <c r="HO44" s="256"/>
      <c r="HZ44" s="256"/>
    </row>
    <row r="45" spans="1:234" x14ac:dyDescent="0.2">
      <c r="A45" s="130">
        <f>IF('Verwerking Bouwdelen'!A29=2,1,0)</f>
        <v>0</v>
      </c>
      <c r="B45" s="208">
        <f>$A45*'Verwerking Bouwdelen'!T29</f>
        <v>0</v>
      </c>
      <c r="C45" s="208">
        <f>$A45*'Verwerking Bouwdelen'!U29</f>
        <v>0</v>
      </c>
      <c r="D45" s="208">
        <f>$A45*'Verwerking Bouwdelen'!V29</f>
        <v>0</v>
      </c>
      <c r="E45" s="208">
        <f>$A45*'Verwerking Bouwdelen'!W29</f>
        <v>0</v>
      </c>
      <c r="F45" s="208">
        <f>$A45*'Verwerking Bouwdelen'!X29</f>
        <v>0</v>
      </c>
      <c r="G45" s="208">
        <f>$A45*'Verwerking Bouwdelen'!Y29</f>
        <v>0</v>
      </c>
      <c r="H45" s="208">
        <f>$A45*'Verwerking Bouwdelen'!Z29</f>
        <v>0</v>
      </c>
      <c r="I45" s="208">
        <f>$A45*'Verwerking Bouwdelen'!AA29</f>
        <v>0</v>
      </c>
      <c r="J45" s="208">
        <f>$A45*'Verwerking Bouwdelen'!AB29</f>
        <v>0</v>
      </c>
      <c r="K45" s="208">
        <f>$A45*'Verwerking Bouwdelen'!AC29</f>
        <v>0</v>
      </c>
      <c r="L45" s="208">
        <f>$A45*'Verwerking Bouwdelen'!AD29</f>
        <v>0</v>
      </c>
      <c r="M45" s="208">
        <f>$A45*'Verwerking Bouwdelen'!AE29</f>
        <v>0</v>
      </c>
      <c r="O45" s="114">
        <f>$A45*'Verwerking Bouwdelen'!AU29</f>
        <v>0</v>
      </c>
      <c r="P45" s="125">
        <f>$A45*'Verwerking Bouwdelen'!AV29</f>
        <v>0</v>
      </c>
      <c r="Q45" s="125">
        <f>$A45*'Verwerking Bouwdelen'!AW29</f>
        <v>0</v>
      </c>
      <c r="R45" s="125">
        <f>$A45*'Verwerking Bouwdelen'!AX29</f>
        <v>0</v>
      </c>
      <c r="S45" s="125">
        <f>$A45*'Verwerking Bouwdelen'!AY29</f>
        <v>0</v>
      </c>
      <c r="T45" s="125">
        <f>$A45*'Verwerking Bouwdelen'!AZ29</f>
        <v>0</v>
      </c>
      <c r="U45" s="125">
        <f>$A45*'Verwerking Bouwdelen'!BA29</f>
        <v>0</v>
      </c>
      <c r="V45" s="125">
        <f>$A45*'Verwerking Bouwdelen'!BB29</f>
        <v>0</v>
      </c>
      <c r="W45" s="125">
        <f>$A45*'Verwerking Bouwdelen'!BC29</f>
        <v>0</v>
      </c>
      <c r="X45" s="125">
        <f>$A45*'Verwerking Bouwdelen'!BD29</f>
        <v>0</v>
      </c>
      <c r="Y45" s="125">
        <f>$A45*'Verwerking Bouwdelen'!BE29</f>
        <v>0</v>
      </c>
      <c r="Z45" s="195">
        <f>$A45*'Verwerking Bouwdelen'!BF29</f>
        <v>0</v>
      </c>
      <c r="AB45" s="125">
        <f>IF(OR('Verwerking Bouwdelen'!C29=3,'Verwerking Bouwdelen'!C29=6),1,0)</f>
        <v>0</v>
      </c>
      <c r="AC45" s="130">
        <f>IF('Verwerking Bouwdelen'!A29=2,1,0)</f>
        <v>0</v>
      </c>
      <c r="AD45" s="208">
        <f>IF($AB45=1,$AC45*'Verwerking Bouwdelen'!DL29,$AC45*'Verwerking Bouwdelen'!T29)</f>
        <v>0</v>
      </c>
      <c r="AE45" s="208">
        <f>IF($AB45=1,$AC45*'Verwerking Bouwdelen'!DM29,$AC45*'Verwerking Bouwdelen'!U29)</f>
        <v>0</v>
      </c>
      <c r="AF45" s="208">
        <f>IF($AB45=1,$AC45*'Verwerking Bouwdelen'!DN29,$AC45*'Verwerking Bouwdelen'!V29)</f>
        <v>0</v>
      </c>
      <c r="AG45" s="208">
        <f>IF($AB45=1,$AC45*'Verwerking Bouwdelen'!DO29,$AC45*'Verwerking Bouwdelen'!W29)</f>
        <v>0</v>
      </c>
      <c r="AH45" s="208">
        <f>IF($AB45=1,$AC45*'Verwerking Bouwdelen'!DP29,$AC45*'Verwerking Bouwdelen'!X29)</f>
        <v>0</v>
      </c>
      <c r="AI45" s="208">
        <f>IF($AB45=1,$AC45*'Verwerking Bouwdelen'!DQ29,$AC45*'Verwerking Bouwdelen'!Y29)</f>
        <v>0</v>
      </c>
      <c r="AJ45" s="208">
        <f>IF($AB45=1,$AC45*'Verwerking Bouwdelen'!DR29,$AC45*'Verwerking Bouwdelen'!Z29)</f>
        <v>0</v>
      </c>
      <c r="AK45" s="208">
        <f>IF($AB45=1,$AC45*'Verwerking Bouwdelen'!DS29,$AC45*'Verwerking Bouwdelen'!AA29)</f>
        <v>0</v>
      </c>
      <c r="AL45" s="208">
        <f>IF($AB45=1,$AC45*'Verwerking Bouwdelen'!DT29,$AC45*'Verwerking Bouwdelen'!AB29)</f>
        <v>0</v>
      </c>
      <c r="AM45" s="208">
        <f>IF($AB45=1,$AC45*'Verwerking Bouwdelen'!DU29,$AC45*'Verwerking Bouwdelen'!AC29)</f>
        <v>0</v>
      </c>
      <c r="AN45" s="208">
        <f>IF($AB45=1,$AC45*'Verwerking Bouwdelen'!DV29,$AC45*'Verwerking Bouwdelen'!AD29)</f>
        <v>0</v>
      </c>
      <c r="AO45" s="208">
        <f>IF($AB45=1,$AC45*'Verwerking Bouwdelen'!DW29,$AC45*'Verwerking Bouwdelen'!AE29)</f>
        <v>0</v>
      </c>
      <c r="AP45" s="10">
        <f>IF(AD45=B45,0,'Verwerking Bouwdelen'!D29*AB45*AC45)</f>
        <v>0</v>
      </c>
      <c r="AQ45" s="10">
        <f>AB45*AC45*'Verwerking Bouwdelen'!GH29</f>
        <v>0</v>
      </c>
      <c r="AR45" s="10"/>
      <c r="AS45" s="248"/>
      <c r="AT45" s="125">
        <f>IF('Verwerking Bouwdelen'!C29=4,1,0)</f>
        <v>0</v>
      </c>
      <c r="AU45" s="130">
        <f>IF('Verwerking Bouwdelen'!A29=2,1,0)</f>
        <v>0</v>
      </c>
      <c r="AV45" s="208">
        <f>IF($AT45=1,$AU45*'Verwerking Bouwdelen'!DL29,$AU45*'Verwerking Bouwdelen'!T29)</f>
        <v>0</v>
      </c>
      <c r="AW45" s="208">
        <f>IF($AT45=1,$AU45*'Verwerking Bouwdelen'!DM29,$AU45*'Verwerking Bouwdelen'!U29)</f>
        <v>0</v>
      </c>
      <c r="AX45" s="208">
        <f>IF($AT45=1,$AU45*'Verwerking Bouwdelen'!DN29,$AU45*'Verwerking Bouwdelen'!V29)</f>
        <v>0</v>
      </c>
      <c r="AY45" s="208">
        <f>IF($AT45=1,$AU45*'Verwerking Bouwdelen'!DO29,$AU45*'Verwerking Bouwdelen'!W29)</f>
        <v>0</v>
      </c>
      <c r="AZ45" s="208">
        <f>IF($AT45=1,$AU45*'Verwerking Bouwdelen'!DP29,$AU45*'Verwerking Bouwdelen'!X29)</f>
        <v>0</v>
      </c>
      <c r="BA45" s="208">
        <f>IF($AT45=1,$AU45*'Verwerking Bouwdelen'!DQ29,$AU45*'Verwerking Bouwdelen'!Y29)</f>
        <v>0</v>
      </c>
      <c r="BB45" s="208">
        <f>IF($AT45=1,$AU45*'Verwerking Bouwdelen'!DR29,$AU45*'Verwerking Bouwdelen'!Z29)</f>
        <v>0</v>
      </c>
      <c r="BC45" s="208">
        <f>IF($AT45=1,$AU45*'Verwerking Bouwdelen'!DS29,$AU45*'Verwerking Bouwdelen'!AA29)</f>
        <v>0</v>
      </c>
      <c r="BD45" s="208">
        <f>IF($AT45=1,$AU45*'Verwerking Bouwdelen'!DT29,$AU45*'Verwerking Bouwdelen'!AB29)</f>
        <v>0</v>
      </c>
      <c r="BE45" s="208">
        <f>IF($AT45=1,$AU45*'Verwerking Bouwdelen'!DU29,$AU45*'Verwerking Bouwdelen'!AC29)</f>
        <v>0</v>
      </c>
      <c r="BF45" s="208">
        <f>IF($AT45=1,$AU45*'Verwerking Bouwdelen'!DV29,$AU45*'Verwerking Bouwdelen'!AD29)</f>
        <v>0</v>
      </c>
      <c r="BG45" s="208">
        <f>IF($AT45=1,$AU45*'Verwerking Bouwdelen'!DW29,$AU45*'Verwerking Bouwdelen'!AE29)</f>
        <v>0</v>
      </c>
      <c r="BH45" s="10">
        <f>IF(AV45=B45,0,'Verwerking Bouwdelen'!D29*AT45*AU45)</f>
        <v>0</v>
      </c>
      <c r="BI45" s="10">
        <f>AT45*AU45*'Verwerking Bouwdelen'!GH29</f>
        <v>0</v>
      </c>
      <c r="BJ45" s="10"/>
      <c r="BK45" s="10"/>
      <c r="BM45" s="125">
        <f>IF('Verwerking Bouwdelen'!C29=5,1,0)</f>
        <v>0</v>
      </c>
      <c r="BN45" s="130">
        <f>IF('Verwerking Bouwdelen'!A29=2,1,0)</f>
        <v>0</v>
      </c>
      <c r="BO45" s="208">
        <f>IF($BM45=1,$BN45*'Verwerking Bouwdelen'!DL29,$BN45*'Verwerking Bouwdelen'!T29)</f>
        <v>0</v>
      </c>
      <c r="BP45" s="208">
        <f>IF($BM45=1,$BN45*'Verwerking Bouwdelen'!DM29,$BN45*'Verwerking Bouwdelen'!U29)</f>
        <v>0</v>
      </c>
      <c r="BQ45" s="208">
        <f>IF($BM45=1,$BN45*'Verwerking Bouwdelen'!DN29,$BN45*'Verwerking Bouwdelen'!V29)</f>
        <v>0</v>
      </c>
      <c r="BR45" s="208">
        <f>IF($BM45=1,$BN45*'Verwerking Bouwdelen'!DO29,$BN45*'Verwerking Bouwdelen'!W29)</f>
        <v>0</v>
      </c>
      <c r="BS45" s="208">
        <f>IF($BM45=1,$BN45*'Verwerking Bouwdelen'!DP29,$BN45*'Verwerking Bouwdelen'!X29)</f>
        <v>0</v>
      </c>
      <c r="BT45" s="208">
        <f>IF($BM45=1,$BN45*'Verwerking Bouwdelen'!DQ29,$BN45*'Verwerking Bouwdelen'!Y29)</f>
        <v>0</v>
      </c>
      <c r="BU45" s="208">
        <f>IF($BM45=1,$BN45*'Verwerking Bouwdelen'!DR29,$BN45*'Verwerking Bouwdelen'!Z29)</f>
        <v>0</v>
      </c>
      <c r="BV45" s="208">
        <f>IF($BM45=1,$BN45*'Verwerking Bouwdelen'!DS29,$BN45*'Verwerking Bouwdelen'!AA29)</f>
        <v>0</v>
      </c>
      <c r="BW45" s="208">
        <f>IF($BM45=1,$BN45*'Verwerking Bouwdelen'!DT29,$BN45*'Verwerking Bouwdelen'!AB29)</f>
        <v>0</v>
      </c>
      <c r="BX45" s="208">
        <f>IF($BM45=1,$BN45*'Verwerking Bouwdelen'!DU29,$BN45*'Verwerking Bouwdelen'!AC29)</f>
        <v>0</v>
      </c>
      <c r="BY45" s="208">
        <f>IF($BM45=1,$BN45*'Verwerking Bouwdelen'!DV29,$BN45*'Verwerking Bouwdelen'!AD29)</f>
        <v>0</v>
      </c>
      <c r="BZ45" s="208">
        <f>IF($BM45=1,$BN45*'Verwerking Bouwdelen'!DW29,$BN45*'Verwerking Bouwdelen'!AE29)</f>
        <v>0</v>
      </c>
      <c r="CA45" s="10">
        <f>IF(BO45=B45,0,'Verwerking Bouwdelen'!D29*BM45*BN45)</f>
        <v>0</v>
      </c>
      <c r="CB45" s="10">
        <f>BM45*BN45*'Verwerking Bouwdelen'!GH29</f>
        <v>0</v>
      </c>
      <c r="CC45" s="10"/>
      <c r="CD45" s="248"/>
      <c r="CE45" s="125">
        <f>IF('Verwerking Bouwdelen'!C29=2,1,0)</f>
        <v>0</v>
      </c>
      <c r="CF45" s="130">
        <f>IF('Verwerking Bouwdelen'!A29=2,1,0)</f>
        <v>0</v>
      </c>
      <c r="CG45" s="208">
        <f>IF($CE45=1,$CF45*'Verwerking Bouwdelen'!DL29,$CF45*'Verwerking Bouwdelen'!T29)</f>
        <v>0</v>
      </c>
      <c r="CH45" s="208">
        <f>IF($CE45=1,$CF45*'Verwerking Bouwdelen'!DM29,$CF45*'Verwerking Bouwdelen'!U29)</f>
        <v>0</v>
      </c>
      <c r="CI45" s="208">
        <f>IF($CE45=1,$CF45*'Verwerking Bouwdelen'!DN29,$CF45*'Verwerking Bouwdelen'!V29)</f>
        <v>0</v>
      </c>
      <c r="CJ45" s="208">
        <f>IF($CE45=1,$CF45*'Verwerking Bouwdelen'!DO29,$CF45*'Verwerking Bouwdelen'!W29)</f>
        <v>0</v>
      </c>
      <c r="CK45" s="208">
        <f>IF($CE45=1,$CF45*'Verwerking Bouwdelen'!DP29,$CF45*'Verwerking Bouwdelen'!X29)</f>
        <v>0</v>
      </c>
      <c r="CL45" s="208">
        <f>IF($CE45=1,$CF45*'Verwerking Bouwdelen'!DQ29,$CF45*'Verwerking Bouwdelen'!Y29)</f>
        <v>0</v>
      </c>
      <c r="CM45" s="208">
        <f>IF($CE45=1,$CF45*'Verwerking Bouwdelen'!DR29,$CF45*'Verwerking Bouwdelen'!Z29)</f>
        <v>0</v>
      </c>
      <c r="CN45" s="208">
        <f>IF($CE45=1,$CF45*'Verwerking Bouwdelen'!DS29,$CF45*'Verwerking Bouwdelen'!AA29)</f>
        <v>0</v>
      </c>
      <c r="CO45" s="208">
        <f>IF($CE45=1,$CF45*'Verwerking Bouwdelen'!DT29,$CF45*'Verwerking Bouwdelen'!AB29)</f>
        <v>0</v>
      </c>
      <c r="CP45" s="208">
        <f>IF($CE45=1,$CF45*'Verwerking Bouwdelen'!DU29,$CF45*'Verwerking Bouwdelen'!AC29)</f>
        <v>0</v>
      </c>
      <c r="CQ45" s="208">
        <f>IF($CE45=1,$CF45*'Verwerking Bouwdelen'!DV29,$CF45*'Verwerking Bouwdelen'!AD29)</f>
        <v>0</v>
      </c>
      <c r="CR45" s="208">
        <f>IF($CE45=1,$CF45*'Verwerking Bouwdelen'!DW29,$CF45*'Verwerking Bouwdelen'!AE29)</f>
        <v>0</v>
      </c>
      <c r="CS45" s="10">
        <f>IF(CG45=$B45,0,('Verwerking Bouwdelen'!$D29-'Verwerking Bouwdelen'!G29)*CE45*CF45)</f>
        <v>0</v>
      </c>
      <c r="CT45" s="260">
        <f>CE45*CF45*'Verwerking Bouwdelen'!GH29</f>
        <v>0</v>
      </c>
      <c r="CU45" s="261">
        <f>CE45*CF45*'Verwerking Bouwdelen'!GI29</f>
        <v>0</v>
      </c>
      <c r="CW45" s="209">
        <f>$AC45*'Verwerking Bouwdelen'!EE29</f>
        <v>0</v>
      </c>
      <c r="CX45" s="209">
        <f>$AC45*'Verwerking Bouwdelen'!EF29</f>
        <v>0</v>
      </c>
      <c r="CY45" s="209">
        <f>$AC45*'Verwerking Bouwdelen'!EG29</f>
        <v>0</v>
      </c>
      <c r="CZ45" s="209">
        <f>$AC45*'Verwerking Bouwdelen'!EH29</f>
        <v>0</v>
      </c>
      <c r="DA45" s="209">
        <f>$AC45*'Verwerking Bouwdelen'!EI29</f>
        <v>0</v>
      </c>
      <c r="DB45" s="209">
        <f>$AC45*'Verwerking Bouwdelen'!EJ29</f>
        <v>0</v>
      </c>
      <c r="DC45" s="209">
        <f>$AC45*'Verwerking Bouwdelen'!EK29</f>
        <v>0</v>
      </c>
      <c r="DD45" s="209">
        <f>$AC45*'Verwerking Bouwdelen'!EL29</f>
        <v>0</v>
      </c>
      <c r="DE45" s="209">
        <f>$AC45*'Verwerking Bouwdelen'!EM29</f>
        <v>0</v>
      </c>
      <c r="DF45" s="209">
        <f>$AC45*'Verwerking Bouwdelen'!EN29</f>
        <v>0</v>
      </c>
      <c r="DG45" s="209">
        <f>$AC45*'Verwerking Bouwdelen'!EO29</f>
        <v>0</v>
      </c>
      <c r="DH45" s="209">
        <f>$AC45*'Verwerking Bouwdelen'!EP29</f>
        <v>0</v>
      </c>
      <c r="DI45" s="10">
        <f>IF(CW45=$O45,0,'Verwerking Bouwdelen'!G29)</f>
        <v>0</v>
      </c>
      <c r="DJ45" s="259">
        <f>'Verwerking Bouwdelen'!GK29*CF45</f>
        <v>0</v>
      </c>
      <c r="DK45" s="259">
        <f>'Verwerking Bouwdelen'!GL29*CF45</f>
        <v>0</v>
      </c>
      <c r="DL45" s="125"/>
      <c r="GM45" s="89">
        <f t="shared" si="2"/>
        <v>0</v>
      </c>
      <c r="GN45" s="89">
        <f t="shared" si="3"/>
        <v>0</v>
      </c>
      <c r="GO45" s="208">
        <f>IF($GN45=1,$GN45*$GM45*'Verwerking Bouwdelen'!DL29,$GN45*$GM45*'Verwerking Bouwdelen'!T29)</f>
        <v>0</v>
      </c>
      <c r="GP45" s="208">
        <f>IF($GN45=1,$GN45*$GM45*'Verwerking Bouwdelen'!DM29,$GN45*$GM45*'Verwerking Bouwdelen'!U29)</f>
        <v>0</v>
      </c>
      <c r="GQ45" s="208">
        <f>IF($GN45=1,$GN45*$GM45*'Verwerking Bouwdelen'!DN29,$GN45*$GM45*'Verwerking Bouwdelen'!V29)</f>
        <v>0</v>
      </c>
      <c r="GR45" s="208">
        <f>IF($GN45=1,$GN45*$GM45*'Verwerking Bouwdelen'!DO29,$GN45*$GM45*'Verwerking Bouwdelen'!W29)</f>
        <v>0</v>
      </c>
      <c r="GS45" s="208">
        <f>IF($GN45=1,$GN45*$GM45*'Verwerking Bouwdelen'!DP29,$GN45*$GM45*'Verwerking Bouwdelen'!X29)</f>
        <v>0</v>
      </c>
      <c r="GT45" s="208">
        <f>IF($GN45=1,$GN45*$GM45*'Verwerking Bouwdelen'!DQ29,$GN45*$GM45*'Verwerking Bouwdelen'!Y29)</f>
        <v>0</v>
      </c>
      <c r="GU45" s="208">
        <f>IF($GN45=1,$GN45*$GM45*'Verwerking Bouwdelen'!DR29,$GN45*$GM45*'Verwerking Bouwdelen'!Z29)</f>
        <v>0</v>
      </c>
      <c r="GV45" s="208">
        <f>IF($GN45=1,$GN45*$GM45*'Verwerking Bouwdelen'!DS29,$GN45*$GM45*'Verwerking Bouwdelen'!AA29)</f>
        <v>0</v>
      </c>
      <c r="GW45" s="208">
        <f>IF($GN45=1,$GN45*$GM45*'Verwerking Bouwdelen'!DT29,$GN45*$GM45*'Verwerking Bouwdelen'!AB29)</f>
        <v>0</v>
      </c>
      <c r="GX45" s="208">
        <f>IF($GN45=1,$GN45*$GM45*'Verwerking Bouwdelen'!DU29,$GN45*$GM45*'Verwerking Bouwdelen'!AC29)</f>
        <v>0</v>
      </c>
      <c r="GY45" s="208">
        <f>IF($GN45=1,$GN45*$GM45*'Verwerking Bouwdelen'!DV29,$GN45*$GM45*'Verwerking Bouwdelen'!AD29)</f>
        <v>0</v>
      </c>
      <c r="GZ45" s="208">
        <f>IF($GN45=1,$GN45*$GM45*'Verwerking Bouwdelen'!DW29,$GN45*$GM45*'Verwerking Bouwdelen'!AE29)</f>
        <v>0</v>
      </c>
      <c r="HB45" s="89">
        <f t="shared" si="4"/>
        <v>0</v>
      </c>
      <c r="HC45" s="89">
        <f t="shared" si="4"/>
        <v>0</v>
      </c>
      <c r="HD45" s="89">
        <f t="shared" si="4"/>
        <v>0</v>
      </c>
      <c r="HE45" s="89">
        <f t="shared" si="4"/>
        <v>0</v>
      </c>
      <c r="HF45" s="89">
        <f t="shared" si="4"/>
        <v>0</v>
      </c>
      <c r="HG45" s="89">
        <f t="shared" si="4"/>
        <v>0</v>
      </c>
      <c r="HH45" s="89">
        <f t="shared" si="4"/>
        <v>0</v>
      </c>
      <c r="HI45" s="89">
        <f t="shared" si="4"/>
        <v>0</v>
      </c>
      <c r="HJ45" s="89">
        <f t="shared" si="4"/>
        <v>0</v>
      </c>
      <c r="HK45" s="89">
        <f t="shared" si="4"/>
        <v>0</v>
      </c>
      <c r="HL45" s="89">
        <f t="shared" si="4"/>
        <v>0</v>
      </c>
      <c r="HM45" s="89">
        <f t="shared" si="4"/>
        <v>0</v>
      </c>
      <c r="HO45" s="256"/>
      <c r="HZ45" s="256"/>
    </row>
    <row r="46" spans="1:234" x14ac:dyDescent="0.2">
      <c r="A46" s="130">
        <f>IF('Verwerking Bouwdelen'!A30=2,1,0)</f>
        <v>0</v>
      </c>
      <c r="B46" s="208">
        <f>$A46*'Verwerking Bouwdelen'!T30</f>
        <v>0</v>
      </c>
      <c r="C46" s="208">
        <f>$A46*'Verwerking Bouwdelen'!U30</f>
        <v>0</v>
      </c>
      <c r="D46" s="208">
        <f>$A46*'Verwerking Bouwdelen'!V30</f>
        <v>0</v>
      </c>
      <c r="E46" s="208">
        <f>$A46*'Verwerking Bouwdelen'!W30</f>
        <v>0</v>
      </c>
      <c r="F46" s="208">
        <f>$A46*'Verwerking Bouwdelen'!X30</f>
        <v>0</v>
      </c>
      <c r="G46" s="208">
        <f>$A46*'Verwerking Bouwdelen'!Y30</f>
        <v>0</v>
      </c>
      <c r="H46" s="208">
        <f>$A46*'Verwerking Bouwdelen'!Z30</f>
        <v>0</v>
      </c>
      <c r="I46" s="208">
        <f>$A46*'Verwerking Bouwdelen'!AA30</f>
        <v>0</v>
      </c>
      <c r="J46" s="208">
        <f>$A46*'Verwerking Bouwdelen'!AB30</f>
        <v>0</v>
      </c>
      <c r="K46" s="208">
        <f>$A46*'Verwerking Bouwdelen'!AC30</f>
        <v>0</v>
      </c>
      <c r="L46" s="208">
        <f>$A46*'Verwerking Bouwdelen'!AD30</f>
        <v>0</v>
      </c>
      <c r="M46" s="208">
        <f>$A46*'Verwerking Bouwdelen'!AE30</f>
        <v>0</v>
      </c>
      <c r="O46" s="114">
        <f>$A46*'Verwerking Bouwdelen'!AU30</f>
        <v>0</v>
      </c>
      <c r="P46" s="125">
        <f>$A46*'Verwerking Bouwdelen'!AV30</f>
        <v>0</v>
      </c>
      <c r="Q46" s="125">
        <f>$A46*'Verwerking Bouwdelen'!AW30</f>
        <v>0</v>
      </c>
      <c r="R46" s="125">
        <f>$A46*'Verwerking Bouwdelen'!AX30</f>
        <v>0</v>
      </c>
      <c r="S46" s="125">
        <f>$A46*'Verwerking Bouwdelen'!AY30</f>
        <v>0</v>
      </c>
      <c r="T46" s="125">
        <f>$A46*'Verwerking Bouwdelen'!AZ30</f>
        <v>0</v>
      </c>
      <c r="U46" s="125">
        <f>$A46*'Verwerking Bouwdelen'!BA30</f>
        <v>0</v>
      </c>
      <c r="V46" s="125">
        <f>$A46*'Verwerking Bouwdelen'!BB30</f>
        <v>0</v>
      </c>
      <c r="W46" s="125">
        <f>$A46*'Verwerking Bouwdelen'!BC30</f>
        <v>0</v>
      </c>
      <c r="X46" s="125">
        <f>$A46*'Verwerking Bouwdelen'!BD30</f>
        <v>0</v>
      </c>
      <c r="Y46" s="125">
        <f>$A46*'Verwerking Bouwdelen'!BE30</f>
        <v>0</v>
      </c>
      <c r="Z46" s="195">
        <f>$A46*'Verwerking Bouwdelen'!BF30</f>
        <v>0</v>
      </c>
      <c r="AB46" s="125">
        <f>IF(OR('Verwerking Bouwdelen'!C30=3,'Verwerking Bouwdelen'!C30=6),1,0)</f>
        <v>0</v>
      </c>
      <c r="AC46" s="130">
        <f>IF('Verwerking Bouwdelen'!A30=2,1,0)</f>
        <v>0</v>
      </c>
      <c r="AD46" s="208">
        <f>IF($AB46=1,$AC46*'Verwerking Bouwdelen'!DL30,$AC46*'Verwerking Bouwdelen'!T30)</f>
        <v>0</v>
      </c>
      <c r="AE46" s="208">
        <f>IF($AB46=1,$AC46*'Verwerking Bouwdelen'!DM30,$AC46*'Verwerking Bouwdelen'!U30)</f>
        <v>0</v>
      </c>
      <c r="AF46" s="208">
        <f>IF($AB46=1,$AC46*'Verwerking Bouwdelen'!DN30,$AC46*'Verwerking Bouwdelen'!V30)</f>
        <v>0</v>
      </c>
      <c r="AG46" s="208">
        <f>IF($AB46=1,$AC46*'Verwerking Bouwdelen'!DO30,$AC46*'Verwerking Bouwdelen'!W30)</f>
        <v>0</v>
      </c>
      <c r="AH46" s="208">
        <f>IF($AB46=1,$AC46*'Verwerking Bouwdelen'!DP30,$AC46*'Verwerking Bouwdelen'!X30)</f>
        <v>0</v>
      </c>
      <c r="AI46" s="208">
        <f>IF($AB46=1,$AC46*'Verwerking Bouwdelen'!DQ30,$AC46*'Verwerking Bouwdelen'!Y30)</f>
        <v>0</v>
      </c>
      <c r="AJ46" s="208">
        <f>IF($AB46=1,$AC46*'Verwerking Bouwdelen'!DR30,$AC46*'Verwerking Bouwdelen'!Z30)</f>
        <v>0</v>
      </c>
      <c r="AK46" s="208">
        <f>IF($AB46=1,$AC46*'Verwerking Bouwdelen'!DS30,$AC46*'Verwerking Bouwdelen'!AA30)</f>
        <v>0</v>
      </c>
      <c r="AL46" s="208">
        <f>IF($AB46=1,$AC46*'Verwerking Bouwdelen'!DT30,$AC46*'Verwerking Bouwdelen'!AB30)</f>
        <v>0</v>
      </c>
      <c r="AM46" s="208">
        <f>IF($AB46=1,$AC46*'Verwerking Bouwdelen'!DU30,$AC46*'Verwerking Bouwdelen'!AC30)</f>
        <v>0</v>
      </c>
      <c r="AN46" s="208">
        <f>IF($AB46=1,$AC46*'Verwerking Bouwdelen'!DV30,$AC46*'Verwerking Bouwdelen'!AD30)</f>
        <v>0</v>
      </c>
      <c r="AO46" s="208">
        <f>IF($AB46=1,$AC46*'Verwerking Bouwdelen'!DW30,$AC46*'Verwerking Bouwdelen'!AE30)</f>
        <v>0</v>
      </c>
      <c r="AP46" s="10">
        <f>IF(AD46=B46,0,'Verwerking Bouwdelen'!D30*AB46*AC46)</f>
        <v>0</v>
      </c>
      <c r="AQ46" s="10">
        <f>AB46*AC46*'Verwerking Bouwdelen'!GH30</f>
        <v>0</v>
      </c>
      <c r="AR46" s="10"/>
      <c r="AS46" s="248"/>
      <c r="AT46" s="125">
        <f>IF('Verwerking Bouwdelen'!C30=4,1,0)</f>
        <v>0</v>
      </c>
      <c r="AU46" s="130">
        <f>IF('Verwerking Bouwdelen'!A30=2,1,0)</f>
        <v>0</v>
      </c>
      <c r="AV46" s="208">
        <f>IF($AT46=1,$AU46*'Verwerking Bouwdelen'!DL30,$AU46*'Verwerking Bouwdelen'!T30)</f>
        <v>0</v>
      </c>
      <c r="AW46" s="208">
        <f>IF($AT46=1,$AU46*'Verwerking Bouwdelen'!DM30,$AU46*'Verwerking Bouwdelen'!U30)</f>
        <v>0</v>
      </c>
      <c r="AX46" s="208">
        <f>IF($AT46=1,$AU46*'Verwerking Bouwdelen'!DN30,$AU46*'Verwerking Bouwdelen'!V30)</f>
        <v>0</v>
      </c>
      <c r="AY46" s="208">
        <f>IF($AT46=1,$AU46*'Verwerking Bouwdelen'!DO30,$AU46*'Verwerking Bouwdelen'!W30)</f>
        <v>0</v>
      </c>
      <c r="AZ46" s="208">
        <f>IF($AT46=1,$AU46*'Verwerking Bouwdelen'!DP30,$AU46*'Verwerking Bouwdelen'!X30)</f>
        <v>0</v>
      </c>
      <c r="BA46" s="208">
        <f>IF($AT46=1,$AU46*'Verwerking Bouwdelen'!DQ30,$AU46*'Verwerking Bouwdelen'!Y30)</f>
        <v>0</v>
      </c>
      <c r="BB46" s="208">
        <f>IF($AT46=1,$AU46*'Verwerking Bouwdelen'!DR30,$AU46*'Verwerking Bouwdelen'!Z30)</f>
        <v>0</v>
      </c>
      <c r="BC46" s="208">
        <f>IF($AT46=1,$AU46*'Verwerking Bouwdelen'!DS30,$AU46*'Verwerking Bouwdelen'!AA30)</f>
        <v>0</v>
      </c>
      <c r="BD46" s="208">
        <f>IF($AT46=1,$AU46*'Verwerking Bouwdelen'!DT30,$AU46*'Verwerking Bouwdelen'!AB30)</f>
        <v>0</v>
      </c>
      <c r="BE46" s="208">
        <f>IF($AT46=1,$AU46*'Verwerking Bouwdelen'!DU30,$AU46*'Verwerking Bouwdelen'!AC30)</f>
        <v>0</v>
      </c>
      <c r="BF46" s="208">
        <f>IF($AT46=1,$AU46*'Verwerking Bouwdelen'!DV30,$AU46*'Verwerking Bouwdelen'!AD30)</f>
        <v>0</v>
      </c>
      <c r="BG46" s="208">
        <f>IF($AT46=1,$AU46*'Verwerking Bouwdelen'!DW30,$AU46*'Verwerking Bouwdelen'!AE30)</f>
        <v>0</v>
      </c>
      <c r="BH46" s="10">
        <f>IF(AV46=B46,0,'Verwerking Bouwdelen'!D30*AT46*AU46)</f>
        <v>0</v>
      </c>
      <c r="BI46" s="10">
        <f>AT46*AU46*'Verwerking Bouwdelen'!GH30</f>
        <v>0</v>
      </c>
      <c r="BJ46" s="10"/>
      <c r="BK46" s="10"/>
      <c r="BM46" s="125">
        <f>IF('Verwerking Bouwdelen'!C30=5,1,0)</f>
        <v>0</v>
      </c>
      <c r="BN46" s="130">
        <f>IF('Verwerking Bouwdelen'!A30=2,1,0)</f>
        <v>0</v>
      </c>
      <c r="BO46" s="208">
        <f>IF($BM46=1,$BN46*'Verwerking Bouwdelen'!DL30,$BN46*'Verwerking Bouwdelen'!T30)</f>
        <v>0</v>
      </c>
      <c r="BP46" s="208">
        <f>IF($BM46=1,$BN46*'Verwerking Bouwdelen'!DM30,$BN46*'Verwerking Bouwdelen'!U30)</f>
        <v>0</v>
      </c>
      <c r="BQ46" s="208">
        <f>IF($BM46=1,$BN46*'Verwerking Bouwdelen'!DN30,$BN46*'Verwerking Bouwdelen'!V30)</f>
        <v>0</v>
      </c>
      <c r="BR46" s="208">
        <f>IF($BM46=1,$BN46*'Verwerking Bouwdelen'!DO30,$BN46*'Verwerking Bouwdelen'!W30)</f>
        <v>0</v>
      </c>
      <c r="BS46" s="208">
        <f>IF($BM46=1,$BN46*'Verwerking Bouwdelen'!DP30,$BN46*'Verwerking Bouwdelen'!X30)</f>
        <v>0</v>
      </c>
      <c r="BT46" s="208">
        <f>IF($BM46=1,$BN46*'Verwerking Bouwdelen'!DQ30,$BN46*'Verwerking Bouwdelen'!Y30)</f>
        <v>0</v>
      </c>
      <c r="BU46" s="208">
        <f>IF($BM46=1,$BN46*'Verwerking Bouwdelen'!DR30,$BN46*'Verwerking Bouwdelen'!Z30)</f>
        <v>0</v>
      </c>
      <c r="BV46" s="208">
        <f>IF($BM46=1,$BN46*'Verwerking Bouwdelen'!DS30,$BN46*'Verwerking Bouwdelen'!AA30)</f>
        <v>0</v>
      </c>
      <c r="BW46" s="208">
        <f>IF($BM46=1,$BN46*'Verwerking Bouwdelen'!DT30,$BN46*'Verwerking Bouwdelen'!AB30)</f>
        <v>0</v>
      </c>
      <c r="BX46" s="208">
        <f>IF($BM46=1,$BN46*'Verwerking Bouwdelen'!DU30,$BN46*'Verwerking Bouwdelen'!AC30)</f>
        <v>0</v>
      </c>
      <c r="BY46" s="208">
        <f>IF($BM46=1,$BN46*'Verwerking Bouwdelen'!DV30,$BN46*'Verwerking Bouwdelen'!AD30)</f>
        <v>0</v>
      </c>
      <c r="BZ46" s="208">
        <f>IF($BM46=1,$BN46*'Verwerking Bouwdelen'!DW30,$BN46*'Verwerking Bouwdelen'!AE30)</f>
        <v>0</v>
      </c>
      <c r="CA46" s="10">
        <f>IF(BO46=B46,0,'Verwerking Bouwdelen'!D30*BM46*BN46)</f>
        <v>0</v>
      </c>
      <c r="CB46" s="10">
        <f>BM46*BN46*'Verwerking Bouwdelen'!GH30</f>
        <v>0</v>
      </c>
      <c r="CC46" s="10"/>
      <c r="CD46" s="248"/>
      <c r="CE46" s="125">
        <f>IF('Verwerking Bouwdelen'!C30=2,1,0)</f>
        <v>0</v>
      </c>
      <c r="CF46" s="130">
        <f>IF('Verwerking Bouwdelen'!A30=2,1,0)</f>
        <v>0</v>
      </c>
      <c r="CG46" s="208">
        <f>IF($CE46=1,$CF46*'Verwerking Bouwdelen'!DL30,$CF46*'Verwerking Bouwdelen'!T30)</f>
        <v>0</v>
      </c>
      <c r="CH46" s="208">
        <f>IF($CE46=1,$CF46*'Verwerking Bouwdelen'!DM30,$CF46*'Verwerking Bouwdelen'!U30)</f>
        <v>0</v>
      </c>
      <c r="CI46" s="208">
        <f>IF($CE46=1,$CF46*'Verwerking Bouwdelen'!DN30,$CF46*'Verwerking Bouwdelen'!V30)</f>
        <v>0</v>
      </c>
      <c r="CJ46" s="208">
        <f>IF($CE46=1,$CF46*'Verwerking Bouwdelen'!DO30,$CF46*'Verwerking Bouwdelen'!W30)</f>
        <v>0</v>
      </c>
      <c r="CK46" s="208">
        <f>IF($CE46=1,$CF46*'Verwerking Bouwdelen'!DP30,$CF46*'Verwerking Bouwdelen'!X30)</f>
        <v>0</v>
      </c>
      <c r="CL46" s="208">
        <f>IF($CE46=1,$CF46*'Verwerking Bouwdelen'!DQ30,$CF46*'Verwerking Bouwdelen'!Y30)</f>
        <v>0</v>
      </c>
      <c r="CM46" s="208">
        <f>IF($CE46=1,$CF46*'Verwerking Bouwdelen'!DR30,$CF46*'Verwerking Bouwdelen'!Z30)</f>
        <v>0</v>
      </c>
      <c r="CN46" s="208">
        <f>IF($CE46=1,$CF46*'Verwerking Bouwdelen'!DS30,$CF46*'Verwerking Bouwdelen'!AA30)</f>
        <v>0</v>
      </c>
      <c r="CO46" s="208">
        <f>IF($CE46=1,$CF46*'Verwerking Bouwdelen'!DT30,$CF46*'Verwerking Bouwdelen'!AB30)</f>
        <v>0</v>
      </c>
      <c r="CP46" s="208">
        <f>IF($CE46=1,$CF46*'Verwerking Bouwdelen'!DU30,$CF46*'Verwerking Bouwdelen'!AC30)</f>
        <v>0</v>
      </c>
      <c r="CQ46" s="208">
        <f>IF($CE46=1,$CF46*'Verwerking Bouwdelen'!DV30,$CF46*'Verwerking Bouwdelen'!AD30)</f>
        <v>0</v>
      </c>
      <c r="CR46" s="208">
        <f>IF($CE46=1,$CF46*'Verwerking Bouwdelen'!DW30,$CF46*'Verwerking Bouwdelen'!AE30)</f>
        <v>0</v>
      </c>
      <c r="CS46" s="10">
        <f>IF(CG46=$B46,0,('Verwerking Bouwdelen'!$D30-'Verwerking Bouwdelen'!G30)*CE46*CF46)</f>
        <v>0</v>
      </c>
      <c r="CT46" s="260">
        <f>CE46*CF46*'Verwerking Bouwdelen'!GH30</f>
        <v>0</v>
      </c>
      <c r="CU46" s="261">
        <f>CE46*CF46*'Verwerking Bouwdelen'!GI30</f>
        <v>0</v>
      </c>
      <c r="CW46" s="209">
        <f>$AC46*'Verwerking Bouwdelen'!EE30</f>
        <v>0</v>
      </c>
      <c r="CX46" s="209">
        <f>$AC46*'Verwerking Bouwdelen'!EF30</f>
        <v>0</v>
      </c>
      <c r="CY46" s="209">
        <f>$AC46*'Verwerking Bouwdelen'!EG30</f>
        <v>0</v>
      </c>
      <c r="CZ46" s="209">
        <f>$AC46*'Verwerking Bouwdelen'!EH30</f>
        <v>0</v>
      </c>
      <c r="DA46" s="209">
        <f>$AC46*'Verwerking Bouwdelen'!EI30</f>
        <v>0</v>
      </c>
      <c r="DB46" s="209">
        <f>$AC46*'Verwerking Bouwdelen'!EJ30</f>
        <v>0</v>
      </c>
      <c r="DC46" s="209">
        <f>$AC46*'Verwerking Bouwdelen'!EK30</f>
        <v>0</v>
      </c>
      <c r="DD46" s="209">
        <f>$AC46*'Verwerking Bouwdelen'!EL30</f>
        <v>0</v>
      </c>
      <c r="DE46" s="209">
        <f>$AC46*'Verwerking Bouwdelen'!EM30</f>
        <v>0</v>
      </c>
      <c r="DF46" s="209">
        <f>$AC46*'Verwerking Bouwdelen'!EN30</f>
        <v>0</v>
      </c>
      <c r="DG46" s="209">
        <f>$AC46*'Verwerking Bouwdelen'!EO30</f>
        <v>0</v>
      </c>
      <c r="DH46" s="209">
        <f>$AC46*'Verwerking Bouwdelen'!EP30</f>
        <v>0</v>
      </c>
      <c r="DI46" s="10">
        <f>IF(CW46=$O46,0,'Verwerking Bouwdelen'!G30)</f>
        <v>0</v>
      </c>
      <c r="DJ46" s="259">
        <f>'Verwerking Bouwdelen'!GK30*CF46</f>
        <v>0</v>
      </c>
      <c r="DK46" s="259">
        <f>'Verwerking Bouwdelen'!GL30*CF46</f>
        <v>0</v>
      </c>
      <c r="DL46" s="125"/>
      <c r="GM46" s="89">
        <f t="shared" si="2"/>
        <v>0</v>
      </c>
      <c r="GN46" s="89">
        <f t="shared" si="3"/>
        <v>0</v>
      </c>
      <c r="GO46" s="208">
        <f>IF($GN46=1,$GN46*$GM46*'Verwerking Bouwdelen'!DL30,$GN46*$GM46*'Verwerking Bouwdelen'!T30)</f>
        <v>0</v>
      </c>
      <c r="GP46" s="208">
        <f>IF($GN46=1,$GN46*$GM46*'Verwerking Bouwdelen'!DM30,$GN46*$GM46*'Verwerking Bouwdelen'!U30)</f>
        <v>0</v>
      </c>
      <c r="GQ46" s="208">
        <f>IF($GN46=1,$GN46*$GM46*'Verwerking Bouwdelen'!DN30,$GN46*$GM46*'Verwerking Bouwdelen'!V30)</f>
        <v>0</v>
      </c>
      <c r="GR46" s="208">
        <f>IF($GN46=1,$GN46*$GM46*'Verwerking Bouwdelen'!DO30,$GN46*$GM46*'Verwerking Bouwdelen'!W30)</f>
        <v>0</v>
      </c>
      <c r="GS46" s="208">
        <f>IF($GN46=1,$GN46*$GM46*'Verwerking Bouwdelen'!DP30,$GN46*$GM46*'Verwerking Bouwdelen'!X30)</f>
        <v>0</v>
      </c>
      <c r="GT46" s="208">
        <f>IF($GN46=1,$GN46*$GM46*'Verwerking Bouwdelen'!DQ30,$GN46*$GM46*'Verwerking Bouwdelen'!Y30)</f>
        <v>0</v>
      </c>
      <c r="GU46" s="208">
        <f>IF($GN46=1,$GN46*$GM46*'Verwerking Bouwdelen'!DR30,$GN46*$GM46*'Verwerking Bouwdelen'!Z30)</f>
        <v>0</v>
      </c>
      <c r="GV46" s="208">
        <f>IF($GN46=1,$GN46*$GM46*'Verwerking Bouwdelen'!DS30,$GN46*$GM46*'Verwerking Bouwdelen'!AA30)</f>
        <v>0</v>
      </c>
      <c r="GW46" s="208">
        <f>IF($GN46=1,$GN46*$GM46*'Verwerking Bouwdelen'!DT30,$GN46*$GM46*'Verwerking Bouwdelen'!AB30)</f>
        <v>0</v>
      </c>
      <c r="GX46" s="208">
        <f>IF($GN46=1,$GN46*$GM46*'Verwerking Bouwdelen'!DU30,$GN46*$GM46*'Verwerking Bouwdelen'!AC30)</f>
        <v>0</v>
      </c>
      <c r="GY46" s="208">
        <f>IF($GN46=1,$GN46*$GM46*'Verwerking Bouwdelen'!DV30,$GN46*$GM46*'Verwerking Bouwdelen'!AD30)</f>
        <v>0</v>
      </c>
      <c r="GZ46" s="208">
        <f>IF($GN46=1,$GN46*$GM46*'Verwerking Bouwdelen'!DW30,$GN46*$GM46*'Verwerking Bouwdelen'!AE30)</f>
        <v>0</v>
      </c>
      <c r="HB46" s="89">
        <f t="shared" si="4"/>
        <v>0</v>
      </c>
      <c r="HC46" s="89">
        <f t="shared" si="4"/>
        <v>0</v>
      </c>
      <c r="HD46" s="89">
        <f t="shared" si="4"/>
        <v>0</v>
      </c>
      <c r="HE46" s="89">
        <f t="shared" si="4"/>
        <v>0</v>
      </c>
      <c r="HF46" s="89">
        <f t="shared" si="4"/>
        <v>0</v>
      </c>
      <c r="HG46" s="89">
        <f t="shared" si="4"/>
        <v>0</v>
      </c>
      <c r="HH46" s="89">
        <f t="shared" si="4"/>
        <v>0</v>
      </c>
      <c r="HI46" s="89">
        <f t="shared" si="4"/>
        <v>0</v>
      </c>
      <c r="HJ46" s="89">
        <f t="shared" si="4"/>
        <v>0</v>
      </c>
      <c r="HK46" s="89">
        <f t="shared" si="4"/>
        <v>0</v>
      </c>
      <c r="HL46" s="89">
        <f t="shared" si="4"/>
        <v>0</v>
      </c>
      <c r="HM46" s="89">
        <f t="shared" si="4"/>
        <v>0</v>
      </c>
      <c r="HO46" s="256"/>
      <c r="HZ46" s="256"/>
    </row>
    <row r="47" spans="1:234" x14ac:dyDescent="0.2">
      <c r="A47" s="130">
        <f>IF('Verwerking Bouwdelen'!A31=2,1,0)</f>
        <v>0</v>
      </c>
      <c r="B47" s="208">
        <f>$A47*'Verwerking Bouwdelen'!T31</f>
        <v>0</v>
      </c>
      <c r="C47" s="208">
        <f>$A47*'Verwerking Bouwdelen'!U31</f>
        <v>0</v>
      </c>
      <c r="D47" s="208">
        <f>$A47*'Verwerking Bouwdelen'!V31</f>
        <v>0</v>
      </c>
      <c r="E47" s="208">
        <f>$A47*'Verwerking Bouwdelen'!W31</f>
        <v>0</v>
      </c>
      <c r="F47" s="208">
        <f>$A47*'Verwerking Bouwdelen'!X31</f>
        <v>0</v>
      </c>
      <c r="G47" s="208">
        <f>$A47*'Verwerking Bouwdelen'!Y31</f>
        <v>0</v>
      </c>
      <c r="H47" s="208">
        <f>$A47*'Verwerking Bouwdelen'!Z31</f>
        <v>0</v>
      </c>
      <c r="I47" s="208">
        <f>$A47*'Verwerking Bouwdelen'!AA31</f>
        <v>0</v>
      </c>
      <c r="J47" s="208">
        <f>$A47*'Verwerking Bouwdelen'!AB31</f>
        <v>0</v>
      </c>
      <c r="K47" s="208">
        <f>$A47*'Verwerking Bouwdelen'!AC31</f>
        <v>0</v>
      </c>
      <c r="L47" s="208">
        <f>$A47*'Verwerking Bouwdelen'!AD31</f>
        <v>0</v>
      </c>
      <c r="M47" s="208">
        <f>$A47*'Verwerking Bouwdelen'!AE31</f>
        <v>0</v>
      </c>
      <c r="O47" s="114">
        <f>$A47*'Verwerking Bouwdelen'!AU31</f>
        <v>0</v>
      </c>
      <c r="P47" s="125">
        <f>$A47*'Verwerking Bouwdelen'!AV31</f>
        <v>0</v>
      </c>
      <c r="Q47" s="125">
        <f>$A47*'Verwerking Bouwdelen'!AW31</f>
        <v>0</v>
      </c>
      <c r="R47" s="125">
        <f>$A47*'Verwerking Bouwdelen'!AX31</f>
        <v>0</v>
      </c>
      <c r="S47" s="125">
        <f>$A47*'Verwerking Bouwdelen'!AY31</f>
        <v>0</v>
      </c>
      <c r="T47" s="125">
        <f>$A47*'Verwerking Bouwdelen'!AZ31</f>
        <v>0</v>
      </c>
      <c r="U47" s="125">
        <f>$A47*'Verwerking Bouwdelen'!BA31</f>
        <v>0</v>
      </c>
      <c r="V47" s="125">
        <f>$A47*'Verwerking Bouwdelen'!BB31</f>
        <v>0</v>
      </c>
      <c r="W47" s="125">
        <f>$A47*'Verwerking Bouwdelen'!BC31</f>
        <v>0</v>
      </c>
      <c r="X47" s="125">
        <f>$A47*'Verwerking Bouwdelen'!BD31</f>
        <v>0</v>
      </c>
      <c r="Y47" s="125">
        <f>$A47*'Verwerking Bouwdelen'!BE31</f>
        <v>0</v>
      </c>
      <c r="Z47" s="195">
        <f>$A47*'Verwerking Bouwdelen'!BF31</f>
        <v>0</v>
      </c>
      <c r="AB47" s="125">
        <f>IF(OR('Verwerking Bouwdelen'!C31=3,'Verwerking Bouwdelen'!C31=6),1,0)</f>
        <v>0</v>
      </c>
      <c r="AC47" s="130">
        <f>IF('Verwerking Bouwdelen'!A31=2,1,0)</f>
        <v>0</v>
      </c>
      <c r="AD47" s="208">
        <f>IF($AB47=1,$AC47*'Verwerking Bouwdelen'!DL31,$AC47*'Verwerking Bouwdelen'!T31)</f>
        <v>0</v>
      </c>
      <c r="AE47" s="208">
        <f>IF($AB47=1,$AC47*'Verwerking Bouwdelen'!DM31,$AC47*'Verwerking Bouwdelen'!U31)</f>
        <v>0</v>
      </c>
      <c r="AF47" s="208">
        <f>IF($AB47=1,$AC47*'Verwerking Bouwdelen'!DN31,$AC47*'Verwerking Bouwdelen'!V31)</f>
        <v>0</v>
      </c>
      <c r="AG47" s="208">
        <f>IF($AB47=1,$AC47*'Verwerking Bouwdelen'!DO31,$AC47*'Verwerking Bouwdelen'!W31)</f>
        <v>0</v>
      </c>
      <c r="AH47" s="208">
        <f>IF($AB47=1,$AC47*'Verwerking Bouwdelen'!DP31,$AC47*'Verwerking Bouwdelen'!X31)</f>
        <v>0</v>
      </c>
      <c r="AI47" s="208">
        <f>IF($AB47=1,$AC47*'Verwerking Bouwdelen'!DQ31,$AC47*'Verwerking Bouwdelen'!Y31)</f>
        <v>0</v>
      </c>
      <c r="AJ47" s="208">
        <f>IF($AB47=1,$AC47*'Verwerking Bouwdelen'!DR31,$AC47*'Verwerking Bouwdelen'!Z31)</f>
        <v>0</v>
      </c>
      <c r="AK47" s="208">
        <f>IF($AB47=1,$AC47*'Verwerking Bouwdelen'!DS31,$AC47*'Verwerking Bouwdelen'!AA31)</f>
        <v>0</v>
      </c>
      <c r="AL47" s="208">
        <f>IF($AB47=1,$AC47*'Verwerking Bouwdelen'!DT31,$AC47*'Verwerking Bouwdelen'!AB31)</f>
        <v>0</v>
      </c>
      <c r="AM47" s="208">
        <f>IF($AB47=1,$AC47*'Verwerking Bouwdelen'!DU31,$AC47*'Verwerking Bouwdelen'!AC31)</f>
        <v>0</v>
      </c>
      <c r="AN47" s="208">
        <f>IF($AB47=1,$AC47*'Verwerking Bouwdelen'!DV31,$AC47*'Verwerking Bouwdelen'!AD31)</f>
        <v>0</v>
      </c>
      <c r="AO47" s="208">
        <f>IF($AB47=1,$AC47*'Verwerking Bouwdelen'!DW31,$AC47*'Verwerking Bouwdelen'!AE31)</f>
        <v>0</v>
      </c>
      <c r="AP47" s="10">
        <f>IF(AD47=B47,0,'Verwerking Bouwdelen'!D31*AB47*AC47)</f>
        <v>0</v>
      </c>
      <c r="AQ47" s="10">
        <f>AB47*AC47*'Verwerking Bouwdelen'!GH31</f>
        <v>0</v>
      </c>
      <c r="AR47" s="10"/>
      <c r="AS47" s="248"/>
      <c r="AT47" s="125">
        <f>IF('Verwerking Bouwdelen'!C31=4,1,0)</f>
        <v>0</v>
      </c>
      <c r="AU47" s="130">
        <f>IF('Verwerking Bouwdelen'!A31=2,1,0)</f>
        <v>0</v>
      </c>
      <c r="AV47" s="208">
        <f>IF($AT47=1,$AU47*'Verwerking Bouwdelen'!DL31,$AU47*'Verwerking Bouwdelen'!T31)</f>
        <v>0</v>
      </c>
      <c r="AW47" s="208">
        <f>IF($AT47=1,$AU47*'Verwerking Bouwdelen'!DM31,$AU47*'Verwerking Bouwdelen'!U31)</f>
        <v>0</v>
      </c>
      <c r="AX47" s="208">
        <f>IF($AT47=1,$AU47*'Verwerking Bouwdelen'!DN31,$AU47*'Verwerking Bouwdelen'!V31)</f>
        <v>0</v>
      </c>
      <c r="AY47" s="208">
        <f>IF($AT47=1,$AU47*'Verwerking Bouwdelen'!DO31,$AU47*'Verwerking Bouwdelen'!W31)</f>
        <v>0</v>
      </c>
      <c r="AZ47" s="208">
        <f>IF($AT47=1,$AU47*'Verwerking Bouwdelen'!DP31,$AU47*'Verwerking Bouwdelen'!X31)</f>
        <v>0</v>
      </c>
      <c r="BA47" s="208">
        <f>IF($AT47=1,$AU47*'Verwerking Bouwdelen'!DQ31,$AU47*'Verwerking Bouwdelen'!Y31)</f>
        <v>0</v>
      </c>
      <c r="BB47" s="208">
        <f>IF($AT47=1,$AU47*'Verwerking Bouwdelen'!DR31,$AU47*'Verwerking Bouwdelen'!Z31)</f>
        <v>0</v>
      </c>
      <c r="BC47" s="208">
        <f>IF($AT47=1,$AU47*'Verwerking Bouwdelen'!DS31,$AU47*'Verwerking Bouwdelen'!AA31)</f>
        <v>0</v>
      </c>
      <c r="BD47" s="208">
        <f>IF($AT47=1,$AU47*'Verwerking Bouwdelen'!DT31,$AU47*'Verwerking Bouwdelen'!AB31)</f>
        <v>0</v>
      </c>
      <c r="BE47" s="208">
        <f>IF($AT47=1,$AU47*'Verwerking Bouwdelen'!DU31,$AU47*'Verwerking Bouwdelen'!AC31)</f>
        <v>0</v>
      </c>
      <c r="BF47" s="208">
        <f>IF($AT47=1,$AU47*'Verwerking Bouwdelen'!DV31,$AU47*'Verwerking Bouwdelen'!AD31)</f>
        <v>0</v>
      </c>
      <c r="BG47" s="208">
        <f>IF($AT47=1,$AU47*'Verwerking Bouwdelen'!DW31,$AU47*'Verwerking Bouwdelen'!AE31)</f>
        <v>0</v>
      </c>
      <c r="BH47" s="10">
        <f>IF(AV47=B47,0,'Verwerking Bouwdelen'!D31*AT47*AU47)</f>
        <v>0</v>
      </c>
      <c r="BI47" s="10">
        <f>AT47*AU47*'Verwerking Bouwdelen'!GH31</f>
        <v>0</v>
      </c>
      <c r="BJ47" s="10"/>
      <c r="BK47" s="10"/>
      <c r="BM47" s="125">
        <f>IF('Verwerking Bouwdelen'!C31=5,1,0)</f>
        <v>0</v>
      </c>
      <c r="BN47" s="130">
        <f>IF('Verwerking Bouwdelen'!A31=2,1,0)</f>
        <v>0</v>
      </c>
      <c r="BO47" s="208">
        <f>IF($BM47=1,$BN47*'Verwerking Bouwdelen'!DL31,$BN47*'Verwerking Bouwdelen'!T31)</f>
        <v>0</v>
      </c>
      <c r="BP47" s="208">
        <f>IF($BM47=1,$BN47*'Verwerking Bouwdelen'!DM31,$BN47*'Verwerking Bouwdelen'!U31)</f>
        <v>0</v>
      </c>
      <c r="BQ47" s="208">
        <f>IF($BM47=1,$BN47*'Verwerking Bouwdelen'!DN31,$BN47*'Verwerking Bouwdelen'!V31)</f>
        <v>0</v>
      </c>
      <c r="BR47" s="208">
        <f>IF($BM47=1,$BN47*'Verwerking Bouwdelen'!DO31,$BN47*'Verwerking Bouwdelen'!W31)</f>
        <v>0</v>
      </c>
      <c r="BS47" s="208">
        <f>IF($BM47=1,$BN47*'Verwerking Bouwdelen'!DP31,$BN47*'Verwerking Bouwdelen'!X31)</f>
        <v>0</v>
      </c>
      <c r="BT47" s="208">
        <f>IF($BM47=1,$BN47*'Verwerking Bouwdelen'!DQ31,$BN47*'Verwerking Bouwdelen'!Y31)</f>
        <v>0</v>
      </c>
      <c r="BU47" s="208">
        <f>IF($BM47=1,$BN47*'Verwerking Bouwdelen'!DR31,$BN47*'Verwerking Bouwdelen'!Z31)</f>
        <v>0</v>
      </c>
      <c r="BV47" s="208">
        <f>IF($BM47=1,$BN47*'Verwerking Bouwdelen'!DS31,$BN47*'Verwerking Bouwdelen'!AA31)</f>
        <v>0</v>
      </c>
      <c r="BW47" s="208">
        <f>IF($BM47=1,$BN47*'Verwerking Bouwdelen'!DT31,$BN47*'Verwerking Bouwdelen'!AB31)</f>
        <v>0</v>
      </c>
      <c r="BX47" s="208">
        <f>IF($BM47=1,$BN47*'Verwerking Bouwdelen'!DU31,$BN47*'Verwerking Bouwdelen'!AC31)</f>
        <v>0</v>
      </c>
      <c r="BY47" s="208">
        <f>IF($BM47=1,$BN47*'Verwerking Bouwdelen'!DV31,$BN47*'Verwerking Bouwdelen'!AD31)</f>
        <v>0</v>
      </c>
      <c r="BZ47" s="208">
        <f>IF($BM47=1,$BN47*'Verwerking Bouwdelen'!DW31,$BN47*'Verwerking Bouwdelen'!AE31)</f>
        <v>0</v>
      </c>
      <c r="CA47" s="10">
        <f>IF(BO47=B47,0,'Verwerking Bouwdelen'!D31*BM47*BN47)</f>
        <v>0</v>
      </c>
      <c r="CB47" s="10">
        <f>BM47*BN47*'Verwerking Bouwdelen'!GH31</f>
        <v>0</v>
      </c>
      <c r="CC47" s="10"/>
      <c r="CD47" s="248"/>
      <c r="CE47" s="125">
        <f>IF('Verwerking Bouwdelen'!C31=2,1,0)</f>
        <v>0</v>
      </c>
      <c r="CF47" s="130">
        <f>IF('Verwerking Bouwdelen'!A31=2,1,0)</f>
        <v>0</v>
      </c>
      <c r="CG47" s="208">
        <f>IF($CE47=1,$CF47*'Verwerking Bouwdelen'!DL31,$CF47*'Verwerking Bouwdelen'!T31)</f>
        <v>0</v>
      </c>
      <c r="CH47" s="208">
        <f>IF($CE47=1,$CF47*'Verwerking Bouwdelen'!DM31,$CF47*'Verwerking Bouwdelen'!U31)</f>
        <v>0</v>
      </c>
      <c r="CI47" s="208">
        <f>IF($CE47=1,$CF47*'Verwerking Bouwdelen'!DN31,$CF47*'Verwerking Bouwdelen'!V31)</f>
        <v>0</v>
      </c>
      <c r="CJ47" s="208">
        <f>IF($CE47=1,$CF47*'Verwerking Bouwdelen'!DO31,$CF47*'Verwerking Bouwdelen'!W31)</f>
        <v>0</v>
      </c>
      <c r="CK47" s="208">
        <f>IF($CE47=1,$CF47*'Verwerking Bouwdelen'!DP31,$CF47*'Verwerking Bouwdelen'!X31)</f>
        <v>0</v>
      </c>
      <c r="CL47" s="208">
        <f>IF($CE47=1,$CF47*'Verwerking Bouwdelen'!DQ31,$CF47*'Verwerking Bouwdelen'!Y31)</f>
        <v>0</v>
      </c>
      <c r="CM47" s="208">
        <f>IF($CE47=1,$CF47*'Verwerking Bouwdelen'!DR31,$CF47*'Verwerking Bouwdelen'!Z31)</f>
        <v>0</v>
      </c>
      <c r="CN47" s="208">
        <f>IF($CE47=1,$CF47*'Verwerking Bouwdelen'!DS31,$CF47*'Verwerking Bouwdelen'!AA31)</f>
        <v>0</v>
      </c>
      <c r="CO47" s="208">
        <f>IF($CE47=1,$CF47*'Verwerking Bouwdelen'!DT31,$CF47*'Verwerking Bouwdelen'!AB31)</f>
        <v>0</v>
      </c>
      <c r="CP47" s="208">
        <f>IF($CE47=1,$CF47*'Verwerking Bouwdelen'!DU31,$CF47*'Verwerking Bouwdelen'!AC31)</f>
        <v>0</v>
      </c>
      <c r="CQ47" s="208">
        <f>IF($CE47=1,$CF47*'Verwerking Bouwdelen'!DV31,$CF47*'Verwerking Bouwdelen'!AD31)</f>
        <v>0</v>
      </c>
      <c r="CR47" s="208">
        <f>IF($CE47=1,$CF47*'Verwerking Bouwdelen'!DW31,$CF47*'Verwerking Bouwdelen'!AE31)</f>
        <v>0</v>
      </c>
      <c r="CS47" s="10">
        <f>IF(CG47=$B47,0,('Verwerking Bouwdelen'!$D31-'Verwerking Bouwdelen'!G31)*CE47*CF47)</f>
        <v>0</v>
      </c>
      <c r="CT47" s="260">
        <f>CE47*CF47*'Verwerking Bouwdelen'!GH31</f>
        <v>0</v>
      </c>
      <c r="CU47" s="261">
        <f>CE47*CF47*'Verwerking Bouwdelen'!GI31</f>
        <v>0</v>
      </c>
      <c r="CW47" s="209">
        <f>$AC47*'Verwerking Bouwdelen'!EE31</f>
        <v>0</v>
      </c>
      <c r="CX47" s="209">
        <f>$AC47*'Verwerking Bouwdelen'!EF31</f>
        <v>0</v>
      </c>
      <c r="CY47" s="209">
        <f>$AC47*'Verwerking Bouwdelen'!EG31</f>
        <v>0</v>
      </c>
      <c r="CZ47" s="209">
        <f>$AC47*'Verwerking Bouwdelen'!EH31</f>
        <v>0</v>
      </c>
      <c r="DA47" s="209">
        <f>$AC47*'Verwerking Bouwdelen'!EI31</f>
        <v>0</v>
      </c>
      <c r="DB47" s="209">
        <f>$AC47*'Verwerking Bouwdelen'!EJ31</f>
        <v>0</v>
      </c>
      <c r="DC47" s="209">
        <f>$AC47*'Verwerking Bouwdelen'!EK31</f>
        <v>0</v>
      </c>
      <c r="DD47" s="209">
        <f>$AC47*'Verwerking Bouwdelen'!EL31</f>
        <v>0</v>
      </c>
      <c r="DE47" s="209">
        <f>$AC47*'Verwerking Bouwdelen'!EM31</f>
        <v>0</v>
      </c>
      <c r="DF47" s="209">
        <f>$AC47*'Verwerking Bouwdelen'!EN31</f>
        <v>0</v>
      </c>
      <c r="DG47" s="209">
        <f>$AC47*'Verwerking Bouwdelen'!EO31</f>
        <v>0</v>
      </c>
      <c r="DH47" s="209">
        <f>$AC47*'Verwerking Bouwdelen'!EP31</f>
        <v>0</v>
      </c>
      <c r="DI47" s="10">
        <f>IF(CW47=$O47,0,'Verwerking Bouwdelen'!G31)</f>
        <v>0</v>
      </c>
      <c r="DJ47" s="259">
        <f>'Verwerking Bouwdelen'!GK31*CF47</f>
        <v>0</v>
      </c>
      <c r="DK47" s="259">
        <f>'Verwerking Bouwdelen'!GL31*CF47</f>
        <v>0</v>
      </c>
      <c r="DL47" s="125"/>
      <c r="GM47" s="89">
        <f t="shared" si="2"/>
        <v>0</v>
      </c>
      <c r="GN47" s="89">
        <f t="shared" si="3"/>
        <v>0</v>
      </c>
      <c r="GO47" s="208">
        <f>IF($GN47=1,$GN47*$GM47*'Verwerking Bouwdelen'!DL31,$GN47*$GM47*'Verwerking Bouwdelen'!T31)</f>
        <v>0</v>
      </c>
      <c r="GP47" s="208">
        <f>IF($GN47=1,$GN47*$GM47*'Verwerking Bouwdelen'!DM31,$GN47*$GM47*'Verwerking Bouwdelen'!U31)</f>
        <v>0</v>
      </c>
      <c r="GQ47" s="208">
        <f>IF($GN47=1,$GN47*$GM47*'Verwerking Bouwdelen'!DN31,$GN47*$GM47*'Verwerking Bouwdelen'!V31)</f>
        <v>0</v>
      </c>
      <c r="GR47" s="208">
        <f>IF($GN47=1,$GN47*$GM47*'Verwerking Bouwdelen'!DO31,$GN47*$GM47*'Verwerking Bouwdelen'!W31)</f>
        <v>0</v>
      </c>
      <c r="GS47" s="208">
        <f>IF($GN47=1,$GN47*$GM47*'Verwerking Bouwdelen'!DP31,$GN47*$GM47*'Verwerking Bouwdelen'!X31)</f>
        <v>0</v>
      </c>
      <c r="GT47" s="208">
        <f>IF($GN47=1,$GN47*$GM47*'Verwerking Bouwdelen'!DQ31,$GN47*$GM47*'Verwerking Bouwdelen'!Y31)</f>
        <v>0</v>
      </c>
      <c r="GU47" s="208">
        <f>IF($GN47=1,$GN47*$GM47*'Verwerking Bouwdelen'!DR31,$GN47*$GM47*'Verwerking Bouwdelen'!Z31)</f>
        <v>0</v>
      </c>
      <c r="GV47" s="208">
        <f>IF($GN47=1,$GN47*$GM47*'Verwerking Bouwdelen'!DS31,$GN47*$GM47*'Verwerking Bouwdelen'!AA31)</f>
        <v>0</v>
      </c>
      <c r="GW47" s="208">
        <f>IF($GN47=1,$GN47*$GM47*'Verwerking Bouwdelen'!DT31,$GN47*$GM47*'Verwerking Bouwdelen'!AB31)</f>
        <v>0</v>
      </c>
      <c r="GX47" s="208">
        <f>IF($GN47=1,$GN47*$GM47*'Verwerking Bouwdelen'!DU31,$GN47*$GM47*'Verwerking Bouwdelen'!AC31)</f>
        <v>0</v>
      </c>
      <c r="GY47" s="208">
        <f>IF($GN47=1,$GN47*$GM47*'Verwerking Bouwdelen'!DV31,$GN47*$GM47*'Verwerking Bouwdelen'!AD31)</f>
        <v>0</v>
      </c>
      <c r="GZ47" s="208">
        <f>IF($GN47=1,$GN47*$GM47*'Verwerking Bouwdelen'!DW31,$GN47*$GM47*'Verwerking Bouwdelen'!AE31)</f>
        <v>0</v>
      </c>
      <c r="HB47" s="89">
        <f t="shared" si="4"/>
        <v>0</v>
      </c>
      <c r="HC47" s="89">
        <f t="shared" si="4"/>
        <v>0</v>
      </c>
      <c r="HD47" s="89">
        <f t="shared" si="4"/>
        <v>0</v>
      </c>
      <c r="HE47" s="89">
        <f t="shared" si="4"/>
        <v>0</v>
      </c>
      <c r="HF47" s="89">
        <f t="shared" si="4"/>
        <v>0</v>
      </c>
      <c r="HG47" s="89">
        <f t="shared" si="4"/>
        <v>0</v>
      </c>
      <c r="HH47" s="89">
        <f t="shared" si="4"/>
        <v>0</v>
      </c>
      <c r="HI47" s="89">
        <f t="shared" si="4"/>
        <v>0</v>
      </c>
      <c r="HJ47" s="89">
        <f t="shared" si="4"/>
        <v>0</v>
      </c>
      <c r="HK47" s="89">
        <f t="shared" si="4"/>
        <v>0</v>
      </c>
      <c r="HL47" s="89">
        <f t="shared" si="4"/>
        <v>0</v>
      </c>
      <c r="HM47" s="89">
        <f t="shared" si="4"/>
        <v>0</v>
      </c>
      <c r="HO47" s="256"/>
      <c r="HZ47" s="256"/>
    </row>
    <row r="48" spans="1:234" x14ac:dyDescent="0.2">
      <c r="A48" s="130">
        <f>IF('Verwerking Bouwdelen'!A32=2,1,0)</f>
        <v>0</v>
      </c>
      <c r="B48" s="208">
        <f>$A48*'Verwerking Bouwdelen'!T32</f>
        <v>0</v>
      </c>
      <c r="C48" s="208">
        <f>$A48*'Verwerking Bouwdelen'!U32</f>
        <v>0</v>
      </c>
      <c r="D48" s="208">
        <f>$A48*'Verwerking Bouwdelen'!V32</f>
        <v>0</v>
      </c>
      <c r="E48" s="208">
        <f>$A48*'Verwerking Bouwdelen'!W32</f>
        <v>0</v>
      </c>
      <c r="F48" s="208">
        <f>$A48*'Verwerking Bouwdelen'!X32</f>
        <v>0</v>
      </c>
      <c r="G48" s="208">
        <f>$A48*'Verwerking Bouwdelen'!Y32</f>
        <v>0</v>
      </c>
      <c r="H48" s="208">
        <f>$A48*'Verwerking Bouwdelen'!Z32</f>
        <v>0</v>
      </c>
      <c r="I48" s="208">
        <f>$A48*'Verwerking Bouwdelen'!AA32</f>
        <v>0</v>
      </c>
      <c r="J48" s="208">
        <f>$A48*'Verwerking Bouwdelen'!AB32</f>
        <v>0</v>
      </c>
      <c r="K48" s="208">
        <f>$A48*'Verwerking Bouwdelen'!AC32</f>
        <v>0</v>
      </c>
      <c r="L48" s="208">
        <f>$A48*'Verwerking Bouwdelen'!AD32</f>
        <v>0</v>
      </c>
      <c r="M48" s="208">
        <f>$A48*'Verwerking Bouwdelen'!AE32</f>
        <v>0</v>
      </c>
      <c r="O48" s="114">
        <f>$A48*'Verwerking Bouwdelen'!AU32</f>
        <v>0</v>
      </c>
      <c r="P48" s="125">
        <f>$A48*'Verwerking Bouwdelen'!AV32</f>
        <v>0</v>
      </c>
      <c r="Q48" s="125">
        <f>$A48*'Verwerking Bouwdelen'!AW32</f>
        <v>0</v>
      </c>
      <c r="R48" s="125">
        <f>$A48*'Verwerking Bouwdelen'!AX32</f>
        <v>0</v>
      </c>
      <c r="S48" s="125">
        <f>$A48*'Verwerking Bouwdelen'!AY32</f>
        <v>0</v>
      </c>
      <c r="T48" s="125">
        <f>$A48*'Verwerking Bouwdelen'!AZ32</f>
        <v>0</v>
      </c>
      <c r="U48" s="125">
        <f>$A48*'Verwerking Bouwdelen'!BA32</f>
        <v>0</v>
      </c>
      <c r="V48" s="125">
        <f>$A48*'Verwerking Bouwdelen'!BB32</f>
        <v>0</v>
      </c>
      <c r="W48" s="125">
        <f>$A48*'Verwerking Bouwdelen'!BC32</f>
        <v>0</v>
      </c>
      <c r="X48" s="125">
        <f>$A48*'Verwerking Bouwdelen'!BD32</f>
        <v>0</v>
      </c>
      <c r="Y48" s="125">
        <f>$A48*'Verwerking Bouwdelen'!BE32</f>
        <v>0</v>
      </c>
      <c r="Z48" s="195">
        <f>$A48*'Verwerking Bouwdelen'!BF32</f>
        <v>0</v>
      </c>
      <c r="AB48" s="125">
        <f>IF(OR('Verwerking Bouwdelen'!C32=3,'Verwerking Bouwdelen'!C32=6),1,0)</f>
        <v>0</v>
      </c>
      <c r="AC48" s="130">
        <f>IF('Verwerking Bouwdelen'!A32=2,1,0)</f>
        <v>0</v>
      </c>
      <c r="AD48" s="208">
        <f>IF($AB48=1,$AC48*'Verwerking Bouwdelen'!DL32,$AC48*'Verwerking Bouwdelen'!T32)</f>
        <v>0</v>
      </c>
      <c r="AE48" s="208">
        <f>IF($AB48=1,$AC48*'Verwerking Bouwdelen'!DM32,$AC48*'Verwerking Bouwdelen'!U32)</f>
        <v>0</v>
      </c>
      <c r="AF48" s="208">
        <f>IF($AB48=1,$AC48*'Verwerking Bouwdelen'!DN32,$AC48*'Verwerking Bouwdelen'!V32)</f>
        <v>0</v>
      </c>
      <c r="AG48" s="208">
        <f>IF($AB48=1,$AC48*'Verwerking Bouwdelen'!DO32,$AC48*'Verwerking Bouwdelen'!W32)</f>
        <v>0</v>
      </c>
      <c r="AH48" s="208">
        <f>IF($AB48=1,$AC48*'Verwerking Bouwdelen'!DP32,$AC48*'Verwerking Bouwdelen'!X32)</f>
        <v>0</v>
      </c>
      <c r="AI48" s="208">
        <f>IF($AB48=1,$AC48*'Verwerking Bouwdelen'!DQ32,$AC48*'Verwerking Bouwdelen'!Y32)</f>
        <v>0</v>
      </c>
      <c r="AJ48" s="208">
        <f>IF($AB48=1,$AC48*'Verwerking Bouwdelen'!DR32,$AC48*'Verwerking Bouwdelen'!Z32)</f>
        <v>0</v>
      </c>
      <c r="AK48" s="208">
        <f>IF($AB48=1,$AC48*'Verwerking Bouwdelen'!DS32,$AC48*'Verwerking Bouwdelen'!AA32)</f>
        <v>0</v>
      </c>
      <c r="AL48" s="208">
        <f>IF($AB48=1,$AC48*'Verwerking Bouwdelen'!DT32,$AC48*'Verwerking Bouwdelen'!AB32)</f>
        <v>0</v>
      </c>
      <c r="AM48" s="208">
        <f>IF($AB48=1,$AC48*'Verwerking Bouwdelen'!DU32,$AC48*'Verwerking Bouwdelen'!AC32)</f>
        <v>0</v>
      </c>
      <c r="AN48" s="208">
        <f>IF($AB48=1,$AC48*'Verwerking Bouwdelen'!DV32,$AC48*'Verwerking Bouwdelen'!AD32)</f>
        <v>0</v>
      </c>
      <c r="AO48" s="208">
        <f>IF($AB48=1,$AC48*'Verwerking Bouwdelen'!DW32,$AC48*'Verwerking Bouwdelen'!AE32)</f>
        <v>0</v>
      </c>
      <c r="AP48" s="10">
        <f>IF(AD48=B48,0,'Verwerking Bouwdelen'!D32*AB48*AC48)</f>
        <v>0</v>
      </c>
      <c r="AQ48" s="10">
        <f>AB48*AC48*'Verwerking Bouwdelen'!GH32</f>
        <v>0</v>
      </c>
      <c r="AR48" s="10"/>
      <c r="AS48" s="248"/>
      <c r="AT48" s="125">
        <f>IF('Verwerking Bouwdelen'!C32=4,1,0)</f>
        <v>0</v>
      </c>
      <c r="AU48" s="130">
        <f>IF('Verwerking Bouwdelen'!A32=2,1,0)</f>
        <v>0</v>
      </c>
      <c r="AV48" s="208">
        <f>IF($AT48=1,$AU48*'Verwerking Bouwdelen'!DL32,$AU48*'Verwerking Bouwdelen'!T32)</f>
        <v>0</v>
      </c>
      <c r="AW48" s="208">
        <f>IF($AT48=1,$AU48*'Verwerking Bouwdelen'!DM32,$AU48*'Verwerking Bouwdelen'!U32)</f>
        <v>0</v>
      </c>
      <c r="AX48" s="208">
        <f>IF($AT48=1,$AU48*'Verwerking Bouwdelen'!DN32,$AU48*'Verwerking Bouwdelen'!V32)</f>
        <v>0</v>
      </c>
      <c r="AY48" s="208">
        <f>IF($AT48=1,$AU48*'Verwerking Bouwdelen'!DO32,$AU48*'Verwerking Bouwdelen'!W32)</f>
        <v>0</v>
      </c>
      <c r="AZ48" s="208">
        <f>IF($AT48=1,$AU48*'Verwerking Bouwdelen'!DP32,$AU48*'Verwerking Bouwdelen'!X32)</f>
        <v>0</v>
      </c>
      <c r="BA48" s="208">
        <f>IF($AT48=1,$AU48*'Verwerking Bouwdelen'!DQ32,$AU48*'Verwerking Bouwdelen'!Y32)</f>
        <v>0</v>
      </c>
      <c r="BB48" s="208">
        <f>IF($AT48=1,$AU48*'Verwerking Bouwdelen'!DR32,$AU48*'Verwerking Bouwdelen'!Z32)</f>
        <v>0</v>
      </c>
      <c r="BC48" s="208">
        <f>IF($AT48=1,$AU48*'Verwerking Bouwdelen'!DS32,$AU48*'Verwerking Bouwdelen'!AA32)</f>
        <v>0</v>
      </c>
      <c r="BD48" s="208">
        <f>IF($AT48=1,$AU48*'Verwerking Bouwdelen'!DT32,$AU48*'Verwerking Bouwdelen'!AB32)</f>
        <v>0</v>
      </c>
      <c r="BE48" s="208">
        <f>IF($AT48=1,$AU48*'Verwerking Bouwdelen'!DU32,$AU48*'Verwerking Bouwdelen'!AC32)</f>
        <v>0</v>
      </c>
      <c r="BF48" s="208">
        <f>IF($AT48=1,$AU48*'Verwerking Bouwdelen'!DV32,$AU48*'Verwerking Bouwdelen'!AD32)</f>
        <v>0</v>
      </c>
      <c r="BG48" s="208">
        <f>IF($AT48=1,$AU48*'Verwerking Bouwdelen'!DW32,$AU48*'Verwerking Bouwdelen'!AE32)</f>
        <v>0</v>
      </c>
      <c r="BH48" s="10">
        <f>IF(AV48=B48,0,'Verwerking Bouwdelen'!D32*AT48*AU48)</f>
        <v>0</v>
      </c>
      <c r="BI48" s="10">
        <f>AT48*AU48*'Verwerking Bouwdelen'!GH32</f>
        <v>0</v>
      </c>
      <c r="BJ48" s="10"/>
      <c r="BK48" s="10"/>
      <c r="BM48" s="125">
        <f>IF('Verwerking Bouwdelen'!C32=5,1,0)</f>
        <v>0</v>
      </c>
      <c r="BN48" s="130">
        <f>IF('Verwerking Bouwdelen'!A32=2,1,0)</f>
        <v>0</v>
      </c>
      <c r="BO48" s="208">
        <f>IF($BM48=1,$BN48*'Verwerking Bouwdelen'!DL32,$BN48*'Verwerking Bouwdelen'!T32)</f>
        <v>0</v>
      </c>
      <c r="BP48" s="208">
        <f>IF($BM48=1,$BN48*'Verwerking Bouwdelen'!DM32,$BN48*'Verwerking Bouwdelen'!U32)</f>
        <v>0</v>
      </c>
      <c r="BQ48" s="208">
        <f>IF($BM48=1,$BN48*'Verwerking Bouwdelen'!DN32,$BN48*'Verwerking Bouwdelen'!V32)</f>
        <v>0</v>
      </c>
      <c r="BR48" s="208">
        <f>IF($BM48=1,$BN48*'Verwerking Bouwdelen'!DO32,$BN48*'Verwerking Bouwdelen'!W32)</f>
        <v>0</v>
      </c>
      <c r="BS48" s="208">
        <f>IF($BM48=1,$BN48*'Verwerking Bouwdelen'!DP32,$BN48*'Verwerking Bouwdelen'!X32)</f>
        <v>0</v>
      </c>
      <c r="BT48" s="208">
        <f>IF($BM48=1,$BN48*'Verwerking Bouwdelen'!DQ32,$BN48*'Verwerking Bouwdelen'!Y32)</f>
        <v>0</v>
      </c>
      <c r="BU48" s="208">
        <f>IF($BM48=1,$BN48*'Verwerking Bouwdelen'!DR32,$BN48*'Verwerking Bouwdelen'!Z32)</f>
        <v>0</v>
      </c>
      <c r="BV48" s="208">
        <f>IF($BM48=1,$BN48*'Verwerking Bouwdelen'!DS32,$BN48*'Verwerking Bouwdelen'!AA32)</f>
        <v>0</v>
      </c>
      <c r="BW48" s="208">
        <f>IF($BM48=1,$BN48*'Verwerking Bouwdelen'!DT32,$BN48*'Verwerking Bouwdelen'!AB32)</f>
        <v>0</v>
      </c>
      <c r="BX48" s="208">
        <f>IF($BM48=1,$BN48*'Verwerking Bouwdelen'!DU32,$BN48*'Verwerking Bouwdelen'!AC32)</f>
        <v>0</v>
      </c>
      <c r="BY48" s="208">
        <f>IF($BM48=1,$BN48*'Verwerking Bouwdelen'!DV32,$BN48*'Verwerking Bouwdelen'!AD32)</f>
        <v>0</v>
      </c>
      <c r="BZ48" s="208">
        <f>IF($BM48=1,$BN48*'Verwerking Bouwdelen'!DW32,$BN48*'Verwerking Bouwdelen'!AE32)</f>
        <v>0</v>
      </c>
      <c r="CA48" s="10">
        <f>IF(BO48=B48,0,'Verwerking Bouwdelen'!D32*BM48*BN48)</f>
        <v>0</v>
      </c>
      <c r="CB48" s="10">
        <f>BM48*BN48*'Verwerking Bouwdelen'!GH32</f>
        <v>0</v>
      </c>
      <c r="CC48" s="10"/>
      <c r="CD48" s="248"/>
      <c r="CE48" s="125">
        <f>IF('Verwerking Bouwdelen'!C32=2,1,0)</f>
        <v>0</v>
      </c>
      <c r="CF48" s="130">
        <f>IF('Verwerking Bouwdelen'!A32=2,1,0)</f>
        <v>0</v>
      </c>
      <c r="CG48" s="208">
        <f>IF($CE48=1,$CF48*'Verwerking Bouwdelen'!DL32,$CF48*'Verwerking Bouwdelen'!T32)</f>
        <v>0</v>
      </c>
      <c r="CH48" s="208">
        <f>IF($CE48=1,$CF48*'Verwerking Bouwdelen'!DM32,$CF48*'Verwerking Bouwdelen'!U32)</f>
        <v>0</v>
      </c>
      <c r="CI48" s="208">
        <f>IF($CE48=1,$CF48*'Verwerking Bouwdelen'!DN32,$CF48*'Verwerking Bouwdelen'!V32)</f>
        <v>0</v>
      </c>
      <c r="CJ48" s="208">
        <f>IF($CE48=1,$CF48*'Verwerking Bouwdelen'!DO32,$CF48*'Verwerking Bouwdelen'!W32)</f>
        <v>0</v>
      </c>
      <c r="CK48" s="208">
        <f>IF($CE48=1,$CF48*'Verwerking Bouwdelen'!DP32,$CF48*'Verwerking Bouwdelen'!X32)</f>
        <v>0</v>
      </c>
      <c r="CL48" s="208">
        <f>IF($CE48=1,$CF48*'Verwerking Bouwdelen'!DQ32,$CF48*'Verwerking Bouwdelen'!Y32)</f>
        <v>0</v>
      </c>
      <c r="CM48" s="208">
        <f>IF($CE48=1,$CF48*'Verwerking Bouwdelen'!DR32,$CF48*'Verwerking Bouwdelen'!Z32)</f>
        <v>0</v>
      </c>
      <c r="CN48" s="208">
        <f>IF($CE48=1,$CF48*'Verwerking Bouwdelen'!DS32,$CF48*'Verwerking Bouwdelen'!AA32)</f>
        <v>0</v>
      </c>
      <c r="CO48" s="208">
        <f>IF($CE48=1,$CF48*'Verwerking Bouwdelen'!DT32,$CF48*'Verwerking Bouwdelen'!AB32)</f>
        <v>0</v>
      </c>
      <c r="CP48" s="208">
        <f>IF($CE48=1,$CF48*'Verwerking Bouwdelen'!DU32,$CF48*'Verwerking Bouwdelen'!AC32)</f>
        <v>0</v>
      </c>
      <c r="CQ48" s="208">
        <f>IF($CE48=1,$CF48*'Verwerking Bouwdelen'!DV32,$CF48*'Verwerking Bouwdelen'!AD32)</f>
        <v>0</v>
      </c>
      <c r="CR48" s="208">
        <f>IF($CE48=1,$CF48*'Verwerking Bouwdelen'!DW32,$CF48*'Verwerking Bouwdelen'!AE32)</f>
        <v>0</v>
      </c>
      <c r="CS48" s="10">
        <f>IF(CG48=$B48,0,('Verwerking Bouwdelen'!$D32-'Verwerking Bouwdelen'!G32)*CE48*CF48)</f>
        <v>0</v>
      </c>
      <c r="CT48" s="260">
        <f>CE48*CF48*'Verwerking Bouwdelen'!GH32</f>
        <v>0</v>
      </c>
      <c r="CU48" s="261">
        <f>CE48*CF48*'Verwerking Bouwdelen'!GI32</f>
        <v>0</v>
      </c>
      <c r="CW48" s="209">
        <f>$AC48*'Verwerking Bouwdelen'!EE32</f>
        <v>0</v>
      </c>
      <c r="CX48" s="209">
        <f>$AC48*'Verwerking Bouwdelen'!EF32</f>
        <v>0</v>
      </c>
      <c r="CY48" s="209">
        <f>$AC48*'Verwerking Bouwdelen'!EG32</f>
        <v>0</v>
      </c>
      <c r="CZ48" s="209">
        <f>$AC48*'Verwerking Bouwdelen'!EH32</f>
        <v>0</v>
      </c>
      <c r="DA48" s="209">
        <f>$AC48*'Verwerking Bouwdelen'!EI32</f>
        <v>0</v>
      </c>
      <c r="DB48" s="209">
        <f>$AC48*'Verwerking Bouwdelen'!EJ32</f>
        <v>0</v>
      </c>
      <c r="DC48" s="209">
        <f>$AC48*'Verwerking Bouwdelen'!EK32</f>
        <v>0</v>
      </c>
      <c r="DD48" s="209">
        <f>$AC48*'Verwerking Bouwdelen'!EL32</f>
        <v>0</v>
      </c>
      <c r="DE48" s="209">
        <f>$AC48*'Verwerking Bouwdelen'!EM32</f>
        <v>0</v>
      </c>
      <c r="DF48" s="209">
        <f>$AC48*'Verwerking Bouwdelen'!EN32</f>
        <v>0</v>
      </c>
      <c r="DG48" s="209">
        <f>$AC48*'Verwerking Bouwdelen'!EO32</f>
        <v>0</v>
      </c>
      <c r="DH48" s="209">
        <f>$AC48*'Verwerking Bouwdelen'!EP32</f>
        <v>0</v>
      </c>
      <c r="DI48" s="10">
        <f>IF(CW48=$O48,0,'Verwerking Bouwdelen'!G32)</f>
        <v>0</v>
      </c>
      <c r="DJ48" s="259">
        <f>'Verwerking Bouwdelen'!GK32*CF48</f>
        <v>0</v>
      </c>
      <c r="DK48" s="259">
        <f>'Verwerking Bouwdelen'!GL32*CF48</f>
        <v>0</v>
      </c>
      <c r="DL48" s="125"/>
      <c r="GM48" s="89">
        <f t="shared" si="2"/>
        <v>0</v>
      </c>
      <c r="GN48" s="89">
        <f t="shared" si="3"/>
        <v>0</v>
      </c>
      <c r="GO48" s="208">
        <f>IF($GN48=1,$GN48*$GM48*'Verwerking Bouwdelen'!DL32,$GN48*$GM48*'Verwerking Bouwdelen'!T32)</f>
        <v>0</v>
      </c>
      <c r="GP48" s="208">
        <f>IF($GN48=1,$GN48*$GM48*'Verwerking Bouwdelen'!DM32,$GN48*$GM48*'Verwerking Bouwdelen'!U32)</f>
        <v>0</v>
      </c>
      <c r="GQ48" s="208">
        <f>IF($GN48=1,$GN48*$GM48*'Verwerking Bouwdelen'!DN32,$GN48*$GM48*'Verwerking Bouwdelen'!V32)</f>
        <v>0</v>
      </c>
      <c r="GR48" s="208">
        <f>IF($GN48=1,$GN48*$GM48*'Verwerking Bouwdelen'!DO32,$GN48*$GM48*'Verwerking Bouwdelen'!W32)</f>
        <v>0</v>
      </c>
      <c r="GS48" s="208">
        <f>IF($GN48=1,$GN48*$GM48*'Verwerking Bouwdelen'!DP32,$GN48*$GM48*'Verwerking Bouwdelen'!X32)</f>
        <v>0</v>
      </c>
      <c r="GT48" s="208">
        <f>IF($GN48=1,$GN48*$GM48*'Verwerking Bouwdelen'!DQ32,$GN48*$GM48*'Verwerking Bouwdelen'!Y32)</f>
        <v>0</v>
      </c>
      <c r="GU48" s="208">
        <f>IF($GN48=1,$GN48*$GM48*'Verwerking Bouwdelen'!DR32,$GN48*$GM48*'Verwerking Bouwdelen'!Z32)</f>
        <v>0</v>
      </c>
      <c r="GV48" s="208">
        <f>IF($GN48=1,$GN48*$GM48*'Verwerking Bouwdelen'!DS32,$GN48*$GM48*'Verwerking Bouwdelen'!AA32)</f>
        <v>0</v>
      </c>
      <c r="GW48" s="208">
        <f>IF($GN48=1,$GN48*$GM48*'Verwerking Bouwdelen'!DT32,$GN48*$GM48*'Verwerking Bouwdelen'!AB32)</f>
        <v>0</v>
      </c>
      <c r="GX48" s="208">
        <f>IF($GN48=1,$GN48*$GM48*'Verwerking Bouwdelen'!DU32,$GN48*$GM48*'Verwerking Bouwdelen'!AC32)</f>
        <v>0</v>
      </c>
      <c r="GY48" s="208">
        <f>IF($GN48=1,$GN48*$GM48*'Verwerking Bouwdelen'!DV32,$GN48*$GM48*'Verwerking Bouwdelen'!AD32)</f>
        <v>0</v>
      </c>
      <c r="GZ48" s="208">
        <f>IF($GN48=1,$GN48*$GM48*'Verwerking Bouwdelen'!DW32,$GN48*$GM48*'Verwerking Bouwdelen'!AE32)</f>
        <v>0</v>
      </c>
      <c r="HB48" s="89">
        <f t="shared" si="4"/>
        <v>0</v>
      </c>
      <c r="HC48" s="89">
        <f t="shared" si="4"/>
        <v>0</v>
      </c>
      <c r="HD48" s="89">
        <f t="shared" si="4"/>
        <v>0</v>
      </c>
      <c r="HE48" s="89">
        <f t="shared" si="4"/>
        <v>0</v>
      </c>
      <c r="HF48" s="89">
        <f t="shared" si="4"/>
        <v>0</v>
      </c>
      <c r="HG48" s="89">
        <f t="shared" si="4"/>
        <v>0</v>
      </c>
      <c r="HH48" s="89">
        <f t="shared" si="4"/>
        <v>0</v>
      </c>
      <c r="HI48" s="89">
        <f t="shared" si="4"/>
        <v>0</v>
      </c>
      <c r="HJ48" s="89">
        <f t="shared" si="4"/>
        <v>0</v>
      </c>
      <c r="HK48" s="89">
        <f t="shared" si="4"/>
        <v>0</v>
      </c>
      <c r="HL48" s="89">
        <f t="shared" si="4"/>
        <v>0</v>
      </c>
      <c r="HM48" s="89">
        <f t="shared" si="4"/>
        <v>0</v>
      </c>
      <c r="HO48" s="256"/>
      <c r="HZ48" s="256"/>
    </row>
    <row r="49" spans="1:234" x14ac:dyDescent="0.2">
      <c r="A49" s="130">
        <f>IF('Verwerking Bouwdelen'!A33=2,1,0)</f>
        <v>0</v>
      </c>
      <c r="B49" s="208">
        <f>$A49*'Verwerking Bouwdelen'!T33</f>
        <v>0</v>
      </c>
      <c r="C49" s="208">
        <f>$A49*'Verwerking Bouwdelen'!U33</f>
        <v>0</v>
      </c>
      <c r="D49" s="208">
        <f>$A49*'Verwerking Bouwdelen'!V33</f>
        <v>0</v>
      </c>
      <c r="E49" s="208">
        <f>$A49*'Verwerking Bouwdelen'!W33</f>
        <v>0</v>
      </c>
      <c r="F49" s="208">
        <f>$A49*'Verwerking Bouwdelen'!X33</f>
        <v>0</v>
      </c>
      <c r="G49" s="208">
        <f>$A49*'Verwerking Bouwdelen'!Y33</f>
        <v>0</v>
      </c>
      <c r="H49" s="208">
        <f>$A49*'Verwerking Bouwdelen'!Z33</f>
        <v>0</v>
      </c>
      <c r="I49" s="208">
        <f>$A49*'Verwerking Bouwdelen'!AA33</f>
        <v>0</v>
      </c>
      <c r="J49" s="208">
        <f>$A49*'Verwerking Bouwdelen'!AB33</f>
        <v>0</v>
      </c>
      <c r="K49" s="208">
        <f>$A49*'Verwerking Bouwdelen'!AC33</f>
        <v>0</v>
      </c>
      <c r="L49" s="208">
        <f>$A49*'Verwerking Bouwdelen'!AD33</f>
        <v>0</v>
      </c>
      <c r="M49" s="208">
        <f>$A49*'Verwerking Bouwdelen'!AE33</f>
        <v>0</v>
      </c>
      <c r="O49" s="114">
        <f>$A49*'Verwerking Bouwdelen'!AU33</f>
        <v>0</v>
      </c>
      <c r="P49" s="125">
        <f>$A49*'Verwerking Bouwdelen'!AV33</f>
        <v>0</v>
      </c>
      <c r="Q49" s="125">
        <f>$A49*'Verwerking Bouwdelen'!AW33</f>
        <v>0</v>
      </c>
      <c r="R49" s="125">
        <f>$A49*'Verwerking Bouwdelen'!AX33</f>
        <v>0</v>
      </c>
      <c r="S49" s="125">
        <f>$A49*'Verwerking Bouwdelen'!AY33</f>
        <v>0</v>
      </c>
      <c r="T49" s="125">
        <f>$A49*'Verwerking Bouwdelen'!AZ33</f>
        <v>0</v>
      </c>
      <c r="U49" s="125">
        <f>$A49*'Verwerking Bouwdelen'!BA33</f>
        <v>0</v>
      </c>
      <c r="V49" s="125">
        <f>$A49*'Verwerking Bouwdelen'!BB33</f>
        <v>0</v>
      </c>
      <c r="W49" s="125">
        <f>$A49*'Verwerking Bouwdelen'!BC33</f>
        <v>0</v>
      </c>
      <c r="X49" s="125">
        <f>$A49*'Verwerking Bouwdelen'!BD33</f>
        <v>0</v>
      </c>
      <c r="Y49" s="125">
        <f>$A49*'Verwerking Bouwdelen'!BE33</f>
        <v>0</v>
      </c>
      <c r="Z49" s="195">
        <f>$A49*'Verwerking Bouwdelen'!BF33</f>
        <v>0</v>
      </c>
      <c r="AB49" s="125">
        <f>IF(OR('Verwerking Bouwdelen'!C33=3,'Verwerking Bouwdelen'!C33=6),1,0)</f>
        <v>0</v>
      </c>
      <c r="AC49" s="130">
        <f>IF('Verwerking Bouwdelen'!A33=2,1,0)</f>
        <v>0</v>
      </c>
      <c r="AD49" s="208">
        <f>IF($AB49=1,$AC49*'Verwerking Bouwdelen'!DL33,$AC49*'Verwerking Bouwdelen'!T33)</f>
        <v>0</v>
      </c>
      <c r="AE49" s="208">
        <f>IF($AB49=1,$AC49*'Verwerking Bouwdelen'!DM33,$AC49*'Verwerking Bouwdelen'!U33)</f>
        <v>0</v>
      </c>
      <c r="AF49" s="208">
        <f>IF($AB49=1,$AC49*'Verwerking Bouwdelen'!DN33,$AC49*'Verwerking Bouwdelen'!V33)</f>
        <v>0</v>
      </c>
      <c r="AG49" s="208">
        <f>IF($AB49=1,$AC49*'Verwerking Bouwdelen'!DO33,$AC49*'Verwerking Bouwdelen'!W33)</f>
        <v>0</v>
      </c>
      <c r="AH49" s="208">
        <f>IF($AB49=1,$AC49*'Verwerking Bouwdelen'!DP33,$AC49*'Verwerking Bouwdelen'!X33)</f>
        <v>0</v>
      </c>
      <c r="AI49" s="208">
        <f>IF($AB49=1,$AC49*'Verwerking Bouwdelen'!DQ33,$AC49*'Verwerking Bouwdelen'!Y33)</f>
        <v>0</v>
      </c>
      <c r="AJ49" s="208">
        <f>IF($AB49=1,$AC49*'Verwerking Bouwdelen'!DR33,$AC49*'Verwerking Bouwdelen'!Z33)</f>
        <v>0</v>
      </c>
      <c r="AK49" s="208">
        <f>IF($AB49=1,$AC49*'Verwerking Bouwdelen'!DS33,$AC49*'Verwerking Bouwdelen'!AA33)</f>
        <v>0</v>
      </c>
      <c r="AL49" s="208">
        <f>IF($AB49=1,$AC49*'Verwerking Bouwdelen'!DT33,$AC49*'Verwerking Bouwdelen'!AB33)</f>
        <v>0</v>
      </c>
      <c r="AM49" s="208">
        <f>IF($AB49=1,$AC49*'Verwerking Bouwdelen'!DU33,$AC49*'Verwerking Bouwdelen'!AC33)</f>
        <v>0</v>
      </c>
      <c r="AN49" s="208">
        <f>IF($AB49=1,$AC49*'Verwerking Bouwdelen'!DV33,$AC49*'Verwerking Bouwdelen'!AD33)</f>
        <v>0</v>
      </c>
      <c r="AO49" s="208">
        <f>IF($AB49=1,$AC49*'Verwerking Bouwdelen'!DW33,$AC49*'Verwerking Bouwdelen'!AE33)</f>
        <v>0</v>
      </c>
      <c r="AP49" s="10">
        <f>IF(AD49=B49,0,'Verwerking Bouwdelen'!D33*AB49*AC49)</f>
        <v>0</v>
      </c>
      <c r="AQ49" s="10">
        <f>AB49*AC49*'Verwerking Bouwdelen'!GH33</f>
        <v>0</v>
      </c>
      <c r="AR49" s="10"/>
      <c r="AS49" s="248"/>
      <c r="AT49" s="125">
        <f>IF('Verwerking Bouwdelen'!C33=4,1,0)</f>
        <v>0</v>
      </c>
      <c r="AU49" s="130">
        <f>IF('Verwerking Bouwdelen'!A33=2,1,0)</f>
        <v>0</v>
      </c>
      <c r="AV49" s="208">
        <f>IF($AT49=1,$AU49*'Verwerking Bouwdelen'!DL33,$AU49*'Verwerking Bouwdelen'!T33)</f>
        <v>0</v>
      </c>
      <c r="AW49" s="208">
        <f>IF($AT49=1,$AU49*'Verwerking Bouwdelen'!DM33,$AU49*'Verwerking Bouwdelen'!U33)</f>
        <v>0</v>
      </c>
      <c r="AX49" s="208">
        <f>IF($AT49=1,$AU49*'Verwerking Bouwdelen'!DN33,$AU49*'Verwerking Bouwdelen'!V33)</f>
        <v>0</v>
      </c>
      <c r="AY49" s="208">
        <f>IF($AT49=1,$AU49*'Verwerking Bouwdelen'!DO33,$AU49*'Verwerking Bouwdelen'!W33)</f>
        <v>0</v>
      </c>
      <c r="AZ49" s="208">
        <f>IF($AT49=1,$AU49*'Verwerking Bouwdelen'!DP33,$AU49*'Verwerking Bouwdelen'!X33)</f>
        <v>0</v>
      </c>
      <c r="BA49" s="208">
        <f>IF($AT49=1,$AU49*'Verwerking Bouwdelen'!DQ33,$AU49*'Verwerking Bouwdelen'!Y33)</f>
        <v>0</v>
      </c>
      <c r="BB49" s="208">
        <f>IF($AT49=1,$AU49*'Verwerking Bouwdelen'!DR33,$AU49*'Verwerking Bouwdelen'!Z33)</f>
        <v>0</v>
      </c>
      <c r="BC49" s="208">
        <f>IF($AT49=1,$AU49*'Verwerking Bouwdelen'!DS33,$AU49*'Verwerking Bouwdelen'!AA33)</f>
        <v>0</v>
      </c>
      <c r="BD49" s="208">
        <f>IF($AT49=1,$AU49*'Verwerking Bouwdelen'!DT33,$AU49*'Verwerking Bouwdelen'!AB33)</f>
        <v>0</v>
      </c>
      <c r="BE49" s="208">
        <f>IF($AT49=1,$AU49*'Verwerking Bouwdelen'!DU33,$AU49*'Verwerking Bouwdelen'!AC33)</f>
        <v>0</v>
      </c>
      <c r="BF49" s="208">
        <f>IF($AT49=1,$AU49*'Verwerking Bouwdelen'!DV33,$AU49*'Verwerking Bouwdelen'!AD33)</f>
        <v>0</v>
      </c>
      <c r="BG49" s="208">
        <f>IF($AT49=1,$AU49*'Verwerking Bouwdelen'!DW33,$AU49*'Verwerking Bouwdelen'!AE33)</f>
        <v>0</v>
      </c>
      <c r="BH49" s="10">
        <f>IF(AV49=B49,0,'Verwerking Bouwdelen'!D33*AT49*AU49)</f>
        <v>0</v>
      </c>
      <c r="BI49" s="10">
        <f>AT49*AU49*'Verwerking Bouwdelen'!GH33</f>
        <v>0</v>
      </c>
      <c r="BJ49" s="10"/>
      <c r="BK49" s="10"/>
      <c r="BM49" s="125">
        <f>IF('Verwerking Bouwdelen'!C33=5,1,0)</f>
        <v>0</v>
      </c>
      <c r="BN49" s="130">
        <f>IF('Verwerking Bouwdelen'!A33=2,1,0)</f>
        <v>0</v>
      </c>
      <c r="BO49" s="208">
        <f>IF($BM49=1,$BN49*'Verwerking Bouwdelen'!DL33,$BN49*'Verwerking Bouwdelen'!T33)</f>
        <v>0</v>
      </c>
      <c r="BP49" s="208">
        <f>IF($BM49=1,$BN49*'Verwerking Bouwdelen'!DM33,$BN49*'Verwerking Bouwdelen'!U33)</f>
        <v>0</v>
      </c>
      <c r="BQ49" s="208">
        <f>IF($BM49=1,$BN49*'Verwerking Bouwdelen'!DN33,$BN49*'Verwerking Bouwdelen'!V33)</f>
        <v>0</v>
      </c>
      <c r="BR49" s="208">
        <f>IF($BM49=1,$BN49*'Verwerking Bouwdelen'!DO33,$BN49*'Verwerking Bouwdelen'!W33)</f>
        <v>0</v>
      </c>
      <c r="BS49" s="208">
        <f>IF($BM49=1,$BN49*'Verwerking Bouwdelen'!DP33,$BN49*'Verwerking Bouwdelen'!X33)</f>
        <v>0</v>
      </c>
      <c r="BT49" s="208">
        <f>IF($BM49=1,$BN49*'Verwerking Bouwdelen'!DQ33,$BN49*'Verwerking Bouwdelen'!Y33)</f>
        <v>0</v>
      </c>
      <c r="BU49" s="208">
        <f>IF($BM49=1,$BN49*'Verwerking Bouwdelen'!DR33,$BN49*'Verwerking Bouwdelen'!Z33)</f>
        <v>0</v>
      </c>
      <c r="BV49" s="208">
        <f>IF($BM49=1,$BN49*'Verwerking Bouwdelen'!DS33,$BN49*'Verwerking Bouwdelen'!AA33)</f>
        <v>0</v>
      </c>
      <c r="BW49" s="208">
        <f>IF($BM49=1,$BN49*'Verwerking Bouwdelen'!DT33,$BN49*'Verwerking Bouwdelen'!AB33)</f>
        <v>0</v>
      </c>
      <c r="BX49" s="208">
        <f>IF($BM49=1,$BN49*'Verwerking Bouwdelen'!DU33,$BN49*'Verwerking Bouwdelen'!AC33)</f>
        <v>0</v>
      </c>
      <c r="BY49" s="208">
        <f>IF($BM49=1,$BN49*'Verwerking Bouwdelen'!DV33,$BN49*'Verwerking Bouwdelen'!AD33)</f>
        <v>0</v>
      </c>
      <c r="BZ49" s="208">
        <f>IF($BM49=1,$BN49*'Verwerking Bouwdelen'!DW33,$BN49*'Verwerking Bouwdelen'!AE33)</f>
        <v>0</v>
      </c>
      <c r="CA49" s="10">
        <f>IF(BO49=B49,0,'Verwerking Bouwdelen'!D33*BM49*BN49)</f>
        <v>0</v>
      </c>
      <c r="CB49" s="10">
        <f>BM49*BN49*'Verwerking Bouwdelen'!GH33</f>
        <v>0</v>
      </c>
      <c r="CC49" s="10"/>
      <c r="CD49" s="248"/>
      <c r="CE49" s="125">
        <f>IF('Verwerking Bouwdelen'!C33=2,1,0)</f>
        <v>0</v>
      </c>
      <c r="CF49" s="130">
        <f>IF('Verwerking Bouwdelen'!A33=2,1,0)</f>
        <v>0</v>
      </c>
      <c r="CG49" s="208">
        <f>IF($CE49=1,$CF49*'Verwerking Bouwdelen'!DL33,$CF49*'Verwerking Bouwdelen'!T33)</f>
        <v>0</v>
      </c>
      <c r="CH49" s="208">
        <f>IF($CE49=1,$CF49*'Verwerking Bouwdelen'!DM33,$CF49*'Verwerking Bouwdelen'!U33)</f>
        <v>0</v>
      </c>
      <c r="CI49" s="208">
        <f>IF($CE49=1,$CF49*'Verwerking Bouwdelen'!DN33,$CF49*'Verwerking Bouwdelen'!V33)</f>
        <v>0</v>
      </c>
      <c r="CJ49" s="208">
        <f>IF($CE49=1,$CF49*'Verwerking Bouwdelen'!DO33,$CF49*'Verwerking Bouwdelen'!W33)</f>
        <v>0</v>
      </c>
      <c r="CK49" s="208">
        <f>IF($CE49=1,$CF49*'Verwerking Bouwdelen'!DP33,$CF49*'Verwerking Bouwdelen'!X33)</f>
        <v>0</v>
      </c>
      <c r="CL49" s="208">
        <f>IF($CE49=1,$CF49*'Verwerking Bouwdelen'!DQ33,$CF49*'Verwerking Bouwdelen'!Y33)</f>
        <v>0</v>
      </c>
      <c r="CM49" s="208">
        <f>IF($CE49=1,$CF49*'Verwerking Bouwdelen'!DR33,$CF49*'Verwerking Bouwdelen'!Z33)</f>
        <v>0</v>
      </c>
      <c r="CN49" s="208">
        <f>IF($CE49=1,$CF49*'Verwerking Bouwdelen'!DS33,$CF49*'Verwerking Bouwdelen'!AA33)</f>
        <v>0</v>
      </c>
      <c r="CO49" s="208">
        <f>IF($CE49=1,$CF49*'Verwerking Bouwdelen'!DT33,$CF49*'Verwerking Bouwdelen'!AB33)</f>
        <v>0</v>
      </c>
      <c r="CP49" s="208">
        <f>IF($CE49=1,$CF49*'Verwerking Bouwdelen'!DU33,$CF49*'Verwerking Bouwdelen'!AC33)</f>
        <v>0</v>
      </c>
      <c r="CQ49" s="208">
        <f>IF($CE49=1,$CF49*'Verwerking Bouwdelen'!DV33,$CF49*'Verwerking Bouwdelen'!AD33)</f>
        <v>0</v>
      </c>
      <c r="CR49" s="208">
        <f>IF($CE49=1,$CF49*'Verwerking Bouwdelen'!DW33,$CF49*'Verwerking Bouwdelen'!AE33)</f>
        <v>0</v>
      </c>
      <c r="CS49" s="10">
        <f>IF(CG49=$B49,0,('Verwerking Bouwdelen'!$D33-'Verwerking Bouwdelen'!G33)*CE49*CF49)</f>
        <v>0</v>
      </c>
      <c r="CT49" s="260">
        <f>CE49*CF49*'Verwerking Bouwdelen'!GH33</f>
        <v>0</v>
      </c>
      <c r="CU49" s="261">
        <f>CE49*CF49*'Verwerking Bouwdelen'!GI33</f>
        <v>0</v>
      </c>
      <c r="CW49" s="209">
        <f>$AC49*'Verwerking Bouwdelen'!EE33</f>
        <v>0</v>
      </c>
      <c r="CX49" s="209">
        <f>$AC49*'Verwerking Bouwdelen'!EF33</f>
        <v>0</v>
      </c>
      <c r="CY49" s="209">
        <f>$AC49*'Verwerking Bouwdelen'!EG33</f>
        <v>0</v>
      </c>
      <c r="CZ49" s="209">
        <f>$AC49*'Verwerking Bouwdelen'!EH33</f>
        <v>0</v>
      </c>
      <c r="DA49" s="209">
        <f>$AC49*'Verwerking Bouwdelen'!EI33</f>
        <v>0</v>
      </c>
      <c r="DB49" s="209">
        <f>$AC49*'Verwerking Bouwdelen'!EJ33</f>
        <v>0</v>
      </c>
      <c r="DC49" s="209">
        <f>$AC49*'Verwerking Bouwdelen'!EK33</f>
        <v>0</v>
      </c>
      <c r="DD49" s="209">
        <f>$AC49*'Verwerking Bouwdelen'!EL33</f>
        <v>0</v>
      </c>
      <c r="DE49" s="209">
        <f>$AC49*'Verwerking Bouwdelen'!EM33</f>
        <v>0</v>
      </c>
      <c r="DF49" s="209">
        <f>$AC49*'Verwerking Bouwdelen'!EN33</f>
        <v>0</v>
      </c>
      <c r="DG49" s="209">
        <f>$AC49*'Verwerking Bouwdelen'!EO33</f>
        <v>0</v>
      </c>
      <c r="DH49" s="209">
        <f>$AC49*'Verwerking Bouwdelen'!EP33</f>
        <v>0</v>
      </c>
      <c r="DI49" s="10">
        <f>IF(CW49=$O49,0,'Verwerking Bouwdelen'!G33)</f>
        <v>0</v>
      </c>
      <c r="DJ49" s="259">
        <f>'Verwerking Bouwdelen'!GK33*CF49</f>
        <v>0</v>
      </c>
      <c r="DK49" s="259">
        <f>'Verwerking Bouwdelen'!GL33*CF49</f>
        <v>0</v>
      </c>
      <c r="DL49" s="125"/>
      <c r="GM49" s="89">
        <f t="shared" si="2"/>
        <v>0</v>
      </c>
      <c r="GN49" s="89">
        <f t="shared" si="3"/>
        <v>0</v>
      </c>
      <c r="GO49" s="208">
        <f>IF($GN49=1,$GN49*$GM49*'Verwerking Bouwdelen'!DL33,$GN49*$GM49*'Verwerking Bouwdelen'!T33)</f>
        <v>0</v>
      </c>
      <c r="GP49" s="208">
        <f>IF($GN49=1,$GN49*$GM49*'Verwerking Bouwdelen'!DM33,$GN49*$GM49*'Verwerking Bouwdelen'!U33)</f>
        <v>0</v>
      </c>
      <c r="GQ49" s="208">
        <f>IF($GN49=1,$GN49*$GM49*'Verwerking Bouwdelen'!DN33,$GN49*$GM49*'Verwerking Bouwdelen'!V33)</f>
        <v>0</v>
      </c>
      <c r="GR49" s="208">
        <f>IF($GN49=1,$GN49*$GM49*'Verwerking Bouwdelen'!DO33,$GN49*$GM49*'Verwerking Bouwdelen'!W33)</f>
        <v>0</v>
      </c>
      <c r="GS49" s="208">
        <f>IF($GN49=1,$GN49*$GM49*'Verwerking Bouwdelen'!DP33,$GN49*$GM49*'Verwerking Bouwdelen'!X33)</f>
        <v>0</v>
      </c>
      <c r="GT49" s="208">
        <f>IF($GN49=1,$GN49*$GM49*'Verwerking Bouwdelen'!DQ33,$GN49*$GM49*'Verwerking Bouwdelen'!Y33)</f>
        <v>0</v>
      </c>
      <c r="GU49" s="208">
        <f>IF($GN49=1,$GN49*$GM49*'Verwerking Bouwdelen'!DR33,$GN49*$GM49*'Verwerking Bouwdelen'!Z33)</f>
        <v>0</v>
      </c>
      <c r="GV49" s="208">
        <f>IF($GN49=1,$GN49*$GM49*'Verwerking Bouwdelen'!DS33,$GN49*$GM49*'Verwerking Bouwdelen'!AA33)</f>
        <v>0</v>
      </c>
      <c r="GW49" s="208">
        <f>IF($GN49=1,$GN49*$GM49*'Verwerking Bouwdelen'!DT33,$GN49*$GM49*'Verwerking Bouwdelen'!AB33)</f>
        <v>0</v>
      </c>
      <c r="GX49" s="208">
        <f>IF($GN49=1,$GN49*$GM49*'Verwerking Bouwdelen'!DU33,$GN49*$GM49*'Verwerking Bouwdelen'!AC33)</f>
        <v>0</v>
      </c>
      <c r="GY49" s="208">
        <f>IF($GN49=1,$GN49*$GM49*'Verwerking Bouwdelen'!DV33,$GN49*$GM49*'Verwerking Bouwdelen'!AD33)</f>
        <v>0</v>
      </c>
      <c r="GZ49" s="208">
        <f>IF($GN49=1,$GN49*$GM49*'Verwerking Bouwdelen'!DW33,$GN49*$GM49*'Verwerking Bouwdelen'!AE33)</f>
        <v>0</v>
      </c>
      <c r="HB49" s="89">
        <f t="shared" si="4"/>
        <v>0</v>
      </c>
      <c r="HC49" s="89">
        <f t="shared" si="4"/>
        <v>0</v>
      </c>
      <c r="HD49" s="89">
        <f t="shared" si="4"/>
        <v>0</v>
      </c>
      <c r="HE49" s="89">
        <f t="shared" si="4"/>
        <v>0</v>
      </c>
      <c r="HF49" s="89">
        <f t="shared" si="4"/>
        <v>0</v>
      </c>
      <c r="HG49" s="89">
        <f t="shared" si="4"/>
        <v>0</v>
      </c>
      <c r="HH49" s="89">
        <f t="shared" si="4"/>
        <v>0</v>
      </c>
      <c r="HI49" s="89">
        <f t="shared" si="4"/>
        <v>0</v>
      </c>
      <c r="HJ49" s="89">
        <f t="shared" si="4"/>
        <v>0</v>
      </c>
      <c r="HK49" s="89">
        <f t="shared" si="4"/>
        <v>0</v>
      </c>
      <c r="HL49" s="89">
        <f t="shared" si="4"/>
        <v>0</v>
      </c>
      <c r="HM49" s="89">
        <f t="shared" si="4"/>
        <v>0</v>
      </c>
      <c r="HO49" s="256"/>
      <c r="HZ49" s="256"/>
    </row>
    <row r="50" spans="1:234" x14ac:dyDescent="0.2">
      <c r="A50" s="130">
        <f>IF('Verwerking Bouwdelen'!A34=2,1,0)</f>
        <v>0</v>
      </c>
      <c r="B50" s="208">
        <f>$A50*'Verwerking Bouwdelen'!T34</f>
        <v>0</v>
      </c>
      <c r="C50" s="208">
        <f>$A50*'Verwerking Bouwdelen'!U34</f>
        <v>0</v>
      </c>
      <c r="D50" s="208">
        <f>$A50*'Verwerking Bouwdelen'!V34</f>
        <v>0</v>
      </c>
      <c r="E50" s="208">
        <f>$A50*'Verwerking Bouwdelen'!W34</f>
        <v>0</v>
      </c>
      <c r="F50" s="208">
        <f>$A50*'Verwerking Bouwdelen'!X34</f>
        <v>0</v>
      </c>
      <c r="G50" s="208">
        <f>$A50*'Verwerking Bouwdelen'!Y34</f>
        <v>0</v>
      </c>
      <c r="H50" s="208">
        <f>$A50*'Verwerking Bouwdelen'!Z34</f>
        <v>0</v>
      </c>
      <c r="I50" s="208">
        <f>$A50*'Verwerking Bouwdelen'!AA34</f>
        <v>0</v>
      </c>
      <c r="J50" s="208">
        <f>$A50*'Verwerking Bouwdelen'!AB34</f>
        <v>0</v>
      </c>
      <c r="K50" s="208">
        <f>$A50*'Verwerking Bouwdelen'!AC34</f>
        <v>0</v>
      </c>
      <c r="L50" s="208">
        <f>$A50*'Verwerking Bouwdelen'!AD34</f>
        <v>0</v>
      </c>
      <c r="M50" s="208">
        <f>$A50*'Verwerking Bouwdelen'!AE34</f>
        <v>0</v>
      </c>
      <c r="O50" s="114">
        <f>$A50*'Verwerking Bouwdelen'!AU34</f>
        <v>0</v>
      </c>
      <c r="P50" s="125">
        <f>$A50*'Verwerking Bouwdelen'!AV34</f>
        <v>0</v>
      </c>
      <c r="Q50" s="125">
        <f>$A50*'Verwerking Bouwdelen'!AW34</f>
        <v>0</v>
      </c>
      <c r="R50" s="125">
        <f>$A50*'Verwerking Bouwdelen'!AX34</f>
        <v>0</v>
      </c>
      <c r="S50" s="125">
        <f>$A50*'Verwerking Bouwdelen'!AY34</f>
        <v>0</v>
      </c>
      <c r="T50" s="125">
        <f>$A50*'Verwerking Bouwdelen'!AZ34</f>
        <v>0</v>
      </c>
      <c r="U50" s="125">
        <f>$A50*'Verwerking Bouwdelen'!BA34</f>
        <v>0</v>
      </c>
      <c r="V50" s="125">
        <f>$A50*'Verwerking Bouwdelen'!BB34</f>
        <v>0</v>
      </c>
      <c r="W50" s="125">
        <f>$A50*'Verwerking Bouwdelen'!BC34</f>
        <v>0</v>
      </c>
      <c r="X50" s="125">
        <f>$A50*'Verwerking Bouwdelen'!BD34</f>
        <v>0</v>
      </c>
      <c r="Y50" s="125">
        <f>$A50*'Verwerking Bouwdelen'!BE34</f>
        <v>0</v>
      </c>
      <c r="Z50" s="195">
        <f>$A50*'Verwerking Bouwdelen'!BF34</f>
        <v>0</v>
      </c>
      <c r="AB50" s="125">
        <f>IF(OR('Verwerking Bouwdelen'!C34=3,'Verwerking Bouwdelen'!C34=6),1,0)</f>
        <v>0</v>
      </c>
      <c r="AC50" s="130">
        <f>IF('Verwerking Bouwdelen'!A34=2,1,0)</f>
        <v>0</v>
      </c>
      <c r="AD50" s="208">
        <f>IF($AB50=1,$AC50*'Verwerking Bouwdelen'!DL34,$AC50*'Verwerking Bouwdelen'!T34)</f>
        <v>0</v>
      </c>
      <c r="AE50" s="208">
        <f>IF($AB50=1,$AC50*'Verwerking Bouwdelen'!DM34,$AC50*'Verwerking Bouwdelen'!U34)</f>
        <v>0</v>
      </c>
      <c r="AF50" s="208">
        <f>IF($AB50=1,$AC50*'Verwerking Bouwdelen'!DN34,$AC50*'Verwerking Bouwdelen'!V34)</f>
        <v>0</v>
      </c>
      <c r="AG50" s="208">
        <f>IF($AB50=1,$AC50*'Verwerking Bouwdelen'!DO34,$AC50*'Verwerking Bouwdelen'!W34)</f>
        <v>0</v>
      </c>
      <c r="AH50" s="208">
        <f>IF($AB50=1,$AC50*'Verwerking Bouwdelen'!DP34,$AC50*'Verwerking Bouwdelen'!X34)</f>
        <v>0</v>
      </c>
      <c r="AI50" s="208">
        <f>IF($AB50=1,$AC50*'Verwerking Bouwdelen'!DQ34,$AC50*'Verwerking Bouwdelen'!Y34)</f>
        <v>0</v>
      </c>
      <c r="AJ50" s="208">
        <f>IF($AB50=1,$AC50*'Verwerking Bouwdelen'!DR34,$AC50*'Verwerking Bouwdelen'!Z34)</f>
        <v>0</v>
      </c>
      <c r="AK50" s="208">
        <f>IF($AB50=1,$AC50*'Verwerking Bouwdelen'!DS34,$AC50*'Verwerking Bouwdelen'!AA34)</f>
        <v>0</v>
      </c>
      <c r="AL50" s="208">
        <f>IF($AB50=1,$AC50*'Verwerking Bouwdelen'!DT34,$AC50*'Verwerking Bouwdelen'!AB34)</f>
        <v>0</v>
      </c>
      <c r="AM50" s="208">
        <f>IF($AB50=1,$AC50*'Verwerking Bouwdelen'!DU34,$AC50*'Verwerking Bouwdelen'!AC34)</f>
        <v>0</v>
      </c>
      <c r="AN50" s="208">
        <f>IF($AB50=1,$AC50*'Verwerking Bouwdelen'!DV34,$AC50*'Verwerking Bouwdelen'!AD34)</f>
        <v>0</v>
      </c>
      <c r="AO50" s="208">
        <f>IF($AB50=1,$AC50*'Verwerking Bouwdelen'!DW34,$AC50*'Verwerking Bouwdelen'!AE34)</f>
        <v>0</v>
      </c>
      <c r="AP50" s="10">
        <f>IF(AD50=B50,0,'Verwerking Bouwdelen'!D34*AB50*AC50)</f>
        <v>0</v>
      </c>
      <c r="AQ50" s="10">
        <f>AB50*AC50*'Verwerking Bouwdelen'!GH34</f>
        <v>0</v>
      </c>
      <c r="AR50" s="10"/>
      <c r="AS50" s="248"/>
      <c r="AT50" s="125">
        <f>IF('Verwerking Bouwdelen'!C34=4,1,0)</f>
        <v>0</v>
      </c>
      <c r="AU50" s="130">
        <f>IF('Verwerking Bouwdelen'!A34=2,1,0)</f>
        <v>0</v>
      </c>
      <c r="AV50" s="208">
        <f>IF($AT50=1,$AU50*'Verwerking Bouwdelen'!DL34,$AU50*'Verwerking Bouwdelen'!T34)</f>
        <v>0</v>
      </c>
      <c r="AW50" s="208">
        <f>IF($AT50=1,$AU50*'Verwerking Bouwdelen'!DM34,$AU50*'Verwerking Bouwdelen'!U34)</f>
        <v>0</v>
      </c>
      <c r="AX50" s="208">
        <f>IF($AT50=1,$AU50*'Verwerking Bouwdelen'!DN34,$AU50*'Verwerking Bouwdelen'!V34)</f>
        <v>0</v>
      </c>
      <c r="AY50" s="208">
        <f>IF($AT50=1,$AU50*'Verwerking Bouwdelen'!DO34,$AU50*'Verwerking Bouwdelen'!W34)</f>
        <v>0</v>
      </c>
      <c r="AZ50" s="208">
        <f>IF($AT50=1,$AU50*'Verwerking Bouwdelen'!DP34,$AU50*'Verwerking Bouwdelen'!X34)</f>
        <v>0</v>
      </c>
      <c r="BA50" s="208">
        <f>IF($AT50=1,$AU50*'Verwerking Bouwdelen'!DQ34,$AU50*'Verwerking Bouwdelen'!Y34)</f>
        <v>0</v>
      </c>
      <c r="BB50" s="208">
        <f>IF($AT50=1,$AU50*'Verwerking Bouwdelen'!DR34,$AU50*'Verwerking Bouwdelen'!Z34)</f>
        <v>0</v>
      </c>
      <c r="BC50" s="208">
        <f>IF($AT50=1,$AU50*'Verwerking Bouwdelen'!DS34,$AU50*'Verwerking Bouwdelen'!AA34)</f>
        <v>0</v>
      </c>
      <c r="BD50" s="208">
        <f>IF($AT50=1,$AU50*'Verwerking Bouwdelen'!DT34,$AU50*'Verwerking Bouwdelen'!AB34)</f>
        <v>0</v>
      </c>
      <c r="BE50" s="208">
        <f>IF($AT50=1,$AU50*'Verwerking Bouwdelen'!DU34,$AU50*'Verwerking Bouwdelen'!AC34)</f>
        <v>0</v>
      </c>
      <c r="BF50" s="208">
        <f>IF($AT50=1,$AU50*'Verwerking Bouwdelen'!DV34,$AU50*'Verwerking Bouwdelen'!AD34)</f>
        <v>0</v>
      </c>
      <c r="BG50" s="208">
        <f>IF($AT50=1,$AU50*'Verwerking Bouwdelen'!DW34,$AU50*'Verwerking Bouwdelen'!AE34)</f>
        <v>0</v>
      </c>
      <c r="BH50" s="10">
        <f>IF(AV50=B50,0,'Verwerking Bouwdelen'!D34*AT50*AU50)</f>
        <v>0</v>
      </c>
      <c r="BI50" s="10">
        <f>AT50*AU50*'Verwerking Bouwdelen'!GH34</f>
        <v>0</v>
      </c>
      <c r="BJ50" s="10"/>
      <c r="BK50" s="10"/>
      <c r="BM50" s="125">
        <f>IF('Verwerking Bouwdelen'!C34=5,1,0)</f>
        <v>0</v>
      </c>
      <c r="BN50" s="130">
        <f>IF('Verwerking Bouwdelen'!A34=2,1,0)</f>
        <v>0</v>
      </c>
      <c r="BO50" s="208">
        <f>IF($BM50=1,$BN50*'Verwerking Bouwdelen'!DL34,$BN50*'Verwerking Bouwdelen'!T34)</f>
        <v>0</v>
      </c>
      <c r="BP50" s="208">
        <f>IF($BM50=1,$BN50*'Verwerking Bouwdelen'!DM34,$BN50*'Verwerking Bouwdelen'!U34)</f>
        <v>0</v>
      </c>
      <c r="BQ50" s="208">
        <f>IF($BM50=1,$BN50*'Verwerking Bouwdelen'!DN34,$BN50*'Verwerking Bouwdelen'!V34)</f>
        <v>0</v>
      </c>
      <c r="BR50" s="208">
        <f>IF($BM50=1,$BN50*'Verwerking Bouwdelen'!DO34,$BN50*'Verwerking Bouwdelen'!W34)</f>
        <v>0</v>
      </c>
      <c r="BS50" s="208">
        <f>IF($BM50=1,$BN50*'Verwerking Bouwdelen'!DP34,$BN50*'Verwerking Bouwdelen'!X34)</f>
        <v>0</v>
      </c>
      <c r="BT50" s="208">
        <f>IF($BM50=1,$BN50*'Verwerking Bouwdelen'!DQ34,$BN50*'Verwerking Bouwdelen'!Y34)</f>
        <v>0</v>
      </c>
      <c r="BU50" s="208">
        <f>IF($BM50=1,$BN50*'Verwerking Bouwdelen'!DR34,$BN50*'Verwerking Bouwdelen'!Z34)</f>
        <v>0</v>
      </c>
      <c r="BV50" s="208">
        <f>IF($BM50=1,$BN50*'Verwerking Bouwdelen'!DS34,$BN50*'Verwerking Bouwdelen'!AA34)</f>
        <v>0</v>
      </c>
      <c r="BW50" s="208">
        <f>IF($BM50=1,$BN50*'Verwerking Bouwdelen'!DT34,$BN50*'Verwerking Bouwdelen'!AB34)</f>
        <v>0</v>
      </c>
      <c r="BX50" s="208">
        <f>IF($BM50=1,$BN50*'Verwerking Bouwdelen'!DU34,$BN50*'Verwerking Bouwdelen'!AC34)</f>
        <v>0</v>
      </c>
      <c r="BY50" s="208">
        <f>IF($BM50=1,$BN50*'Verwerking Bouwdelen'!DV34,$BN50*'Verwerking Bouwdelen'!AD34)</f>
        <v>0</v>
      </c>
      <c r="BZ50" s="208">
        <f>IF($BM50=1,$BN50*'Verwerking Bouwdelen'!DW34,$BN50*'Verwerking Bouwdelen'!AE34)</f>
        <v>0</v>
      </c>
      <c r="CA50" s="10">
        <f>IF(BO50=B50,0,'Verwerking Bouwdelen'!D34*BM50*BN50)</f>
        <v>0</v>
      </c>
      <c r="CB50" s="10">
        <f>BM50*BN50*'Verwerking Bouwdelen'!GH34</f>
        <v>0</v>
      </c>
      <c r="CC50" s="10"/>
      <c r="CD50" s="248"/>
      <c r="CE50" s="125">
        <f>IF('Verwerking Bouwdelen'!C34=2,1,0)</f>
        <v>0</v>
      </c>
      <c r="CF50" s="130">
        <f>IF('Verwerking Bouwdelen'!A34=2,1,0)</f>
        <v>0</v>
      </c>
      <c r="CG50" s="208">
        <f>IF($CE50=1,$CF50*'Verwerking Bouwdelen'!DL34,$CF50*'Verwerking Bouwdelen'!T34)</f>
        <v>0</v>
      </c>
      <c r="CH50" s="208">
        <f>IF($CE50=1,$CF50*'Verwerking Bouwdelen'!DM34,$CF50*'Verwerking Bouwdelen'!U34)</f>
        <v>0</v>
      </c>
      <c r="CI50" s="208">
        <f>IF($CE50=1,$CF50*'Verwerking Bouwdelen'!DN34,$CF50*'Verwerking Bouwdelen'!V34)</f>
        <v>0</v>
      </c>
      <c r="CJ50" s="208">
        <f>IF($CE50=1,$CF50*'Verwerking Bouwdelen'!DO34,$CF50*'Verwerking Bouwdelen'!W34)</f>
        <v>0</v>
      </c>
      <c r="CK50" s="208">
        <f>IF($CE50=1,$CF50*'Verwerking Bouwdelen'!DP34,$CF50*'Verwerking Bouwdelen'!X34)</f>
        <v>0</v>
      </c>
      <c r="CL50" s="208">
        <f>IF($CE50=1,$CF50*'Verwerking Bouwdelen'!DQ34,$CF50*'Verwerking Bouwdelen'!Y34)</f>
        <v>0</v>
      </c>
      <c r="CM50" s="208">
        <f>IF($CE50=1,$CF50*'Verwerking Bouwdelen'!DR34,$CF50*'Verwerking Bouwdelen'!Z34)</f>
        <v>0</v>
      </c>
      <c r="CN50" s="208">
        <f>IF($CE50=1,$CF50*'Verwerking Bouwdelen'!DS34,$CF50*'Verwerking Bouwdelen'!AA34)</f>
        <v>0</v>
      </c>
      <c r="CO50" s="208">
        <f>IF($CE50=1,$CF50*'Verwerking Bouwdelen'!DT34,$CF50*'Verwerking Bouwdelen'!AB34)</f>
        <v>0</v>
      </c>
      <c r="CP50" s="208">
        <f>IF($CE50=1,$CF50*'Verwerking Bouwdelen'!DU34,$CF50*'Verwerking Bouwdelen'!AC34)</f>
        <v>0</v>
      </c>
      <c r="CQ50" s="208">
        <f>IF($CE50=1,$CF50*'Verwerking Bouwdelen'!DV34,$CF50*'Verwerking Bouwdelen'!AD34)</f>
        <v>0</v>
      </c>
      <c r="CR50" s="208">
        <f>IF($CE50=1,$CF50*'Verwerking Bouwdelen'!DW34,$CF50*'Verwerking Bouwdelen'!AE34)</f>
        <v>0</v>
      </c>
      <c r="CS50" s="10">
        <f>IF(CG50=$B50,0,('Verwerking Bouwdelen'!$D34-'Verwerking Bouwdelen'!G34)*CE50*CF50)</f>
        <v>0</v>
      </c>
      <c r="CT50" s="260">
        <f>CE50*CF50*'Verwerking Bouwdelen'!GH34</f>
        <v>0</v>
      </c>
      <c r="CU50" s="261">
        <f>CE50*CF50*'Verwerking Bouwdelen'!GI34</f>
        <v>0</v>
      </c>
      <c r="CW50" s="209">
        <f>$AC50*'Verwerking Bouwdelen'!EE34</f>
        <v>0</v>
      </c>
      <c r="CX50" s="209">
        <f>$AC50*'Verwerking Bouwdelen'!EF34</f>
        <v>0</v>
      </c>
      <c r="CY50" s="209">
        <f>$AC50*'Verwerking Bouwdelen'!EG34</f>
        <v>0</v>
      </c>
      <c r="CZ50" s="209">
        <f>$AC50*'Verwerking Bouwdelen'!EH34</f>
        <v>0</v>
      </c>
      <c r="DA50" s="209">
        <f>$AC50*'Verwerking Bouwdelen'!EI34</f>
        <v>0</v>
      </c>
      <c r="DB50" s="209">
        <f>$AC50*'Verwerking Bouwdelen'!EJ34</f>
        <v>0</v>
      </c>
      <c r="DC50" s="209">
        <f>$AC50*'Verwerking Bouwdelen'!EK34</f>
        <v>0</v>
      </c>
      <c r="DD50" s="209">
        <f>$AC50*'Verwerking Bouwdelen'!EL34</f>
        <v>0</v>
      </c>
      <c r="DE50" s="209">
        <f>$AC50*'Verwerking Bouwdelen'!EM34</f>
        <v>0</v>
      </c>
      <c r="DF50" s="209">
        <f>$AC50*'Verwerking Bouwdelen'!EN34</f>
        <v>0</v>
      </c>
      <c r="DG50" s="209">
        <f>$AC50*'Verwerking Bouwdelen'!EO34</f>
        <v>0</v>
      </c>
      <c r="DH50" s="209">
        <f>$AC50*'Verwerking Bouwdelen'!EP34</f>
        <v>0</v>
      </c>
      <c r="DI50" s="10">
        <f>IF(CW50=$O50,0,'Verwerking Bouwdelen'!G34)</f>
        <v>0</v>
      </c>
      <c r="DJ50" s="259">
        <f>'Verwerking Bouwdelen'!GK34*CF50</f>
        <v>0</v>
      </c>
      <c r="DK50" s="259">
        <f>'Verwerking Bouwdelen'!GL34*CF50</f>
        <v>0</v>
      </c>
      <c r="DL50" s="125"/>
      <c r="GM50" s="89">
        <f t="shared" si="2"/>
        <v>0</v>
      </c>
      <c r="GN50" s="89">
        <f t="shared" si="3"/>
        <v>0</v>
      </c>
      <c r="GO50" s="208">
        <f>IF($GN50=1,$GN50*$GM50*'Verwerking Bouwdelen'!DL34,$GN50*$GM50*'Verwerking Bouwdelen'!T34)</f>
        <v>0</v>
      </c>
      <c r="GP50" s="208">
        <f>IF($GN50=1,$GN50*$GM50*'Verwerking Bouwdelen'!DM34,$GN50*$GM50*'Verwerking Bouwdelen'!U34)</f>
        <v>0</v>
      </c>
      <c r="GQ50" s="208">
        <f>IF($GN50=1,$GN50*$GM50*'Verwerking Bouwdelen'!DN34,$GN50*$GM50*'Verwerking Bouwdelen'!V34)</f>
        <v>0</v>
      </c>
      <c r="GR50" s="208">
        <f>IF($GN50=1,$GN50*$GM50*'Verwerking Bouwdelen'!DO34,$GN50*$GM50*'Verwerking Bouwdelen'!W34)</f>
        <v>0</v>
      </c>
      <c r="GS50" s="208">
        <f>IF($GN50=1,$GN50*$GM50*'Verwerking Bouwdelen'!DP34,$GN50*$GM50*'Verwerking Bouwdelen'!X34)</f>
        <v>0</v>
      </c>
      <c r="GT50" s="208">
        <f>IF($GN50=1,$GN50*$GM50*'Verwerking Bouwdelen'!DQ34,$GN50*$GM50*'Verwerking Bouwdelen'!Y34)</f>
        <v>0</v>
      </c>
      <c r="GU50" s="208">
        <f>IF($GN50=1,$GN50*$GM50*'Verwerking Bouwdelen'!DR34,$GN50*$GM50*'Verwerking Bouwdelen'!Z34)</f>
        <v>0</v>
      </c>
      <c r="GV50" s="208">
        <f>IF($GN50=1,$GN50*$GM50*'Verwerking Bouwdelen'!DS34,$GN50*$GM50*'Verwerking Bouwdelen'!AA34)</f>
        <v>0</v>
      </c>
      <c r="GW50" s="208">
        <f>IF($GN50=1,$GN50*$GM50*'Verwerking Bouwdelen'!DT34,$GN50*$GM50*'Verwerking Bouwdelen'!AB34)</f>
        <v>0</v>
      </c>
      <c r="GX50" s="208">
        <f>IF($GN50=1,$GN50*$GM50*'Verwerking Bouwdelen'!DU34,$GN50*$GM50*'Verwerking Bouwdelen'!AC34)</f>
        <v>0</v>
      </c>
      <c r="GY50" s="208">
        <f>IF($GN50=1,$GN50*$GM50*'Verwerking Bouwdelen'!DV34,$GN50*$GM50*'Verwerking Bouwdelen'!AD34)</f>
        <v>0</v>
      </c>
      <c r="GZ50" s="208">
        <f>IF($GN50=1,$GN50*$GM50*'Verwerking Bouwdelen'!DW34,$GN50*$GM50*'Verwerking Bouwdelen'!AE34)</f>
        <v>0</v>
      </c>
      <c r="HB50" s="89">
        <f t="shared" si="4"/>
        <v>0</v>
      </c>
      <c r="HC50" s="89">
        <f t="shared" si="4"/>
        <v>0</v>
      </c>
      <c r="HD50" s="89">
        <f t="shared" si="4"/>
        <v>0</v>
      </c>
      <c r="HE50" s="89">
        <f t="shared" si="4"/>
        <v>0</v>
      </c>
      <c r="HF50" s="89">
        <f t="shared" si="4"/>
        <v>0</v>
      </c>
      <c r="HG50" s="89">
        <f t="shared" si="4"/>
        <v>0</v>
      </c>
      <c r="HH50" s="89">
        <f t="shared" si="4"/>
        <v>0</v>
      </c>
      <c r="HI50" s="89">
        <f t="shared" si="4"/>
        <v>0</v>
      </c>
      <c r="HJ50" s="89">
        <f t="shared" si="4"/>
        <v>0</v>
      </c>
      <c r="HK50" s="89">
        <f t="shared" si="4"/>
        <v>0</v>
      </c>
      <c r="HL50" s="89">
        <f t="shared" si="4"/>
        <v>0</v>
      </c>
      <c r="HM50" s="89">
        <f t="shared" si="4"/>
        <v>0</v>
      </c>
      <c r="HO50" s="256"/>
      <c r="HZ50" s="256"/>
    </row>
    <row r="51" spans="1:234" x14ac:dyDescent="0.2">
      <c r="A51" s="130">
        <f>IF('Verwerking Bouwdelen'!A35=2,1,0)</f>
        <v>0</v>
      </c>
      <c r="B51" s="208">
        <f>$A51*'Verwerking Bouwdelen'!T35</f>
        <v>0</v>
      </c>
      <c r="C51" s="208">
        <f>$A51*'Verwerking Bouwdelen'!U35</f>
        <v>0</v>
      </c>
      <c r="D51" s="208">
        <f>$A51*'Verwerking Bouwdelen'!V35</f>
        <v>0</v>
      </c>
      <c r="E51" s="208">
        <f>$A51*'Verwerking Bouwdelen'!W35</f>
        <v>0</v>
      </c>
      <c r="F51" s="208">
        <f>$A51*'Verwerking Bouwdelen'!X35</f>
        <v>0</v>
      </c>
      <c r="G51" s="208">
        <f>$A51*'Verwerking Bouwdelen'!Y35</f>
        <v>0</v>
      </c>
      <c r="H51" s="208">
        <f>$A51*'Verwerking Bouwdelen'!Z35</f>
        <v>0</v>
      </c>
      <c r="I51" s="208">
        <f>$A51*'Verwerking Bouwdelen'!AA35</f>
        <v>0</v>
      </c>
      <c r="J51" s="208">
        <f>$A51*'Verwerking Bouwdelen'!AB35</f>
        <v>0</v>
      </c>
      <c r="K51" s="208">
        <f>$A51*'Verwerking Bouwdelen'!AC35</f>
        <v>0</v>
      </c>
      <c r="L51" s="208">
        <f>$A51*'Verwerking Bouwdelen'!AD35</f>
        <v>0</v>
      </c>
      <c r="M51" s="208">
        <f>$A51*'Verwerking Bouwdelen'!AE35</f>
        <v>0</v>
      </c>
      <c r="O51" s="114">
        <f>$A51*'Verwerking Bouwdelen'!AU35</f>
        <v>0</v>
      </c>
      <c r="P51" s="125">
        <f>$A51*'Verwerking Bouwdelen'!AV35</f>
        <v>0</v>
      </c>
      <c r="Q51" s="125">
        <f>$A51*'Verwerking Bouwdelen'!AW35</f>
        <v>0</v>
      </c>
      <c r="R51" s="125">
        <f>$A51*'Verwerking Bouwdelen'!AX35</f>
        <v>0</v>
      </c>
      <c r="S51" s="125">
        <f>$A51*'Verwerking Bouwdelen'!AY35</f>
        <v>0</v>
      </c>
      <c r="T51" s="125">
        <f>$A51*'Verwerking Bouwdelen'!AZ35</f>
        <v>0</v>
      </c>
      <c r="U51" s="125">
        <f>$A51*'Verwerking Bouwdelen'!BA35</f>
        <v>0</v>
      </c>
      <c r="V51" s="125">
        <f>$A51*'Verwerking Bouwdelen'!BB35</f>
        <v>0</v>
      </c>
      <c r="W51" s="125">
        <f>$A51*'Verwerking Bouwdelen'!BC35</f>
        <v>0</v>
      </c>
      <c r="X51" s="125">
        <f>$A51*'Verwerking Bouwdelen'!BD35</f>
        <v>0</v>
      </c>
      <c r="Y51" s="125">
        <f>$A51*'Verwerking Bouwdelen'!BE35</f>
        <v>0</v>
      </c>
      <c r="Z51" s="195">
        <f>$A51*'Verwerking Bouwdelen'!BF35</f>
        <v>0</v>
      </c>
      <c r="AB51" s="125">
        <f>IF(OR('Verwerking Bouwdelen'!C35=3,'Verwerking Bouwdelen'!C35=6),1,0)</f>
        <v>0</v>
      </c>
      <c r="AC51" s="130">
        <f>IF('Verwerking Bouwdelen'!A35=2,1,0)</f>
        <v>0</v>
      </c>
      <c r="AD51" s="208">
        <f>IF($AB51=1,$AC51*'Verwerking Bouwdelen'!DL35,$AC51*'Verwerking Bouwdelen'!T35)</f>
        <v>0</v>
      </c>
      <c r="AE51" s="208">
        <f>IF($AB51=1,$AC51*'Verwerking Bouwdelen'!DM35,$AC51*'Verwerking Bouwdelen'!U35)</f>
        <v>0</v>
      </c>
      <c r="AF51" s="208">
        <f>IF($AB51=1,$AC51*'Verwerking Bouwdelen'!DN35,$AC51*'Verwerking Bouwdelen'!V35)</f>
        <v>0</v>
      </c>
      <c r="AG51" s="208">
        <f>IF($AB51=1,$AC51*'Verwerking Bouwdelen'!DO35,$AC51*'Verwerking Bouwdelen'!W35)</f>
        <v>0</v>
      </c>
      <c r="AH51" s="208">
        <f>IF($AB51=1,$AC51*'Verwerking Bouwdelen'!DP35,$AC51*'Verwerking Bouwdelen'!X35)</f>
        <v>0</v>
      </c>
      <c r="AI51" s="208">
        <f>IF($AB51=1,$AC51*'Verwerking Bouwdelen'!DQ35,$AC51*'Verwerking Bouwdelen'!Y35)</f>
        <v>0</v>
      </c>
      <c r="AJ51" s="208">
        <f>IF($AB51=1,$AC51*'Verwerking Bouwdelen'!DR35,$AC51*'Verwerking Bouwdelen'!Z35)</f>
        <v>0</v>
      </c>
      <c r="AK51" s="208">
        <f>IF($AB51=1,$AC51*'Verwerking Bouwdelen'!DS35,$AC51*'Verwerking Bouwdelen'!AA35)</f>
        <v>0</v>
      </c>
      <c r="AL51" s="208">
        <f>IF($AB51=1,$AC51*'Verwerking Bouwdelen'!DT35,$AC51*'Verwerking Bouwdelen'!AB35)</f>
        <v>0</v>
      </c>
      <c r="AM51" s="208">
        <f>IF($AB51=1,$AC51*'Verwerking Bouwdelen'!DU35,$AC51*'Verwerking Bouwdelen'!AC35)</f>
        <v>0</v>
      </c>
      <c r="AN51" s="208">
        <f>IF($AB51=1,$AC51*'Verwerking Bouwdelen'!DV35,$AC51*'Verwerking Bouwdelen'!AD35)</f>
        <v>0</v>
      </c>
      <c r="AO51" s="208">
        <f>IF($AB51=1,$AC51*'Verwerking Bouwdelen'!DW35,$AC51*'Verwerking Bouwdelen'!AE35)</f>
        <v>0</v>
      </c>
      <c r="AP51" s="10">
        <f>IF(AD51=B51,0,'Verwerking Bouwdelen'!D35*AB51*AC51)</f>
        <v>0</v>
      </c>
      <c r="AQ51" s="10">
        <f>AB51*AC51*'Verwerking Bouwdelen'!GH35</f>
        <v>0</v>
      </c>
      <c r="AR51" s="10"/>
      <c r="AS51" s="248"/>
      <c r="AT51" s="125">
        <f>IF('Verwerking Bouwdelen'!C35=4,1,0)</f>
        <v>0</v>
      </c>
      <c r="AU51" s="130">
        <f>IF('Verwerking Bouwdelen'!A35=2,1,0)</f>
        <v>0</v>
      </c>
      <c r="AV51" s="208">
        <f>IF($AT51=1,$AU51*'Verwerking Bouwdelen'!DL35,$AU51*'Verwerking Bouwdelen'!T35)</f>
        <v>0</v>
      </c>
      <c r="AW51" s="208">
        <f>IF($AT51=1,$AU51*'Verwerking Bouwdelen'!DM35,$AU51*'Verwerking Bouwdelen'!U35)</f>
        <v>0</v>
      </c>
      <c r="AX51" s="208">
        <f>IF($AT51=1,$AU51*'Verwerking Bouwdelen'!DN35,$AU51*'Verwerking Bouwdelen'!V35)</f>
        <v>0</v>
      </c>
      <c r="AY51" s="208">
        <f>IF($AT51=1,$AU51*'Verwerking Bouwdelen'!DO35,$AU51*'Verwerking Bouwdelen'!W35)</f>
        <v>0</v>
      </c>
      <c r="AZ51" s="208">
        <f>IF($AT51=1,$AU51*'Verwerking Bouwdelen'!DP35,$AU51*'Verwerking Bouwdelen'!X35)</f>
        <v>0</v>
      </c>
      <c r="BA51" s="208">
        <f>IF($AT51=1,$AU51*'Verwerking Bouwdelen'!DQ35,$AU51*'Verwerking Bouwdelen'!Y35)</f>
        <v>0</v>
      </c>
      <c r="BB51" s="208">
        <f>IF($AT51=1,$AU51*'Verwerking Bouwdelen'!DR35,$AU51*'Verwerking Bouwdelen'!Z35)</f>
        <v>0</v>
      </c>
      <c r="BC51" s="208">
        <f>IF($AT51=1,$AU51*'Verwerking Bouwdelen'!DS35,$AU51*'Verwerking Bouwdelen'!AA35)</f>
        <v>0</v>
      </c>
      <c r="BD51" s="208">
        <f>IF($AT51=1,$AU51*'Verwerking Bouwdelen'!DT35,$AU51*'Verwerking Bouwdelen'!AB35)</f>
        <v>0</v>
      </c>
      <c r="BE51" s="208">
        <f>IF($AT51=1,$AU51*'Verwerking Bouwdelen'!DU35,$AU51*'Verwerking Bouwdelen'!AC35)</f>
        <v>0</v>
      </c>
      <c r="BF51" s="208">
        <f>IF($AT51=1,$AU51*'Verwerking Bouwdelen'!DV35,$AU51*'Verwerking Bouwdelen'!AD35)</f>
        <v>0</v>
      </c>
      <c r="BG51" s="208">
        <f>IF($AT51=1,$AU51*'Verwerking Bouwdelen'!DW35,$AU51*'Verwerking Bouwdelen'!AE35)</f>
        <v>0</v>
      </c>
      <c r="BH51" s="10">
        <f>IF(AV51=B51,0,'Verwerking Bouwdelen'!D35*AT51*AU51)</f>
        <v>0</v>
      </c>
      <c r="BI51" s="10">
        <f>AT51*AU51*'Verwerking Bouwdelen'!GH35</f>
        <v>0</v>
      </c>
      <c r="BJ51" s="10"/>
      <c r="BK51" s="10"/>
      <c r="BM51" s="125">
        <f>IF('Verwerking Bouwdelen'!C35=5,1,0)</f>
        <v>0</v>
      </c>
      <c r="BN51" s="130">
        <f>IF('Verwerking Bouwdelen'!A35=2,1,0)</f>
        <v>0</v>
      </c>
      <c r="BO51" s="208">
        <f>IF($BM51=1,$BN51*'Verwerking Bouwdelen'!DL35,$BN51*'Verwerking Bouwdelen'!T35)</f>
        <v>0</v>
      </c>
      <c r="BP51" s="208">
        <f>IF($BM51=1,$BN51*'Verwerking Bouwdelen'!DM35,$BN51*'Verwerking Bouwdelen'!U35)</f>
        <v>0</v>
      </c>
      <c r="BQ51" s="208">
        <f>IF($BM51=1,$BN51*'Verwerking Bouwdelen'!DN35,$BN51*'Verwerking Bouwdelen'!V35)</f>
        <v>0</v>
      </c>
      <c r="BR51" s="208">
        <f>IF($BM51=1,$BN51*'Verwerking Bouwdelen'!DO35,$BN51*'Verwerking Bouwdelen'!W35)</f>
        <v>0</v>
      </c>
      <c r="BS51" s="208">
        <f>IF($BM51=1,$BN51*'Verwerking Bouwdelen'!DP35,$BN51*'Verwerking Bouwdelen'!X35)</f>
        <v>0</v>
      </c>
      <c r="BT51" s="208">
        <f>IF($BM51=1,$BN51*'Verwerking Bouwdelen'!DQ35,$BN51*'Verwerking Bouwdelen'!Y35)</f>
        <v>0</v>
      </c>
      <c r="BU51" s="208">
        <f>IF($BM51=1,$BN51*'Verwerking Bouwdelen'!DR35,$BN51*'Verwerking Bouwdelen'!Z35)</f>
        <v>0</v>
      </c>
      <c r="BV51" s="208">
        <f>IF($BM51=1,$BN51*'Verwerking Bouwdelen'!DS35,$BN51*'Verwerking Bouwdelen'!AA35)</f>
        <v>0</v>
      </c>
      <c r="BW51" s="208">
        <f>IF($BM51=1,$BN51*'Verwerking Bouwdelen'!DT35,$BN51*'Verwerking Bouwdelen'!AB35)</f>
        <v>0</v>
      </c>
      <c r="BX51" s="208">
        <f>IF($BM51=1,$BN51*'Verwerking Bouwdelen'!DU35,$BN51*'Verwerking Bouwdelen'!AC35)</f>
        <v>0</v>
      </c>
      <c r="BY51" s="208">
        <f>IF($BM51=1,$BN51*'Verwerking Bouwdelen'!DV35,$BN51*'Verwerking Bouwdelen'!AD35)</f>
        <v>0</v>
      </c>
      <c r="BZ51" s="208">
        <f>IF($BM51=1,$BN51*'Verwerking Bouwdelen'!DW35,$BN51*'Verwerking Bouwdelen'!AE35)</f>
        <v>0</v>
      </c>
      <c r="CA51" s="10">
        <f>IF(BO51=B51,0,'Verwerking Bouwdelen'!D35*BM51*BN51)</f>
        <v>0</v>
      </c>
      <c r="CB51" s="10">
        <f>BM51*BN51*'Verwerking Bouwdelen'!GH35</f>
        <v>0</v>
      </c>
      <c r="CC51" s="10"/>
      <c r="CD51" s="248"/>
      <c r="CE51" s="125">
        <f>IF('Verwerking Bouwdelen'!C35=2,1,0)</f>
        <v>0</v>
      </c>
      <c r="CF51" s="130">
        <f>IF('Verwerking Bouwdelen'!A35=2,1,0)</f>
        <v>0</v>
      </c>
      <c r="CG51" s="208">
        <f>IF($CE51=1,$CF51*'Verwerking Bouwdelen'!DL35,$CF51*'Verwerking Bouwdelen'!T35)</f>
        <v>0</v>
      </c>
      <c r="CH51" s="208">
        <f>IF($CE51=1,$CF51*'Verwerking Bouwdelen'!DM35,$CF51*'Verwerking Bouwdelen'!U35)</f>
        <v>0</v>
      </c>
      <c r="CI51" s="208">
        <f>IF($CE51=1,$CF51*'Verwerking Bouwdelen'!DN35,$CF51*'Verwerking Bouwdelen'!V35)</f>
        <v>0</v>
      </c>
      <c r="CJ51" s="208">
        <f>IF($CE51=1,$CF51*'Verwerking Bouwdelen'!DO35,$CF51*'Verwerking Bouwdelen'!W35)</f>
        <v>0</v>
      </c>
      <c r="CK51" s="208">
        <f>IF($CE51=1,$CF51*'Verwerking Bouwdelen'!DP35,$CF51*'Verwerking Bouwdelen'!X35)</f>
        <v>0</v>
      </c>
      <c r="CL51" s="208">
        <f>IF($CE51=1,$CF51*'Verwerking Bouwdelen'!DQ35,$CF51*'Verwerking Bouwdelen'!Y35)</f>
        <v>0</v>
      </c>
      <c r="CM51" s="208">
        <f>IF($CE51=1,$CF51*'Verwerking Bouwdelen'!DR35,$CF51*'Verwerking Bouwdelen'!Z35)</f>
        <v>0</v>
      </c>
      <c r="CN51" s="208">
        <f>IF($CE51=1,$CF51*'Verwerking Bouwdelen'!DS35,$CF51*'Verwerking Bouwdelen'!AA35)</f>
        <v>0</v>
      </c>
      <c r="CO51" s="208">
        <f>IF($CE51=1,$CF51*'Verwerking Bouwdelen'!DT35,$CF51*'Verwerking Bouwdelen'!AB35)</f>
        <v>0</v>
      </c>
      <c r="CP51" s="208">
        <f>IF($CE51=1,$CF51*'Verwerking Bouwdelen'!DU35,$CF51*'Verwerking Bouwdelen'!AC35)</f>
        <v>0</v>
      </c>
      <c r="CQ51" s="208">
        <f>IF($CE51=1,$CF51*'Verwerking Bouwdelen'!DV35,$CF51*'Verwerking Bouwdelen'!AD35)</f>
        <v>0</v>
      </c>
      <c r="CR51" s="208">
        <f>IF($CE51=1,$CF51*'Verwerking Bouwdelen'!DW35,$CF51*'Verwerking Bouwdelen'!AE35)</f>
        <v>0</v>
      </c>
      <c r="CS51" s="10">
        <f>IF(CG51=$B51,0,('Verwerking Bouwdelen'!$D35-'Verwerking Bouwdelen'!G35)*CE51*CF51)</f>
        <v>0</v>
      </c>
      <c r="CT51" s="260">
        <f>CE51*CF51*'Verwerking Bouwdelen'!GH35</f>
        <v>0</v>
      </c>
      <c r="CU51" s="261">
        <f>CE51*CF51*'Verwerking Bouwdelen'!GI35</f>
        <v>0</v>
      </c>
      <c r="CW51" s="209">
        <f>$AC51*'Verwerking Bouwdelen'!EE35</f>
        <v>0</v>
      </c>
      <c r="CX51" s="209">
        <f>$AC51*'Verwerking Bouwdelen'!EF35</f>
        <v>0</v>
      </c>
      <c r="CY51" s="209">
        <f>$AC51*'Verwerking Bouwdelen'!EG35</f>
        <v>0</v>
      </c>
      <c r="CZ51" s="209">
        <f>$AC51*'Verwerking Bouwdelen'!EH35</f>
        <v>0</v>
      </c>
      <c r="DA51" s="209">
        <f>$AC51*'Verwerking Bouwdelen'!EI35</f>
        <v>0</v>
      </c>
      <c r="DB51" s="209">
        <f>$AC51*'Verwerking Bouwdelen'!EJ35</f>
        <v>0</v>
      </c>
      <c r="DC51" s="209">
        <f>$AC51*'Verwerking Bouwdelen'!EK35</f>
        <v>0</v>
      </c>
      <c r="DD51" s="209">
        <f>$AC51*'Verwerking Bouwdelen'!EL35</f>
        <v>0</v>
      </c>
      <c r="DE51" s="209">
        <f>$AC51*'Verwerking Bouwdelen'!EM35</f>
        <v>0</v>
      </c>
      <c r="DF51" s="209">
        <f>$AC51*'Verwerking Bouwdelen'!EN35</f>
        <v>0</v>
      </c>
      <c r="DG51" s="209">
        <f>$AC51*'Verwerking Bouwdelen'!EO35</f>
        <v>0</v>
      </c>
      <c r="DH51" s="209">
        <f>$AC51*'Verwerking Bouwdelen'!EP35</f>
        <v>0</v>
      </c>
      <c r="DI51" s="10">
        <f>IF(CW51=$O51,0,'Verwerking Bouwdelen'!G35)</f>
        <v>0</v>
      </c>
      <c r="DJ51" s="259">
        <f>'Verwerking Bouwdelen'!GK35*CF51</f>
        <v>0</v>
      </c>
      <c r="DK51" s="259">
        <f>'Verwerking Bouwdelen'!GL35*CF51</f>
        <v>0</v>
      </c>
      <c r="DL51" s="125"/>
      <c r="GM51" s="89">
        <f t="shared" si="2"/>
        <v>0</v>
      </c>
      <c r="GN51" s="89">
        <f t="shared" si="3"/>
        <v>0</v>
      </c>
      <c r="GO51" s="208">
        <f>IF($GN51=1,$GN51*$GM51*'Verwerking Bouwdelen'!DL35,$GN51*$GM51*'Verwerking Bouwdelen'!T35)</f>
        <v>0</v>
      </c>
      <c r="GP51" s="208">
        <f>IF($GN51=1,$GN51*$GM51*'Verwerking Bouwdelen'!DM35,$GN51*$GM51*'Verwerking Bouwdelen'!U35)</f>
        <v>0</v>
      </c>
      <c r="GQ51" s="208">
        <f>IF($GN51=1,$GN51*$GM51*'Verwerking Bouwdelen'!DN35,$GN51*$GM51*'Verwerking Bouwdelen'!V35)</f>
        <v>0</v>
      </c>
      <c r="GR51" s="208">
        <f>IF($GN51=1,$GN51*$GM51*'Verwerking Bouwdelen'!DO35,$GN51*$GM51*'Verwerking Bouwdelen'!W35)</f>
        <v>0</v>
      </c>
      <c r="GS51" s="208">
        <f>IF($GN51=1,$GN51*$GM51*'Verwerking Bouwdelen'!DP35,$GN51*$GM51*'Verwerking Bouwdelen'!X35)</f>
        <v>0</v>
      </c>
      <c r="GT51" s="208">
        <f>IF($GN51=1,$GN51*$GM51*'Verwerking Bouwdelen'!DQ35,$GN51*$GM51*'Verwerking Bouwdelen'!Y35)</f>
        <v>0</v>
      </c>
      <c r="GU51" s="208">
        <f>IF($GN51=1,$GN51*$GM51*'Verwerking Bouwdelen'!DR35,$GN51*$GM51*'Verwerking Bouwdelen'!Z35)</f>
        <v>0</v>
      </c>
      <c r="GV51" s="208">
        <f>IF($GN51=1,$GN51*$GM51*'Verwerking Bouwdelen'!DS35,$GN51*$GM51*'Verwerking Bouwdelen'!AA35)</f>
        <v>0</v>
      </c>
      <c r="GW51" s="208">
        <f>IF($GN51=1,$GN51*$GM51*'Verwerking Bouwdelen'!DT35,$GN51*$GM51*'Verwerking Bouwdelen'!AB35)</f>
        <v>0</v>
      </c>
      <c r="GX51" s="208">
        <f>IF($GN51=1,$GN51*$GM51*'Verwerking Bouwdelen'!DU35,$GN51*$GM51*'Verwerking Bouwdelen'!AC35)</f>
        <v>0</v>
      </c>
      <c r="GY51" s="208">
        <f>IF($GN51=1,$GN51*$GM51*'Verwerking Bouwdelen'!DV35,$GN51*$GM51*'Verwerking Bouwdelen'!AD35)</f>
        <v>0</v>
      </c>
      <c r="GZ51" s="208">
        <f>IF($GN51=1,$GN51*$GM51*'Verwerking Bouwdelen'!DW35,$GN51*$GM51*'Verwerking Bouwdelen'!AE35)</f>
        <v>0</v>
      </c>
      <c r="HB51" s="89">
        <f t="shared" si="4"/>
        <v>0</v>
      </c>
      <c r="HC51" s="89">
        <f t="shared" si="4"/>
        <v>0</v>
      </c>
      <c r="HD51" s="89">
        <f t="shared" si="4"/>
        <v>0</v>
      </c>
      <c r="HE51" s="89">
        <f t="shared" si="4"/>
        <v>0</v>
      </c>
      <c r="HF51" s="89">
        <f t="shared" si="4"/>
        <v>0</v>
      </c>
      <c r="HG51" s="89">
        <f t="shared" si="4"/>
        <v>0</v>
      </c>
      <c r="HH51" s="89">
        <f t="shared" si="4"/>
        <v>0</v>
      </c>
      <c r="HI51" s="89">
        <f t="shared" si="4"/>
        <v>0</v>
      </c>
      <c r="HJ51" s="89">
        <f t="shared" si="4"/>
        <v>0</v>
      </c>
      <c r="HK51" s="89">
        <f t="shared" si="4"/>
        <v>0</v>
      </c>
      <c r="HL51" s="89">
        <f t="shared" si="4"/>
        <v>0</v>
      </c>
      <c r="HM51" s="89">
        <f t="shared" si="4"/>
        <v>0</v>
      </c>
      <c r="HO51" s="256"/>
      <c r="HZ51" s="256"/>
    </row>
    <row r="52" spans="1:234" x14ac:dyDescent="0.2">
      <c r="A52" s="130">
        <f>IF('Verwerking Bouwdelen'!A36=2,1,0)</f>
        <v>0</v>
      </c>
      <c r="B52" s="208">
        <f>$A52*'Verwerking Bouwdelen'!T36</f>
        <v>0</v>
      </c>
      <c r="C52" s="208">
        <f>$A52*'Verwerking Bouwdelen'!U36</f>
        <v>0</v>
      </c>
      <c r="D52" s="208">
        <f>$A52*'Verwerking Bouwdelen'!V36</f>
        <v>0</v>
      </c>
      <c r="E52" s="208">
        <f>$A52*'Verwerking Bouwdelen'!W36</f>
        <v>0</v>
      </c>
      <c r="F52" s="208">
        <f>$A52*'Verwerking Bouwdelen'!X36</f>
        <v>0</v>
      </c>
      <c r="G52" s="208">
        <f>$A52*'Verwerking Bouwdelen'!Y36</f>
        <v>0</v>
      </c>
      <c r="H52" s="208">
        <f>$A52*'Verwerking Bouwdelen'!Z36</f>
        <v>0</v>
      </c>
      <c r="I52" s="208">
        <f>$A52*'Verwerking Bouwdelen'!AA36</f>
        <v>0</v>
      </c>
      <c r="J52" s="208">
        <f>$A52*'Verwerking Bouwdelen'!AB36</f>
        <v>0</v>
      </c>
      <c r="K52" s="208">
        <f>$A52*'Verwerking Bouwdelen'!AC36</f>
        <v>0</v>
      </c>
      <c r="L52" s="208">
        <f>$A52*'Verwerking Bouwdelen'!AD36</f>
        <v>0</v>
      </c>
      <c r="M52" s="208">
        <f>$A52*'Verwerking Bouwdelen'!AE36</f>
        <v>0</v>
      </c>
      <c r="O52" s="114">
        <f>$A52*'Verwerking Bouwdelen'!AU36</f>
        <v>0</v>
      </c>
      <c r="P52" s="125">
        <f>$A52*'Verwerking Bouwdelen'!AV36</f>
        <v>0</v>
      </c>
      <c r="Q52" s="125">
        <f>$A52*'Verwerking Bouwdelen'!AW36</f>
        <v>0</v>
      </c>
      <c r="R52" s="125">
        <f>$A52*'Verwerking Bouwdelen'!AX36</f>
        <v>0</v>
      </c>
      <c r="S52" s="125">
        <f>$A52*'Verwerking Bouwdelen'!AY36</f>
        <v>0</v>
      </c>
      <c r="T52" s="125">
        <f>$A52*'Verwerking Bouwdelen'!AZ36</f>
        <v>0</v>
      </c>
      <c r="U52" s="125">
        <f>$A52*'Verwerking Bouwdelen'!BA36</f>
        <v>0</v>
      </c>
      <c r="V52" s="125">
        <f>$A52*'Verwerking Bouwdelen'!BB36</f>
        <v>0</v>
      </c>
      <c r="W52" s="125">
        <f>$A52*'Verwerking Bouwdelen'!BC36</f>
        <v>0</v>
      </c>
      <c r="X52" s="125">
        <f>$A52*'Verwerking Bouwdelen'!BD36</f>
        <v>0</v>
      </c>
      <c r="Y52" s="125">
        <f>$A52*'Verwerking Bouwdelen'!BE36</f>
        <v>0</v>
      </c>
      <c r="Z52" s="195">
        <f>$A52*'Verwerking Bouwdelen'!BF36</f>
        <v>0</v>
      </c>
      <c r="AB52" s="125">
        <f>IF(OR('Verwerking Bouwdelen'!C36=3,'Verwerking Bouwdelen'!C36=6),1,0)</f>
        <v>0</v>
      </c>
      <c r="AC52" s="130">
        <f>IF('Verwerking Bouwdelen'!A36=2,1,0)</f>
        <v>0</v>
      </c>
      <c r="AD52" s="208">
        <f>IF($AB52=1,$AC52*'Verwerking Bouwdelen'!DL36,$AC52*'Verwerking Bouwdelen'!T36)</f>
        <v>0</v>
      </c>
      <c r="AE52" s="208">
        <f>IF($AB52=1,$AC52*'Verwerking Bouwdelen'!DM36,$AC52*'Verwerking Bouwdelen'!U36)</f>
        <v>0</v>
      </c>
      <c r="AF52" s="208">
        <f>IF($AB52=1,$AC52*'Verwerking Bouwdelen'!DN36,$AC52*'Verwerking Bouwdelen'!V36)</f>
        <v>0</v>
      </c>
      <c r="AG52" s="208">
        <f>IF($AB52=1,$AC52*'Verwerking Bouwdelen'!DO36,$AC52*'Verwerking Bouwdelen'!W36)</f>
        <v>0</v>
      </c>
      <c r="AH52" s="208">
        <f>IF($AB52=1,$AC52*'Verwerking Bouwdelen'!DP36,$AC52*'Verwerking Bouwdelen'!X36)</f>
        <v>0</v>
      </c>
      <c r="AI52" s="208">
        <f>IF($AB52=1,$AC52*'Verwerking Bouwdelen'!DQ36,$AC52*'Verwerking Bouwdelen'!Y36)</f>
        <v>0</v>
      </c>
      <c r="AJ52" s="208">
        <f>IF($AB52=1,$AC52*'Verwerking Bouwdelen'!DR36,$AC52*'Verwerking Bouwdelen'!Z36)</f>
        <v>0</v>
      </c>
      <c r="AK52" s="208">
        <f>IF($AB52=1,$AC52*'Verwerking Bouwdelen'!DS36,$AC52*'Verwerking Bouwdelen'!AA36)</f>
        <v>0</v>
      </c>
      <c r="AL52" s="208">
        <f>IF($AB52=1,$AC52*'Verwerking Bouwdelen'!DT36,$AC52*'Verwerking Bouwdelen'!AB36)</f>
        <v>0</v>
      </c>
      <c r="AM52" s="208">
        <f>IF($AB52=1,$AC52*'Verwerking Bouwdelen'!DU36,$AC52*'Verwerking Bouwdelen'!AC36)</f>
        <v>0</v>
      </c>
      <c r="AN52" s="208">
        <f>IF($AB52=1,$AC52*'Verwerking Bouwdelen'!DV36,$AC52*'Verwerking Bouwdelen'!AD36)</f>
        <v>0</v>
      </c>
      <c r="AO52" s="208">
        <f>IF($AB52=1,$AC52*'Verwerking Bouwdelen'!DW36,$AC52*'Verwerking Bouwdelen'!AE36)</f>
        <v>0</v>
      </c>
      <c r="AP52" s="10">
        <f>IF(AD52=B52,0,'Verwerking Bouwdelen'!D36*AB52*AC52)</f>
        <v>0</v>
      </c>
      <c r="AQ52" s="10">
        <f>AB52*AC52*'Verwerking Bouwdelen'!GH36</f>
        <v>0</v>
      </c>
      <c r="AR52" s="10"/>
      <c r="AS52" s="248"/>
      <c r="AT52" s="125">
        <f>IF('Verwerking Bouwdelen'!C36=4,1,0)</f>
        <v>0</v>
      </c>
      <c r="AU52" s="130">
        <f>IF('Verwerking Bouwdelen'!A36=2,1,0)</f>
        <v>0</v>
      </c>
      <c r="AV52" s="208">
        <f>IF($AT52=1,$AU52*'Verwerking Bouwdelen'!DL36,$AU52*'Verwerking Bouwdelen'!T36)</f>
        <v>0</v>
      </c>
      <c r="AW52" s="208">
        <f>IF($AT52=1,$AU52*'Verwerking Bouwdelen'!DM36,$AU52*'Verwerking Bouwdelen'!U36)</f>
        <v>0</v>
      </c>
      <c r="AX52" s="208">
        <f>IF($AT52=1,$AU52*'Verwerking Bouwdelen'!DN36,$AU52*'Verwerking Bouwdelen'!V36)</f>
        <v>0</v>
      </c>
      <c r="AY52" s="208">
        <f>IF($AT52=1,$AU52*'Verwerking Bouwdelen'!DO36,$AU52*'Verwerking Bouwdelen'!W36)</f>
        <v>0</v>
      </c>
      <c r="AZ52" s="208">
        <f>IF($AT52=1,$AU52*'Verwerking Bouwdelen'!DP36,$AU52*'Verwerking Bouwdelen'!X36)</f>
        <v>0</v>
      </c>
      <c r="BA52" s="208">
        <f>IF($AT52=1,$AU52*'Verwerking Bouwdelen'!DQ36,$AU52*'Verwerking Bouwdelen'!Y36)</f>
        <v>0</v>
      </c>
      <c r="BB52" s="208">
        <f>IF($AT52=1,$AU52*'Verwerking Bouwdelen'!DR36,$AU52*'Verwerking Bouwdelen'!Z36)</f>
        <v>0</v>
      </c>
      <c r="BC52" s="208">
        <f>IF($AT52=1,$AU52*'Verwerking Bouwdelen'!DS36,$AU52*'Verwerking Bouwdelen'!AA36)</f>
        <v>0</v>
      </c>
      <c r="BD52" s="208">
        <f>IF($AT52=1,$AU52*'Verwerking Bouwdelen'!DT36,$AU52*'Verwerking Bouwdelen'!AB36)</f>
        <v>0</v>
      </c>
      <c r="BE52" s="208">
        <f>IF($AT52=1,$AU52*'Verwerking Bouwdelen'!DU36,$AU52*'Verwerking Bouwdelen'!AC36)</f>
        <v>0</v>
      </c>
      <c r="BF52" s="208">
        <f>IF($AT52=1,$AU52*'Verwerking Bouwdelen'!DV36,$AU52*'Verwerking Bouwdelen'!AD36)</f>
        <v>0</v>
      </c>
      <c r="BG52" s="208">
        <f>IF($AT52=1,$AU52*'Verwerking Bouwdelen'!DW36,$AU52*'Verwerking Bouwdelen'!AE36)</f>
        <v>0</v>
      </c>
      <c r="BH52" s="10">
        <f>IF(AV52=B52,0,'Verwerking Bouwdelen'!D36*AT52*AU52)</f>
        <v>0</v>
      </c>
      <c r="BI52" s="10">
        <f>AT52*AU52*'Verwerking Bouwdelen'!GH36</f>
        <v>0</v>
      </c>
      <c r="BJ52" s="10"/>
      <c r="BK52" s="10"/>
      <c r="BM52" s="125">
        <f>IF('Verwerking Bouwdelen'!C36=5,1,0)</f>
        <v>0</v>
      </c>
      <c r="BN52" s="130">
        <f>IF('Verwerking Bouwdelen'!A36=2,1,0)</f>
        <v>0</v>
      </c>
      <c r="BO52" s="208">
        <f>IF($BM52=1,$BN52*'Verwerking Bouwdelen'!DL36,$BN52*'Verwerking Bouwdelen'!T36)</f>
        <v>0</v>
      </c>
      <c r="BP52" s="208">
        <f>IF($BM52=1,$BN52*'Verwerking Bouwdelen'!DM36,$BN52*'Verwerking Bouwdelen'!U36)</f>
        <v>0</v>
      </c>
      <c r="BQ52" s="208">
        <f>IF($BM52=1,$BN52*'Verwerking Bouwdelen'!DN36,$BN52*'Verwerking Bouwdelen'!V36)</f>
        <v>0</v>
      </c>
      <c r="BR52" s="208">
        <f>IF($BM52=1,$BN52*'Verwerking Bouwdelen'!DO36,$BN52*'Verwerking Bouwdelen'!W36)</f>
        <v>0</v>
      </c>
      <c r="BS52" s="208">
        <f>IF($BM52=1,$BN52*'Verwerking Bouwdelen'!DP36,$BN52*'Verwerking Bouwdelen'!X36)</f>
        <v>0</v>
      </c>
      <c r="BT52" s="208">
        <f>IF($BM52=1,$BN52*'Verwerking Bouwdelen'!DQ36,$BN52*'Verwerking Bouwdelen'!Y36)</f>
        <v>0</v>
      </c>
      <c r="BU52" s="208">
        <f>IF($BM52=1,$BN52*'Verwerking Bouwdelen'!DR36,$BN52*'Verwerking Bouwdelen'!Z36)</f>
        <v>0</v>
      </c>
      <c r="BV52" s="208">
        <f>IF($BM52=1,$BN52*'Verwerking Bouwdelen'!DS36,$BN52*'Verwerking Bouwdelen'!AA36)</f>
        <v>0</v>
      </c>
      <c r="BW52" s="208">
        <f>IF($BM52=1,$BN52*'Verwerking Bouwdelen'!DT36,$BN52*'Verwerking Bouwdelen'!AB36)</f>
        <v>0</v>
      </c>
      <c r="BX52" s="208">
        <f>IF($BM52=1,$BN52*'Verwerking Bouwdelen'!DU36,$BN52*'Verwerking Bouwdelen'!AC36)</f>
        <v>0</v>
      </c>
      <c r="BY52" s="208">
        <f>IF($BM52=1,$BN52*'Verwerking Bouwdelen'!DV36,$BN52*'Verwerking Bouwdelen'!AD36)</f>
        <v>0</v>
      </c>
      <c r="BZ52" s="208">
        <f>IF($BM52=1,$BN52*'Verwerking Bouwdelen'!DW36,$BN52*'Verwerking Bouwdelen'!AE36)</f>
        <v>0</v>
      </c>
      <c r="CA52" s="10">
        <f>IF(BO52=B52,0,'Verwerking Bouwdelen'!D36*BM52*BN52)</f>
        <v>0</v>
      </c>
      <c r="CB52" s="10">
        <f>BM52*BN52*'Verwerking Bouwdelen'!GH36</f>
        <v>0</v>
      </c>
      <c r="CC52" s="10"/>
      <c r="CD52" s="248"/>
      <c r="CE52" s="125">
        <f>IF('Verwerking Bouwdelen'!C36=2,1,0)</f>
        <v>0</v>
      </c>
      <c r="CF52" s="130">
        <f>IF('Verwerking Bouwdelen'!A36=2,1,0)</f>
        <v>0</v>
      </c>
      <c r="CG52" s="208">
        <f>IF($CE52=1,$CF52*'Verwerking Bouwdelen'!DL36,$CF52*'Verwerking Bouwdelen'!T36)</f>
        <v>0</v>
      </c>
      <c r="CH52" s="208">
        <f>IF($CE52=1,$CF52*'Verwerking Bouwdelen'!DM36,$CF52*'Verwerking Bouwdelen'!U36)</f>
        <v>0</v>
      </c>
      <c r="CI52" s="208">
        <f>IF($CE52=1,$CF52*'Verwerking Bouwdelen'!DN36,$CF52*'Verwerking Bouwdelen'!V36)</f>
        <v>0</v>
      </c>
      <c r="CJ52" s="208">
        <f>IF($CE52=1,$CF52*'Verwerking Bouwdelen'!DO36,$CF52*'Verwerking Bouwdelen'!W36)</f>
        <v>0</v>
      </c>
      <c r="CK52" s="208">
        <f>IF($CE52=1,$CF52*'Verwerking Bouwdelen'!DP36,$CF52*'Verwerking Bouwdelen'!X36)</f>
        <v>0</v>
      </c>
      <c r="CL52" s="208">
        <f>IF($CE52=1,$CF52*'Verwerking Bouwdelen'!DQ36,$CF52*'Verwerking Bouwdelen'!Y36)</f>
        <v>0</v>
      </c>
      <c r="CM52" s="208">
        <f>IF($CE52=1,$CF52*'Verwerking Bouwdelen'!DR36,$CF52*'Verwerking Bouwdelen'!Z36)</f>
        <v>0</v>
      </c>
      <c r="CN52" s="208">
        <f>IF($CE52=1,$CF52*'Verwerking Bouwdelen'!DS36,$CF52*'Verwerking Bouwdelen'!AA36)</f>
        <v>0</v>
      </c>
      <c r="CO52" s="208">
        <f>IF($CE52=1,$CF52*'Verwerking Bouwdelen'!DT36,$CF52*'Verwerking Bouwdelen'!AB36)</f>
        <v>0</v>
      </c>
      <c r="CP52" s="208">
        <f>IF($CE52=1,$CF52*'Verwerking Bouwdelen'!DU36,$CF52*'Verwerking Bouwdelen'!AC36)</f>
        <v>0</v>
      </c>
      <c r="CQ52" s="208">
        <f>IF($CE52=1,$CF52*'Verwerking Bouwdelen'!DV36,$CF52*'Verwerking Bouwdelen'!AD36)</f>
        <v>0</v>
      </c>
      <c r="CR52" s="208">
        <f>IF($CE52=1,$CF52*'Verwerking Bouwdelen'!DW36,$CF52*'Verwerking Bouwdelen'!AE36)</f>
        <v>0</v>
      </c>
      <c r="CS52" s="10">
        <f>IF(CG52=$B52,0,('Verwerking Bouwdelen'!$D36-'Verwerking Bouwdelen'!G36)*CE52*CF52)</f>
        <v>0</v>
      </c>
      <c r="CT52" s="260">
        <f>CE52*CF52*'Verwerking Bouwdelen'!GH36</f>
        <v>0</v>
      </c>
      <c r="CU52" s="261">
        <f>CE52*CF52*'Verwerking Bouwdelen'!GI36</f>
        <v>0</v>
      </c>
      <c r="CW52" s="209">
        <f>$AC52*'Verwerking Bouwdelen'!EE36</f>
        <v>0</v>
      </c>
      <c r="CX52" s="209">
        <f>$AC52*'Verwerking Bouwdelen'!EF36</f>
        <v>0</v>
      </c>
      <c r="CY52" s="209">
        <f>$AC52*'Verwerking Bouwdelen'!EG36</f>
        <v>0</v>
      </c>
      <c r="CZ52" s="209">
        <f>$AC52*'Verwerking Bouwdelen'!EH36</f>
        <v>0</v>
      </c>
      <c r="DA52" s="209">
        <f>$AC52*'Verwerking Bouwdelen'!EI36</f>
        <v>0</v>
      </c>
      <c r="DB52" s="209">
        <f>$AC52*'Verwerking Bouwdelen'!EJ36</f>
        <v>0</v>
      </c>
      <c r="DC52" s="209">
        <f>$AC52*'Verwerking Bouwdelen'!EK36</f>
        <v>0</v>
      </c>
      <c r="DD52" s="209">
        <f>$AC52*'Verwerking Bouwdelen'!EL36</f>
        <v>0</v>
      </c>
      <c r="DE52" s="209">
        <f>$AC52*'Verwerking Bouwdelen'!EM36</f>
        <v>0</v>
      </c>
      <c r="DF52" s="209">
        <f>$AC52*'Verwerking Bouwdelen'!EN36</f>
        <v>0</v>
      </c>
      <c r="DG52" s="209">
        <f>$AC52*'Verwerking Bouwdelen'!EO36</f>
        <v>0</v>
      </c>
      <c r="DH52" s="209">
        <f>$AC52*'Verwerking Bouwdelen'!EP36</f>
        <v>0</v>
      </c>
      <c r="DI52" s="10">
        <f>IF(CW52=$O52,0,'Verwerking Bouwdelen'!G36)</f>
        <v>0</v>
      </c>
      <c r="DJ52" s="259">
        <f>'Verwerking Bouwdelen'!GK36*CF52</f>
        <v>0</v>
      </c>
      <c r="DK52" s="259">
        <f>'Verwerking Bouwdelen'!GL36*CF52</f>
        <v>0</v>
      </c>
      <c r="DL52" s="125"/>
      <c r="GM52" s="89">
        <f t="shared" si="2"/>
        <v>0</v>
      </c>
      <c r="GN52" s="89">
        <f t="shared" si="3"/>
        <v>0</v>
      </c>
      <c r="GO52" s="208">
        <f>IF($GN52=1,$GN52*$GM52*'Verwerking Bouwdelen'!DL36,$GN52*$GM52*'Verwerking Bouwdelen'!T36)</f>
        <v>0</v>
      </c>
      <c r="GP52" s="208">
        <f>IF($GN52=1,$GN52*$GM52*'Verwerking Bouwdelen'!DM36,$GN52*$GM52*'Verwerking Bouwdelen'!U36)</f>
        <v>0</v>
      </c>
      <c r="GQ52" s="208">
        <f>IF($GN52=1,$GN52*$GM52*'Verwerking Bouwdelen'!DN36,$GN52*$GM52*'Verwerking Bouwdelen'!V36)</f>
        <v>0</v>
      </c>
      <c r="GR52" s="208">
        <f>IF($GN52=1,$GN52*$GM52*'Verwerking Bouwdelen'!DO36,$GN52*$GM52*'Verwerking Bouwdelen'!W36)</f>
        <v>0</v>
      </c>
      <c r="GS52" s="208">
        <f>IF($GN52=1,$GN52*$GM52*'Verwerking Bouwdelen'!DP36,$GN52*$GM52*'Verwerking Bouwdelen'!X36)</f>
        <v>0</v>
      </c>
      <c r="GT52" s="208">
        <f>IF($GN52=1,$GN52*$GM52*'Verwerking Bouwdelen'!DQ36,$GN52*$GM52*'Verwerking Bouwdelen'!Y36)</f>
        <v>0</v>
      </c>
      <c r="GU52" s="208">
        <f>IF($GN52=1,$GN52*$GM52*'Verwerking Bouwdelen'!DR36,$GN52*$GM52*'Verwerking Bouwdelen'!Z36)</f>
        <v>0</v>
      </c>
      <c r="GV52" s="208">
        <f>IF($GN52=1,$GN52*$GM52*'Verwerking Bouwdelen'!DS36,$GN52*$GM52*'Verwerking Bouwdelen'!AA36)</f>
        <v>0</v>
      </c>
      <c r="GW52" s="208">
        <f>IF($GN52=1,$GN52*$GM52*'Verwerking Bouwdelen'!DT36,$GN52*$GM52*'Verwerking Bouwdelen'!AB36)</f>
        <v>0</v>
      </c>
      <c r="GX52" s="208">
        <f>IF($GN52=1,$GN52*$GM52*'Verwerking Bouwdelen'!DU36,$GN52*$GM52*'Verwerking Bouwdelen'!AC36)</f>
        <v>0</v>
      </c>
      <c r="GY52" s="208">
        <f>IF($GN52=1,$GN52*$GM52*'Verwerking Bouwdelen'!DV36,$GN52*$GM52*'Verwerking Bouwdelen'!AD36)</f>
        <v>0</v>
      </c>
      <c r="GZ52" s="208">
        <f>IF($GN52=1,$GN52*$GM52*'Verwerking Bouwdelen'!DW36,$GN52*$GM52*'Verwerking Bouwdelen'!AE36)</f>
        <v>0</v>
      </c>
      <c r="HB52" s="89">
        <f t="shared" si="4"/>
        <v>0</v>
      </c>
      <c r="HC52" s="89">
        <f t="shared" si="4"/>
        <v>0</v>
      </c>
      <c r="HD52" s="89">
        <f t="shared" si="4"/>
        <v>0</v>
      </c>
      <c r="HE52" s="89">
        <f t="shared" si="4"/>
        <v>0</v>
      </c>
      <c r="HF52" s="89">
        <f t="shared" si="4"/>
        <v>0</v>
      </c>
      <c r="HG52" s="89">
        <f t="shared" si="4"/>
        <v>0</v>
      </c>
      <c r="HH52" s="89">
        <f t="shared" si="4"/>
        <v>0</v>
      </c>
      <c r="HI52" s="89">
        <f t="shared" si="4"/>
        <v>0</v>
      </c>
      <c r="HJ52" s="89">
        <f t="shared" si="4"/>
        <v>0</v>
      </c>
      <c r="HK52" s="89">
        <f t="shared" si="4"/>
        <v>0</v>
      </c>
      <c r="HL52" s="89">
        <f t="shared" si="4"/>
        <v>0</v>
      </c>
      <c r="HM52" s="89">
        <f t="shared" si="4"/>
        <v>0</v>
      </c>
      <c r="HO52" s="256"/>
      <c r="HZ52" s="256"/>
    </row>
    <row r="53" spans="1:234" x14ac:dyDescent="0.2">
      <c r="A53" s="130">
        <f>IF('Verwerking Bouwdelen'!A37=2,1,0)</f>
        <v>0</v>
      </c>
      <c r="B53" s="208">
        <f>$A53*'Verwerking Bouwdelen'!T37</f>
        <v>0</v>
      </c>
      <c r="C53" s="208">
        <f>$A53*'Verwerking Bouwdelen'!U37</f>
        <v>0</v>
      </c>
      <c r="D53" s="208">
        <f>$A53*'Verwerking Bouwdelen'!V37</f>
        <v>0</v>
      </c>
      <c r="E53" s="208">
        <f>$A53*'Verwerking Bouwdelen'!W37</f>
        <v>0</v>
      </c>
      <c r="F53" s="208">
        <f>$A53*'Verwerking Bouwdelen'!X37</f>
        <v>0</v>
      </c>
      <c r="G53" s="208">
        <f>$A53*'Verwerking Bouwdelen'!Y37</f>
        <v>0</v>
      </c>
      <c r="H53" s="208">
        <f>$A53*'Verwerking Bouwdelen'!Z37</f>
        <v>0</v>
      </c>
      <c r="I53" s="208">
        <f>$A53*'Verwerking Bouwdelen'!AA37</f>
        <v>0</v>
      </c>
      <c r="J53" s="208">
        <f>$A53*'Verwerking Bouwdelen'!AB37</f>
        <v>0</v>
      </c>
      <c r="K53" s="208">
        <f>$A53*'Verwerking Bouwdelen'!AC37</f>
        <v>0</v>
      </c>
      <c r="L53" s="208">
        <f>$A53*'Verwerking Bouwdelen'!AD37</f>
        <v>0</v>
      </c>
      <c r="M53" s="208">
        <f>$A53*'Verwerking Bouwdelen'!AE37</f>
        <v>0</v>
      </c>
      <c r="O53" s="114">
        <f>$A53*'Verwerking Bouwdelen'!AU37</f>
        <v>0</v>
      </c>
      <c r="P53" s="125">
        <f>$A53*'Verwerking Bouwdelen'!AV37</f>
        <v>0</v>
      </c>
      <c r="Q53" s="125">
        <f>$A53*'Verwerking Bouwdelen'!AW37</f>
        <v>0</v>
      </c>
      <c r="R53" s="125">
        <f>$A53*'Verwerking Bouwdelen'!AX37</f>
        <v>0</v>
      </c>
      <c r="S53" s="125">
        <f>$A53*'Verwerking Bouwdelen'!AY37</f>
        <v>0</v>
      </c>
      <c r="T53" s="125">
        <f>$A53*'Verwerking Bouwdelen'!AZ37</f>
        <v>0</v>
      </c>
      <c r="U53" s="125">
        <f>$A53*'Verwerking Bouwdelen'!BA37</f>
        <v>0</v>
      </c>
      <c r="V53" s="125">
        <f>$A53*'Verwerking Bouwdelen'!BB37</f>
        <v>0</v>
      </c>
      <c r="W53" s="125">
        <f>$A53*'Verwerking Bouwdelen'!BC37</f>
        <v>0</v>
      </c>
      <c r="X53" s="125">
        <f>$A53*'Verwerking Bouwdelen'!BD37</f>
        <v>0</v>
      </c>
      <c r="Y53" s="125">
        <f>$A53*'Verwerking Bouwdelen'!BE37</f>
        <v>0</v>
      </c>
      <c r="Z53" s="195">
        <f>$A53*'Verwerking Bouwdelen'!BF37</f>
        <v>0</v>
      </c>
      <c r="AB53" s="125">
        <f>IF(OR('Verwerking Bouwdelen'!C37=3,'Verwerking Bouwdelen'!C37=6),1,0)</f>
        <v>0</v>
      </c>
      <c r="AC53" s="130">
        <f>IF('Verwerking Bouwdelen'!A37=2,1,0)</f>
        <v>0</v>
      </c>
      <c r="AD53" s="208">
        <f>IF($AB53=1,$AC53*'Verwerking Bouwdelen'!DL37,$AC53*'Verwerking Bouwdelen'!T37)</f>
        <v>0</v>
      </c>
      <c r="AE53" s="208">
        <f>IF($AB53=1,$AC53*'Verwerking Bouwdelen'!DM37,$AC53*'Verwerking Bouwdelen'!U37)</f>
        <v>0</v>
      </c>
      <c r="AF53" s="208">
        <f>IF($AB53=1,$AC53*'Verwerking Bouwdelen'!DN37,$AC53*'Verwerking Bouwdelen'!V37)</f>
        <v>0</v>
      </c>
      <c r="AG53" s="208">
        <f>IF($AB53=1,$AC53*'Verwerking Bouwdelen'!DO37,$AC53*'Verwerking Bouwdelen'!W37)</f>
        <v>0</v>
      </c>
      <c r="AH53" s="208">
        <f>IF($AB53=1,$AC53*'Verwerking Bouwdelen'!DP37,$AC53*'Verwerking Bouwdelen'!X37)</f>
        <v>0</v>
      </c>
      <c r="AI53" s="208">
        <f>IF($AB53=1,$AC53*'Verwerking Bouwdelen'!DQ37,$AC53*'Verwerking Bouwdelen'!Y37)</f>
        <v>0</v>
      </c>
      <c r="AJ53" s="208">
        <f>IF($AB53=1,$AC53*'Verwerking Bouwdelen'!DR37,$AC53*'Verwerking Bouwdelen'!Z37)</f>
        <v>0</v>
      </c>
      <c r="AK53" s="208">
        <f>IF($AB53=1,$AC53*'Verwerking Bouwdelen'!DS37,$AC53*'Verwerking Bouwdelen'!AA37)</f>
        <v>0</v>
      </c>
      <c r="AL53" s="208">
        <f>IF($AB53=1,$AC53*'Verwerking Bouwdelen'!DT37,$AC53*'Verwerking Bouwdelen'!AB37)</f>
        <v>0</v>
      </c>
      <c r="AM53" s="208">
        <f>IF($AB53=1,$AC53*'Verwerking Bouwdelen'!DU37,$AC53*'Verwerking Bouwdelen'!AC37)</f>
        <v>0</v>
      </c>
      <c r="AN53" s="208">
        <f>IF($AB53=1,$AC53*'Verwerking Bouwdelen'!DV37,$AC53*'Verwerking Bouwdelen'!AD37)</f>
        <v>0</v>
      </c>
      <c r="AO53" s="208">
        <f>IF($AB53=1,$AC53*'Verwerking Bouwdelen'!DW37,$AC53*'Verwerking Bouwdelen'!AE37)</f>
        <v>0</v>
      </c>
      <c r="AP53" s="10">
        <f>IF(AD53=B53,0,'Verwerking Bouwdelen'!D37*AB53*AC53)</f>
        <v>0</v>
      </c>
      <c r="AQ53" s="10">
        <f>AB53*AC53*'Verwerking Bouwdelen'!GH37</f>
        <v>0</v>
      </c>
      <c r="AR53" s="10"/>
      <c r="AS53" s="248"/>
      <c r="AT53" s="125">
        <f>IF('Verwerking Bouwdelen'!C37=4,1,0)</f>
        <v>0</v>
      </c>
      <c r="AU53" s="130">
        <f>IF('Verwerking Bouwdelen'!A37=2,1,0)</f>
        <v>0</v>
      </c>
      <c r="AV53" s="208">
        <f>IF($AT53=1,$AU53*'Verwerking Bouwdelen'!DL37,$AU53*'Verwerking Bouwdelen'!T37)</f>
        <v>0</v>
      </c>
      <c r="AW53" s="208">
        <f>IF($AT53=1,$AU53*'Verwerking Bouwdelen'!DM37,$AU53*'Verwerking Bouwdelen'!U37)</f>
        <v>0</v>
      </c>
      <c r="AX53" s="208">
        <f>IF($AT53=1,$AU53*'Verwerking Bouwdelen'!DN37,$AU53*'Verwerking Bouwdelen'!V37)</f>
        <v>0</v>
      </c>
      <c r="AY53" s="208">
        <f>IF($AT53=1,$AU53*'Verwerking Bouwdelen'!DO37,$AU53*'Verwerking Bouwdelen'!W37)</f>
        <v>0</v>
      </c>
      <c r="AZ53" s="208">
        <f>IF($AT53=1,$AU53*'Verwerking Bouwdelen'!DP37,$AU53*'Verwerking Bouwdelen'!X37)</f>
        <v>0</v>
      </c>
      <c r="BA53" s="208">
        <f>IF($AT53=1,$AU53*'Verwerking Bouwdelen'!DQ37,$AU53*'Verwerking Bouwdelen'!Y37)</f>
        <v>0</v>
      </c>
      <c r="BB53" s="208">
        <f>IF($AT53=1,$AU53*'Verwerking Bouwdelen'!DR37,$AU53*'Verwerking Bouwdelen'!Z37)</f>
        <v>0</v>
      </c>
      <c r="BC53" s="208">
        <f>IF($AT53=1,$AU53*'Verwerking Bouwdelen'!DS37,$AU53*'Verwerking Bouwdelen'!AA37)</f>
        <v>0</v>
      </c>
      <c r="BD53" s="208">
        <f>IF($AT53=1,$AU53*'Verwerking Bouwdelen'!DT37,$AU53*'Verwerking Bouwdelen'!AB37)</f>
        <v>0</v>
      </c>
      <c r="BE53" s="208">
        <f>IF($AT53=1,$AU53*'Verwerking Bouwdelen'!DU37,$AU53*'Verwerking Bouwdelen'!AC37)</f>
        <v>0</v>
      </c>
      <c r="BF53" s="208">
        <f>IF($AT53=1,$AU53*'Verwerking Bouwdelen'!DV37,$AU53*'Verwerking Bouwdelen'!AD37)</f>
        <v>0</v>
      </c>
      <c r="BG53" s="208">
        <f>IF($AT53=1,$AU53*'Verwerking Bouwdelen'!DW37,$AU53*'Verwerking Bouwdelen'!AE37)</f>
        <v>0</v>
      </c>
      <c r="BH53" s="10">
        <f>IF(AV53=B53,0,'Verwerking Bouwdelen'!D37*AT53*AU53)</f>
        <v>0</v>
      </c>
      <c r="BI53" s="10">
        <f>AT53*AU53*'Verwerking Bouwdelen'!GH37</f>
        <v>0</v>
      </c>
      <c r="BJ53" s="10"/>
      <c r="BK53" s="10"/>
      <c r="BM53" s="125">
        <f>IF('Verwerking Bouwdelen'!C37=5,1,0)</f>
        <v>0</v>
      </c>
      <c r="BN53" s="130">
        <f>IF('Verwerking Bouwdelen'!A37=2,1,0)</f>
        <v>0</v>
      </c>
      <c r="BO53" s="208">
        <f>IF($BM53=1,$BN53*'Verwerking Bouwdelen'!DL37,$BN53*'Verwerking Bouwdelen'!T37)</f>
        <v>0</v>
      </c>
      <c r="BP53" s="208">
        <f>IF($BM53=1,$BN53*'Verwerking Bouwdelen'!DM37,$BN53*'Verwerking Bouwdelen'!U37)</f>
        <v>0</v>
      </c>
      <c r="BQ53" s="208">
        <f>IF($BM53=1,$BN53*'Verwerking Bouwdelen'!DN37,$BN53*'Verwerking Bouwdelen'!V37)</f>
        <v>0</v>
      </c>
      <c r="BR53" s="208">
        <f>IF($BM53=1,$BN53*'Verwerking Bouwdelen'!DO37,$BN53*'Verwerking Bouwdelen'!W37)</f>
        <v>0</v>
      </c>
      <c r="BS53" s="208">
        <f>IF($BM53=1,$BN53*'Verwerking Bouwdelen'!DP37,$BN53*'Verwerking Bouwdelen'!X37)</f>
        <v>0</v>
      </c>
      <c r="BT53" s="208">
        <f>IF($BM53=1,$BN53*'Verwerking Bouwdelen'!DQ37,$BN53*'Verwerking Bouwdelen'!Y37)</f>
        <v>0</v>
      </c>
      <c r="BU53" s="208">
        <f>IF($BM53=1,$BN53*'Verwerking Bouwdelen'!DR37,$BN53*'Verwerking Bouwdelen'!Z37)</f>
        <v>0</v>
      </c>
      <c r="BV53" s="208">
        <f>IF($BM53=1,$BN53*'Verwerking Bouwdelen'!DS37,$BN53*'Verwerking Bouwdelen'!AA37)</f>
        <v>0</v>
      </c>
      <c r="BW53" s="208">
        <f>IF($BM53=1,$BN53*'Verwerking Bouwdelen'!DT37,$BN53*'Verwerking Bouwdelen'!AB37)</f>
        <v>0</v>
      </c>
      <c r="BX53" s="208">
        <f>IF($BM53=1,$BN53*'Verwerking Bouwdelen'!DU37,$BN53*'Verwerking Bouwdelen'!AC37)</f>
        <v>0</v>
      </c>
      <c r="BY53" s="208">
        <f>IF($BM53=1,$BN53*'Verwerking Bouwdelen'!DV37,$BN53*'Verwerking Bouwdelen'!AD37)</f>
        <v>0</v>
      </c>
      <c r="BZ53" s="208">
        <f>IF($BM53=1,$BN53*'Verwerking Bouwdelen'!DW37,$BN53*'Verwerking Bouwdelen'!AE37)</f>
        <v>0</v>
      </c>
      <c r="CA53" s="10">
        <f>IF(BO53=B53,0,'Verwerking Bouwdelen'!D37*BM53*BN53)</f>
        <v>0</v>
      </c>
      <c r="CB53" s="10">
        <f>BM53*BN53*'Verwerking Bouwdelen'!GH37</f>
        <v>0</v>
      </c>
      <c r="CC53" s="10"/>
      <c r="CD53" s="248"/>
      <c r="CE53" s="125">
        <f>IF('Verwerking Bouwdelen'!C37=2,1,0)</f>
        <v>0</v>
      </c>
      <c r="CF53" s="130">
        <f>IF('Verwerking Bouwdelen'!A37=2,1,0)</f>
        <v>0</v>
      </c>
      <c r="CG53" s="208">
        <f>IF($CE53=1,$CF53*'Verwerking Bouwdelen'!DL37,$CF53*'Verwerking Bouwdelen'!T37)</f>
        <v>0</v>
      </c>
      <c r="CH53" s="208">
        <f>IF($CE53=1,$CF53*'Verwerking Bouwdelen'!DM37,$CF53*'Verwerking Bouwdelen'!U37)</f>
        <v>0</v>
      </c>
      <c r="CI53" s="208">
        <f>IF($CE53=1,$CF53*'Verwerking Bouwdelen'!DN37,$CF53*'Verwerking Bouwdelen'!V37)</f>
        <v>0</v>
      </c>
      <c r="CJ53" s="208">
        <f>IF($CE53=1,$CF53*'Verwerking Bouwdelen'!DO37,$CF53*'Verwerking Bouwdelen'!W37)</f>
        <v>0</v>
      </c>
      <c r="CK53" s="208">
        <f>IF($CE53=1,$CF53*'Verwerking Bouwdelen'!DP37,$CF53*'Verwerking Bouwdelen'!X37)</f>
        <v>0</v>
      </c>
      <c r="CL53" s="208">
        <f>IF($CE53=1,$CF53*'Verwerking Bouwdelen'!DQ37,$CF53*'Verwerking Bouwdelen'!Y37)</f>
        <v>0</v>
      </c>
      <c r="CM53" s="208">
        <f>IF($CE53=1,$CF53*'Verwerking Bouwdelen'!DR37,$CF53*'Verwerking Bouwdelen'!Z37)</f>
        <v>0</v>
      </c>
      <c r="CN53" s="208">
        <f>IF($CE53=1,$CF53*'Verwerking Bouwdelen'!DS37,$CF53*'Verwerking Bouwdelen'!AA37)</f>
        <v>0</v>
      </c>
      <c r="CO53" s="208">
        <f>IF($CE53=1,$CF53*'Verwerking Bouwdelen'!DT37,$CF53*'Verwerking Bouwdelen'!AB37)</f>
        <v>0</v>
      </c>
      <c r="CP53" s="208">
        <f>IF($CE53=1,$CF53*'Verwerking Bouwdelen'!DU37,$CF53*'Verwerking Bouwdelen'!AC37)</f>
        <v>0</v>
      </c>
      <c r="CQ53" s="208">
        <f>IF($CE53=1,$CF53*'Verwerking Bouwdelen'!DV37,$CF53*'Verwerking Bouwdelen'!AD37)</f>
        <v>0</v>
      </c>
      <c r="CR53" s="208">
        <f>IF($CE53=1,$CF53*'Verwerking Bouwdelen'!DW37,$CF53*'Verwerking Bouwdelen'!AE37)</f>
        <v>0</v>
      </c>
      <c r="CS53" s="10">
        <f>IF(CG53=$B53,0,('Verwerking Bouwdelen'!$D37-'Verwerking Bouwdelen'!G37)*CE53*CF53)</f>
        <v>0</v>
      </c>
      <c r="CT53" s="260">
        <f>CE53*CF53*'Verwerking Bouwdelen'!GH37</f>
        <v>0</v>
      </c>
      <c r="CU53" s="261">
        <f>CE53*CF53*'Verwerking Bouwdelen'!GI37</f>
        <v>0</v>
      </c>
      <c r="CW53" s="209">
        <f>$AC53*'Verwerking Bouwdelen'!EE37</f>
        <v>0</v>
      </c>
      <c r="CX53" s="209">
        <f>$AC53*'Verwerking Bouwdelen'!EF37</f>
        <v>0</v>
      </c>
      <c r="CY53" s="209">
        <f>$AC53*'Verwerking Bouwdelen'!EG37</f>
        <v>0</v>
      </c>
      <c r="CZ53" s="209">
        <f>$AC53*'Verwerking Bouwdelen'!EH37</f>
        <v>0</v>
      </c>
      <c r="DA53" s="209">
        <f>$AC53*'Verwerking Bouwdelen'!EI37</f>
        <v>0</v>
      </c>
      <c r="DB53" s="209">
        <f>$AC53*'Verwerking Bouwdelen'!EJ37</f>
        <v>0</v>
      </c>
      <c r="DC53" s="209">
        <f>$AC53*'Verwerking Bouwdelen'!EK37</f>
        <v>0</v>
      </c>
      <c r="DD53" s="209">
        <f>$AC53*'Verwerking Bouwdelen'!EL37</f>
        <v>0</v>
      </c>
      <c r="DE53" s="209">
        <f>$AC53*'Verwerking Bouwdelen'!EM37</f>
        <v>0</v>
      </c>
      <c r="DF53" s="209">
        <f>$AC53*'Verwerking Bouwdelen'!EN37</f>
        <v>0</v>
      </c>
      <c r="DG53" s="209">
        <f>$AC53*'Verwerking Bouwdelen'!EO37</f>
        <v>0</v>
      </c>
      <c r="DH53" s="209">
        <f>$AC53*'Verwerking Bouwdelen'!EP37</f>
        <v>0</v>
      </c>
      <c r="DI53" s="10">
        <f>IF(CW53=$O53,0,'Verwerking Bouwdelen'!G37)</f>
        <v>0</v>
      </c>
      <c r="DJ53" s="259">
        <f>'Verwerking Bouwdelen'!GK37*CF53</f>
        <v>0</v>
      </c>
      <c r="DK53" s="259">
        <f>'Verwerking Bouwdelen'!GL37*CF53</f>
        <v>0</v>
      </c>
      <c r="DL53" s="125"/>
      <c r="GM53" s="89">
        <f t="shared" si="2"/>
        <v>0</v>
      </c>
      <c r="GN53" s="89">
        <f t="shared" si="3"/>
        <v>0</v>
      </c>
      <c r="GO53" s="208">
        <f>IF($GN53=1,$GN53*$GM53*'Verwerking Bouwdelen'!DL37,$GN53*$GM53*'Verwerking Bouwdelen'!T37)</f>
        <v>0</v>
      </c>
      <c r="GP53" s="208">
        <f>IF($GN53=1,$GN53*$GM53*'Verwerking Bouwdelen'!DM37,$GN53*$GM53*'Verwerking Bouwdelen'!U37)</f>
        <v>0</v>
      </c>
      <c r="GQ53" s="208">
        <f>IF($GN53=1,$GN53*$GM53*'Verwerking Bouwdelen'!DN37,$GN53*$GM53*'Verwerking Bouwdelen'!V37)</f>
        <v>0</v>
      </c>
      <c r="GR53" s="208">
        <f>IF($GN53=1,$GN53*$GM53*'Verwerking Bouwdelen'!DO37,$GN53*$GM53*'Verwerking Bouwdelen'!W37)</f>
        <v>0</v>
      </c>
      <c r="GS53" s="208">
        <f>IF($GN53=1,$GN53*$GM53*'Verwerking Bouwdelen'!DP37,$GN53*$GM53*'Verwerking Bouwdelen'!X37)</f>
        <v>0</v>
      </c>
      <c r="GT53" s="208">
        <f>IF($GN53=1,$GN53*$GM53*'Verwerking Bouwdelen'!DQ37,$GN53*$GM53*'Verwerking Bouwdelen'!Y37)</f>
        <v>0</v>
      </c>
      <c r="GU53" s="208">
        <f>IF($GN53=1,$GN53*$GM53*'Verwerking Bouwdelen'!DR37,$GN53*$GM53*'Verwerking Bouwdelen'!Z37)</f>
        <v>0</v>
      </c>
      <c r="GV53" s="208">
        <f>IF($GN53=1,$GN53*$GM53*'Verwerking Bouwdelen'!DS37,$GN53*$GM53*'Verwerking Bouwdelen'!AA37)</f>
        <v>0</v>
      </c>
      <c r="GW53" s="208">
        <f>IF($GN53=1,$GN53*$GM53*'Verwerking Bouwdelen'!DT37,$GN53*$GM53*'Verwerking Bouwdelen'!AB37)</f>
        <v>0</v>
      </c>
      <c r="GX53" s="208">
        <f>IF($GN53=1,$GN53*$GM53*'Verwerking Bouwdelen'!DU37,$GN53*$GM53*'Verwerking Bouwdelen'!AC37)</f>
        <v>0</v>
      </c>
      <c r="GY53" s="208">
        <f>IF($GN53=1,$GN53*$GM53*'Verwerking Bouwdelen'!DV37,$GN53*$GM53*'Verwerking Bouwdelen'!AD37)</f>
        <v>0</v>
      </c>
      <c r="GZ53" s="208">
        <f>IF($GN53=1,$GN53*$GM53*'Verwerking Bouwdelen'!DW37,$GN53*$GM53*'Verwerking Bouwdelen'!AE37)</f>
        <v>0</v>
      </c>
      <c r="HB53" s="89">
        <f t="shared" si="4"/>
        <v>0</v>
      </c>
      <c r="HC53" s="89">
        <f t="shared" si="4"/>
        <v>0</v>
      </c>
      <c r="HD53" s="89">
        <f t="shared" si="4"/>
        <v>0</v>
      </c>
      <c r="HE53" s="89">
        <f t="shared" si="4"/>
        <v>0</v>
      </c>
      <c r="HF53" s="89">
        <f t="shared" si="4"/>
        <v>0</v>
      </c>
      <c r="HG53" s="89">
        <f t="shared" si="4"/>
        <v>0</v>
      </c>
      <c r="HH53" s="89">
        <f t="shared" si="4"/>
        <v>0</v>
      </c>
      <c r="HI53" s="89">
        <f t="shared" si="4"/>
        <v>0</v>
      </c>
      <c r="HJ53" s="89">
        <f t="shared" si="4"/>
        <v>0</v>
      </c>
      <c r="HK53" s="89">
        <f t="shared" si="4"/>
        <v>0</v>
      </c>
      <c r="HL53" s="89">
        <f t="shared" si="4"/>
        <v>0</v>
      </c>
      <c r="HM53" s="89">
        <f t="shared" si="4"/>
        <v>0</v>
      </c>
      <c r="HO53" s="256"/>
      <c r="HZ53" s="256"/>
    </row>
    <row r="54" spans="1:234" x14ac:dyDescent="0.2">
      <c r="A54" s="130">
        <f>IF('Verwerking Bouwdelen'!A38=2,1,0)</f>
        <v>0</v>
      </c>
      <c r="B54" s="208">
        <f>$A54*'Verwerking Bouwdelen'!T38</f>
        <v>0</v>
      </c>
      <c r="C54" s="208">
        <f>$A54*'Verwerking Bouwdelen'!U38</f>
        <v>0</v>
      </c>
      <c r="D54" s="208">
        <f>$A54*'Verwerking Bouwdelen'!V38</f>
        <v>0</v>
      </c>
      <c r="E54" s="208">
        <f>$A54*'Verwerking Bouwdelen'!W38</f>
        <v>0</v>
      </c>
      <c r="F54" s="208">
        <f>$A54*'Verwerking Bouwdelen'!X38</f>
        <v>0</v>
      </c>
      <c r="G54" s="208">
        <f>$A54*'Verwerking Bouwdelen'!Y38</f>
        <v>0</v>
      </c>
      <c r="H54" s="208">
        <f>$A54*'Verwerking Bouwdelen'!Z38</f>
        <v>0</v>
      </c>
      <c r="I54" s="208">
        <f>$A54*'Verwerking Bouwdelen'!AA38</f>
        <v>0</v>
      </c>
      <c r="J54" s="208">
        <f>$A54*'Verwerking Bouwdelen'!AB38</f>
        <v>0</v>
      </c>
      <c r="K54" s="208">
        <f>$A54*'Verwerking Bouwdelen'!AC38</f>
        <v>0</v>
      </c>
      <c r="L54" s="208">
        <f>$A54*'Verwerking Bouwdelen'!AD38</f>
        <v>0</v>
      </c>
      <c r="M54" s="208">
        <f>$A54*'Verwerking Bouwdelen'!AE38</f>
        <v>0</v>
      </c>
      <c r="O54" s="114">
        <f>$A54*'Verwerking Bouwdelen'!AU38</f>
        <v>0</v>
      </c>
      <c r="P54" s="125">
        <f>$A54*'Verwerking Bouwdelen'!AV38</f>
        <v>0</v>
      </c>
      <c r="Q54" s="125">
        <f>$A54*'Verwerking Bouwdelen'!AW38</f>
        <v>0</v>
      </c>
      <c r="R54" s="125">
        <f>$A54*'Verwerking Bouwdelen'!AX38</f>
        <v>0</v>
      </c>
      <c r="S54" s="125">
        <f>$A54*'Verwerking Bouwdelen'!AY38</f>
        <v>0</v>
      </c>
      <c r="T54" s="125">
        <f>$A54*'Verwerking Bouwdelen'!AZ38</f>
        <v>0</v>
      </c>
      <c r="U54" s="125">
        <f>$A54*'Verwerking Bouwdelen'!BA38</f>
        <v>0</v>
      </c>
      <c r="V54" s="125">
        <f>$A54*'Verwerking Bouwdelen'!BB38</f>
        <v>0</v>
      </c>
      <c r="W54" s="125">
        <f>$A54*'Verwerking Bouwdelen'!BC38</f>
        <v>0</v>
      </c>
      <c r="X54" s="125">
        <f>$A54*'Verwerking Bouwdelen'!BD38</f>
        <v>0</v>
      </c>
      <c r="Y54" s="125">
        <f>$A54*'Verwerking Bouwdelen'!BE38</f>
        <v>0</v>
      </c>
      <c r="Z54" s="195">
        <f>$A54*'Verwerking Bouwdelen'!BF38</f>
        <v>0</v>
      </c>
      <c r="AB54" s="125">
        <f>IF(OR('Verwerking Bouwdelen'!C38=3,'Verwerking Bouwdelen'!C38=6),1,0)</f>
        <v>0</v>
      </c>
      <c r="AC54" s="130">
        <f>IF('Verwerking Bouwdelen'!A38=2,1,0)</f>
        <v>0</v>
      </c>
      <c r="AD54" s="208">
        <f>IF($AB54=1,$AC54*'Verwerking Bouwdelen'!DL38,$AC54*'Verwerking Bouwdelen'!T38)</f>
        <v>0</v>
      </c>
      <c r="AE54" s="208">
        <f>IF($AB54=1,$AC54*'Verwerking Bouwdelen'!DM38,$AC54*'Verwerking Bouwdelen'!U38)</f>
        <v>0</v>
      </c>
      <c r="AF54" s="208">
        <f>IF($AB54=1,$AC54*'Verwerking Bouwdelen'!DN38,$AC54*'Verwerking Bouwdelen'!V38)</f>
        <v>0</v>
      </c>
      <c r="AG54" s="208">
        <f>IF($AB54=1,$AC54*'Verwerking Bouwdelen'!DO38,$AC54*'Verwerking Bouwdelen'!W38)</f>
        <v>0</v>
      </c>
      <c r="AH54" s="208">
        <f>IF($AB54=1,$AC54*'Verwerking Bouwdelen'!DP38,$AC54*'Verwerking Bouwdelen'!X38)</f>
        <v>0</v>
      </c>
      <c r="AI54" s="208">
        <f>IF($AB54=1,$AC54*'Verwerking Bouwdelen'!DQ38,$AC54*'Verwerking Bouwdelen'!Y38)</f>
        <v>0</v>
      </c>
      <c r="AJ54" s="208">
        <f>IF($AB54=1,$AC54*'Verwerking Bouwdelen'!DR38,$AC54*'Verwerking Bouwdelen'!Z38)</f>
        <v>0</v>
      </c>
      <c r="AK54" s="208">
        <f>IF($AB54=1,$AC54*'Verwerking Bouwdelen'!DS38,$AC54*'Verwerking Bouwdelen'!AA38)</f>
        <v>0</v>
      </c>
      <c r="AL54" s="208">
        <f>IF($AB54=1,$AC54*'Verwerking Bouwdelen'!DT38,$AC54*'Verwerking Bouwdelen'!AB38)</f>
        <v>0</v>
      </c>
      <c r="AM54" s="208">
        <f>IF($AB54=1,$AC54*'Verwerking Bouwdelen'!DU38,$AC54*'Verwerking Bouwdelen'!AC38)</f>
        <v>0</v>
      </c>
      <c r="AN54" s="208">
        <f>IF($AB54=1,$AC54*'Verwerking Bouwdelen'!DV38,$AC54*'Verwerking Bouwdelen'!AD38)</f>
        <v>0</v>
      </c>
      <c r="AO54" s="208">
        <f>IF($AB54=1,$AC54*'Verwerking Bouwdelen'!DW38,$AC54*'Verwerking Bouwdelen'!AE38)</f>
        <v>0</v>
      </c>
      <c r="AP54" s="10">
        <f>IF(AD54=B54,0,'Verwerking Bouwdelen'!D38*AB54*AC54)</f>
        <v>0</v>
      </c>
      <c r="AQ54" s="10">
        <f>AB54*AC54*'Verwerking Bouwdelen'!GH38</f>
        <v>0</v>
      </c>
      <c r="AR54" s="10"/>
      <c r="AS54" s="248"/>
      <c r="AT54" s="125">
        <f>IF('Verwerking Bouwdelen'!C38=4,1,0)</f>
        <v>0</v>
      </c>
      <c r="AU54" s="130">
        <f>IF('Verwerking Bouwdelen'!A38=2,1,0)</f>
        <v>0</v>
      </c>
      <c r="AV54" s="208">
        <f>IF($AT54=1,$AU54*'Verwerking Bouwdelen'!DL38,$AU54*'Verwerking Bouwdelen'!T38)</f>
        <v>0</v>
      </c>
      <c r="AW54" s="208">
        <f>IF($AT54=1,$AU54*'Verwerking Bouwdelen'!DM38,$AU54*'Verwerking Bouwdelen'!U38)</f>
        <v>0</v>
      </c>
      <c r="AX54" s="208">
        <f>IF($AT54=1,$AU54*'Verwerking Bouwdelen'!DN38,$AU54*'Verwerking Bouwdelen'!V38)</f>
        <v>0</v>
      </c>
      <c r="AY54" s="208">
        <f>IF($AT54=1,$AU54*'Verwerking Bouwdelen'!DO38,$AU54*'Verwerking Bouwdelen'!W38)</f>
        <v>0</v>
      </c>
      <c r="AZ54" s="208">
        <f>IF($AT54=1,$AU54*'Verwerking Bouwdelen'!DP38,$AU54*'Verwerking Bouwdelen'!X38)</f>
        <v>0</v>
      </c>
      <c r="BA54" s="208">
        <f>IF($AT54=1,$AU54*'Verwerking Bouwdelen'!DQ38,$AU54*'Verwerking Bouwdelen'!Y38)</f>
        <v>0</v>
      </c>
      <c r="BB54" s="208">
        <f>IF($AT54=1,$AU54*'Verwerking Bouwdelen'!DR38,$AU54*'Verwerking Bouwdelen'!Z38)</f>
        <v>0</v>
      </c>
      <c r="BC54" s="208">
        <f>IF($AT54=1,$AU54*'Verwerking Bouwdelen'!DS38,$AU54*'Verwerking Bouwdelen'!AA38)</f>
        <v>0</v>
      </c>
      <c r="BD54" s="208">
        <f>IF($AT54=1,$AU54*'Verwerking Bouwdelen'!DT38,$AU54*'Verwerking Bouwdelen'!AB38)</f>
        <v>0</v>
      </c>
      <c r="BE54" s="208">
        <f>IF($AT54=1,$AU54*'Verwerking Bouwdelen'!DU38,$AU54*'Verwerking Bouwdelen'!AC38)</f>
        <v>0</v>
      </c>
      <c r="BF54" s="208">
        <f>IF($AT54=1,$AU54*'Verwerking Bouwdelen'!DV38,$AU54*'Verwerking Bouwdelen'!AD38)</f>
        <v>0</v>
      </c>
      <c r="BG54" s="208">
        <f>IF($AT54=1,$AU54*'Verwerking Bouwdelen'!DW38,$AU54*'Verwerking Bouwdelen'!AE38)</f>
        <v>0</v>
      </c>
      <c r="BH54" s="10">
        <f>IF(AV54=B54,0,'Verwerking Bouwdelen'!D38*AT54*AU54)</f>
        <v>0</v>
      </c>
      <c r="BI54" s="10">
        <f>AT54*AU54*'Verwerking Bouwdelen'!GH38</f>
        <v>0</v>
      </c>
      <c r="BJ54" s="10"/>
      <c r="BK54" s="10"/>
      <c r="BM54" s="125">
        <f>IF('Verwerking Bouwdelen'!C38=5,1,0)</f>
        <v>0</v>
      </c>
      <c r="BN54" s="130">
        <f>IF('Verwerking Bouwdelen'!A38=2,1,0)</f>
        <v>0</v>
      </c>
      <c r="BO54" s="208">
        <f>IF($BM54=1,$BN54*'Verwerking Bouwdelen'!DL38,$BN54*'Verwerking Bouwdelen'!T38)</f>
        <v>0</v>
      </c>
      <c r="BP54" s="208">
        <f>IF($BM54=1,$BN54*'Verwerking Bouwdelen'!DM38,$BN54*'Verwerking Bouwdelen'!U38)</f>
        <v>0</v>
      </c>
      <c r="BQ54" s="208">
        <f>IF($BM54=1,$BN54*'Verwerking Bouwdelen'!DN38,$BN54*'Verwerking Bouwdelen'!V38)</f>
        <v>0</v>
      </c>
      <c r="BR54" s="208">
        <f>IF($BM54=1,$BN54*'Verwerking Bouwdelen'!DO38,$BN54*'Verwerking Bouwdelen'!W38)</f>
        <v>0</v>
      </c>
      <c r="BS54" s="208">
        <f>IF($BM54=1,$BN54*'Verwerking Bouwdelen'!DP38,$BN54*'Verwerking Bouwdelen'!X38)</f>
        <v>0</v>
      </c>
      <c r="BT54" s="208">
        <f>IF($BM54=1,$BN54*'Verwerking Bouwdelen'!DQ38,$BN54*'Verwerking Bouwdelen'!Y38)</f>
        <v>0</v>
      </c>
      <c r="BU54" s="208">
        <f>IF($BM54=1,$BN54*'Verwerking Bouwdelen'!DR38,$BN54*'Verwerking Bouwdelen'!Z38)</f>
        <v>0</v>
      </c>
      <c r="BV54" s="208">
        <f>IF($BM54=1,$BN54*'Verwerking Bouwdelen'!DS38,$BN54*'Verwerking Bouwdelen'!AA38)</f>
        <v>0</v>
      </c>
      <c r="BW54" s="208">
        <f>IF($BM54=1,$BN54*'Verwerking Bouwdelen'!DT38,$BN54*'Verwerking Bouwdelen'!AB38)</f>
        <v>0</v>
      </c>
      <c r="BX54" s="208">
        <f>IF($BM54=1,$BN54*'Verwerking Bouwdelen'!DU38,$BN54*'Verwerking Bouwdelen'!AC38)</f>
        <v>0</v>
      </c>
      <c r="BY54" s="208">
        <f>IF($BM54=1,$BN54*'Verwerking Bouwdelen'!DV38,$BN54*'Verwerking Bouwdelen'!AD38)</f>
        <v>0</v>
      </c>
      <c r="BZ54" s="208">
        <f>IF($BM54=1,$BN54*'Verwerking Bouwdelen'!DW38,$BN54*'Verwerking Bouwdelen'!AE38)</f>
        <v>0</v>
      </c>
      <c r="CA54" s="10">
        <f>IF(BO54=B54,0,'Verwerking Bouwdelen'!D38*BM54*BN54)</f>
        <v>0</v>
      </c>
      <c r="CB54" s="10">
        <f>BM54*BN54*'Verwerking Bouwdelen'!GH38</f>
        <v>0</v>
      </c>
      <c r="CC54" s="10"/>
      <c r="CD54" s="248"/>
      <c r="CE54" s="125">
        <f>IF('Verwerking Bouwdelen'!C38=2,1,0)</f>
        <v>0</v>
      </c>
      <c r="CF54" s="130">
        <f>IF('Verwerking Bouwdelen'!A38=2,1,0)</f>
        <v>0</v>
      </c>
      <c r="CG54" s="208">
        <f>IF($CE54=1,$CF54*'Verwerking Bouwdelen'!DL38,$CF54*'Verwerking Bouwdelen'!T38)</f>
        <v>0</v>
      </c>
      <c r="CH54" s="208">
        <f>IF($CE54=1,$CF54*'Verwerking Bouwdelen'!DM38,$CF54*'Verwerking Bouwdelen'!U38)</f>
        <v>0</v>
      </c>
      <c r="CI54" s="208">
        <f>IF($CE54=1,$CF54*'Verwerking Bouwdelen'!DN38,$CF54*'Verwerking Bouwdelen'!V38)</f>
        <v>0</v>
      </c>
      <c r="CJ54" s="208">
        <f>IF($CE54=1,$CF54*'Verwerking Bouwdelen'!DO38,$CF54*'Verwerking Bouwdelen'!W38)</f>
        <v>0</v>
      </c>
      <c r="CK54" s="208">
        <f>IF($CE54=1,$CF54*'Verwerking Bouwdelen'!DP38,$CF54*'Verwerking Bouwdelen'!X38)</f>
        <v>0</v>
      </c>
      <c r="CL54" s="208">
        <f>IF($CE54=1,$CF54*'Verwerking Bouwdelen'!DQ38,$CF54*'Verwerking Bouwdelen'!Y38)</f>
        <v>0</v>
      </c>
      <c r="CM54" s="208">
        <f>IF($CE54=1,$CF54*'Verwerking Bouwdelen'!DR38,$CF54*'Verwerking Bouwdelen'!Z38)</f>
        <v>0</v>
      </c>
      <c r="CN54" s="208">
        <f>IF($CE54=1,$CF54*'Verwerking Bouwdelen'!DS38,$CF54*'Verwerking Bouwdelen'!AA38)</f>
        <v>0</v>
      </c>
      <c r="CO54" s="208">
        <f>IF($CE54=1,$CF54*'Verwerking Bouwdelen'!DT38,$CF54*'Verwerking Bouwdelen'!AB38)</f>
        <v>0</v>
      </c>
      <c r="CP54" s="208">
        <f>IF($CE54=1,$CF54*'Verwerking Bouwdelen'!DU38,$CF54*'Verwerking Bouwdelen'!AC38)</f>
        <v>0</v>
      </c>
      <c r="CQ54" s="208">
        <f>IF($CE54=1,$CF54*'Verwerking Bouwdelen'!DV38,$CF54*'Verwerking Bouwdelen'!AD38)</f>
        <v>0</v>
      </c>
      <c r="CR54" s="208">
        <f>IF($CE54=1,$CF54*'Verwerking Bouwdelen'!DW38,$CF54*'Verwerking Bouwdelen'!AE38)</f>
        <v>0</v>
      </c>
      <c r="CS54" s="10">
        <f>IF(CG54=$B54,0,('Verwerking Bouwdelen'!$D38-'Verwerking Bouwdelen'!G38)*CE54*CF54)</f>
        <v>0</v>
      </c>
      <c r="CT54" s="260">
        <f>CE54*CF54*'Verwerking Bouwdelen'!GH38</f>
        <v>0</v>
      </c>
      <c r="CU54" s="261">
        <f>CE54*CF54*'Verwerking Bouwdelen'!GI38</f>
        <v>0</v>
      </c>
      <c r="CW54" s="209">
        <f>$AC54*'Verwerking Bouwdelen'!EE38</f>
        <v>0</v>
      </c>
      <c r="CX54" s="209">
        <f>$AC54*'Verwerking Bouwdelen'!EF38</f>
        <v>0</v>
      </c>
      <c r="CY54" s="209">
        <f>$AC54*'Verwerking Bouwdelen'!EG38</f>
        <v>0</v>
      </c>
      <c r="CZ54" s="209">
        <f>$AC54*'Verwerking Bouwdelen'!EH38</f>
        <v>0</v>
      </c>
      <c r="DA54" s="209">
        <f>$AC54*'Verwerking Bouwdelen'!EI38</f>
        <v>0</v>
      </c>
      <c r="DB54" s="209">
        <f>$AC54*'Verwerking Bouwdelen'!EJ38</f>
        <v>0</v>
      </c>
      <c r="DC54" s="209">
        <f>$AC54*'Verwerking Bouwdelen'!EK38</f>
        <v>0</v>
      </c>
      <c r="DD54" s="209">
        <f>$AC54*'Verwerking Bouwdelen'!EL38</f>
        <v>0</v>
      </c>
      <c r="DE54" s="209">
        <f>$AC54*'Verwerking Bouwdelen'!EM38</f>
        <v>0</v>
      </c>
      <c r="DF54" s="209">
        <f>$AC54*'Verwerking Bouwdelen'!EN38</f>
        <v>0</v>
      </c>
      <c r="DG54" s="209">
        <f>$AC54*'Verwerking Bouwdelen'!EO38</f>
        <v>0</v>
      </c>
      <c r="DH54" s="209">
        <f>$AC54*'Verwerking Bouwdelen'!EP38</f>
        <v>0</v>
      </c>
      <c r="DI54" s="10">
        <f>IF(CW54=$O54,0,'Verwerking Bouwdelen'!G38)</f>
        <v>0</v>
      </c>
      <c r="DJ54" s="259">
        <f>'Verwerking Bouwdelen'!GK38*CF54</f>
        <v>0</v>
      </c>
      <c r="DK54" s="259">
        <f>'Verwerking Bouwdelen'!GL38*CF54</f>
        <v>0</v>
      </c>
      <c r="DL54" s="125"/>
      <c r="GM54" s="89">
        <f t="shared" si="2"/>
        <v>0</v>
      </c>
      <c r="GN54" s="89">
        <f t="shared" si="3"/>
        <v>0</v>
      </c>
      <c r="GO54" s="208">
        <f>IF($GN54=1,$GN54*$GM54*'Verwerking Bouwdelen'!DL38,$GN54*$GM54*'Verwerking Bouwdelen'!T38)</f>
        <v>0</v>
      </c>
      <c r="GP54" s="208">
        <f>IF($GN54=1,$GN54*$GM54*'Verwerking Bouwdelen'!DM38,$GN54*$GM54*'Verwerking Bouwdelen'!U38)</f>
        <v>0</v>
      </c>
      <c r="GQ54" s="208">
        <f>IF($GN54=1,$GN54*$GM54*'Verwerking Bouwdelen'!DN38,$GN54*$GM54*'Verwerking Bouwdelen'!V38)</f>
        <v>0</v>
      </c>
      <c r="GR54" s="208">
        <f>IF($GN54=1,$GN54*$GM54*'Verwerking Bouwdelen'!DO38,$GN54*$GM54*'Verwerking Bouwdelen'!W38)</f>
        <v>0</v>
      </c>
      <c r="GS54" s="208">
        <f>IF($GN54=1,$GN54*$GM54*'Verwerking Bouwdelen'!DP38,$GN54*$GM54*'Verwerking Bouwdelen'!X38)</f>
        <v>0</v>
      </c>
      <c r="GT54" s="208">
        <f>IF($GN54=1,$GN54*$GM54*'Verwerking Bouwdelen'!DQ38,$GN54*$GM54*'Verwerking Bouwdelen'!Y38)</f>
        <v>0</v>
      </c>
      <c r="GU54" s="208">
        <f>IF($GN54=1,$GN54*$GM54*'Verwerking Bouwdelen'!DR38,$GN54*$GM54*'Verwerking Bouwdelen'!Z38)</f>
        <v>0</v>
      </c>
      <c r="GV54" s="208">
        <f>IF($GN54=1,$GN54*$GM54*'Verwerking Bouwdelen'!DS38,$GN54*$GM54*'Verwerking Bouwdelen'!AA38)</f>
        <v>0</v>
      </c>
      <c r="GW54" s="208">
        <f>IF($GN54=1,$GN54*$GM54*'Verwerking Bouwdelen'!DT38,$GN54*$GM54*'Verwerking Bouwdelen'!AB38)</f>
        <v>0</v>
      </c>
      <c r="GX54" s="208">
        <f>IF($GN54=1,$GN54*$GM54*'Verwerking Bouwdelen'!DU38,$GN54*$GM54*'Verwerking Bouwdelen'!AC38)</f>
        <v>0</v>
      </c>
      <c r="GY54" s="208">
        <f>IF($GN54=1,$GN54*$GM54*'Verwerking Bouwdelen'!DV38,$GN54*$GM54*'Verwerking Bouwdelen'!AD38)</f>
        <v>0</v>
      </c>
      <c r="GZ54" s="208">
        <f>IF($GN54=1,$GN54*$GM54*'Verwerking Bouwdelen'!DW38,$GN54*$GM54*'Verwerking Bouwdelen'!AE38)</f>
        <v>0</v>
      </c>
      <c r="HB54" s="89">
        <f t="shared" si="4"/>
        <v>0</v>
      </c>
      <c r="HC54" s="89">
        <f t="shared" si="4"/>
        <v>0</v>
      </c>
      <c r="HD54" s="89">
        <f t="shared" si="4"/>
        <v>0</v>
      </c>
      <c r="HE54" s="89">
        <f t="shared" si="4"/>
        <v>0</v>
      </c>
      <c r="HF54" s="89">
        <f t="shared" si="4"/>
        <v>0</v>
      </c>
      <c r="HG54" s="89">
        <f t="shared" si="4"/>
        <v>0</v>
      </c>
      <c r="HH54" s="89">
        <f t="shared" si="4"/>
        <v>0</v>
      </c>
      <c r="HI54" s="89">
        <f t="shared" si="4"/>
        <v>0</v>
      </c>
      <c r="HJ54" s="89">
        <f t="shared" si="4"/>
        <v>0</v>
      </c>
      <c r="HK54" s="89">
        <f t="shared" si="4"/>
        <v>0</v>
      </c>
      <c r="HL54" s="89">
        <f t="shared" si="4"/>
        <v>0</v>
      </c>
      <c r="HM54" s="89">
        <f t="shared" si="4"/>
        <v>0</v>
      </c>
      <c r="HO54" s="256"/>
      <c r="HZ54" s="256"/>
    </row>
    <row r="55" spans="1:234" x14ac:dyDescent="0.2">
      <c r="A55" s="130">
        <f>IF('Verwerking Bouwdelen'!A39=2,1,0)</f>
        <v>0</v>
      </c>
      <c r="B55" s="208">
        <f>$A55*'Verwerking Bouwdelen'!T39</f>
        <v>0</v>
      </c>
      <c r="C55" s="208">
        <f>$A55*'Verwerking Bouwdelen'!U39</f>
        <v>0</v>
      </c>
      <c r="D55" s="208">
        <f>$A55*'Verwerking Bouwdelen'!V39</f>
        <v>0</v>
      </c>
      <c r="E55" s="208">
        <f>$A55*'Verwerking Bouwdelen'!W39</f>
        <v>0</v>
      </c>
      <c r="F55" s="208">
        <f>$A55*'Verwerking Bouwdelen'!X39</f>
        <v>0</v>
      </c>
      <c r="G55" s="208">
        <f>$A55*'Verwerking Bouwdelen'!Y39</f>
        <v>0</v>
      </c>
      <c r="H55" s="208">
        <f>$A55*'Verwerking Bouwdelen'!Z39</f>
        <v>0</v>
      </c>
      <c r="I55" s="208">
        <f>$A55*'Verwerking Bouwdelen'!AA39</f>
        <v>0</v>
      </c>
      <c r="J55" s="208">
        <f>$A55*'Verwerking Bouwdelen'!AB39</f>
        <v>0</v>
      </c>
      <c r="K55" s="208">
        <f>$A55*'Verwerking Bouwdelen'!AC39</f>
        <v>0</v>
      </c>
      <c r="L55" s="208">
        <f>$A55*'Verwerking Bouwdelen'!AD39</f>
        <v>0</v>
      </c>
      <c r="M55" s="208">
        <f>$A55*'Verwerking Bouwdelen'!AE39</f>
        <v>0</v>
      </c>
      <c r="O55" s="114">
        <f>$A55*'Verwerking Bouwdelen'!AU39</f>
        <v>0</v>
      </c>
      <c r="P55" s="125">
        <f>$A55*'Verwerking Bouwdelen'!AV39</f>
        <v>0</v>
      </c>
      <c r="Q55" s="125">
        <f>$A55*'Verwerking Bouwdelen'!AW39</f>
        <v>0</v>
      </c>
      <c r="R55" s="125">
        <f>$A55*'Verwerking Bouwdelen'!AX39</f>
        <v>0</v>
      </c>
      <c r="S55" s="125">
        <f>$A55*'Verwerking Bouwdelen'!AY39</f>
        <v>0</v>
      </c>
      <c r="T55" s="125">
        <f>$A55*'Verwerking Bouwdelen'!AZ39</f>
        <v>0</v>
      </c>
      <c r="U55" s="125">
        <f>$A55*'Verwerking Bouwdelen'!BA39</f>
        <v>0</v>
      </c>
      <c r="V55" s="125">
        <f>$A55*'Verwerking Bouwdelen'!BB39</f>
        <v>0</v>
      </c>
      <c r="W55" s="125">
        <f>$A55*'Verwerking Bouwdelen'!BC39</f>
        <v>0</v>
      </c>
      <c r="X55" s="125">
        <f>$A55*'Verwerking Bouwdelen'!BD39</f>
        <v>0</v>
      </c>
      <c r="Y55" s="125">
        <f>$A55*'Verwerking Bouwdelen'!BE39</f>
        <v>0</v>
      </c>
      <c r="Z55" s="195">
        <f>$A55*'Verwerking Bouwdelen'!BF39</f>
        <v>0</v>
      </c>
      <c r="AB55" s="125">
        <f>IF(OR('Verwerking Bouwdelen'!C39=3,'Verwerking Bouwdelen'!C39=6),1,0)</f>
        <v>0</v>
      </c>
      <c r="AC55" s="130">
        <f>IF('Verwerking Bouwdelen'!A39=2,1,0)</f>
        <v>0</v>
      </c>
      <c r="AD55" s="208">
        <f>IF($AB55=1,$AC55*'Verwerking Bouwdelen'!DL39,$AC55*'Verwerking Bouwdelen'!T39)</f>
        <v>0</v>
      </c>
      <c r="AE55" s="208">
        <f>IF($AB55=1,$AC55*'Verwerking Bouwdelen'!DM39,$AC55*'Verwerking Bouwdelen'!U39)</f>
        <v>0</v>
      </c>
      <c r="AF55" s="208">
        <f>IF($AB55=1,$AC55*'Verwerking Bouwdelen'!DN39,$AC55*'Verwerking Bouwdelen'!V39)</f>
        <v>0</v>
      </c>
      <c r="AG55" s="208">
        <f>IF($AB55=1,$AC55*'Verwerking Bouwdelen'!DO39,$AC55*'Verwerking Bouwdelen'!W39)</f>
        <v>0</v>
      </c>
      <c r="AH55" s="208">
        <f>IF($AB55=1,$AC55*'Verwerking Bouwdelen'!DP39,$AC55*'Verwerking Bouwdelen'!X39)</f>
        <v>0</v>
      </c>
      <c r="AI55" s="208">
        <f>IF($AB55=1,$AC55*'Verwerking Bouwdelen'!DQ39,$AC55*'Verwerking Bouwdelen'!Y39)</f>
        <v>0</v>
      </c>
      <c r="AJ55" s="208">
        <f>IF($AB55=1,$AC55*'Verwerking Bouwdelen'!DR39,$AC55*'Verwerking Bouwdelen'!Z39)</f>
        <v>0</v>
      </c>
      <c r="AK55" s="208">
        <f>IF($AB55=1,$AC55*'Verwerking Bouwdelen'!DS39,$AC55*'Verwerking Bouwdelen'!AA39)</f>
        <v>0</v>
      </c>
      <c r="AL55" s="208">
        <f>IF($AB55=1,$AC55*'Verwerking Bouwdelen'!DT39,$AC55*'Verwerking Bouwdelen'!AB39)</f>
        <v>0</v>
      </c>
      <c r="AM55" s="208">
        <f>IF($AB55=1,$AC55*'Verwerking Bouwdelen'!DU39,$AC55*'Verwerking Bouwdelen'!AC39)</f>
        <v>0</v>
      </c>
      <c r="AN55" s="208">
        <f>IF($AB55=1,$AC55*'Verwerking Bouwdelen'!DV39,$AC55*'Verwerking Bouwdelen'!AD39)</f>
        <v>0</v>
      </c>
      <c r="AO55" s="208">
        <f>IF($AB55=1,$AC55*'Verwerking Bouwdelen'!DW39,$AC55*'Verwerking Bouwdelen'!AE39)</f>
        <v>0</v>
      </c>
      <c r="AP55" s="10">
        <f>IF(AD55=B55,0,'Verwerking Bouwdelen'!D39*AB55*AC55)</f>
        <v>0</v>
      </c>
      <c r="AQ55" s="10">
        <f>AB55*AC55*'Verwerking Bouwdelen'!GH39</f>
        <v>0</v>
      </c>
      <c r="AR55" s="10"/>
      <c r="AS55" s="248"/>
      <c r="AT55" s="125">
        <f>IF('Verwerking Bouwdelen'!C39=4,1,0)</f>
        <v>0</v>
      </c>
      <c r="AU55" s="130">
        <f>IF('Verwerking Bouwdelen'!A39=2,1,0)</f>
        <v>0</v>
      </c>
      <c r="AV55" s="208">
        <f>IF($AT55=1,$AU55*'Verwerking Bouwdelen'!DL39,$AU55*'Verwerking Bouwdelen'!T39)</f>
        <v>0</v>
      </c>
      <c r="AW55" s="208">
        <f>IF($AT55=1,$AU55*'Verwerking Bouwdelen'!DM39,$AU55*'Verwerking Bouwdelen'!U39)</f>
        <v>0</v>
      </c>
      <c r="AX55" s="208">
        <f>IF($AT55=1,$AU55*'Verwerking Bouwdelen'!DN39,$AU55*'Verwerking Bouwdelen'!V39)</f>
        <v>0</v>
      </c>
      <c r="AY55" s="208">
        <f>IF($AT55=1,$AU55*'Verwerking Bouwdelen'!DO39,$AU55*'Verwerking Bouwdelen'!W39)</f>
        <v>0</v>
      </c>
      <c r="AZ55" s="208">
        <f>IF($AT55=1,$AU55*'Verwerking Bouwdelen'!DP39,$AU55*'Verwerking Bouwdelen'!X39)</f>
        <v>0</v>
      </c>
      <c r="BA55" s="208">
        <f>IF($AT55=1,$AU55*'Verwerking Bouwdelen'!DQ39,$AU55*'Verwerking Bouwdelen'!Y39)</f>
        <v>0</v>
      </c>
      <c r="BB55" s="208">
        <f>IF($AT55=1,$AU55*'Verwerking Bouwdelen'!DR39,$AU55*'Verwerking Bouwdelen'!Z39)</f>
        <v>0</v>
      </c>
      <c r="BC55" s="208">
        <f>IF($AT55=1,$AU55*'Verwerking Bouwdelen'!DS39,$AU55*'Verwerking Bouwdelen'!AA39)</f>
        <v>0</v>
      </c>
      <c r="BD55" s="208">
        <f>IF($AT55=1,$AU55*'Verwerking Bouwdelen'!DT39,$AU55*'Verwerking Bouwdelen'!AB39)</f>
        <v>0</v>
      </c>
      <c r="BE55" s="208">
        <f>IF($AT55=1,$AU55*'Verwerking Bouwdelen'!DU39,$AU55*'Verwerking Bouwdelen'!AC39)</f>
        <v>0</v>
      </c>
      <c r="BF55" s="208">
        <f>IF($AT55=1,$AU55*'Verwerking Bouwdelen'!DV39,$AU55*'Verwerking Bouwdelen'!AD39)</f>
        <v>0</v>
      </c>
      <c r="BG55" s="208">
        <f>IF($AT55=1,$AU55*'Verwerking Bouwdelen'!DW39,$AU55*'Verwerking Bouwdelen'!AE39)</f>
        <v>0</v>
      </c>
      <c r="BH55" s="10">
        <f>IF(AV55=B55,0,'Verwerking Bouwdelen'!D39*AT55*AU55)</f>
        <v>0</v>
      </c>
      <c r="BI55" s="10">
        <f>AT55*AU55*'Verwerking Bouwdelen'!GH39</f>
        <v>0</v>
      </c>
      <c r="BJ55" s="10"/>
      <c r="BK55" s="10"/>
      <c r="BM55" s="125">
        <f>IF('Verwerking Bouwdelen'!C39=5,1,0)</f>
        <v>0</v>
      </c>
      <c r="BN55" s="130">
        <f>IF('Verwerking Bouwdelen'!A39=2,1,0)</f>
        <v>0</v>
      </c>
      <c r="BO55" s="208">
        <f>IF($BM55=1,$BN55*'Verwerking Bouwdelen'!DL39,$BN55*'Verwerking Bouwdelen'!T39)</f>
        <v>0</v>
      </c>
      <c r="BP55" s="208">
        <f>IF($BM55=1,$BN55*'Verwerking Bouwdelen'!DM39,$BN55*'Verwerking Bouwdelen'!U39)</f>
        <v>0</v>
      </c>
      <c r="BQ55" s="208">
        <f>IF($BM55=1,$BN55*'Verwerking Bouwdelen'!DN39,$BN55*'Verwerking Bouwdelen'!V39)</f>
        <v>0</v>
      </c>
      <c r="BR55" s="208">
        <f>IF($BM55=1,$BN55*'Verwerking Bouwdelen'!DO39,$BN55*'Verwerking Bouwdelen'!W39)</f>
        <v>0</v>
      </c>
      <c r="BS55" s="208">
        <f>IF($BM55=1,$BN55*'Verwerking Bouwdelen'!DP39,$BN55*'Verwerking Bouwdelen'!X39)</f>
        <v>0</v>
      </c>
      <c r="BT55" s="208">
        <f>IF($BM55=1,$BN55*'Verwerking Bouwdelen'!DQ39,$BN55*'Verwerking Bouwdelen'!Y39)</f>
        <v>0</v>
      </c>
      <c r="BU55" s="208">
        <f>IF($BM55=1,$BN55*'Verwerking Bouwdelen'!DR39,$BN55*'Verwerking Bouwdelen'!Z39)</f>
        <v>0</v>
      </c>
      <c r="BV55" s="208">
        <f>IF($BM55=1,$BN55*'Verwerking Bouwdelen'!DS39,$BN55*'Verwerking Bouwdelen'!AA39)</f>
        <v>0</v>
      </c>
      <c r="BW55" s="208">
        <f>IF($BM55=1,$BN55*'Verwerking Bouwdelen'!DT39,$BN55*'Verwerking Bouwdelen'!AB39)</f>
        <v>0</v>
      </c>
      <c r="BX55" s="208">
        <f>IF($BM55=1,$BN55*'Verwerking Bouwdelen'!DU39,$BN55*'Verwerking Bouwdelen'!AC39)</f>
        <v>0</v>
      </c>
      <c r="BY55" s="208">
        <f>IF($BM55=1,$BN55*'Verwerking Bouwdelen'!DV39,$BN55*'Verwerking Bouwdelen'!AD39)</f>
        <v>0</v>
      </c>
      <c r="BZ55" s="208">
        <f>IF($BM55=1,$BN55*'Verwerking Bouwdelen'!DW39,$BN55*'Verwerking Bouwdelen'!AE39)</f>
        <v>0</v>
      </c>
      <c r="CA55" s="10">
        <f>IF(BO55=B55,0,'Verwerking Bouwdelen'!D39*BM55*BN55)</f>
        <v>0</v>
      </c>
      <c r="CB55" s="10">
        <f>BM55*BN55*'Verwerking Bouwdelen'!GH39</f>
        <v>0</v>
      </c>
      <c r="CC55" s="10"/>
      <c r="CD55" s="248"/>
      <c r="CE55" s="125">
        <f>IF('Verwerking Bouwdelen'!C39=2,1,0)</f>
        <v>0</v>
      </c>
      <c r="CF55" s="130">
        <f>IF('Verwerking Bouwdelen'!A39=2,1,0)</f>
        <v>0</v>
      </c>
      <c r="CG55" s="208">
        <f>IF($CE55=1,$CF55*'Verwerking Bouwdelen'!DL39,$CF55*'Verwerking Bouwdelen'!T39)</f>
        <v>0</v>
      </c>
      <c r="CH55" s="208">
        <f>IF($CE55=1,$CF55*'Verwerking Bouwdelen'!DM39,$CF55*'Verwerking Bouwdelen'!U39)</f>
        <v>0</v>
      </c>
      <c r="CI55" s="208">
        <f>IF($CE55=1,$CF55*'Verwerking Bouwdelen'!DN39,$CF55*'Verwerking Bouwdelen'!V39)</f>
        <v>0</v>
      </c>
      <c r="CJ55" s="208">
        <f>IF($CE55=1,$CF55*'Verwerking Bouwdelen'!DO39,$CF55*'Verwerking Bouwdelen'!W39)</f>
        <v>0</v>
      </c>
      <c r="CK55" s="208">
        <f>IF($CE55=1,$CF55*'Verwerking Bouwdelen'!DP39,$CF55*'Verwerking Bouwdelen'!X39)</f>
        <v>0</v>
      </c>
      <c r="CL55" s="208">
        <f>IF($CE55=1,$CF55*'Verwerking Bouwdelen'!DQ39,$CF55*'Verwerking Bouwdelen'!Y39)</f>
        <v>0</v>
      </c>
      <c r="CM55" s="208">
        <f>IF($CE55=1,$CF55*'Verwerking Bouwdelen'!DR39,$CF55*'Verwerking Bouwdelen'!Z39)</f>
        <v>0</v>
      </c>
      <c r="CN55" s="208">
        <f>IF($CE55=1,$CF55*'Verwerking Bouwdelen'!DS39,$CF55*'Verwerking Bouwdelen'!AA39)</f>
        <v>0</v>
      </c>
      <c r="CO55" s="208">
        <f>IF($CE55=1,$CF55*'Verwerking Bouwdelen'!DT39,$CF55*'Verwerking Bouwdelen'!AB39)</f>
        <v>0</v>
      </c>
      <c r="CP55" s="208">
        <f>IF($CE55=1,$CF55*'Verwerking Bouwdelen'!DU39,$CF55*'Verwerking Bouwdelen'!AC39)</f>
        <v>0</v>
      </c>
      <c r="CQ55" s="208">
        <f>IF($CE55=1,$CF55*'Verwerking Bouwdelen'!DV39,$CF55*'Verwerking Bouwdelen'!AD39)</f>
        <v>0</v>
      </c>
      <c r="CR55" s="208">
        <f>IF($CE55=1,$CF55*'Verwerking Bouwdelen'!DW39,$CF55*'Verwerking Bouwdelen'!AE39)</f>
        <v>0</v>
      </c>
      <c r="CS55" s="10">
        <f>IF(CG55=$B55,0,('Verwerking Bouwdelen'!$D39-'Verwerking Bouwdelen'!G39)*CE55*CF55)</f>
        <v>0</v>
      </c>
      <c r="CT55" s="260">
        <f>CE55*CF55*'Verwerking Bouwdelen'!GH39</f>
        <v>0</v>
      </c>
      <c r="CU55" s="261">
        <f>CE55*CF55*'Verwerking Bouwdelen'!GI39</f>
        <v>0</v>
      </c>
      <c r="CW55" s="209">
        <f>$AC55*'Verwerking Bouwdelen'!EE39</f>
        <v>0</v>
      </c>
      <c r="CX55" s="209">
        <f>$AC55*'Verwerking Bouwdelen'!EF39</f>
        <v>0</v>
      </c>
      <c r="CY55" s="209">
        <f>$AC55*'Verwerking Bouwdelen'!EG39</f>
        <v>0</v>
      </c>
      <c r="CZ55" s="209">
        <f>$AC55*'Verwerking Bouwdelen'!EH39</f>
        <v>0</v>
      </c>
      <c r="DA55" s="209">
        <f>$AC55*'Verwerking Bouwdelen'!EI39</f>
        <v>0</v>
      </c>
      <c r="DB55" s="209">
        <f>$AC55*'Verwerking Bouwdelen'!EJ39</f>
        <v>0</v>
      </c>
      <c r="DC55" s="209">
        <f>$AC55*'Verwerking Bouwdelen'!EK39</f>
        <v>0</v>
      </c>
      <c r="DD55" s="209">
        <f>$AC55*'Verwerking Bouwdelen'!EL39</f>
        <v>0</v>
      </c>
      <c r="DE55" s="209">
        <f>$AC55*'Verwerking Bouwdelen'!EM39</f>
        <v>0</v>
      </c>
      <c r="DF55" s="209">
        <f>$AC55*'Verwerking Bouwdelen'!EN39</f>
        <v>0</v>
      </c>
      <c r="DG55" s="209">
        <f>$AC55*'Verwerking Bouwdelen'!EO39</f>
        <v>0</v>
      </c>
      <c r="DH55" s="209">
        <f>$AC55*'Verwerking Bouwdelen'!EP39</f>
        <v>0</v>
      </c>
      <c r="DI55" s="10">
        <f>IF(CW55=$O55,0,'Verwerking Bouwdelen'!G39)</f>
        <v>0</v>
      </c>
      <c r="DJ55" s="259">
        <f>'Verwerking Bouwdelen'!GK39*CF55</f>
        <v>0</v>
      </c>
      <c r="DK55" s="259">
        <f>'Verwerking Bouwdelen'!GL39*CF55</f>
        <v>0</v>
      </c>
      <c r="DL55" s="125"/>
      <c r="GM55" s="89">
        <f t="shared" si="2"/>
        <v>0</v>
      </c>
      <c r="GN55" s="89">
        <f t="shared" si="3"/>
        <v>0</v>
      </c>
      <c r="GO55" s="208">
        <f>IF($GN55=1,$GN55*$GM55*'Verwerking Bouwdelen'!DL39,$GN55*$GM55*'Verwerking Bouwdelen'!T39)</f>
        <v>0</v>
      </c>
      <c r="GP55" s="208">
        <f>IF($GN55=1,$GN55*$GM55*'Verwerking Bouwdelen'!DM39,$GN55*$GM55*'Verwerking Bouwdelen'!U39)</f>
        <v>0</v>
      </c>
      <c r="GQ55" s="208">
        <f>IF($GN55=1,$GN55*$GM55*'Verwerking Bouwdelen'!DN39,$GN55*$GM55*'Verwerking Bouwdelen'!V39)</f>
        <v>0</v>
      </c>
      <c r="GR55" s="208">
        <f>IF($GN55=1,$GN55*$GM55*'Verwerking Bouwdelen'!DO39,$GN55*$GM55*'Verwerking Bouwdelen'!W39)</f>
        <v>0</v>
      </c>
      <c r="GS55" s="208">
        <f>IF($GN55=1,$GN55*$GM55*'Verwerking Bouwdelen'!DP39,$GN55*$GM55*'Verwerking Bouwdelen'!X39)</f>
        <v>0</v>
      </c>
      <c r="GT55" s="208">
        <f>IF($GN55=1,$GN55*$GM55*'Verwerking Bouwdelen'!DQ39,$GN55*$GM55*'Verwerking Bouwdelen'!Y39)</f>
        <v>0</v>
      </c>
      <c r="GU55" s="208">
        <f>IF($GN55=1,$GN55*$GM55*'Verwerking Bouwdelen'!DR39,$GN55*$GM55*'Verwerking Bouwdelen'!Z39)</f>
        <v>0</v>
      </c>
      <c r="GV55" s="208">
        <f>IF($GN55=1,$GN55*$GM55*'Verwerking Bouwdelen'!DS39,$GN55*$GM55*'Verwerking Bouwdelen'!AA39)</f>
        <v>0</v>
      </c>
      <c r="GW55" s="208">
        <f>IF($GN55=1,$GN55*$GM55*'Verwerking Bouwdelen'!DT39,$GN55*$GM55*'Verwerking Bouwdelen'!AB39)</f>
        <v>0</v>
      </c>
      <c r="GX55" s="208">
        <f>IF($GN55=1,$GN55*$GM55*'Verwerking Bouwdelen'!DU39,$GN55*$GM55*'Verwerking Bouwdelen'!AC39)</f>
        <v>0</v>
      </c>
      <c r="GY55" s="208">
        <f>IF($GN55=1,$GN55*$GM55*'Verwerking Bouwdelen'!DV39,$GN55*$GM55*'Verwerking Bouwdelen'!AD39)</f>
        <v>0</v>
      </c>
      <c r="GZ55" s="208">
        <f>IF($GN55=1,$GN55*$GM55*'Verwerking Bouwdelen'!DW39,$GN55*$GM55*'Verwerking Bouwdelen'!AE39)</f>
        <v>0</v>
      </c>
      <c r="HB55" s="89">
        <f t="shared" ref="HB55:HM61" si="6">CW55</f>
        <v>0</v>
      </c>
      <c r="HC55" s="89">
        <f t="shared" si="6"/>
        <v>0</v>
      </c>
      <c r="HD55" s="89">
        <f t="shared" si="6"/>
        <v>0</v>
      </c>
      <c r="HE55" s="89">
        <f t="shared" si="6"/>
        <v>0</v>
      </c>
      <c r="HF55" s="89">
        <f t="shared" si="6"/>
        <v>0</v>
      </c>
      <c r="HG55" s="89">
        <f t="shared" si="6"/>
        <v>0</v>
      </c>
      <c r="HH55" s="89">
        <f t="shared" si="6"/>
        <v>0</v>
      </c>
      <c r="HI55" s="89">
        <f t="shared" si="6"/>
        <v>0</v>
      </c>
      <c r="HJ55" s="89">
        <f t="shared" si="6"/>
        <v>0</v>
      </c>
      <c r="HK55" s="89">
        <f t="shared" si="6"/>
        <v>0</v>
      </c>
      <c r="HL55" s="89">
        <f t="shared" si="6"/>
        <v>0</v>
      </c>
      <c r="HM55" s="89">
        <f t="shared" si="6"/>
        <v>0</v>
      </c>
      <c r="HO55" s="256"/>
      <c r="HZ55" s="256"/>
    </row>
    <row r="56" spans="1:234" x14ac:dyDescent="0.2">
      <c r="A56" s="130">
        <f>IF('Verwerking Bouwdelen'!A40=2,1,0)</f>
        <v>0</v>
      </c>
      <c r="B56" s="208">
        <f>$A56*'Verwerking Bouwdelen'!T40</f>
        <v>0</v>
      </c>
      <c r="C56" s="208">
        <f>$A56*'Verwerking Bouwdelen'!U40</f>
        <v>0</v>
      </c>
      <c r="D56" s="208">
        <f>$A56*'Verwerking Bouwdelen'!V40</f>
        <v>0</v>
      </c>
      <c r="E56" s="208">
        <f>$A56*'Verwerking Bouwdelen'!W40</f>
        <v>0</v>
      </c>
      <c r="F56" s="208">
        <f>$A56*'Verwerking Bouwdelen'!X40</f>
        <v>0</v>
      </c>
      <c r="G56" s="208">
        <f>$A56*'Verwerking Bouwdelen'!Y40</f>
        <v>0</v>
      </c>
      <c r="H56" s="208">
        <f>$A56*'Verwerking Bouwdelen'!Z40</f>
        <v>0</v>
      </c>
      <c r="I56" s="208">
        <f>$A56*'Verwerking Bouwdelen'!AA40</f>
        <v>0</v>
      </c>
      <c r="J56" s="208">
        <f>$A56*'Verwerking Bouwdelen'!AB40</f>
        <v>0</v>
      </c>
      <c r="K56" s="208">
        <f>$A56*'Verwerking Bouwdelen'!AC40</f>
        <v>0</v>
      </c>
      <c r="L56" s="208">
        <f>$A56*'Verwerking Bouwdelen'!AD40</f>
        <v>0</v>
      </c>
      <c r="M56" s="208">
        <f>$A56*'Verwerking Bouwdelen'!AE40</f>
        <v>0</v>
      </c>
      <c r="O56" s="114">
        <f>$A56*'Verwerking Bouwdelen'!AU40</f>
        <v>0</v>
      </c>
      <c r="P56" s="125">
        <f>$A56*'Verwerking Bouwdelen'!AV40</f>
        <v>0</v>
      </c>
      <c r="Q56" s="125">
        <f>$A56*'Verwerking Bouwdelen'!AW40</f>
        <v>0</v>
      </c>
      <c r="R56" s="125">
        <f>$A56*'Verwerking Bouwdelen'!AX40</f>
        <v>0</v>
      </c>
      <c r="S56" s="125">
        <f>$A56*'Verwerking Bouwdelen'!AY40</f>
        <v>0</v>
      </c>
      <c r="T56" s="125">
        <f>$A56*'Verwerking Bouwdelen'!AZ40</f>
        <v>0</v>
      </c>
      <c r="U56" s="125">
        <f>$A56*'Verwerking Bouwdelen'!BA40</f>
        <v>0</v>
      </c>
      <c r="V56" s="125">
        <f>$A56*'Verwerking Bouwdelen'!BB40</f>
        <v>0</v>
      </c>
      <c r="W56" s="125">
        <f>$A56*'Verwerking Bouwdelen'!BC40</f>
        <v>0</v>
      </c>
      <c r="X56" s="125">
        <f>$A56*'Verwerking Bouwdelen'!BD40</f>
        <v>0</v>
      </c>
      <c r="Y56" s="125">
        <f>$A56*'Verwerking Bouwdelen'!BE40</f>
        <v>0</v>
      </c>
      <c r="Z56" s="195">
        <f>$A56*'Verwerking Bouwdelen'!BF40</f>
        <v>0</v>
      </c>
      <c r="AB56" s="125">
        <f>IF(OR('Verwerking Bouwdelen'!C40=3,'Verwerking Bouwdelen'!C40=6),1,0)</f>
        <v>0</v>
      </c>
      <c r="AC56" s="130">
        <f>IF('Verwerking Bouwdelen'!A40=2,1,0)</f>
        <v>0</v>
      </c>
      <c r="AD56" s="208">
        <f>IF($AB56=1,$AC56*'Verwerking Bouwdelen'!DL40,$AC56*'Verwerking Bouwdelen'!T40)</f>
        <v>0</v>
      </c>
      <c r="AE56" s="208">
        <f>IF($AB56=1,$AC56*'Verwerking Bouwdelen'!DM40,$AC56*'Verwerking Bouwdelen'!U40)</f>
        <v>0</v>
      </c>
      <c r="AF56" s="208">
        <f>IF($AB56=1,$AC56*'Verwerking Bouwdelen'!DN40,$AC56*'Verwerking Bouwdelen'!V40)</f>
        <v>0</v>
      </c>
      <c r="AG56" s="208">
        <f>IF($AB56=1,$AC56*'Verwerking Bouwdelen'!DO40,$AC56*'Verwerking Bouwdelen'!W40)</f>
        <v>0</v>
      </c>
      <c r="AH56" s="208">
        <f>IF($AB56=1,$AC56*'Verwerking Bouwdelen'!DP40,$AC56*'Verwerking Bouwdelen'!X40)</f>
        <v>0</v>
      </c>
      <c r="AI56" s="208">
        <f>IF($AB56=1,$AC56*'Verwerking Bouwdelen'!DQ40,$AC56*'Verwerking Bouwdelen'!Y40)</f>
        <v>0</v>
      </c>
      <c r="AJ56" s="208">
        <f>IF($AB56=1,$AC56*'Verwerking Bouwdelen'!DR40,$AC56*'Verwerking Bouwdelen'!Z40)</f>
        <v>0</v>
      </c>
      <c r="AK56" s="208">
        <f>IF($AB56=1,$AC56*'Verwerking Bouwdelen'!DS40,$AC56*'Verwerking Bouwdelen'!AA40)</f>
        <v>0</v>
      </c>
      <c r="AL56" s="208">
        <f>IF($AB56=1,$AC56*'Verwerking Bouwdelen'!DT40,$AC56*'Verwerking Bouwdelen'!AB40)</f>
        <v>0</v>
      </c>
      <c r="AM56" s="208">
        <f>IF($AB56=1,$AC56*'Verwerking Bouwdelen'!DU40,$AC56*'Verwerking Bouwdelen'!AC40)</f>
        <v>0</v>
      </c>
      <c r="AN56" s="208">
        <f>IF($AB56=1,$AC56*'Verwerking Bouwdelen'!DV40,$AC56*'Verwerking Bouwdelen'!AD40)</f>
        <v>0</v>
      </c>
      <c r="AO56" s="208">
        <f>IF($AB56=1,$AC56*'Verwerking Bouwdelen'!DW40,$AC56*'Verwerking Bouwdelen'!AE40)</f>
        <v>0</v>
      </c>
      <c r="AP56" s="10">
        <f>IF(AD56=B56,0,'Verwerking Bouwdelen'!D40*AB56*AC56)</f>
        <v>0</v>
      </c>
      <c r="AQ56" s="10">
        <f>AB56*AC56*'Verwerking Bouwdelen'!GH40</f>
        <v>0</v>
      </c>
      <c r="AR56" s="10"/>
      <c r="AS56" s="248"/>
      <c r="AT56" s="125">
        <f>IF('Verwerking Bouwdelen'!C40=4,1,0)</f>
        <v>0</v>
      </c>
      <c r="AU56" s="130">
        <f>IF('Verwerking Bouwdelen'!A40=2,1,0)</f>
        <v>0</v>
      </c>
      <c r="AV56" s="208">
        <f>IF($AT56=1,$AU56*'Verwerking Bouwdelen'!DL40,$AU56*'Verwerking Bouwdelen'!T40)</f>
        <v>0</v>
      </c>
      <c r="AW56" s="208">
        <f>IF($AT56=1,$AU56*'Verwerking Bouwdelen'!DM40,$AU56*'Verwerking Bouwdelen'!U40)</f>
        <v>0</v>
      </c>
      <c r="AX56" s="208">
        <f>IF($AT56=1,$AU56*'Verwerking Bouwdelen'!DN40,$AU56*'Verwerking Bouwdelen'!V40)</f>
        <v>0</v>
      </c>
      <c r="AY56" s="208">
        <f>IF($AT56=1,$AU56*'Verwerking Bouwdelen'!DO40,$AU56*'Verwerking Bouwdelen'!W40)</f>
        <v>0</v>
      </c>
      <c r="AZ56" s="208">
        <f>IF($AT56=1,$AU56*'Verwerking Bouwdelen'!DP40,$AU56*'Verwerking Bouwdelen'!X40)</f>
        <v>0</v>
      </c>
      <c r="BA56" s="208">
        <f>IF($AT56=1,$AU56*'Verwerking Bouwdelen'!DQ40,$AU56*'Verwerking Bouwdelen'!Y40)</f>
        <v>0</v>
      </c>
      <c r="BB56" s="208">
        <f>IF($AT56=1,$AU56*'Verwerking Bouwdelen'!DR40,$AU56*'Verwerking Bouwdelen'!Z40)</f>
        <v>0</v>
      </c>
      <c r="BC56" s="208">
        <f>IF($AT56=1,$AU56*'Verwerking Bouwdelen'!DS40,$AU56*'Verwerking Bouwdelen'!AA40)</f>
        <v>0</v>
      </c>
      <c r="BD56" s="208">
        <f>IF($AT56=1,$AU56*'Verwerking Bouwdelen'!DT40,$AU56*'Verwerking Bouwdelen'!AB40)</f>
        <v>0</v>
      </c>
      <c r="BE56" s="208">
        <f>IF($AT56=1,$AU56*'Verwerking Bouwdelen'!DU40,$AU56*'Verwerking Bouwdelen'!AC40)</f>
        <v>0</v>
      </c>
      <c r="BF56" s="208">
        <f>IF($AT56=1,$AU56*'Verwerking Bouwdelen'!DV40,$AU56*'Verwerking Bouwdelen'!AD40)</f>
        <v>0</v>
      </c>
      <c r="BG56" s="208">
        <f>IF($AT56=1,$AU56*'Verwerking Bouwdelen'!DW40,$AU56*'Verwerking Bouwdelen'!AE40)</f>
        <v>0</v>
      </c>
      <c r="BH56" s="10">
        <f>IF(AV56=B56,0,'Verwerking Bouwdelen'!D40*AT56*AU56)</f>
        <v>0</v>
      </c>
      <c r="BI56" s="10">
        <f>AT56*AU56*'Verwerking Bouwdelen'!GH40</f>
        <v>0</v>
      </c>
      <c r="BJ56" s="10"/>
      <c r="BK56" s="10"/>
      <c r="BM56" s="125">
        <f>IF('Verwerking Bouwdelen'!C40=5,1,0)</f>
        <v>0</v>
      </c>
      <c r="BN56" s="130">
        <f>IF('Verwerking Bouwdelen'!A40=2,1,0)</f>
        <v>0</v>
      </c>
      <c r="BO56" s="208">
        <f>IF($BM56=1,$BN56*'Verwerking Bouwdelen'!DL40,$BN56*'Verwerking Bouwdelen'!T40)</f>
        <v>0</v>
      </c>
      <c r="BP56" s="208">
        <f>IF($BM56=1,$BN56*'Verwerking Bouwdelen'!DM40,$BN56*'Verwerking Bouwdelen'!U40)</f>
        <v>0</v>
      </c>
      <c r="BQ56" s="208">
        <f>IF($BM56=1,$BN56*'Verwerking Bouwdelen'!DN40,$BN56*'Verwerking Bouwdelen'!V40)</f>
        <v>0</v>
      </c>
      <c r="BR56" s="208">
        <f>IF($BM56=1,$BN56*'Verwerking Bouwdelen'!DO40,$BN56*'Verwerking Bouwdelen'!W40)</f>
        <v>0</v>
      </c>
      <c r="BS56" s="208">
        <f>IF($BM56=1,$BN56*'Verwerking Bouwdelen'!DP40,$BN56*'Verwerking Bouwdelen'!X40)</f>
        <v>0</v>
      </c>
      <c r="BT56" s="208">
        <f>IF($BM56=1,$BN56*'Verwerking Bouwdelen'!DQ40,$BN56*'Verwerking Bouwdelen'!Y40)</f>
        <v>0</v>
      </c>
      <c r="BU56" s="208">
        <f>IF($BM56=1,$BN56*'Verwerking Bouwdelen'!DR40,$BN56*'Verwerking Bouwdelen'!Z40)</f>
        <v>0</v>
      </c>
      <c r="BV56" s="208">
        <f>IF($BM56=1,$BN56*'Verwerking Bouwdelen'!DS40,$BN56*'Verwerking Bouwdelen'!AA40)</f>
        <v>0</v>
      </c>
      <c r="BW56" s="208">
        <f>IF($BM56=1,$BN56*'Verwerking Bouwdelen'!DT40,$BN56*'Verwerking Bouwdelen'!AB40)</f>
        <v>0</v>
      </c>
      <c r="BX56" s="208">
        <f>IF($BM56=1,$BN56*'Verwerking Bouwdelen'!DU40,$BN56*'Verwerking Bouwdelen'!AC40)</f>
        <v>0</v>
      </c>
      <c r="BY56" s="208">
        <f>IF($BM56=1,$BN56*'Verwerking Bouwdelen'!DV40,$BN56*'Verwerking Bouwdelen'!AD40)</f>
        <v>0</v>
      </c>
      <c r="BZ56" s="208">
        <f>IF($BM56=1,$BN56*'Verwerking Bouwdelen'!DW40,$BN56*'Verwerking Bouwdelen'!AE40)</f>
        <v>0</v>
      </c>
      <c r="CA56" s="10">
        <f>IF(BO56=B56,0,'Verwerking Bouwdelen'!D40*BM56*BN56)</f>
        <v>0</v>
      </c>
      <c r="CB56" s="10">
        <f>BM56*BN56*'Verwerking Bouwdelen'!GH40</f>
        <v>0</v>
      </c>
      <c r="CC56" s="10"/>
      <c r="CD56" s="248"/>
      <c r="CE56" s="125">
        <f>IF('Verwerking Bouwdelen'!C40=2,1,0)</f>
        <v>0</v>
      </c>
      <c r="CF56" s="130">
        <f>IF('Verwerking Bouwdelen'!A40=2,1,0)</f>
        <v>0</v>
      </c>
      <c r="CG56" s="208">
        <f>IF($CE56=1,$CF56*'Verwerking Bouwdelen'!DL40,$CF56*'Verwerking Bouwdelen'!T40)</f>
        <v>0</v>
      </c>
      <c r="CH56" s="208">
        <f>IF($CE56=1,$CF56*'Verwerking Bouwdelen'!DM40,$CF56*'Verwerking Bouwdelen'!U40)</f>
        <v>0</v>
      </c>
      <c r="CI56" s="208">
        <f>IF($CE56=1,$CF56*'Verwerking Bouwdelen'!DN40,$CF56*'Verwerking Bouwdelen'!V40)</f>
        <v>0</v>
      </c>
      <c r="CJ56" s="208">
        <f>IF($CE56=1,$CF56*'Verwerking Bouwdelen'!DO40,$CF56*'Verwerking Bouwdelen'!W40)</f>
        <v>0</v>
      </c>
      <c r="CK56" s="208">
        <f>IF($CE56=1,$CF56*'Verwerking Bouwdelen'!DP40,$CF56*'Verwerking Bouwdelen'!X40)</f>
        <v>0</v>
      </c>
      <c r="CL56" s="208">
        <f>IF($CE56=1,$CF56*'Verwerking Bouwdelen'!DQ40,$CF56*'Verwerking Bouwdelen'!Y40)</f>
        <v>0</v>
      </c>
      <c r="CM56" s="208">
        <f>IF($CE56=1,$CF56*'Verwerking Bouwdelen'!DR40,$CF56*'Verwerking Bouwdelen'!Z40)</f>
        <v>0</v>
      </c>
      <c r="CN56" s="208">
        <f>IF($CE56=1,$CF56*'Verwerking Bouwdelen'!DS40,$CF56*'Verwerking Bouwdelen'!AA40)</f>
        <v>0</v>
      </c>
      <c r="CO56" s="208">
        <f>IF($CE56=1,$CF56*'Verwerking Bouwdelen'!DT40,$CF56*'Verwerking Bouwdelen'!AB40)</f>
        <v>0</v>
      </c>
      <c r="CP56" s="208">
        <f>IF($CE56=1,$CF56*'Verwerking Bouwdelen'!DU40,$CF56*'Verwerking Bouwdelen'!AC40)</f>
        <v>0</v>
      </c>
      <c r="CQ56" s="208">
        <f>IF($CE56=1,$CF56*'Verwerking Bouwdelen'!DV40,$CF56*'Verwerking Bouwdelen'!AD40)</f>
        <v>0</v>
      </c>
      <c r="CR56" s="208">
        <f>IF($CE56=1,$CF56*'Verwerking Bouwdelen'!DW40,$CF56*'Verwerking Bouwdelen'!AE40)</f>
        <v>0</v>
      </c>
      <c r="CS56" s="10">
        <f>IF(CG56=$B56,0,('Verwerking Bouwdelen'!$D40-'Verwerking Bouwdelen'!G40)*CE56*CF56)</f>
        <v>0</v>
      </c>
      <c r="CT56" s="260">
        <f>CE56*CF56*'Verwerking Bouwdelen'!GH40</f>
        <v>0</v>
      </c>
      <c r="CU56" s="261">
        <f>CE56*CF56*'Verwerking Bouwdelen'!GI40</f>
        <v>0</v>
      </c>
      <c r="CW56" s="209">
        <f>$AC56*'Verwerking Bouwdelen'!EE40</f>
        <v>0</v>
      </c>
      <c r="CX56" s="209">
        <f>$AC56*'Verwerking Bouwdelen'!EF40</f>
        <v>0</v>
      </c>
      <c r="CY56" s="209">
        <f>$AC56*'Verwerking Bouwdelen'!EG40</f>
        <v>0</v>
      </c>
      <c r="CZ56" s="209">
        <f>$AC56*'Verwerking Bouwdelen'!EH40</f>
        <v>0</v>
      </c>
      <c r="DA56" s="209">
        <f>$AC56*'Verwerking Bouwdelen'!EI40</f>
        <v>0</v>
      </c>
      <c r="DB56" s="209">
        <f>$AC56*'Verwerking Bouwdelen'!EJ40</f>
        <v>0</v>
      </c>
      <c r="DC56" s="209">
        <f>$AC56*'Verwerking Bouwdelen'!EK40</f>
        <v>0</v>
      </c>
      <c r="DD56" s="209">
        <f>$AC56*'Verwerking Bouwdelen'!EL40</f>
        <v>0</v>
      </c>
      <c r="DE56" s="209">
        <f>$AC56*'Verwerking Bouwdelen'!EM40</f>
        <v>0</v>
      </c>
      <c r="DF56" s="209">
        <f>$AC56*'Verwerking Bouwdelen'!EN40</f>
        <v>0</v>
      </c>
      <c r="DG56" s="209">
        <f>$AC56*'Verwerking Bouwdelen'!EO40</f>
        <v>0</v>
      </c>
      <c r="DH56" s="209">
        <f>$AC56*'Verwerking Bouwdelen'!EP40</f>
        <v>0</v>
      </c>
      <c r="DI56" s="10">
        <f>IF(CW56=$O56,0,'Verwerking Bouwdelen'!G40)</f>
        <v>0</v>
      </c>
      <c r="DJ56" s="259">
        <f>'Verwerking Bouwdelen'!GK40*CF56</f>
        <v>0</v>
      </c>
      <c r="DK56" s="259">
        <f>'Verwerking Bouwdelen'!GL40*CF56</f>
        <v>0</v>
      </c>
      <c r="DL56" s="125"/>
      <c r="GM56" s="89">
        <f t="shared" si="2"/>
        <v>0</v>
      </c>
      <c r="GN56" s="89">
        <f t="shared" si="3"/>
        <v>0</v>
      </c>
      <c r="GO56" s="208">
        <f>IF($GN56=1,$GN56*$GM56*'Verwerking Bouwdelen'!DL40,$GN56*$GM56*'Verwerking Bouwdelen'!T40)</f>
        <v>0</v>
      </c>
      <c r="GP56" s="208">
        <f>IF($GN56=1,$GN56*$GM56*'Verwerking Bouwdelen'!DM40,$GN56*$GM56*'Verwerking Bouwdelen'!U40)</f>
        <v>0</v>
      </c>
      <c r="GQ56" s="208">
        <f>IF($GN56=1,$GN56*$GM56*'Verwerking Bouwdelen'!DN40,$GN56*$GM56*'Verwerking Bouwdelen'!V40)</f>
        <v>0</v>
      </c>
      <c r="GR56" s="208">
        <f>IF($GN56=1,$GN56*$GM56*'Verwerking Bouwdelen'!DO40,$GN56*$GM56*'Verwerking Bouwdelen'!W40)</f>
        <v>0</v>
      </c>
      <c r="GS56" s="208">
        <f>IF($GN56=1,$GN56*$GM56*'Verwerking Bouwdelen'!DP40,$GN56*$GM56*'Verwerking Bouwdelen'!X40)</f>
        <v>0</v>
      </c>
      <c r="GT56" s="208">
        <f>IF($GN56=1,$GN56*$GM56*'Verwerking Bouwdelen'!DQ40,$GN56*$GM56*'Verwerking Bouwdelen'!Y40)</f>
        <v>0</v>
      </c>
      <c r="GU56" s="208">
        <f>IF($GN56=1,$GN56*$GM56*'Verwerking Bouwdelen'!DR40,$GN56*$GM56*'Verwerking Bouwdelen'!Z40)</f>
        <v>0</v>
      </c>
      <c r="GV56" s="208">
        <f>IF($GN56=1,$GN56*$GM56*'Verwerking Bouwdelen'!DS40,$GN56*$GM56*'Verwerking Bouwdelen'!AA40)</f>
        <v>0</v>
      </c>
      <c r="GW56" s="208">
        <f>IF($GN56=1,$GN56*$GM56*'Verwerking Bouwdelen'!DT40,$GN56*$GM56*'Verwerking Bouwdelen'!AB40)</f>
        <v>0</v>
      </c>
      <c r="GX56" s="208">
        <f>IF($GN56=1,$GN56*$GM56*'Verwerking Bouwdelen'!DU40,$GN56*$GM56*'Verwerking Bouwdelen'!AC40)</f>
        <v>0</v>
      </c>
      <c r="GY56" s="208">
        <f>IF($GN56=1,$GN56*$GM56*'Verwerking Bouwdelen'!DV40,$GN56*$GM56*'Verwerking Bouwdelen'!AD40)</f>
        <v>0</v>
      </c>
      <c r="GZ56" s="208">
        <f>IF($GN56=1,$GN56*$GM56*'Verwerking Bouwdelen'!DW40,$GN56*$GM56*'Verwerking Bouwdelen'!AE40)</f>
        <v>0</v>
      </c>
      <c r="HB56" s="89">
        <f t="shared" si="6"/>
        <v>0</v>
      </c>
      <c r="HC56" s="89">
        <f t="shared" si="6"/>
        <v>0</v>
      </c>
      <c r="HD56" s="89">
        <f t="shared" si="6"/>
        <v>0</v>
      </c>
      <c r="HE56" s="89">
        <f t="shared" si="6"/>
        <v>0</v>
      </c>
      <c r="HF56" s="89">
        <f t="shared" si="6"/>
        <v>0</v>
      </c>
      <c r="HG56" s="89">
        <f t="shared" si="6"/>
        <v>0</v>
      </c>
      <c r="HH56" s="89">
        <f t="shared" si="6"/>
        <v>0</v>
      </c>
      <c r="HI56" s="89">
        <f t="shared" si="6"/>
        <v>0</v>
      </c>
      <c r="HJ56" s="89">
        <f t="shared" si="6"/>
        <v>0</v>
      </c>
      <c r="HK56" s="89">
        <f t="shared" si="6"/>
        <v>0</v>
      </c>
      <c r="HL56" s="89">
        <f t="shared" si="6"/>
        <v>0</v>
      </c>
      <c r="HM56" s="89">
        <f t="shared" si="6"/>
        <v>0</v>
      </c>
      <c r="HO56" s="256"/>
      <c r="HZ56" s="256"/>
    </row>
    <row r="57" spans="1:234" x14ac:dyDescent="0.2">
      <c r="A57" s="130">
        <f>IF('Verwerking Bouwdelen'!A41=2,1,0)</f>
        <v>0</v>
      </c>
      <c r="B57" s="208">
        <f>$A57*'Verwerking Bouwdelen'!T41</f>
        <v>0</v>
      </c>
      <c r="C57" s="208">
        <f>$A57*'Verwerking Bouwdelen'!U41</f>
        <v>0</v>
      </c>
      <c r="D57" s="208">
        <f>$A57*'Verwerking Bouwdelen'!V41</f>
        <v>0</v>
      </c>
      <c r="E57" s="208">
        <f>$A57*'Verwerking Bouwdelen'!W41</f>
        <v>0</v>
      </c>
      <c r="F57" s="208">
        <f>$A57*'Verwerking Bouwdelen'!X41</f>
        <v>0</v>
      </c>
      <c r="G57" s="208">
        <f>$A57*'Verwerking Bouwdelen'!Y41</f>
        <v>0</v>
      </c>
      <c r="H57" s="208">
        <f>$A57*'Verwerking Bouwdelen'!Z41</f>
        <v>0</v>
      </c>
      <c r="I57" s="208">
        <f>$A57*'Verwerking Bouwdelen'!AA41</f>
        <v>0</v>
      </c>
      <c r="J57" s="208">
        <f>$A57*'Verwerking Bouwdelen'!AB41</f>
        <v>0</v>
      </c>
      <c r="K57" s="208">
        <f>$A57*'Verwerking Bouwdelen'!AC41</f>
        <v>0</v>
      </c>
      <c r="L57" s="208">
        <f>$A57*'Verwerking Bouwdelen'!AD41</f>
        <v>0</v>
      </c>
      <c r="M57" s="208">
        <f>$A57*'Verwerking Bouwdelen'!AE41</f>
        <v>0</v>
      </c>
      <c r="O57" s="114">
        <f>$A57*'Verwerking Bouwdelen'!AU41</f>
        <v>0</v>
      </c>
      <c r="P57" s="125">
        <f>$A57*'Verwerking Bouwdelen'!AV41</f>
        <v>0</v>
      </c>
      <c r="Q57" s="125">
        <f>$A57*'Verwerking Bouwdelen'!AW41</f>
        <v>0</v>
      </c>
      <c r="R57" s="125">
        <f>$A57*'Verwerking Bouwdelen'!AX41</f>
        <v>0</v>
      </c>
      <c r="S57" s="125">
        <f>$A57*'Verwerking Bouwdelen'!AY41</f>
        <v>0</v>
      </c>
      <c r="T57" s="125">
        <f>$A57*'Verwerking Bouwdelen'!AZ41</f>
        <v>0</v>
      </c>
      <c r="U57" s="125">
        <f>$A57*'Verwerking Bouwdelen'!BA41</f>
        <v>0</v>
      </c>
      <c r="V57" s="125">
        <f>$A57*'Verwerking Bouwdelen'!BB41</f>
        <v>0</v>
      </c>
      <c r="W57" s="125">
        <f>$A57*'Verwerking Bouwdelen'!BC41</f>
        <v>0</v>
      </c>
      <c r="X57" s="125">
        <f>$A57*'Verwerking Bouwdelen'!BD41</f>
        <v>0</v>
      </c>
      <c r="Y57" s="125">
        <f>$A57*'Verwerking Bouwdelen'!BE41</f>
        <v>0</v>
      </c>
      <c r="Z57" s="195">
        <f>$A57*'Verwerking Bouwdelen'!BF41</f>
        <v>0</v>
      </c>
      <c r="AB57" s="125">
        <f>IF(OR('Verwerking Bouwdelen'!C41=3,'Verwerking Bouwdelen'!C41=6),1,0)</f>
        <v>0</v>
      </c>
      <c r="AC57" s="130">
        <f>IF('Verwerking Bouwdelen'!A41=2,1,0)</f>
        <v>0</v>
      </c>
      <c r="AD57" s="208">
        <f>IF($AB57=1,$AC57*'Verwerking Bouwdelen'!DL41,$AC57*'Verwerking Bouwdelen'!T41)</f>
        <v>0</v>
      </c>
      <c r="AE57" s="208">
        <f>IF($AB57=1,$AC57*'Verwerking Bouwdelen'!DM41,$AC57*'Verwerking Bouwdelen'!U41)</f>
        <v>0</v>
      </c>
      <c r="AF57" s="208">
        <f>IF($AB57=1,$AC57*'Verwerking Bouwdelen'!DN41,$AC57*'Verwerking Bouwdelen'!V41)</f>
        <v>0</v>
      </c>
      <c r="AG57" s="208">
        <f>IF($AB57=1,$AC57*'Verwerking Bouwdelen'!DO41,$AC57*'Verwerking Bouwdelen'!W41)</f>
        <v>0</v>
      </c>
      <c r="AH57" s="208">
        <f>IF($AB57=1,$AC57*'Verwerking Bouwdelen'!DP41,$AC57*'Verwerking Bouwdelen'!X41)</f>
        <v>0</v>
      </c>
      <c r="AI57" s="208">
        <f>IF($AB57=1,$AC57*'Verwerking Bouwdelen'!DQ41,$AC57*'Verwerking Bouwdelen'!Y41)</f>
        <v>0</v>
      </c>
      <c r="AJ57" s="208">
        <f>IF($AB57=1,$AC57*'Verwerking Bouwdelen'!DR41,$AC57*'Verwerking Bouwdelen'!Z41)</f>
        <v>0</v>
      </c>
      <c r="AK57" s="208">
        <f>IF($AB57=1,$AC57*'Verwerking Bouwdelen'!DS41,$AC57*'Verwerking Bouwdelen'!AA41)</f>
        <v>0</v>
      </c>
      <c r="AL57" s="208">
        <f>IF($AB57=1,$AC57*'Verwerking Bouwdelen'!DT41,$AC57*'Verwerking Bouwdelen'!AB41)</f>
        <v>0</v>
      </c>
      <c r="AM57" s="208">
        <f>IF($AB57=1,$AC57*'Verwerking Bouwdelen'!DU41,$AC57*'Verwerking Bouwdelen'!AC41)</f>
        <v>0</v>
      </c>
      <c r="AN57" s="208">
        <f>IF($AB57=1,$AC57*'Verwerking Bouwdelen'!DV41,$AC57*'Verwerking Bouwdelen'!AD41)</f>
        <v>0</v>
      </c>
      <c r="AO57" s="208">
        <f>IF($AB57=1,$AC57*'Verwerking Bouwdelen'!DW41,$AC57*'Verwerking Bouwdelen'!AE41)</f>
        <v>0</v>
      </c>
      <c r="AP57" s="10">
        <f>IF(AD57=B57,0,'Verwerking Bouwdelen'!D41*AB57*AC57)</f>
        <v>0</v>
      </c>
      <c r="AQ57" s="10">
        <f>AB57*AC57*'Verwerking Bouwdelen'!GH41</f>
        <v>0</v>
      </c>
      <c r="AR57" s="10"/>
      <c r="AS57" s="248"/>
      <c r="AT57" s="125">
        <f>IF('Verwerking Bouwdelen'!C41=4,1,0)</f>
        <v>0</v>
      </c>
      <c r="AU57" s="130">
        <f>IF('Verwerking Bouwdelen'!A41=2,1,0)</f>
        <v>0</v>
      </c>
      <c r="AV57" s="208">
        <f>IF($AT57=1,$AU57*'Verwerking Bouwdelen'!DL41,$AU57*'Verwerking Bouwdelen'!T41)</f>
        <v>0</v>
      </c>
      <c r="AW57" s="208">
        <f>IF($AT57=1,$AU57*'Verwerking Bouwdelen'!DM41,$AU57*'Verwerking Bouwdelen'!U41)</f>
        <v>0</v>
      </c>
      <c r="AX57" s="208">
        <f>IF($AT57=1,$AU57*'Verwerking Bouwdelen'!DN41,$AU57*'Verwerking Bouwdelen'!V41)</f>
        <v>0</v>
      </c>
      <c r="AY57" s="208">
        <f>IF($AT57=1,$AU57*'Verwerking Bouwdelen'!DO41,$AU57*'Verwerking Bouwdelen'!W41)</f>
        <v>0</v>
      </c>
      <c r="AZ57" s="208">
        <f>IF($AT57=1,$AU57*'Verwerking Bouwdelen'!DP41,$AU57*'Verwerking Bouwdelen'!X41)</f>
        <v>0</v>
      </c>
      <c r="BA57" s="208">
        <f>IF($AT57=1,$AU57*'Verwerking Bouwdelen'!DQ41,$AU57*'Verwerking Bouwdelen'!Y41)</f>
        <v>0</v>
      </c>
      <c r="BB57" s="208">
        <f>IF($AT57=1,$AU57*'Verwerking Bouwdelen'!DR41,$AU57*'Verwerking Bouwdelen'!Z41)</f>
        <v>0</v>
      </c>
      <c r="BC57" s="208">
        <f>IF($AT57=1,$AU57*'Verwerking Bouwdelen'!DS41,$AU57*'Verwerking Bouwdelen'!AA41)</f>
        <v>0</v>
      </c>
      <c r="BD57" s="208">
        <f>IF($AT57=1,$AU57*'Verwerking Bouwdelen'!DT41,$AU57*'Verwerking Bouwdelen'!AB41)</f>
        <v>0</v>
      </c>
      <c r="BE57" s="208">
        <f>IF($AT57=1,$AU57*'Verwerking Bouwdelen'!DU41,$AU57*'Verwerking Bouwdelen'!AC41)</f>
        <v>0</v>
      </c>
      <c r="BF57" s="208">
        <f>IF($AT57=1,$AU57*'Verwerking Bouwdelen'!DV41,$AU57*'Verwerking Bouwdelen'!AD41)</f>
        <v>0</v>
      </c>
      <c r="BG57" s="208">
        <f>IF($AT57=1,$AU57*'Verwerking Bouwdelen'!DW41,$AU57*'Verwerking Bouwdelen'!AE41)</f>
        <v>0</v>
      </c>
      <c r="BH57" s="10">
        <f>IF(AV57=B57,0,'Verwerking Bouwdelen'!D41*AT57*AU57)</f>
        <v>0</v>
      </c>
      <c r="BI57" s="10">
        <f>AT57*AU57*'Verwerking Bouwdelen'!GH41</f>
        <v>0</v>
      </c>
      <c r="BJ57" s="10"/>
      <c r="BK57" s="10"/>
      <c r="BM57" s="125">
        <f>IF('Verwerking Bouwdelen'!C41=5,1,0)</f>
        <v>0</v>
      </c>
      <c r="BN57" s="130">
        <f>IF('Verwerking Bouwdelen'!A41=2,1,0)</f>
        <v>0</v>
      </c>
      <c r="BO57" s="208">
        <f>IF($BM57=1,$BN57*'Verwerking Bouwdelen'!DL41,$BN57*'Verwerking Bouwdelen'!T41)</f>
        <v>0</v>
      </c>
      <c r="BP57" s="208">
        <f>IF($BM57=1,$BN57*'Verwerking Bouwdelen'!DM41,$BN57*'Verwerking Bouwdelen'!U41)</f>
        <v>0</v>
      </c>
      <c r="BQ57" s="208">
        <f>IF($BM57=1,$BN57*'Verwerking Bouwdelen'!DN41,$BN57*'Verwerking Bouwdelen'!V41)</f>
        <v>0</v>
      </c>
      <c r="BR57" s="208">
        <f>IF($BM57=1,$BN57*'Verwerking Bouwdelen'!DO41,$BN57*'Verwerking Bouwdelen'!W41)</f>
        <v>0</v>
      </c>
      <c r="BS57" s="208">
        <f>IF($BM57=1,$BN57*'Verwerking Bouwdelen'!DP41,$BN57*'Verwerking Bouwdelen'!X41)</f>
        <v>0</v>
      </c>
      <c r="BT57" s="208">
        <f>IF($BM57=1,$BN57*'Verwerking Bouwdelen'!DQ41,$BN57*'Verwerking Bouwdelen'!Y41)</f>
        <v>0</v>
      </c>
      <c r="BU57" s="208">
        <f>IF($BM57=1,$BN57*'Verwerking Bouwdelen'!DR41,$BN57*'Verwerking Bouwdelen'!Z41)</f>
        <v>0</v>
      </c>
      <c r="BV57" s="208">
        <f>IF($BM57=1,$BN57*'Verwerking Bouwdelen'!DS41,$BN57*'Verwerking Bouwdelen'!AA41)</f>
        <v>0</v>
      </c>
      <c r="BW57" s="208">
        <f>IF($BM57=1,$BN57*'Verwerking Bouwdelen'!DT41,$BN57*'Verwerking Bouwdelen'!AB41)</f>
        <v>0</v>
      </c>
      <c r="BX57" s="208">
        <f>IF($BM57=1,$BN57*'Verwerking Bouwdelen'!DU41,$BN57*'Verwerking Bouwdelen'!AC41)</f>
        <v>0</v>
      </c>
      <c r="BY57" s="208">
        <f>IF($BM57=1,$BN57*'Verwerking Bouwdelen'!DV41,$BN57*'Verwerking Bouwdelen'!AD41)</f>
        <v>0</v>
      </c>
      <c r="BZ57" s="208">
        <f>IF($BM57=1,$BN57*'Verwerking Bouwdelen'!DW41,$BN57*'Verwerking Bouwdelen'!AE41)</f>
        <v>0</v>
      </c>
      <c r="CA57" s="10">
        <f>IF(BO57=B57,0,'Verwerking Bouwdelen'!D41*BM57*BN57)</f>
        <v>0</v>
      </c>
      <c r="CB57" s="10">
        <f>BM57*BN57*'Verwerking Bouwdelen'!GH41</f>
        <v>0</v>
      </c>
      <c r="CC57" s="10"/>
      <c r="CD57" s="248"/>
      <c r="CE57" s="125">
        <f>IF('Verwerking Bouwdelen'!C41=2,1,0)</f>
        <v>0</v>
      </c>
      <c r="CF57" s="130">
        <f>IF('Verwerking Bouwdelen'!A41=2,1,0)</f>
        <v>0</v>
      </c>
      <c r="CG57" s="208">
        <f>IF($CE57=1,$CF57*'Verwerking Bouwdelen'!DL41,$CF57*'Verwerking Bouwdelen'!T41)</f>
        <v>0</v>
      </c>
      <c r="CH57" s="208">
        <f>IF($CE57=1,$CF57*'Verwerking Bouwdelen'!DM41,$CF57*'Verwerking Bouwdelen'!U41)</f>
        <v>0</v>
      </c>
      <c r="CI57" s="208">
        <f>IF($CE57=1,$CF57*'Verwerking Bouwdelen'!DN41,$CF57*'Verwerking Bouwdelen'!V41)</f>
        <v>0</v>
      </c>
      <c r="CJ57" s="208">
        <f>IF($CE57=1,$CF57*'Verwerking Bouwdelen'!DO41,$CF57*'Verwerking Bouwdelen'!W41)</f>
        <v>0</v>
      </c>
      <c r="CK57" s="208">
        <f>IF($CE57=1,$CF57*'Verwerking Bouwdelen'!DP41,$CF57*'Verwerking Bouwdelen'!X41)</f>
        <v>0</v>
      </c>
      <c r="CL57" s="208">
        <f>IF($CE57=1,$CF57*'Verwerking Bouwdelen'!DQ41,$CF57*'Verwerking Bouwdelen'!Y41)</f>
        <v>0</v>
      </c>
      <c r="CM57" s="208">
        <f>IF($CE57=1,$CF57*'Verwerking Bouwdelen'!DR41,$CF57*'Verwerking Bouwdelen'!Z41)</f>
        <v>0</v>
      </c>
      <c r="CN57" s="208">
        <f>IF($CE57=1,$CF57*'Verwerking Bouwdelen'!DS41,$CF57*'Verwerking Bouwdelen'!AA41)</f>
        <v>0</v>
      </c>
      <c r="CO57" s="208">
        <f>IF($CE57=1,$CF57*'Verwerking Bouwdelen'!DT41,$CF57*'Verwerking Bouwdelen'!AB41)</f>
        <v>0</v>
      </c>
      <c r="CP57" s="208">
        <f>IF($CE57=1,$CF57*'Verwerking Bouwdelen'!DU41,$CF57*'Verwerking Bouwdelen'!AC41)</f>
        <v>0</v>
      </c>
      <c r="CQ57" s="208">
        <f>IF($CE57=1,$CF57*'Verwerking Bouwdelen'!DV41,$CF57*'Verwerking Bouwdelen'!AD41)</f>
        <v>0</v>
      </c>
      <c r="CR57" s="208">
        <f>IF($CE57=1,$CF57*'Verwerking Bouwdelen'!DW41,$CF57*'Verwerking Bouwdelen'!AE41)</f>
        <v>0</v>
      </c>
      <c r="CS57" s="10">
        <f>IF(CG57=$B57,0,('Verwerking Bouwdelen'!$D41-'Verwerking Bouwdelen'!G41)*CE57*CF57)</f>
        <v>0</v>
      </c>
      <c r="CT57" s="260">
        <f>CE57*CF57*'Verwerking Bouwdelen'!GH41</f>
        <v>0</v>
      </c>
      <c r="CU57" s="261">
        <f>CE57*CF57*'Verwerking Bouwdelen'!GI41</f>
        <v>0</v>
      </c>
      <c r="CW57" s="209">
        <f>$AC57*'Verwerking Bouwdelen'!EE41</f>
        <v>0</v>
      </c>
      <c r="CX57" s="209">
        <f>$AC57*'Verwerking Bouwdelen'!EF41</f>
        <v>0</v>
      </c>
      <c r="CY57" s="209">
        <f>$AC57*'Verwerking Bouwdelen'!EG41</f>
        <v>0</v>
      </c>
      <c r="CZ57" s="209">
        <f>$AC57*'Verwerking Bouwdelen'!EH41</f>
        <v>0</v>
      </c>
      <c r="DA57" s="209">
        <f>$AC57*'Verwerking Bouwdelen'!EI41</f>
        <v>0</v>
      </c>
      <c r="DB57" s="209">
        <f>$AC57*'Verwerking Bouwdelen'!EJ41</f>
        <v>0</v>
      </c>
      <c r="DC57" s="209">
        <f>$AC57*'Verwerking Bouwdelen'!EK41</f>
        <v>0</v>
      </c>
      <c r="DD57" s="209">
        <f>$AC57*'Verwerking Bouwdelen'!EL41</f>
        <v>0</v>
      </c>
      <c r="DE57" s="209">
        <f>$AC57*'Verwerking Bouwdelen'!EM41</f>
        <v>0</v>
      </c>
      <c r="DF57" s="209">
        <f>$AC57*'Verwerking Bouwdelen'!EN41</f>
        <v>0</v>
      </c>
      <c r="DG57" s="209">
        <f>$AC57*'Verwerking Bouwdelen'!EO41</f>
        <v>0</v>
      </c>
      <c r="DH57" s="209">
        <f>$AC57*'Verwerking Bouwdelen'!EP41</f>
        <v>0</v>
      </c>
      <c r="DI57" s="10">
        <f>IF(CW57=$O57,0,'Verwerking Bouwdelen'!G41)</f>
        <v>0</v>
      </c>
      <c r="DJ57" s="259">
        <f>'Verwerking Bouwdelen'!GK41*CF57</f>
        <v>0</v>
      </c>
      <c r="DK57" s="259">
        <f>'Verwerking Bouwdelen'!GL41*CF57</f>
        <v>0</v>
      </c>
      <c r="DL57" s="125"/>
      <c r="GM57" s="89">
        <f t="shared" si="2"/>
        <v>0</v>
      </c>
      <c r="GN57" s="89">
        <f t="shared" si="3"/>
        <v>0</v>
      </c>
      <c r="GO57" s="208">
        <f>IF($GN57=1,$GN57*$GM57*'Verwerking Bouwdelen'!DL41,$GN57*$GM57*'Verwerking Bouwdelen'!T41)</f>
        <v>0</v>
      </c>
      <c r="GP57" s="208">
        <f>IF($GN57=1,$GN57*$GM57*'Verwerking Bouwdelen'!DM41,$GN57*$GM57*'Verwerking Bouwdelen'!U41)</f>
        <v>0</v>
      </c>
      <c r="GQ57" s="208">
        <f>IF($GN57=1,$GN57*$GM57*'Verwerking Bouwdelen'!DN41,$GN57*$GM57*'Verwerking Bouwdelen'!V41)</f>
        <v>0</v>
      </c>
      <c r="GR57" s="208">
        <f>IF($GN57=1,$GN57*$GM57*'Verwerking Bouwdelen'!DO41,$GN57*$GM57*'Verwerking Bouwdelen'!W41)</f>
        <v>0</v>
      </c>
      <c r="GS57" s="208">
        <f>IF($GN57=1,$GN57*$GM57*'Verwerking Bouwdelen'!DP41,$GN57*$GM57*'Verwerking Bouwdelen'!X41)</f>
        <v>0</v>
      </c>
      <c r="GT57" s="208">
        <f>IF($GN57=1,$GN57*$GM57*'Verwerking Bouwdelen'!DQ41,$GN57*$GM57*'Verwerking Bouwdelen'!Y41)</f>
        <v>0</v>
      </c>
      <c r="GU57" s="208">
        <f>IF($GN57=1,$GN57*$GM57*'Verwerking Bouwdelen'!DR41,$GN57*$GM57*'Verwerking Bouwdelen'!Z41)</f>
        <v>0</v>
      </c>
      <c r="GV57" s="208">
        <f>IF($GN57=1,$GN57*$GM57*'Verwerking Bouwdelen'!DS41,$GN57*$GM57*'Verwerking Bouwdelen'!AA41)</f>
        <v>0</v>
      </c>
      <c r="GW57" s="208">
        <f>IF($GN57=1,$GN57*$GM57*'Verwerking Bouwdelen'!DT41,$GN57*$GM57*'Verwerking Bouwdelen'!AB41)</f>
        <v>0</v>
      </c>
      <c r="GX57" s="208">
        <f>IF($GN57=1,$GN57*$GM57*'Verwerking Bouwdelen'!DU41,$GN57*$GM57*'Verwerking Bouwdelen'!AC41)</f>
        <v>0</v>
      </c>
      <c r="GY57" s="208">
        <f>IF($GN57=1,$GN57*$GM57*'Verwerking Bouwdelen'!DV41,$GN57*$GM57*'Verwerking Bouwdelen'!AD41)</f>
        <v>0</v>
      </c>
      <c r="GZ57" s="208">
        <f>IF($GN57=1,$GN57*$GM57*'Verwerking Bouwdelen'!DW41,$GN57*$GM57*'Verwerking Bouwdelen'!AE41)</f>
        <v>0</v>
      </c>
      <c r="HB57" s="89">
        <f t="shared" si="6"/>
        <v>0</v>
      </c>
      <c r="HC57" s="89">
        <f t="shared" si="6"/>
        <v>0</v>
      </c>
      <c r="HD57" s="89">
        <f t="shared" si="6"/>
        <v>0</v>
      </c>
      <c r="HE57" s="89">
        <f t="shared" si="6"/>
        <v>0</v>
      </c>
      <c r="HF57" s="89">
        <f t="shared" si="6"/>
        <v>0</v>
      </c>
      <c r="HG57" s="89">
        <f t="shared" si="6"/>
        <v>0</v>
      </c>
      <c r="HH57" s="89">
        <f t="shared" si="6"/>
        <v>0</v>
      </c>
      <c r="HI57" s="89">
        <f t="shared" si="6"/>
        <v>0</v>
      </c>
      <c r="HJ57" s="89">
        <f t="shared" si="6"/>
        <v>0</v>
      </c>
      <c r="HK57" s="89">
        <f t="shared" si="6"/>
        <v>0</v>
      </c>
      <c r="HL57" s="89">
        <f t="shared" si="6"/>
        <v>0</v>
      </c>
      <c r="HM57" s="89">
        <f t="shared" si="6"/>
        <v>0</v>
      </c>
      <c r="HO57" s="256"/>
      <c r="HZ57" s="256"/>
    </row>
    <row r="58" spans="1:234" x14ac:dyDescent="0.2">
      <c r="A58" s="130">
        <f>IF('Verwerking Bouwdelen'!A42=2,1,0)</f>
        <v>0</v>
      </c>
      <c r="B58" s="208">
        <f>$A58*'Verwerking Bouwdelen'!T42</f>
        <v>0</v>
      </c>
      <c r="C58" s="208">
        <f>$A58*'Verwerking Bouwdelen'!U42</f>
        <v>0</v>
      </c>
      <c r="D58" s="208">
        <f>$A58*'Verwerking Bouwdelen'!V42</f>
        <v>0</v>
      </c>
      <c r="E58" s="208">
        <f>$A58*'Verwerking Bouwdelen'!W42</f>
        <v>0</v>
      </c>
      <c r="F58" s="208">
        <f>$A58*'Verwerking Bouwdelen'!X42</f>
        <v>0</v>
      </c>
      <c r="G58" s="208">
        <f>$A58*'Verwerking Bouwdelen'!Y42</f>
        <v>0</v>
      </c>
      <c r="H58" s="208">
        <f>$A58*'Verwerking Bouwdelen'!Z42</f>
        <v>0</v>
      </c>
      <c r="I58" s="208">
        <f>$A58*'Verwerking Bouwdelen'!AA42</f>
        <v>0</v>
      </c>
      <c r="J58" s="208">
        <f>$A58*'Verwerking Bouwdelen'!AB42</f>
        <v>0</v>
      </c>
      <c r="K58" s="208">
        <f>$A58*'Verwerking Bouwdelen'!AC42</f>
        <v>0</v>
      </c>
      <c r="L58" s="208">
        <f>$A58*'Verwerking Bouwdelen'!AD42</f>
        <v>0</v>
      </c>
      <c r="M58" s="208">
        <f>$A58*'Verwerking Bouwdelen'!AE42</f>
        <v>0</v>
      </c>
      <c r="O58" s="114">
        <f>$A58*'Verwerking Bouwdelen'!AU42</f>
        <v>0</v>
      </c>
      <c r="P58" s="125">
        <f>$A58*'Verwerking Bouwdelen'!AV42</f>
        <v>0</v>
      </c>
      <c r="Q58" s="125">
        <f>$A58*'Verwerking Bouwdelen'!AW42</f>
        <v>0</v>
      </c>
      <c r="R58" s="125">
        <f>$A58*'Verwerking Bouwdelen'!AX42</f>
        <v>0</v>
      </c>
      <c r="S58" s="125">
        <f>$A58*'Verwerking Bouwdelen'!AY42</f>
        <v>0</v>
      </c>
      <c r="T58" s="125">
        <f>$A58*'Verwerking Bouwdelen'!AZ42</f>
        <v>0</v>
      </c>
      <c r="U58" s="125">
        <f>$A58*'Verwerking Bouwdelen'!BA42</f>
        <v>0</v>
      </c>
      <c r="V58" s="125">
        <f>$A58*'Verwerking Bouwdelen'!BB42</f>
        <v>0</v>
      </c>
      <c r="W58" s="125">
        <f>$A58*'Verwerking Bouwdelen'!BC42</f>
        <v>0</v>
      </c>
      <c r="X58" s="125">
        <f>$A58*'Verwerking Bouwdelen'!BD42</f>
        <v>0</v>
      </c>
      <c r="Y58" s="125">
        <f>$A58*'Verwerking Bouwdelen'!BE42</f>
        <v>0</v>
      </c>
      <c r="Z58" s="195">
        <f>$A58*'Verwerking Bouwdelen'!BF42</f>
        <v>0</v>
      </c>
      <c r="AB58" s="125">
        <f>IF(OR('Verwerking Bouwdelen'!C42=3,'Verwerking Bouwdelen'!C42=6),1,0)</f>
        <v>0</v>
      </c>
      <c r="AC58" s="130">
        <f>IF('Verwerking Bouwdelen'!A42=2,1,0)</f>
        <v>0</v>
      </c>
      <c r="AD58" s="208">
        <f>IF($AB58=1,$AC58*'Verwerking Bouwdelen'!DL42,$AC58*'Verwerking Bouwdelen'!T42)</f>
        <v>0</v>
      </c>
      <c r="AE58" s="208">
        <f>IF($AB58=1,$AC58*'Verwerking Bouwdelen'!DM42,$AC58*'Verwerking Bouwdelen'!U42)</f>
        <v>0</v>
      </c>
      <c r="AF58" s="208">
        <f>IF($AB58=1,$AC58*'Verwerking Bouwdelen'!DN42,$AC58*'Verwerking Bouwdelen'!V42)</f>
        <v>0</v>
      </c>
      <c r="AG58" s="208">
        <f>IF($AB58=1,$AC58*'Verwerking Bouwdelen'!DO42,$AC58*'Verwerking Bouwdelen'!W42)</f>
        <v>0</v>
      </c>
      <c r="AH58" s="208">
        <f>IF($AB58=1,$AC58*'Verwerking Bouwdelen'!DP42,$AC58*'Verwerking Bouwdelen'!X42)</f>
        <v>0</v>
      </c>
      <c r="AI58" s="208">
        <f>IF($AB58=1,$AC58*'Verwerking Bouwdelen'!DQ42,$AC58*'Verwerking Bouwdelen'!Y42)</f>
        <v>0</v>
      </c>
      <c r="AJ58" s="208">
        <f>IF($AB58=1,$AC58*'Verwerking Bouwdelen'!DR42,$AC58*'Verwerking Bouwdelen'!Z42)</f>
        <v>0</v>
      </c>
      <c r="AK58" s="208">
        <f>IF($AB58=1,$AC58*'Verwerking Bouwdelen'!DS42,$AC58*'Verwerking Bouwdelen'!AA42)</f>
        <v>0</v>
      </c>
      <c r="AL58" s="208">
        <f>IF($AB58=1,$AC58*'Verwerking Bouwdelen'!DT42,$AC58*'Verwerking Bouwdelen'!AB42)</f>
        <v>0</v>
      </c>
      <c r="AM58" s="208">
        <f>IF($AB58=1,$AC58*'Verwerking Bouwdelen'!DU42,$AC58*'Verwerking Bouwdelen'!AC42)</f>
        <v>0</v>
      </c>
      <c r="AN58" s="208">
        <f>IF($AB58=1,$AC58*'Verwerking Bouwdelen'!DV42,$AC58*'Verwerking Bouwdelen'!AD42)</f>
        <v>0</v>
      </c>
      <c r="AO58" s="208">
        <f>IF($AB58=1,$AC58*'Verwerking Bouwdelen'!DW42,$AC58*'Verwerking Bouwdelen'!AE42)</f>
        <v>0</v>
      </c>
      <c r="AP58" s="10">
        <f>IF(AD58=B58,0,'Verwerking Bouwdelen'!D42*AB58*AC58)</f>
        <v>0</v>
      </c>
      <c r="AQ58" s="10">
        <f>AB58*AC58*'Verwerking Bouwdelen'!GH42</f>
        <v>0</v>
      </c>
      <c r="AR58" s="10"/>
      <c r="AS58" s="248"/>
      <c r="AT58" s="125">
        <f>IF('Verwerking Bouwdelen'!C42=4,1,0)</f>
        <v>0</v>
      </c>
      <c r="AU58" s="130">
        <f>IF('Verwerking Bouwdelen'!A42=2,1,0)</f>
        <v>0</v>
      </c>
      <c r="AV58" s="208">
        <f>IF($AT58=1,$AU58*'Verwerking Bouwdelen'!DL42,$AU58*'Verwerking Bouwdelen'!T42)</f>
        <v>0</v>
      </c>
      <c r="AW58" s="208">
        <f>IF($AT58=1,$AU58*'Verwerking Bouwdelen'!DM42,$AU58*'Verwerking Bouwdelen'!U42)</f>
        <v>0</v>
      </c>
      <c r="AX58" s="208">
        <f>IF($AT58=1,$AU58*'Verwerking Bouwdelen'!DN42,$AU58*'Verwerking Bouwdelen'!V42)</f>
        <v>0</v>
      </c>
      <c r="AY58" s="208">
        <f>IF($AT58=1,$AU58*'Verwerking Bouwdelen'!DO42,$AU58*'Verwerking Bouwdelen'!W42)</f>
        <v>0</v>
      </c>
      <c r="AZ58" s="208">
        <f>IF($AT58=1,$AU58*'Verwerking Bouwdelen'!DP42,$AU58*'Verwerking Bouwdelen'!X42)</f>
        <v>0</v>
      </c>
      <c r="BA58" s="208">
        <f>IF($AT58=1,$AU58*'Verwerking Bouwdelen'!DQ42,$AU58*'Verwerking Bouwdelen'!Y42)</f>
        <v>0</v>
      </c>
      <c r="BB58" s="208">
        <f>IF($AT58=1,$AU58*'Verwerking Bouwdelen'!DR42,$AU58*'Verwerking Bouwdelen'!Z42)</f>
        <v>0</v>
      </c>
      <c r="BC58" s="208">
        <f>IF($AT58=1,$AU58*'Verwerking Bouwdelen'!DS42,$AU58*'Verwerking Bouwdelen'!AA42)</f>
        <v>0</v>
      </c>
      <c r="BD58" s="208">
        <f>IF($AT58=1,$AU58*'Verwerking Bouwdelen'!DT42,$AU58*'Verwerking Bouwdelen'!AB42)</f>
        <v>0</v>
      </c>
      <c r="BE58" s="208">
        <f>IF($AT58=1,$AU58*'Verwerking Bouwdelen'!DU42,$AU58*'Verwerking Bouwdelen'!AC42)</f>
        <v>0</v>
      </c>
      <c r="BF58" s="208">
        <f>IF($AT58=1,$AU58*'Verwerking Bouwdelen'!DV42,$AU58*'Verwerking Bouwdelen'!AD42)</f>
        <v>0</v>
      </c>
      <c r="BG58" s="208">
        <f>IF($AT58=1,$AU58*'Verwerking Bouwdelen'!DW42,$AU58*'Verwerking Bouwdelen'!AE42)</f>
        <v>0</v>
      </c>
      <c r="BH58" s="10">
        <f>IF(AV58=B58,0,'Verwerking Bouwdelen'!D42*AT58*AU58)</f>
        <v>0</v>
      </c>
      <c r="BI58" s="10">
        <f>AT58*AU58*'Verwerking Bouwdelen'!GH42</f>
        <v>0</v>
      </c>
      <c r="BJ58" s="10"/>
      <c r="BK58" s="10"/>
      <c r="BM58" s="125">
        <f>IF('Verwerking Bouwdelen'!C42=5,1,0)</f>
        <v>0</v>
      </c>
      <c r="BN58" s="130">
        <f>IF('Verwerking Bouwdelen'!A42=2,1,0)</f>
        <v>0</v>
      </c>
      <c r="BO58" s="208">
        <f>IF($BM58=1,$BN58*'Verwerking Bouwdelen'!DL42,$BN58*'Verwerking Bouwdelen'!T42)</f>
        <v>0</v>
      </c>
      <c r="BP58" s="208">
        <f>IF($BM58=1,$BN58*'Verwerking Bouwdelen'!DM42,$BN58*'Verwerking Bouwdelen'!U42)</f>
        <v>0</v>
      </c>
      <c r="BQ58" s="208">
        <f>IF($BM58=1,$BN58*'Verwerking Bouwdelen'!DN42,$BN58*'Verwerking Bouwdelen'!V42)</f>
        <v>0</v>
      </c>
      <c r="BR58" s="208">
        <f>IF($BM58=1,$BN58*'Verwerking Bouwdelen'!DO42,$BN58*'Verwerking Bouwdelen'!W42)</f>
        <v>0</v>
      </c>
      <c r="BS58" s="208">
        <f>IF($BM58=1,$BN58*'Verwerking Bouwdelen'!DP42,$BN58*'Verwerking Bouwdelen'!X42)</f>
        <v>0</v>
      </c>
      <c r="BT58" s="208">
        <f>IF($BM58=1,$BN58*'Verwerking Bouwdelen'!DQ42,$BN58*'Verwerking Bouwdelen'!Y42)</f>
        <v>0</v>
      </c>
      <c r="BU58" s="208">
        <f>IF($BM58=1,$BN58*'Verwerking Bouwdelen'!DR42,$BN58*'Verwerking Bouwdelen'!Z42)</f>
        <v>0</v>
      </c>
      <c r="BV58" s="208">
        <f>IF($BM58=1,$BN58*'Verwerking Bouwdelen'!DS42,$BN58*'Verwerking Bouwdelen'!AA42)</f>
        <v>0</v>
      </c>
      <c r="BW58" s="208">
        <f>IF($BM58=1,$BN58*'Verwerking Bouwdelen'!DT42,$BN58*'Verwerking Bouwdelen'!AB42)</f>
        <v>0</v>
      </c>
      <c r="BX58" s="208">
        <f>IF($BM58=1,$BN58*'Verwerking Bouwdelen'!DU42,$BN58*'Verwerking Bouwdelen'!AC42)</f>
        <v>0</v>
      </c>
      <c r="BY58" s="208">
        <f>IF($BM58=1,$BN58*'Verwerking Bouwdelen'!DV42,$BN58*'Verwerking Bouwdelen'!AD42)</f>
        <v>0</v>
      </c>
      <c r="BZ58" s="208">
        <f>IF($BM58=1,$BN58*'Verwerking Bouwdelen'!DW42,$BN58*'Verwerking Bouwdelen'!AE42)</f>
        <v>0</v>
      </c>
      <c r="CA58" s="10">
        <f>IF(BO58=B58,0,'Verwerking Bouwdelen'!D42*BM58*BN58)</f>
        <v>0</v>
      </c>
      <c r="CB58" s="10">
        <f>BM58*BN58*'Verwerking Bouwdelen'!GH42</f>
        <v>0</v>
      </c>
      <c r="CC58" s="10"/>
      <c r="CD58" s="248"/>
      <c r="CE58" s="125">
        <f>IF('Verwerking Bouwdelen'!C42=2,1,0)</f>
        <v>0</v>
      </c>
      <c r="CF58" s="130">
        <f>IF('Verwerking Bouwdelen'!A42=2,1,0)</f>
        <v>0</v>
      </c>
      <c r="CG58" s="208">
        <f>IF($CE58=1,$CF58*'Verwerking Bouwdelen'!DL42,$CF58*'Verwerking Bouwdelen'!T42)</f>
        <v>0</v>
      </c>
      <c r="CH58" s="208">
        <f>IF($CE58=1,$CF58*'Verwerking Bouwdelen'!DM42,$CF58*'Verwerking Bouwdelen'!U42)</f>
        <v>0</v>
      </c>
      <c r="CI58" s="208">
        <f>IF($CE58=1,$CF58*'Verwerking Bouwdelen'!DN42,$CF58*'Verwerking Bouwdelen'!V42)</f>
        <v>0</v>
      </c>
      <c r="CJ58" s="208">
        <f>IF($CE58=1,$CF58*'Verwerking Bouwdelen'!DO42,$CF58*'Verwerking Bouwdelen'!W42)</f>
        <v>0</v>
      </c>
      <c r="CK58" s="208">
        <f>IF($CE58=1,$CF58*'Verwerking Bouwdelen'!DP42,$CF58*'Verwerking Bouwdelen'!X42)</f>
        <v>0</v>
      </c>
      <c r="CL58" s="208">
        <f>IF($CE58=1,$CF58*'Verwerking Bouwdelen'!DQ42,$CF58*'Verwerking Bouwdelen'!Y42)</f>
        <v>0</v>
      </c>
      <c r="CM58" s="208">
        <f>IF($CE58=1,$CF58*'Verwerking Bouwdelen'!DR42,$CF58*'Verwerking Bouwdelen'!Z42)</f>
        <v>0</v>
      </c>
      <c r="CN58" s="208">
        <f>IF($CE58=1,$CF58*'Verwerking Bouwdelen'!DS42,$CF58*'Verwerking Bouwdelen'!AA42)</f>
        <v>0</v>
      </c>
      <c r="CO58" s="208">
        <f>IF($CE58=1,$CF58*'Verwerking Bouwdelen'!DT42,$CF58*'Verwerking Bouwdelen'!AB42)</f>
        <v>0</v>
      </c>
      <c r="CP58" s="208">
        <f>IF($CE58=1,$CF58*'Verwerking Bouwdelen'!DU42,$CF58*'Verwerking Bouwdelen'!AC42)</f>
        <v>0</v>
      </c>
      <c r="CQ58" s="208">
        <f>IF($CE58=1,$CF58*'Verwerking Bouwdelen'!DV42,$CF58*'Verwerking Bouwdelen'!AD42)</f>
        <v>0</v>
      </c>
      <c r="CR58" s="208">
        <f>IF($CE58=1,$CF58*'Verwerking Bouwdelen'!DW42,$CF58*'Verwerking Bouwdelen'!AE42)</f>
        <v>0</v>
      </c>
      <c r="CS58" s="10">
        <f>IF(CG58=$B58,0,('Verwerking Bouwdelen'!$D42-'Verwerking Bouwdelen'!G42)*CE58*CF58)</f>
        <v>0</v>
      </c>
      <c r="CT58" s="260">
        <f>CE58*CF58*'Verwerking Bouwdelen'!GH42</f>
        <v>0</v>
      </c>
      <c r="CU58" s="261">
        <f>CE58*CF58*'Verwerking Bouwdelen'!GI42</f>
        <v>0</v>
      </c>
      <c r="CW58" s="209">
        <f>$AC58*'Verwerking Bouwdelen'!EE42</f>
        <v>0</v>
      </c>
      <c r="CX58" s="209">
        <f>$AC58*'Verwerking Bouwdelen'!EF42</f>
        <v>0</v>
      </c>
      <c r="CY58" s="209">
        <f>$AC58*'Verwerking Bouwdelen'!EG42</f>
        <v>0</v>
      </c>
      <c r="CZ58" s="209">
        <f>$AC58*'Verwerking Bouwdelen'!EH42</f>
        <v>0</v>
      </c>
      <c r="DA58" s="209">
        <f>$AC58*'Verwerking Bouwdelen'!EI42</f>
        <v>0</v>
      </c>
      <c r="DB58" s="209">
        <f>$AC58*'Verwerking Bouwdelen'!EJ42</f>
        <v>0</v>
      </c>
      <c r="DC58" s="209">
        <f>$AC58*'Verwerking Bouwdelen'!EK42</f>
        <v>0</v>
      </c>
      <c r="DD58" s="209">
        <f>$AC58*'Verwerking Bouwdelen'!EL42</f>
        <v>0</v>
      </c>
      <c r="DE58" s="209">
        <f>$AC58*'Verwerking Bouwdelen'!EM42</f>
        <v>0</v>
      </c>
      <c r="DF58" s="209">
        <f>$AC58*'Verwerking Bouwdelen'!EN42</f>
        <v>0</v>
      </c>
      <c r="DG58" s="209">
        <f>$AC58*'Verwerking Bouwdelen'!EO42</f>
        <v>0</v>
      </c>
      <c r="DH58" s="209">
        <f>$AC58*'Verwerking Bouwdelen'!EP42</f>
        <v>0</v>
      </c>
      <c r="DI58" s="10">
        <f>IF(CW58=$O58,0,'Verwerking Bouwdelen'!G42)</f>
        <v>0</v>
      </c>
      <c r="DJ58" s="259">
        <f>'Verwerking Bouwdelen'!GK42*CF58</f>
        <v>0</v>
      </c>
      <c r="DK58" s="259">
        <f>'Verwerking Bouwdelen'!GL42*CF58</f>
        <v>0</v>
      </c>
      <c r="DL58" s="125"/>
      <c r="GM58" s="89">
        <f t="shared" si="2"/>
        <v>0</v>
      </c>
      <c r="GN58" s="89">
        <f t="shared" si="3"/>
        <v>0</v>
      </c>
      <c r="GO58" s="208">
        <f>IF($GN58=1,$GN58*$GM58*'Verwerking Bouwdelen'!DL42,$GN58*$GM58*'Verwerking Bouwdelen'!T42)</f>
        <v>0</v>
      </c>
      <c r="GP58" s="208">
        <f>IF($GN58=1,$GN58*$GM58*'Verwerking Bouwdelen'!DM42,$GN58*$GM58*'Verwerking Bouwdelen'!U42)</f>
        <v>0</v>
      </c>
      <c r="GQ58" s="208">
        <f>IF($GN58=1,$GN58*$GM58*'Verwerking Bouwdelen'!DN42,$GN58*$GM58*'Verwerking Bouwdelen'!V42)</f>
        <v>0</v>
      </c>
      <c r="GR58" s="208">
        <f>IF($GN58=1,$GN58*$GM58*'Verwerking Bouwdelen'!DO42,$GN58*$GM58*'Verwerking Bouwdelen'!W42)</f>
        <v>0</v>
      </c>
      <c r="GS58" s="208">
        <f>IF($GN58=1,$GN58*$GM58*'Verwerking Bouwdelen'!DP42,$GN58*$GM58*'Verwerking Bouwdelen'!X42)</f>
        <v>0</v>
      </c>
      <c r="GT58" s="208">
        <f>IF($GN58=1,$GN58*$GM58*'Verwerking Bouwdelen'!DQ42,$GN58*$GM58*'Verwerking Bouwdelen'!Y42)</f>
        <v>0</v>
      </c>
      <c r="GU58" s="208">
        <f>IF($GN58=1,$GN58*$GM58*'Verwerking Bouwdelen'!DR42,$GN58*$GM58*'Verwerking Bouwdelen'!Z42)</f>
        <v>0</v>
      </c>
      <c r="GV58" s="208">
        <f>IF($GN58=1,$GN58*$GM58*'Verwerking Bouwdelen'!DS42,$GN58*$GM58*'Verwerking Bouwdelen'!AA42)</f>
        <v>0</v>
      </c>
      <c r="GW58" s="208">
        <f>IF($GN58=1,$GN58*$GM58*'Verwerking Bouwdelen'!DT42,$GN58*$GM58*'Verwerking Bouwdelen'!AB42)</f>
        <v>0</v>
      </c>
      <c r="GX58" s="208">
        <f>IF($GN58=1,$GN58*$GM58*'Verwerking Bouwdelen'!DU42,$GN58*$GM58*'Verwerking Bouwdelen'!AC42)</f>
        <v>0</v>
      </c>
      <c r="GY58" s="208">
        <f>IF($GN58=1,$GN58*$GM58*'Verwerking Bouwdelen'!DV42,$GN58*$GM58*'Verwerking Bouwdelen'!AD42)</f>
        <v>0</v>
      </c>
      <c r="GZ58" s="208">
        <f>IF($GN58=1,$GN58*$GM58*'Verwerking Bouwdelen'!DW42,$GN58*$GM58*'Verwerking Bouwdelen'!AE42)</f>
        <v>0</v>
      </c>
      <c r="HB58" s="89">
        <f t="shared" si="6"/>
        <v>0</v>
      </c>
      <c r="HC58" s="89">
        <f t="shared" si="6"/>
        <v>0</v>
      </c>
      <c r="HD58" s="89">
        <f t="shared" si="6"/>
        <v>0</v>
      </c>
      <c r="HE58" s="89">
        <f t="shared" si="6"/>
        <v>0</v>
      </c>
      <c r="HF58" s="89">
        <f t="shared" si="6"/>
        <v>0</v>
      </c>
      <c r="HG58" s="89">
        <f t="shared" si="6"/>
        <v>0</v>
      </c>
      <c r="HH58" s="89">
        <f t="shared" si="6"/>
        <v>0</v>
      </c>
      <c r="HI58" s="89">
        <f t="shared" si="6"/>
        <v>0</v>
      </c>
      <c r="HJ58" s="89">
        <f t="shared" si="6"/>
        <v>0</v>
      </c>
      <c r="HK58" s="89">
        <f t="shared" si="6"/>
        <v>0</v>
      </c>
      <c r="HL58" s="89">
        <f t="shared" si="6"/>
        <v>0</v>
      </c>
      <c r="HM58" s="89">
        <f t="shared" si="6"/>
        <v>0</v>
      </c>
      <c r="HO58" s="256"/>
      <c r="HZ58" s="256"/>
    </row>
    <row r="59" spans="1:234" x14ac:dyDescent="0.2">
      <c r="A59" s="130">
        <f>IF('Verwerking Bouwdelen'!A43=2,1,0)</f>
        <v>0</v>
      </c>
      <c r="B59" s="208">
        <f>$A59*'Verwerking Bouwdelen'!T43</f>
        <v>0</v>
      </c>
      <c r="C59" s="208">
        <f>$A59*'Verwerking Bouwdelen'!U43</f>
        <v>0</v>
      </c>
      <c r="D59" s="208">
        <f>$A59*'Verwerking Bouwdelen'!V43</f>
        <v>0</v>
      </c>
      <c r="E59" s="208">
        <f>$A59*'Verwerking Bouwdelen'!W43</f>
        <v>0</v>
      </c>
      <c r="F59" s="208">
        <f>$A59*'Verwerking Bouwdelen'!X43</f>
        <v>0</v>
      </c>
      <c r="G59" s="208">
        <f>$A59*'Verwerking Bouwdelen'!Y43</f>
        <v>0</v>
      </c>
      <c r="H59" s="208">
        <f>$A59*'Verwerking Bouwdelen'!Z43</f>
        <v>0</v>
      </c>
      <c r="I59" s="208">
        <f>$A59*'Verwerking Bouwdelen'!AA43</f>
        <v>0</v>
      </c>
      <c r="J59" s="208">
        <f>$A59*'Verwerking Bouwdelen'!AB43</f>
        <v>0</v>
      </c>
      <c r="K59" s="208">
        <f>$A59*'Verwerking Bouwdelen'!AC43</f>
        <v>0</v>
      </c>
      <c r="L59" s="208">
        <f>$A59*'Verwerking Bouwdelen'!AD43</f>
        <v>0</v>
      </c>
      <c r="M59" s="208">
        <f>$A59*'Verwerking Bouwdelen'!AE43</f>
        <v>0</v>
      </c>
      <c r="O59" s="114">
        <f>$A59*'Verwerking Bouwdelen'!AU43</f>
        <v>0</v>
      </c>
      <c r="P59" s="125">
        <f>$A59*'Verwerking Bouwdelen'!AV43</f>
        <v>0</v>
      </c>
      <c r="Q59" s="125">
        <f>$A59*'Verwerking Bouwdelen'!AW43</f>
        <v>0</v>
      </c>
      <c r="R59" s="125">
        <f>$A59*'Verwerking Bouwdelen'!AX43</f>
        <v>0</v>
      </c>
      <c r="S59" s="125">
        <f>$A59*'Verwerking Bouwdelen'!AY43</f>
        <v>0</v>
      </c>
      <c r="T59" s="125">
        <f>$A59*'Verwerking Bouwdelen'!AZ43</f>
        <v>0</v>
      </c>
      <c r="U59" s="125">
        <f>$A59*'Verwerking Bouwdelen'!BA43</f>
        <v>0</v>
      </c>
      <c r="V59" s="125">
        <f>$A59*'Verwerking Bouwdelen'!BB43</f>
        <v>0</v>
      </c>
      <c r="W59" s="125">
        <f>$A59*'Verwerking Bouwdelen'!BC43</f>
        <v>0</v>
      </c>
      <c r="X59" s="125">
        <f>$A59*'Verwerking Bouwdelen'!BD43</f>
        <v>0</v>
      </c>
      <c r="Y59" s="125">
        <f>$A59*'Verwerking Bouwdelen'!BE43</f>
        <v>0</v>
      </c>
      <c r="Z59" s="195">
        <f>$A59*'Verwerking Bouwdelen'!BF43</f>
        <v>0</v>
      </c>
      <c r="AB59" s="125">
        <f>IF(OR('Verwerking Bouwdelen'!C43=3,'Verwerking Bouwdelen'!C43=6),1,0)</f>
        <v>0</v>
      </c>
      <c r="AC59" s="130">
        <f>IF('Verwerking Bouwdelen'!A43=2,1,0)</f>
        <v>0</v>
      </c>
      <c r="AD59" s="208">
        <f>IF($AB59=1,$AC59*'Verwerking Bouwdelen'!DL43,$AC59*'Verwerking Bouwdelen'!T43)</f>
        <v>0</v>
      </c>
      <c r="AE59" s="208">
        <f>IF($AB59=1,$AC59*'Verwerking Bouwdelen'!DM43,$AC59*'Verwerking Bouwdelen'!U43)</f>
        <v>0</v>
      </c>
      <c r="AF59" s="208">
        <f>IF($AB59=1,$AC59*'Verwerking Bouwdelen'!DN43,$AC59*'Verwerking Bouwdelen'!V43)</f>
        <v>0</v>
      </c>
      <c r="AG59" s="208">
        <f>IF($AB59=1,$AC59*'Verwerking Bouwdelen'!DO43,$AC59*'Verwerking Bouwdelen'!W43)</f>
        <v>0</v>
      </c>
      <c r="AH59" s="208">
        <f>IF($AB59=1,$AC59*'Verwerking Bouwdelen'!DP43,$AC59*'Verwerking Bouwdelen'!X43)</f>
        <v>0</v>
      </c>
      <c r="AI59" s="208">
        <f>IF($AB59=1,$AC59*'Verwerking Bouwdelen'!DQ43,$AC59*'Verwerking Bouwdelen'!Y43)</f>
        <v>0</v>
      </c>
      <c r="AJ59" s="208">
        <f>IF($AB59=1,$AC59*'Verwerking Bouwdelen'!DR43,$AC59*'Verwerking Bouwdelen'!Z43)</f>
        <v>0</v>
      </c>
      <c r="AK59" s="208">
        <f>IF($AB59=1,$AC59*'Verwerking Bouwdelen'!DS43,$AC59*'Verwerking Bouwdelen'!AA43)</f>
        <v>0</v>
      </c>
      <c r="AL59" s="208">
        <f>IF($AB59=1,$AC59*'Verwerking Bouwdelen'!DT43,$AC59*'Verwerking Bouwdelen'!AB43)</f>
        <v>0</v>
      </c>
      <c r="AM59" s="208">
        <f>IF($AB59=1,$AC59*'Verwerking Bouwdelen'!DU43,$AC59*'Verwerking Bouwdelen'!AC43)</f>
        <v>0</v>
      </c>
      <c r="AN59" s="208">
        <f>IF($AB59=1,$AC59*'Verwerking Bouwdelen'!DV43,$AC59*'Verwerking Bouwdelen'!AD43)</f>
        <v>0</v>
      </c>
      <c r="AO59" s="208">
        <f>IF($AB59=1,$AC59*'Verwerking Bouwdelen'!DW43,$AC59*'Verwerking Bouwdelen'!AE43)</f>
        <v>0</v>
      </c>
      <c r="AP59" s="10">
        <f>IF(AD59=B59,0,'Verwerking Bouwdelen'!D43*AB59*AC59)</f>
        <v>0</v>
      </c>
      <c r="AQ59" s="10">
        <f>AB59*AC59*'Verwerking Bouwdelen'!GH43</f>
        <v>0</v>
      </c>
      <c r="AR59" s="10"/>
      <c r="AS59" s="248"/>
      <c r="AT59" s="125">
        <f>IF('Verwerking Bouwdelen'!C43=4,1,0)</f>
        <v>0</v>
      </c>
      <c r="AU59" s="130">
        <f>IF('Verwerking Bouwdelen'!A43=2,1,0)</f>
        <v>0</v>
      </c>
      <c r="AV59" s="208">
        <f>IF($AT59=1,$AU59*'Verwerking Bouwdelen'!DL43,$AU59*'Verwerking Bouwdelen'!T43)</f>
        <v>0</v>
      </c>
      <c r="AW59" s="208">
        <f>IF($AT59=1,$AU59*'Verwerking Bouwdelen'!DM43,$AU59*'Verwerking Bouwdelen'!U43)</f>
        <v>0</v>
      </c>
      <c r="AX59" s="208">
        <f>IF($AT59=1,$AU59*'Verwerking Bouwdelen'!DN43,$AU59*'Verwerking Bouwdelen'!V43)</f>
        <v>0</v>
      </c>
      <c r="AY59" s="208">
        <f>IF($AT59=1,$AU59*'Verwerking Bouwdelen'!DO43,$AU59*'Verwerking Bouwdelen'!W43)</f>
        <v>0</v>
      </c>
      <c r="AZ59" s="208">
        <f>IF($AT59=1,$AU59*'Verwerking Bouwdelen'!DP43,$AU59*'Verwerking Bouwdelen'!X43)</f>
        <v>0</v>
      </c>
      <c r="BA59" s="208">
        <f>IF($AT59=1,$AU59*'Verwerking Bouwdelen'!DQ43,$AU59*'Verwerking Bouwdelen'!Y43)</f>
        <v>0</v>
      </c>
      <c r="BB59" s="208">
        <f>IF($AT59=1,$AU59*'Verwerking Bouwdelen'!DR43,$AU59*'Verwerking Bouwdelen'!Z43)</f>
        <v>0</v>
      </c>
      <c r="BC59" s="208">
        <f>IF($AT59=1,$AU59*'Verwerking Bouwdelen'!DS43,$AU59*'Verwerking Bouwdelen'!AA43)</f>
        <v>0</v>
      </c>
      <c r="BD59" s="208">
        <f>IF($AT59=1,$AU59*'Verwerking Bouwdelen'!DT43,$AU59*'Verwerking Bouwdelen'!AB43)</f>
        <v>0</v>
      </c>
      <c r="BE59" s="208">
        <f>IF($AT59=1,$AU59*'Verwerking Bouwdelen'!DU43,$AU59*'Verwerking Bouwdelen'!AC43)</f>
        <v>0</v>
      </c>
      <c r="BF59" s="208">
        <f>IF($AT59=1,$AU59*'Verwerking Bouwdelen'!DV43,$AU59*'Verwerking Bouwdelen'!AD43)</f>
        <v>0</v>
      </c>
      <c r="BG59" s="208">
        <f>IF($AT59=1,$AU59*'Verwerking Bouwdelen'!DW43,$AU59*'Verwerking Bouwdelen'!AE43)</f>
        <v>0</v>
      </c>
      <c r="BH59" s="10">
        <f>IF(AV59=B59,0,'Verwerking Bouwdelen'!D43*AT59*AU59)</f>
        <v>0</v>
      </c>
      <c r="BI59" s="10">
        <f>AT59*AU59*'Verwerking Bouwdelen'!GH43</f>
        <v>0</v>
      </c>
      <c r="BJ59" s="10"/>
      <c r="BK59" s="10"/>
      <c r="BM59" s="125">
        <f>IF('Verwerking Bouwdelen'!C43=5,1,0)</f>
        <v>0</v>
      </c>
      <c r="BN59" s="130">
        <f>IF('Verwerking Bouwdelen'!A43=2,1,0)</f>
        <v>0</v>
      </c>
      <c r="BO59" s="208">
        <f>IF($BM59=1,$BN59*'Verwerking Bouwdelen'!DL43,$BN59*'Verwerking Bouwdelen'!T43)</f>
        <v>0</v>
      </c>
      <c r="BP59" s="208">
        <f>IF($BM59=1,$BN59*'Verwerking Bouwdelen'!DM43,$BN59*'Verwerking Bouwdelen'!U43)</f>
        <v>0</v>
      </c>
      <c r="BQ59" s="208">
        <f>IF($BM59=1,$BN59*'Verwerking Bouwdelen'!DN43,$BN59*'Verwerking Bouwdelen'!V43)</f>
        <v>0</v>
      </c>
      <c r="BR59" s="208">
        <f>IF($BM59=1,$BN59*'Verwerking Bouwdelen'!DO43,$BN59*'Verwerking Bouwdelen'!W43)</f>
        <v>0</v>
      </c>
      <c r="BS59" s="208">
        <f>IF($BM59=1,$BN59*'Verwerking Bouwdelen'!DP43,$BN59*'Verwerking Bouwdelen'!X43)</f>
        <v>0</v>
      </c>
      <c r="BT59" s="208">
        <f>IF($BM59=1,$BN59*'Verwerking Bouwdelen'!DQ43,$BN59*'Verwerking Bouwdelen'!Y43)</f>
        <v>0</v>
      </c>
      <c r="BU59" s="208">
        <f>IF($BM59=1,$BN59*'Verwerking Bouwdelen'!DR43,$BN59*'Verwerking Bouwdelen'!Z43)</f>
        <v>0</v>
      </c>
      <c r="BV59" s="208">
        <f>IF($BM59=1,$BN59*'Verwerking Bouwdelen'!DS43,$BN59*'Verwerking Bouwdelen'!AA43)</f>
        <v>0</v>
      </c>
      <c r="BW59" s="208">
        <f>IF($BM59=1,$BN59*'Verwerking Bouwdelen'!DT43,$BN59*'Verwerking Bouwdelen'!AB43)</f>
        <v>0</v>
      </c>
      <c r="BX59" s="208">
        <f>IF($BM59=1,$BN59*'Verwerking Bouwdelen'!DU43,$BN59*'Verwerking Bouwdelen'!AC43)</f>
        <v>0</v>
      </c>
      <c r="BY59" s="208">
        <f>IF($BM59=1,$BN59*'Verwerking Bouwdelen'!DV43,$BN59*'Verwerking Bouwdelen'!AD43)</f>
        <v>0</v>
      </c>
      <c r="BZ59" s="208">
        <f>IF($BM59=1,$BN59*'Verwerking Bouwdelen'!DW43,$BN59*'Verwerking Bouwdelen'!AE43)</f>
        <v>0</v>
      </c>
      <c r="CA59" s="10">
        <f>IF(BO59=B59,0,'Verwerking Bouwdelen'!D43*BM59*BN59)</f>
        <v>0</v>
      </c>
      <c r="CB59" s="10">
        <f>BM59*BN59*'Verwerking Bouwdelen'!GH43</f>
        <v>0</v>
      </c>
      <c r="CC59" s="10"/>
      <c r="CD59" s="248"/>
      <c r="CE59" s="125">
        <f>IF('Verwerking Bouwdelen'!C43=2,1,0)</f>
        <v>0</v>
      </c>
      <c r="CF59" s="130">
        <f>IF('Verwerking Bouwdelen'!A43=2,1,0)</f>
        <v>0</v>
      </c>
      <c r="CG59" s="208">
        <f>IF($CE59=1,$CF59*'Verwerking Bouwdelen'!DL43,$CF59*'Verwerking Bouwdelen'!T43)</f>
        <v>0</v>
      </c>
      <c r="CH59" s="208">
        <f>IF($CE59=1,$CF59*'Verwerking Bouwdelen'!DM43,$CF59*'Verwerking Bouwdelen'!U43)</f>
        <v>0</v>
      </c>
      <c r="CI59" s="208">
        <f>IF($CE59=1,$CF59*'Verwerking Bouwdelen'!DN43,$CF59*'Verwerking Bouwdelen'!V43)</f>
        <v>0</v>
      </c>
      <c r="CJ59" s="208">
        <f>IF($CE59=1,$CF59*'Verwerking Bouwdelen'!DO43,$CF59*'Verwerking Bouwdelen'!W43)</f>
        <v>0</v>
      </c>
      <c r="CK59" s="208">
        <f>IF($CE59=1,$CF59*'Verwerking Bouwdelen'!DP43,$CF59*'Verwerking Bouwdelen'!X43)</f>
        <v>0</v>
      </c>
      <c r="CL59" s="208">
        <f>IF($CE59=1,$CF59*'Verwerking Bouwdelen'!DQ43,$CF59*'Verwerking Bouwdelen'!Y43)</f>
        <v>0</v>
      </c>
      <c r="CM59" s="208">
        <f>IF($CE59=1,$CF59*'Verwerking Bouwdelen'!DR43,$CF59*'Verwerking Bouwdelen'!Z43)</f>
        <v>0</v>
      </c>
      <c r="CN59" s="208">
        <f>IF($CE59=1,$CF59*'Verwerking Bouwdelen'!DS43,$CF59*'Verwerking Bouwdelen'!AA43)</f>
        <v>0</v>
      </c>
      <c r="CO59" s="208">
        <f>IF($CE59=1,$CF59*'Verwerking Bouwdelen'!DT43,$CF59*'Verwerking Bouwdelen'!AB43)</f>
        <v>0</v>
      </c>
      <c r="CP59" s="208">
        <f>IF($CE59=1,$CF59*'Verwerking Bouwdelen'!DU43,$CF59*'Verwerking Bouwdelen'!AC43)</f>
        <v>0</v>
      </c>
      <c r="CQ59" s="208">
        <f>IF($CE59=1,$CF59*'Verwerking Bouwdelen'!DV43,$CF59*'Verwerking Bouwdelen'!AD43)</f>
        <v>0</v>
      </c>
      <c r="CR59" s="208">
        <f>IF($CE59=1,$CF59*'Verwerking Bouwdelen'!DW43,$CF59*'Verwerking Bouwdelen'!AE43)</f>
        <v>0</v>
      </c>
      <c r="CS59" s="10">
        <f>IF(CG59=$B59,0,('Verwerking Bouwdelen'!$D43-'Verwerking Bouwdelen'!G43)*CE59*CF59)</f>
        <v>0</v>
      </c>
      <c r="CT59" s="260">
        <f>CE59*CF59*'Verwerking Bouwdelen'!GH43</f>
        <v>0</v>
      </c>
      <c r="CU59" s="261">
        <f>CE59*CF59*'Verwerking Bouwdelen'!GI43</f>
        <v>0</v>
      </c>
      <c r="CW59" s="209">
        <f>$AC59*'Verwerking Bouwdelen'!EE43</f>
        <v>0</v>
      </c>
      <c r="CX59" s="209">
        <f>$AC59*'Verwerking Bouwdelen'!EF43</f>
        <v>0</v>
      </c>
      <c r="CY59" s="209">
        <f>$AC59*'Verwerking Bouwdelen'!EG43</f>
        <v>0</v>
      </c>
      <c r="CZ59" s="209">
        <f>$AC59*'Verwerking Bouwdelen'!EH43</f>
        <v>0</v>
      </c>
      <c r="DA59" s="209">
        <f>$AC59*'Verwerking Bouwdelen'!EI43</f>
        <v>0</v>
      </c>
      <c r="DB59" s="209">
        <f>$AC59*'Verwerking Bouwdelen'!EJ43</f>
        <v>0</v>
      </c>
      <c r="DC59" s="209">
        <f>$AC59*'Verwerking Bouwdelen'!EK43</f>
        <v>0</v>
      </c>
      <c r="DD59" s="209">
        <f>$AC59*'Verwerking Bouwdelen'!EL43</f>
        <v>0</v>
      </c>
      <c r="DE59" s="209">
        <f>$AC59*'Verwerking Bouwdelen'!EM43</f>
        <v>0</v>
      </c>
      <c r="DF59" s="209">
        <f>$AC59*'Verwerking Bouwdelen'!EN43</f>
        <v>0</v>
      </c>
      <c r="DG59" s="209">
        <f>$AC59*'Verwerking Bouwdelen'!EO43</f>
        <v>0</v>
      </c>
      <c r="DH59" s="209">
        <f>$AC59*'Verwerking Bouwdelen'!EP43</f>
        <v>0</v>
      </c>
      <c r="DI59" s="10">
        <f>IF(CW59=$O59,0,'Verwerking Bouwdelen'!G43)</f>
        <v>0</v>
      </c>
      <c r="DJ59" s="259">
        <f>'Verwerking Bouwdelen'!GK43*CF59</f>
        <v>0</v>
      </c>
      <c r="DK59" s="259">
        <f>'Verwerking Bouwdelen'!GL43*CF59</f>
        <v>0</v>
      </c>
      <c r="DL59" s="125"/>
      <c r="GM59" s="89">
        <f t="shared" si="2"/>
        <v>0</v>
      </c>
      <c r="GN59" s="89">
        <f t="shared" si="3"/>
        <v>0</v>
      </c>
      <c r="GO59" s="208">
        <f>IF($GN59=1,$GN59*$GM59*'Verwerking Bouwdelen'!DL43,$GN59*$GM59*'Verwerking Bouwdelen'!T43)</f>
        <v>0</v>
      </c>
      <c r="GP59" s="208">
        <f>IF($GN59=1,$GN59*$GM59*'Verwerking Bouwdelen'!DM43,$GN59*$GM59*'Verwerking Bouwdelen'!U43)</f>
        <v>0</v>
      </c>
      <c r="GQ59" s="208">
        <f>IF($GN59=1,$GN59*$GM59*'Verwerking Bouwdelen'!DN43,$GN59*$GM59*'Verwerking Bouwdelen'!V43)</f>
        <v>0</v>
      </c>
      <c r="GR59" s="208">
        <f>IF($GN59=1,$GN59*$GM59*'Verwerking Bouwdelen'!DO43,$GN59*$GM59*'Verwerking Bouwdelen'!W43)</f>
        <v>0</v>
      </c>
      <c r="GS59" s="208">
        <f>IF($GN59=1,$GN59*$GM59*'Verwerking Bouwdelen'!DP43,$GN59*$GM59*'Verwerking Bouwdelen'!X43)</f>
        <v>0</v>
      </c>
      <c r="GT59" s="208">
        <f>IF($GN59=1,$GN59*$GM59*'Verwerking Bouwdelen'!DQ43,$GN59*$GM59*'Verwerking Bouwdelen'!Y43)</f>
        <v>0</v>
      </c>
      <c r="GU59" s="208">
        <f>IF($GN59=1,$GN59*$GM59*'Verwerking Bouwdelen'!DR43,$GN59*$GM59*'Verwerking Bouwdelen'!Z43)</f>
        <v>0</v>
      </c>
      <c r="GV59" s="208">
        <f>IF($GN59=1,$GN59*$GM59*'Verwerking Bouwdelen'!DS43,$GN59*$GM59*'Verwerking Bouwdelen'!AA43)</f>
        <v>0</v>
      </c>
      <c r="GW59" s="208">
        <f>IF($GN59=1,$GN59*$GM59*'Verwerking Bouwdelen'!DT43,$GN59*$GM59*'Verwerking Bouwdelen'!AB43)</f>
        <v>0</v>
      </c>
      <c r="GX59" s="208">
        <f>IF($GN59=1,$GN59*$GM59*'Verwerking Bouwdelen'!DU43,$GN59*$GM59*'Verwerking Bouwdelen'!AC43)</f>
        <v>0</v>
      </c>
      <c r="GY59" s="208">
        <f>IF($GN59=1,$GN59*$GM59*'Verwerking Bouwdelen'!DV43,$GN59*$GM59*'Verwerking Bouwdelen'!AD43)</f>
        <v>0</v>
      </c>
      <c r="GZ59" s="208">
        <f>IF($GN59=1,$GN59*$GM59*'Verwerking Bouwdelen'!DW43,$GN59*$GM59*'Verwerking Bouwdelen'!AE43)</f>
        <v>0</v>
      </c>
      <c r="HB59" s="89">
        <f t="shared" si="6"/>
        <v>0</v>
      </c>
      <c r="HC59" s="89">
        <f t="shared" si="6"/>
        <v>0</v>
      </c>
      <c r="HD59" s="89">
        <f t="shared" si="6"/>
        <v>0</v>
      </c>
      <c r="HE59" s="89">
        <f t="shared" si="6"/>
        <v>0</v>
      </c>
      <c r="HF59" s="89">
        <f t="shared" si="6"/>
        <v>0</v>
      </c>
      <c r="HG59" s="89">
        <f t="shared" si="6"/>
        <v>0</v>
      </c>
      <c r="HH59" s="89">
        <f t="shared" si="6"/>
        <v>0</v>
      </c>
      <c r="HI59" s="89">
        <f t="shared" si="6"/>
        <v>0</v>
      </c>
      <c r="HJ59" s="89">
        <f t="shared" si="6"/>
        <v>0</v>
      </c>
      <c r="HK59" s="89">
        <f t="shared" si="6"/>
        <v>0</v>
      </c>
      <c r="HL59" s="89">
        <f t="shared" si="6"/>
        <v>0</v>
      </c>
      <c r="HM59" s="89">
        <f t="shared" si="6"/>
        <v>0</v>
      </c>
      <c r="HO59" s="256"/>
      <c r="HZ59" s="256"/>
    </row>
    <row r="60" spans="1:234" x14ac:dyDescent="0.2">
      <c r="A60" s="130">
        <f>IF('Verwerking Bouwdelen'!A44=2,1,0)</f>
        <v>0</v>
      </c>
      <c r="B60" s="208">
        <f>$A60*'Verwerking Bouwdelen'!T44</f>
        <v>0</v>
      </c>
      <c r="C60" s="208">
        <f>$A60*'Verwerking Bouwdelen'!U44</f>
        <v>0</v>
      </c>
      <c r="D60" s="208">
        <f>$A60*'Verwerking Bouwdelen'!V44</f>
        <v>0</v>
      </c>
      <c r="E60" s="208">
        <f>$A60*'Verwerking Bouwdelen'!W44</f>
        <v>0</v>
      </c>
      <c r="F60" s="208">
        <f>$A60*'Verwerking Bouwdelen'!X44</f>
        <v>0</v>
      </c>
      <c r="G60" s="208">
        <f>$A60*'Verwerking Bouwdelen'!Y44</f>
        <v>0</v>
      </c>
      <c r="H60" s="208">
        <f>$A60*'Verwerking Bouwdelen'!Z44</f>
        <v>0</v>
      </c>
      <c r="I60" s="208">
        <f>$A60*'Verwerking Bouwdelen'!AA44</f>
        <v>0</v>
      </c>
      <c r="J60" s="208">
        <f>$A60*'Verwerking Bouwdelen'!AB44</f>
        <v>0</v>
      </c>
      <c r="K60" s="208">
        <f>$A60*'Verwerking Bouwdelen'!AC44</f>
        <v>0</v>
      </c>
      <c r="L60" s="208">
        <f>$A60*'Verwerking Bouwdelen'!AD44</f>
        <v>0</v>
      </c>
      <c r="M60" s="208">
        <f>$A60*'Verwerking Bouwdelen'!AE44</f>
        <v>0</v>
      </c>
      <c r="O60" s="212">
        <f>$A60*'Verwerking Bouwdelen'!AU44</f>
        <v>0</v>
      </c>
      <c r="P60" s="213">
        <f>$A60*'Verwerking Bouwdelen'!AV44</f>
        <v>0</v>
      </c>
      <c r="Q60" s="213">
        <f>$A60*'Verwerking Bouwdelen'!AW44</f>
        <v>0</v>
      </c>
      <c r="R60" s="213">
        <f>$A60*'Verwerking Bouwdelen'!AX44</f>
        <v>0</v>
      </c>
      <c r="S60" s="213">
        <f>$A60*'Verwerking Bouwdelen'!AY44</f>
        <v>0</v>
      </c>
      <c r="T60" s="213">
        <f>$A60*'Verwerking Bouwdelen'!AZ44</f>
        <v>0</v>
      </c>
      <c r="U60" s="213">
        <f>$A60*'Verwerking Bouwdelen'!BA44</f>
        <v>0</v>
      </c>
      <c r="V60" s="213">
        <f>$A60*'Verwerking Bouwdelen'!BB44</f>
        <v>0</v>
      </c>
      <c r="W60" s="213">
        <f>$A60*'Verwerking Bouwdelen'!BC44</f>
        <v>0</v>
      </c>
      <c r="X60" s="213">
        <f>$A60*'Verwerking Bouwdelen'!BD44</f>
        <v>0</v>
      </c>
      <c r="Y60" s="213">
        <f>$A60*'Verwerking Bouwdelen'!BE44</f>
        <v>0</v>
      </c>
      <c r="Z60" s="214">
        <f>$A60*'Verwerking Bouwdelen'!BF44</f>
        <v>0</v>
      </c>
      <c r="AB60" s="125">
        <f>IF(OR('Verwerking Bouwdelen'!C44=3,'Verwerking Bouwdelen'!C44=6),1,0)</f>
        <v>0</v>
      </c>
      <c r="AC60" s="130">
        <f>IF('Verwerking Bouwdelen'!A44=2,1,0)</f>
        <v>0</v>
      </c>
      <c r="AD60" s="208">
        <f>IF($AB60=1,$AC60*'Verwerking Bouwdelen'!DL44,$AC60*'Verwerking Bouwdelen'!T44)</f>
        <v>0</v>
      </c>
      <c r="AE60" s="208">
        <f>IF($AB60=1,$AC60*'Verwerking Bouwdelen'!DM44,$AC60*'Verwerking Bouwdelen'!U44)</f>
        <v>0</v>
      </c>
      <c r="AF60" s="208">
        <f>IF($AB60=1,$AC60*'Verwerking Bouwdelen'!DN44,$AC60*'Verwerking Bouwdelen'!V44)</f>
        <v>0</v>
      </c>
      <c r="AG60" s="208">
        <f>IF($AB60=1,$AC60*'Verwerking Bouwdelen'!DO44,$AC60*'Verwerking Bouwdelen'!W44)</f>
        <v>0</v>
      </c>
      <c r="AH60" s="208">
        <f>IF($AB60=1,$AC60*'Verwerking Bouwdelen'!DP44,$AC60*'Verwerking Bouwdelen'!X44)</f>
        <v>0</v>
      </c>
      <c r="AI60" s="208">
        <f>IF($AB60=1,$AC60*'Verwerking Bouwdelen'!DQ44,$AC60*'Verwerking Bouwdelen'!Y44)</f>
        <v>0</v>
      </c>
      <c r="AJ60" s="208">
        <f>IF($AB60=1,$AC60*'Verwerking Bouwdelen'!DR44,$AC60*'Verwerking Bouwdelen'!Z44)</f>
        <v>0</v>
      </c>
      <c r="AK60" s="208">
        <f>IF($AB60=1,$AC60*'Verwerking Bouwdelen'!DS44,$AC60*'Verwerking Bouwdelen'!AA44)</f>
        <v>0</v>
      </c>
      <c r="AL60" s="208">
        <f>IF($AB60=1,$AC60*'Verwerking Bouwdelen'!DT44,$AC60*'Verwerking Bouwdelen'!AB44)</f>
        <v>0</v>
      </c>
      <c r="AM60" s="208">
        <f>IF($AB60=1,$AC60*'Verwerking Bouwdelen'!DU44,$AC60*'Verwerking Bouwdelen'!AC44)</f>
        <v>0</v>
      </c>
      <c r="AN60" s="208">
        <f>IF($AB60=1,$AC60*'Verwerking Bouwdelen'!DV44,$AC60*'Verwerking Bouwdelen'!AD44)</f>
        <v>0</v>
      </c>
      <c r="AO60" s="208">
        <f>IF($AB60=1,$AC60*'Verwerking Bouwdelen'!DW44,$AC60*'Verwerking Bouwdelen'!AE44)</f>
        <v>0</v>
      </c>
      <c r="AP60" s="10">
        <f>IF(AD60=B60,0,'Verwerking Bouwdelen'!D44*AB60*AC60)</f>
        <v>0</v>
      </c>
      <c r="AQ60" s="10">
        <f>AB60*AC60*'Verwerking Bouwdelen'!GH44</f>
        <v>0</v>
      </c>
      <c r="AR60" s="10"/>
      <c r="AS60" s="248"/>
      <c r="AT60" s="125">
        <f>IF('Verwerking Bouwdelen'!C44=4,1,0)</f>
        <v>0</v>
      </c>
      <c r="AU60" s="130">
        <f>IF('Verwerking Bouwdelen'!A44=2,1,0)</f>
        <v>0</v>
      </c>
      <c r="AV60" s="208">
        <f>IF($AT60=1,$AU60*'Verwerking Bouwdelen'!DL44,$AU60*'Verwerking Bouwdelen'!T44)</f>
        <v>0</v>
      </c>
      <c r="AW60" s="208">
        <f>IF($AT60=1,$AU60*'Verwerking Bouwdelen'!DM44,$AU60*'Verwerking Bouwdelen'!U44)</f>
        <v>0</v>
      </c>
      <c r="AX60" s="208">
        <f>IF($AT60=1,$AU60*'Verwerking Bouwdelen'!DN44,$AU60*'Verwerking Bouwdelen'!V44)</f>
        <v>0</v>
      </c>
      <c r="AY60" s="208">
        <f>IF($AT60=1,$AU60*'Verwerking Bouwdelen'!DO44,$AU60*'Verwerking Bouwdelen'!W44)</f>
        <v>0</v>
      </c>
      <c r="AZ60" s="208">
        <f>IF($AT60=1,$AU60*'Verwerking Bouwdelen'!DP44,$AU60*'Verwerking Bouwdelen'!X44)</f>
        <v>0</v>
      </c>
      <c r="BA60" s="208">
        <f>IF($AT60=1,$AU60*'Verwerking Bouwdelen'!DQ44,$AU60*'Verwerking Bouwdelen'!Y44)</f>
        <v>0</v>
      </c>
      <c r="BB60" s="208">
        <f>IF($AT60=1,$AU60*'Verwerking Bouwdelen'!DR44,$AU60*'Verwerking Bouwdelen'!Z44)</f>
        <v>0</v>
      </c>
      <c r="BC60" s="208">
        <f>IF($AT60=1,$AU60*'Verwerking Bouwdelen'!DS44,$AU60*'Verwerking Bouwdelen'!AA44)</f>
        <v>0</v>
      </c>
      <c r="BD60" s="208">
        <f>IF($AT60=1,$AU60*'Verwerking Bouwdelen'!DT44,$AU60*'Verwerking Bouwdelen'!AB44)</f>
        <v>0</v>
      </c>
      <c r="BE60" s="208">
        <f>IF($AT60=1,$AU60*'Verwerking Bouwdelen'!DU44,$AU60*'Verwerking Bouwdelen'!AC44)</f>
        <v>0</v>
      </c>
      <c r="BF60" s="208">
        <f>IF($AT60=1,$AU60*'Verwerking Bouwdelen'!DV44,$AU60*'Verwerking Bouwdelen'!AD44)</f>
        <v>0</v>
      </c>
      <c r="BG60" s="208">
        <f>IF($AT60=1,$AU60*'Verwerking Bouwdelen'!DW44,$AU60*'Verwerking Bouwdelen'!AE44)</f>
        <v>0</v>
      </c>
      <c r="BH60" s="10">
        <f>IF(AV60=B60,0,'Verwerking Bouwdelen'!D44*AT60*AU60)</f>
        <v>0</v>
      </c>
      <c r="BI60" s="10">
        <f>AT60*AU60*'Verwerking Bouwdelen'!GH44</f>
        <v>0</v>
      </c>
      <c r="BJ60" s="10"/>
      <c r="BK60" s="10"/>
      <c r="BM60" s="125">
        <f>IF('Verwerking Bouwdelen'!C44=5,1,0)</f>
        <v>0</v>
      </c>
      <c r="BN60" s="130">
        <f>IF('Verwerking Bouwdelen'!A44=2,1,0)</f>
        <v>0</v>
      </c>
      <c r="BO60" s="208">
        <f>IF($BM60=1,$BN60*'Verwerking Bouwdelen'!DL44,$BN60*'Verwerking Bouwdelen'!T44)</f>
        <v>0</v>
      </c>
      <c r="BP60" s="208">
        <f>IF($BM60=1,$BN60*'Verwerking Bouwdelen'!DM44,$BN60*'Verwerking Bouwdelen'!U44)</f>
        <v>0</v>
      </c>
      <c r="BQ60" s="208">
        <f>IF($BM60=1,$BN60*'Verwerking Bouwdelen'!DN44,$BN60*'Verwerking Bouwdelen'!V44)</f>
        <v>0</v>
      </c>
      <c r="BR60" s="208">
        <f>IF($BM60=1,$BN60*'Verwerking Bouwdelen'!DO44,$BN60*'Verwerking Bouwdelen'!W44)</f>
        <v>0</v>
      </c>
      <c r="BS60" s="208">
        <f>IF($BM60=1,$BN60*'Verwerking Bouwdelen'!DP44,$BN60*'Verwerking Bouwdelen'!X44)</f>
        <v>0</v>
      </c>
      <c r="BT60" s="208">
        <f>IF($BM60=1,$BN60*'Verwerking Bouwdelen'!DQ44,$BN60*'Verwerking Bouwdelen'!Y44)</f>
        <v>0</v>
      </c>
      <c r="BU60" s="208">
        <f>IF($BM60=1,$BN60*'Verwerking Bouwdelen'!DR44,$BN60*'Verwerking Bouwdelen'!Z44)</f>
        <v>0</v>
      </c>
      <c r="BV60" s="208">
        <f>IF($BM60=1,$BN60*'Verwerking Bouwdelen'!DS44,$BN60*'Verwerking Bouwdelen'!AA44)</f>
        <v>0</v>
      </c>
      <c r="BW60" s="208">
        <f>IF($BM60=1,$BN60*'Verwerking Bouwdelen'!DT44,$BN60*'Verwerking Bouwdelen'!AB44)</f>
        <v>0</v>
      </c>
      <c r="BX60" s="208">
        <f>IF($BM60=1,$BN60*'Verwerking Bouwdelen'!DU44,$BN60*'Verwerking Bouwdelen'!AC44)</f>
        <v>0</v>
      </c>
      <c r="BY60" s="208">
        <f>IF($BM60=1,$BN60*'Verwerking Bouwdelen'!DV44,$BN60*'Verwerking Bouwdelen'!AD44)</f>
        <v>0</v>
      </c>
      <c r="BZ60" s="208">
        <f>IF($BM60=1,$BN60*'Verwerking Bouwdelen'!DW44,$BN60*'Verwerking Bouwdelen'!AE44)</f>
        <v>0</v>
      </c>
      <c r="CA60" s="10">
        <f>IF(BO60=B60,0,'Verwerking Bouwdelen'!D44*BM60*BN60)</f>
        <v>0</v>
      </c>
      <c r="CB60" s="10">
        <f>BM60*BN60*'Verwerking Bouwdelen'!GH44</f>
        <v>0</v>
      </c>
      <c r="CC60" s="10"/>
      <c r="CD60" s="248"/>
      <c r="CE60" s="125">
        <f>IF('Verwerking Bouwdelen'!C44=2,1,0)</f>
        <v>0</v>
      </c>
      <c r="CF60" s="130">
        <f>IF('Verwerking Bouwdelen'!A44=2,1,0)</f>
        <v>0</v>
      </c>
      <c r="CG60" s="208">
        <f>IF($CE60=1,$CF60*'Verwerking Bouwdelen'!DL44,$CF60*'Verwerking Bouwdelen'!T44)</f>
        <v>0</v>
      </c>
      <c r="CH60" s="208">
        <f>IF($CE60=1,$CF60*'Verwerking Bouwdelen'!DM44,$CF60*'Verwerking Bouwdelen'!U44)</f>
        <v>0</v>
      </c>
      <c r="CI60" s="208">
        <f>IF($CE60=1,$CF60*'Verwerking Bouwdelen'!DN44,$CF60*'Verwerking Bouwdelen'!V44)</f>
        <v>0</v>
      </c>
      <c r="CJ60" s="208">
        <f>IF($CE60=1,$CF60*'Verwerking Bouwdelen'!DO44,$CF60*'Verwerking Bouwdelen'!W44)</f>
        <v>0</v>
      </c>
      <c r="CK60" s="208">
        <f>IF($CE60=1,$CF60*'Verwerking Bouwdelen'!DP44,$CF60*'Verwerking Bouwdelen'!X44)</f>
        <v>0</v>
      </c>
      <c r="CL60" s="208">
        <f>IF($CE60=1,$CF60*'Verwerking Bouwdelen'!DQ44,$CF60*'Verwerking Bouwdelen'!Y44)</f>
        <v>0</v>
      </c>
      <c r="CM60" s="208">
        <f>IF($CE60=1,$CF60*'Verwerking Bouwdelen'!DR44,$CF60*'Verwerking Bouwdelen'!Z44)</f>
        <v>0</v>
      </c>
      <c r="CN60" s="208">
        <f>IF($CE60=1,$CF60*'Verwerking Bouwdelen'!DS44,$CF60*'Verwerking Bouwdelen'!AA44)</f>
        <v>0</v>
      </c>
      <c r="CO60" s="208">
        <f>IF($CE60=1,$CF60*'Verwerking Bouwdelen'!DT44,$CF60*'Verwerking Bouwdelen'!AB44)</f>
        <v>0</v>
      </c>
      <c r="CP60" s="208">
        <f>IF($CE60=1,$CF60*'Verwerking Bouwdelen'!DU44,$CF60*'Verwerking Bouwdelen'!AC44)</f>
        <v>0</v>
      </c>
      <c r="CQ60" s="208">
        <f>IF($CE60=1,$CF60*'Verwerking Bouwdelen'!DV44,$CF60*'Verwerking Bouwdelen'!AD44)</f>
        <v>0</v>
      </c>
      <c r="CR60" s="208">
        <f>IF($CE60=1,$CF60*'Verwerking Bouwdelen'!DW44,$CF60*'Verwerking Bouwdelen'!AE44)</f>
        <v>0</v>
      </c>
      <c r="CS60" s="10">
        <f>IF(CG60=$B60,0,('Verwerking Bouwdelen'!$D44-'Verwerking Bouwdelen'!G44)*CE60*CF60)</f>
        <v>0</v>
      </c>
      <c r="CT60" s="260">
        <f>CE60*CF60*'Verwerking Bouwdelen'!GH44</f>
        <v>0</v>
      </c>
      <c r="CU60" s="262">
        <f>CE60*CF60*'Verwerking Bouwdelen'!GI44</f>
        <v>0</v>
      </c>
      <c r="CW60" s="209">
        <f>$AC60*'Verwerking Bouwdelen'!EE44</f>
        <v>0</v>
      </c>
      <c r="CX60" s="209">
        <f>$AC60*'Verwerking Bouwdelen'!EF44</f>
        <v>0</v>
      </c>
      <c r="CY60" s="209">
        <f>$AC60*'Verwerking Bouwdelen'!EG44</f>
        <v>0</v>
      </c>
      <c r="CZ60" s="209">
        <f>$AC60*'Verwerking Bouwdelen'!EH44</f>
        <v>0</v>
      </c>
      <c r="DA60" s="209">
        <f>$AC60*'Verwerking Bouwdelen'!EI44</f>
        <v>0</v>
      </c>
      <c r="DB60" s="209">
        <f>$AC60*'Verwerking Bouwdelen'!EJ44</f>
        <v>0</v>
      </c>
      <c r="DC60" s="209">
        <f>$AC60*'Verwerking Bouwdelen'!EK44</f>
        <v>0</v>
      </c>
      <c r="DD60" s="209">
        <f>$AC60*'Verwerking Bouwdelen'!EL44</f>
        <v>0</v>
      </c>
      <c r="DE60" s="209">
        <f>$AC60*'Verwerking Bouwdelen'!EM44</f>
        <v>0</v>
      </c>
      <c r="DF60" s="209">
        <f>$AC60*'Verwerking Bouwdelen'!EN44</f>
        <v>0</v>
      </c>
      <c r="DG60" s="209">
        <f>$AC60*'Verwerking Bouwdelen'!EO44</f>
        <v>0</v>
      </c>
      <c r="DH60" s="209">
        <f>$AC60*'Verwerking Bouwdelen'!EP44</f>
        <v>0</v>
      </c>
      <c r="DI60" s="10">
        <f>IF(CW60=$O60,0,'Verwerking Bouwdelen'!G44)</f>
        <v>0</v>
      </c>
      <c r="DJ60" s="259">
        <f>'Verwerking Bouwdelen'!GK44*CF60</f>
        <v>0</v>
      </c>
      <c r="DK60" s="259">
        <f>'Verwerking Bouwdelen'!GL44*CF60</f>
        <v>0</v>
      </c>
      <c r="DL60" s="125"/>
      <c r="GM60" s="89">
        <f t="shared" si="2"/>
        <v>0</v>
      </c>
      <c r="GN60" s="89">
        <f t="shared" si="3"/>
        <v>0</v>
      </c>
      <c r="GO60" s="208">
        <f>IF($GN60=1,$GN60*$GM60*'Verwerking Bouwdelen'!DL44,$GN60*$GM60*'Verwerking Bouwdelen'!T44)</f>
        <v>0</v>
      </c>
      <c r="GP60" s="208">
        <f>IF($GN60=1,$GN60*$GM60*'Verwerking Bouwdelen'!DM44,$GN60*$GM60*'Verwerking Bouwdelen'!U44)</f>
        <v>0</v>
      </c>
      <c r="GQ60" s="208">
        <f>IF($GN60=1,$GN60*$GM60*'Verwerking Bouwdelen'!DN44,$GN60*$GM60*'Verwerking Bouwdelen'!V44)</f>
        <v>0</v>
      </c>
      <c r="GR60" s="208">
        <f>IF($GN60=1,$GN60*$GM60*'Verwerking Bouwdelen'!DO44,$GN60*$GM60*'Verwerking Bouwdelen'!W44)</f>
        <v>0</v>
      </c>
      <c r="GS60" s="208">
        <f>IF($GN60=1,$GN60*$GM60*'Verwerking Bouwdelen'!DP44,$GN60*$GM60*'Verwerking Bouwdelen'!X44)</f>
        <v>0</v>
      </c>
      <c r="GT60" s="208">
        <f>IF($GN60=1,$GN60*$GM60*'Verwerking Bouwdelen'!DQ44,$GN60*$GM60*'Verwerking Bouwdelen'!Y44)</f>
        <v>0</v>
      </c>
      <c r="GU60" s="208">
        <f>IF($GN60=1,$GN60*$GM60*'Verwerking Bouwdelen'!DR44,$GN60*$GM60*'Verwerking Bouwdelen'!Z44)</f>
        <v>0</v>
      </c>
      <c r="GV60" s="208">
        <f>IF($GN60=1,$GN60*$GM60*'Verwerking Bouwdelen'!DS44,$GN60*$GM60*'Verwerking Bouwdelen'!AA44)</f>
        <v>0</v>
      </c>
      <c r="GW60" s="208">
        <f>IF($GN60=1,$GN60*$GM60*'Verwerking Bouwdelen'!DT44,$GN60*$GM60*'Verwerking Bouwdelen'!AB44)</f>
        <v>0</v>
      </c>
      <c r="GX60" s="208">
        <f>IF($GN60=1,$GN60*$GM60*'Verwerking Bouwdelen'!DU44,$GN60*$GM60*'Verwerking Bouwdelen'!AC44)</f>
        <v>0</v>
      </c>
      <c r="GY60" s="208">
        <f>IF($GN60=1,$GN60*$GM60*'Verwerking Bouwdelen'!DV44,$GN60*$GM60*'Verwerking Bouwdelen'!AD44)</f>
        <v>0</v>
      </c>
      <c r="GZ60" s="208">
        <f>IF($GN60=1,$GN60*$GM60*'Verwerking Bouwdelen'!DW44,$GN60*$GM60*'Verwerking Bouwdelen'!AE44)</f>
        <v>0</v>
      </c>
      <c r="HB60" s="89">
        <f t="shared" si="6"/>
        <v>0</v>
      </c>
      <c r="HC60" s="89">
        <f t="shared" si="6"/>
        <v>0</v>
      </c>
      <c r="HD60" s="89">
        <f t="shared" si="6"/>
        <v>0</v>
      </c>
      <c r="HE60" s="89">
        <f t="shared" si="6"/>
        <v>0</v>
      </c>
      <c r="HF60" s="89">
        <f t="shared" si="6"/>
        <v>0</v>
      </c>
      <c r="HG60" s="89">
        <f t="shared" si="6"/>
        <v>0</v>
      </c>
      <c r="HH60" s="89">
        <f t="shared" si="6"/>
        <v>0</v>
      </c>
      <c r="HI60" s="89">
        <f t="shared" si="6"/>
        <v>0</v>
      </c>
      <c r="HJ60" s="89">
        <f t="shared" si="6"/>
        <v>0</v>
      </c>
      <c r="HK60" s="89">
        <f t="shared" si="6"/>
        <v>0</v>
      </c>
      <c r="HL60" s="89">
        <f t="shared" si="6"/>
        <v>0</v>
      </c>
      <c r="HM60" s="89">
        <f t="shared" si="6"/>
        <v>0</v>
      </c>
      <c r="HO60" s="256"/>
      <c r="HZ60" s="256"/>
    </row>
    <row r="61" spans="1:234" x14ac:dyDescent="0.2">
      <c r="B61" s="207">
        <f t="shared" ref="B61:M61" si="7">SUM(B19:B60)</f>
        <v>0</v>
      </c>
      <c r="C61" s="207">
        <f t="shared" si="7"/>
        <v>0</v>
      </c>
      <c r="D61" s="207">
        <f t="shared" si="7"/>
        <v>0</v>
      </c>
      <c r="E61" s="207">
        <f t="shared" si="7"/>
        <v>0</v>
      </c>
      <c r="F61" s="207">
        <f t="shared" si="7"/>
        <v>0</v>
      </c>
      <c r="G61" s="207">
        <f t="shared" si="7"/>
        <v>0</v>
      </c>
      <c r="H61" s="207">
        <f t="shared" si="7"/>
        <v>0</v>
      </c>
      <c r="I61" s="207">
        <f t="shared" si="7"/>
        <v>0</v>
      </c>
      <c r="J61" s="207">
        <f t="shared" si="7"/>
        <v>0</v>
      </c>
      <c r="K61" s="207">
        <f t="shared" si="7"/>
        <v>0</v>
      </c>
      <c r="L61" s="207">
        <f t="shared" si="7"/>
        <v>0</v>
      </c>
      <c r="M61" s="207">
        <f t="shared" si="7"/>
        <v>0</v>
      </c>
      <c r="O61" s="215">
        <f t="shared" ref="O61:Z61" si="8">SUM(O19:O60)</f>
        <v>0</v>
      </c>
      <c r="P61" s="216">
        <f t="shared" si="8"/>
        <v>0</v>
      </c>
      <c r="Q61" s="216">
        <f t="shared" si="8"/>
        <v>0</v>
      </c>
      <c r="R61" s="216">
        <f t="shared" si="8"/>
        <v>0</v>
      </c>
      <c r="S61" s="217">
        <f t="shared" si="8"/>
        <v>0</v>
      </c>
      <c r="T61" s="217">
        <f t="shared" si="8"/>
        <v>0</v>
      </c>
      <c r="U61" s="217">
        <f t="shared" si="8"/>
        <v>0</v>
      </c>
      <c r="V61" s="217">
        <f t="shared" si="8"/>
        <v>0</v>
      </c>
      <c r="W61" s="217">
        <f t="shared" si="8"/>
        <v>0</v>
      </c>
      <c r="X61" s="217">
        <f t="shared" si="8"/>
        <v>0</v>
      </c>
      <c r="Y61" s="217">
        <f t="shared" si="8"/>
        <v>0</v>
      </c>
      <c r="Z61" s="218">
        <f t="shared" si="8"/>
        <v>0</v>
      </c>
      <c r="AD61" s="207">
        <f t="shared" ref="AD61:AO61" si="9">SUM(AD19:AD60)</f>
        <v>0</v>
      </c>
      <c r="AE61" s="207">
        <f t="shared" si="9"/>
        <v>0</v>
      </c>
      <c r="AF61" s="207">
        <f t="shared" si="9"/>
        <v>0</v>
      </c>
      <c r="AG61" s="207">
        <f t="shared" si="9"/>
        <v>0</v>
      </c>
      <c r="AH61" s="207">
        <f t="shared" si="9"/>
        <v>0</v>
      </c>
      <c r="AI61" s="207">
        <f t="shared" si="9"/>
        <v>0</v>
      </c>
      <c r="AJ61" s="207">
        <f t="shared" si="9"/>
        <v>0</v>
      </c>
      <c r="AK61" s="207">
        <f t="shared" si="9"/>
        <v>0</v>
      </c>
      <c r="AL61" s="207">
        <f t="shared" si="9"/>
        <v>0</v>
      </c>
      <c r="AM61" s="207">
        <f t="shared" si="9"/>
        <v>0</v>
      </c>
      <c r="AN61" s="207">
        <f t="shared" si="9"/>
        <v>0</v>
      </c>
      <c r="AO61" s="207">
        <f t="shared" si="9"/>
        <v>0</v>
      </c>
      <c r="AP61" s="362">
        <f>SUM(AP19:AP60)</f>
        <v>0</v>
      </c>
      <c r="AQ61" s="25">
        <f>SUM(AQ19:AQ60)</f>
        <v>0</v>
      </c>
      <c r="AR61" s="25">
        <f>0.6*AQ61</f>
        <v>0</v>
      </c>
      <c r="AS61" s="249"/>
      <c r="AV61" s="207">
        <f t="shared" ref="AV61:BG61" si="10">SUM(AV19:AV60)</f>
        <v>0</v>
      </c>
      <c r="AW61" s="207">
        <f t="shared" si="10"/>
        <v>0</v>
      </c>
      <c r="AX61" s="207">
        <f t="shared" si="10"/>
        <v>0</v>
      </c>
      <c r="AY61" s="207">
        <f t="shared" si="10"/>
        <v>0</v>
      </c>
      <c r="AZ61" s="207">
        <f t="shared" si="10"/>
        <v>0</v>
      </c>
      <c r="BA61" s="207">
        <f t="shared" si="10"/>
        <v>0</v>
      </c>
      <c r="BB61" s="207">
        <f t="shared" si="10"/>
        <v>0</v>
      </c>
      <c r="BC61" s="207">
        <f t="shared" si="10"/>
        <v>0</v>
      </c>
      <c r="BD61" s="207">
        <f t="shared" si="10"/>
        <v>0</v>
      </c>
      <c r="BE61" s="207">
        <f t="shared" si="10"/>
        <v>0</v>
      </c>
      <c r="BF61" s="207">
        <f t="shared" si="10"/>
        <v>0</v>
      </c>
      <c r="BG61" s="207">
        <f t="shared" si="10"/>
        <v>0</v>
      </c>
      <c r="BH61" s="362">
        <f>SUM(BH19:BH60)</f>
        <v>0</v>
      </c>
      <c r="BI61" s="25">
        <f>SUM(BI19:BI60)</f>
        <v>0</v>
      </c>
      <c r="BJ61" s="25">
        <f>0.6*BI61</f>
        <v>0</v>
      </c>
      <c r="BK61" s="25"/>
      <c r="BO61" s="207">
        <f t="shared" ref="BO61:BZ61" si="11">SUM(BO19:BO60)</f>
        <v>0</v>
      </c>
      <c r="BP61" s="207">
        <f t="shared" si="11"/>
        <v>0</v>
      </c>
      <c r="BQ61" s="207">
        <f t="shared" si="11"/>
        <v>0</v>
      </c>
      <c r="BR61" s="207">
        <f t="shared" si="11"/>
        <v>0</v>
      </c>
      <c r="BS61" s="207">
        <f t="shared" si="11"/>
        <v>0</v>
      </c>
      <c r="BT61" s="207">
        <f t="shared" si="11"/>
        <v>0</v>
      </c>
      <c r="BU61" s="207">
        <f t="shared" si="11"/>
        <v>0</v>
      </c>
      <c r="BV61" s="207">
        <f t="shared" si="11"/>
        <v>0</v>
      </c>
      <c r="BW61" s="207">
        <f t="shared" si="11"/>
        <v>0</v>
      </c>
      <c r="BX61" s="207">
        <f t="shared" si="11"/>
        <v>0</v>
      </c>
      <c r="BY61" s="207">
        <f t="shared" si="11"/>
        <v>0</v>
      </c>
      <c r="BZ61" s="207">
        <f t="shared" si="11"/>
        <v>0</v>
      </c>
      <c r="CA61" s="362">
        <f>SUM(CA19:CA60)</f>
        <v>0</v>
      </c>
      <c r="CB61" s="25">
        <f>SUM(CB19:CB60)</f>
        <v>0</v>
      </c>
      <c r="CC61" s="25"/>
      <c r="CD61" s="249"/>
      <c r="CG61" s="207">
        <f t="shared" ref="CG61:CR61" si="12">SUM(CG19:CG60)</f>
        <v>0</v>
      </c>
      <c r="CH61" s="207">
        <f t="shared" si="12"/>
        <v>0</v>
      </c>
      <c r="CI61" s="207">
        <f t="shared" si="12"/>
        <v>0</v>
      </c>
      <c r="CJ61" s="207">
        <f t="shared" si="12"/>
        <v>0</v>
      </c>
      <c r="CK61" s="207">
        <f t="shared" si="12"/>
        <v>0</v>
      </c>
      <c r="CL61" s="207">
        <f t="shared" si="12"/>
        <v>0</v>
      </c>
      <c r="CM61" s="207">
        <f t="shared" si="12"/>
        <v>0</v>
      </c>
      <c r="CN61" s="207">
        <f t="shared" si="12"/>
        <v>0</v>
      </c>
      <c r="CO61" s="207">
        <f t="shared" si="12"/>
        <v>0</v>
      </c>
      <c r="CP61" s="207">
        <f t="shared" si="12"/>
        <v>0</v>
      </c>
      <c r="CQ61" s="207">
        <f t="shared" si="12"/>
        <v>0</v>
      </c>
      <c r="CR61" s="207">
        <f t="shared" si="12"/>
        <v>0</v>
      </c>
      <c r="CS61" s="362">
        <f>SUM(CS19:CS60)</f>
        <v>0</v>
      </c>
      <c r="CT61" s="207">
        <f>SUM(CT19:CT60)</f>
        <v>0</v>
      </c>
      <c r="CU61" s="207">
        <f>SUM(CU19:CU60)</f>
        <v>0</v>
      </c>
      <c r="CW61" s="215">
        <f t="shared" ref="CW61:DH61" si="13">SUM(CW19:CW60)</f>
        <v>0</v>
      </c>
      <c r="CX61" s="216">
        <f t="shared" si="13"/>
        <v>0</v>
      </c>
      <c r="CY61" s="216">
        <f t="shared" si="13"/>
        <v>0</v>
      </c>
      <c r="CZ61" s="216">
        <f t="shared" si="13"/>
        <v>0</v>
      </c>
      <c r="DA61" s="217">
        <f t="shared" si="13"/>
        <v>0</v>
      </c>
      <c r="DB61" s="217">
        <f t="shared" si="13"/>
        <v>0</v>
      </c>
      <c r="DC61" s="217">
        <f t="shared" si="13"/>
        <v>0</v>
      </c>
      <c r="DD61" s="217">
        <f t="shared" si="13"/>
        <v>0</v>
      </c>
      <c r="DE61" s="217">
        <f t="shared" si="13"/>
        <v>0</v>
      </c>
      <c r="DF61" s="217">
        <f t="shared" si="13"/>
        <v>0</v>
      </c>
      <c r="DG61" s="217">
        <f t="shared" si="13"/>
        <v>0</v>
      </c>
      <c r="DH61" s="218">
        <f t="shared" si="13"/>
        <v>0</v>
      </c>
      <c r="DI61" s="10">
        <f>SUM(DI19:DI60)</f>
        <v>0</v>
      </c>
      <c r="DJ61" s="258">
        <f>SUM(DJ19:DJ60)</f>
        <v>0</v>
      </c>
      <c r="DK61" s="258">
        <f>SUM(DK19:DK60)</f>
        <v>0</v>
      </c>
      <c r="DL61" s="246"/>
      <c r="GO61" s="89">
        <f t="shared" ref="GO61:GZ61" si="14">SUM(GO19:GO60)</f>
        <v>0</v>
      </c>
      <c r="GP61" s="89">
        <f t="shared" si="14"/>
        <v>0</v>
      </c>
      <c r="GQ61" s="89">
        <f t="shared" si="14"/>
        <v>0</v>
      </c>
      <c r="GR61" s="89">
        <f t="shared" si="14"/>
        <v>0</v>
      </c>
      <c r="GS61" s="89">
        <f t="shared" si="14"/>
        <v>0</v>
      </c>
      <c r="GT61" s="89">
        <f t="shared" si="14"/>
        <v>0</v>
      </c>
      <c r="GU61" s="89">
        <f t="shared" si="14"/>
        <v>0</v>
      </c>
      <c r="GV61" s="89">
        <f t="shared" si="14"/>
        <v>0</v>
      </c>
      <c r="GW61" s="89">
        <f t="shared" si="14"/>
        <v>0</v>
      </c>
      <c r="GX61" s="89">
        <f t="shared" si="14"/>
        <v>0</v>
      </c>
      <c r="GY61" s="89">
        <f t="shared" si="14"/>
        <v>0</v>
      </c>
      <c r="GZ61" s="89">
        <f t="shared" si="14"/>
        <v>0</v>
      </c>
      <c r="HB61" s="89">
        <f t="shared" si="6"/>
        <v>0</v>
      </c>
      <c r="HC61" s="89">
        <f t="shared" si="6"/>
        <v>0</v>
      </c>
      <c r="HD61" s="89">
        <f t="shared" si="6"/>
        <v>0</v>
      </c>
      <c r="HE61" s="89">
        <f t="shared" si="6"/>
        <v>0</v>
      </c>
      <c r="HF61" s="89">
        <f t="shared" si="6"/>
        <v>0</v>
      </c>
      <c r="HG61" s="89">
        <f t="shared" si="6"/>
        <v>0</v>
      </c>
      <c r="HH61" s="89">
        <f t="shared" si="6"/>
        <v>0</v>
      </c>
      <c r="HI61" s="89">
        <f t="shared" si="6"/>
        <v>0</v>
      </c>
      <c r="HJ61" s="89">
        <f t="shared" si="6"/>
        <v>0</v>
      </c>
      <c r="HK61" s="89">
        <f t="shared" si="6"/>
        <v>0</v>
      </c>
      <c r="HL61" s="89">
        <f t="shared" si="6"/>
        <v>0</v>
      </c>
      <c r="HM61" s="89">
        <f t="shared" si="6"/>
        <v>0</v>
      </c>
      <c r="HO61" s="256"/>
      <c r="HZ61" s="256"/>
    </row>
    <row r="62" spans="1:234" x14ac:dyDescent="0.2">
      <c r="HO62" s="256"/>
      <c r="HZ62" s="256"/>
    </row>
    <row r="63" spans="1:234" x14ac:dyDescent="0.2">
      <c r="A63" s="127" t="s">
        <v>895</v>
      </c>
      <c r="FV63" s="127" t="s">
        <v>895</v>
      </c>
      <c r="HO63" s="256"/>
      <c r="HZ63" s="256"/>
    </row>
    <row r="64" spans="1:234" x14ac:dyDescent="0.2">
      <c r="A64" s="127"/>
      <c r="FV64" s="127"/>
      <c r="FW64" s="89" t="s">
        <v>767</v>
      </c>
      <c r="FX64" s="89" t="s">
        <v>768</v>
      </c>
      <c r="FY64" s="89" t="s">
        <v>769</v>
      </c>
      <c r="HO64" s="256"/>
      <c r="HZ64" s="256"/>
    </row>
    <row r="65" spans="1:234" x14ac:dyDescent="0.2">
      <c r="A65" s="127" t="s">
        <v>508</v>
      </c>
      <c r="B65" s="89">
        <f>'Verwerken verlichting'!Q29</f>
        <v>0</v>
      </c>
      <c r="FV65" s="127" t="s">
        <v>508</v>
      </c>
      <c r="FW65" s="89">
        <f>'Verwerken verlichting'!BG29</f>
        <v>0</v>
      </c>
      <c r="FX65" s="89">
        <f>'Verwerken verlichting'!AX29</f>
        <v>0</v>
      </c>
      <c r="FY65" s="89">
        <f>'Verwerken verlichting'!AO29</f>
        <v>0</v>
      </c>
      <c r="GM65" s="127" t="s">
        <v>508</v>
      </c>
      <c r="GN65" s="89">
        <f>'Verwerken verlichting'!BG29</f>
        <v>0</v>
      </c>
      <c r="HO65" s="256"/>
      <c r="HZ65" s="256"/>
    </row>
    <row r="66" spans="1:234" x14ac:dyDescent="0.2">
      <c r="A66" s="127" t="s">
        <v>539</v>
      </c>
      <c r="B66" s="89">
        <f>'Verwerken verlichting'!U29</f>
        <v>0</v>
      </c>
      <c r="FV66" s="127" t="s">
        <v>539</v>
      </c>
      <c r="FW66" s="89">
        <f>'Verwerken verlichting'!BK29</f>
        <v>0</v>
      </c>
      <c r="FX66" s="89">
        <f>'Verwerken verlichting'!BB29</f>
        <v>0</v>
      </c>
      <c r="FY66" s="89">
        <f>'Verwerken verlichting'!AS29</f>
        <v>0</v>
      </c>
      <c r="GM66" s="127" t="s">
        <v>539</v>
      </c>
      <c r="GN66" s="89">
        <f>'Verwerken verlichting'!BK29</f>
        <v>0</v>
      </c>
      <c r="HO66" s="256"/>
      <c r="HZ66" s="256"/>
    </row>
    <row r="67" spans="1:234" x14ac:dyDescent="0.2">
      <c r="HO67" s="256"/>
      <c r="HZ67" s="256"/>
    </row>
    <row r="68" spans="1:234" x14ac:dyDescent="0.2">
      <c r="A68" s="127" t="s">
        <v>898</v>
      </c>
      <c r="FV68" s="127" t="s">
        <v>898</v>
      </c>
      <c r="GM68" s="127" t="s">
        <v>898</v>
      </c>
      <c r="HO68" s="256"/>
      <c r="HZ68" s="256"/>
    </row>
    <row r="69" spans="1:234" x14ac:dyDescent="0.2">
      <c r="HO69" s="256"/>
      <c r="HZ69" s="256"/>
    </row>
    <row r="70" spans="1:234" x14ac:dyDescent="0.2">
      <c r="B70" s="89" t="s">
        <v>505</v>
      </c>
      <c r="C70" s="89" t="s">
        <v>506</v>
      </c>
      <c r="D70" s="89" t="s">
        <v>507</v>
      </c>
      <c r="E70" s="89" t="s">
        <v>508</v>
      </c>
      <c r="F70" s="89" t="s">
        <v>509</v>
      </c>
      <c r="G70" s="89" t="s">
        <v>527</v>
      </c>
      <c r="FW70" s="89" t="s">
        <v>505</v>
      </c>
      <c r="FX70" s="89" t="s">
        <v>506</v>
      </c>
      <c r="FY70" s="89" t="s">
        <v>507</v>
      </c>
      <c r="FZ70" s="89" t="s">
        <v>508</v>
      </c>
      <c r="GA70" s="89" t="s">
        <v>509</v>
      </c>
      <c r="GB70" s="89" t="s">
        <v>527</v>
      </c>
      <c r="GN70" s="89" t="s">
        <v>505</v>
      </c>
      <c r="GO70" s="89" t="s">
        <v>506</v>
      </c>
      <c r="GP70" s="89" t="s">
        <v>507</v>
      </c>
      <c r="GQ70" s="89" t="s">
        <v>508</v>
      </c>
      <c r="GR70" s="89" t="s">
        <v>509</v>
      </c>
      <c r="GS70" s="89" t="s">
        <v>527</v>
      </c>
      <c r="HO70" s="256"/>
      <c r="HZ70" s="256"/>
    </row>
    <row r="71" spans="1:234" x14ac:dyDescent="0.2">
      <c r="B71" s="89">
        <f>0.3*'Invoer Algemeen'!D16*2.63*'Fitten energieverbruik'!C19</f>
        <v>0</v>
      </c>
      <c r="C71" s="89">
        <f>'Fitten energieverbruik'!C18*2.63*'Invoer Algemeen'!D16</f>
        <v>0</v>
      </c>
      <c r="D71" s="89">
        <f>0.8*0.39*'Verwerken ventilatie'!D59</f>
        <v>0</v>
      </c>
      <c r="E71" s="89">
        <f>'Verwerken verlichting'!U29</f>
        <v>0</v>
      </c>
      <c r="F71" s="89">
        <v>0.8</v>
      </c>
      <c r="G71" s="89">
        <f>F71*(B71+C71+D71+E71)</f>
        <v>0</v>
      </c>
      <c r="FW71" s="89">
        <f>B71</f>
        <v>0</v>
      </c>
      <c r="FX71" s="89">
        <f>C71</f>
        <v>0</v>
      </c>
      <c r="FY71" s="89">
        <f>D71</f>
        <v>0</v>
      </c>
      <c r="FZ71" s="89">
        <f>'Verwerken verlichting'!AS29</f>
        <v>0</v>
      </c>
      <c r="GA71" s="89">
        <v>0.8</v>
      </c>
      <c r="GB71" s="89">
        <f>GA71*(FW71+FX71+FY71+FZ71)</f>
        <v>0</v>
      </c>
      <c r="GN71" s="89">
        <f>FW71</f>
        <v>0</v>
      </c>
      <c r="GO71" s="89">
        <f>FX71</f>
        <v>0</v>
      </c>
      <c r="GP71" s="89">
        <f>0.8*0.39*'Verwerken ventilatie'!AM59</f>
        <v>0</v>
      </c>
      <c r="GQ71" s="89">
        <f>'Verwerken verlichting'!BK29</f>
        <v>0</v>
      </c>
      <c r="GR71" s="89">
        <f>GA71</f>
        <v>0.8</v>
      </c>
      <c r="GS71" s="89">
        <f>GR71*(GN71+GO71+GP71+GQ71)</f>
        <v>0</v>
      </c>
      <c r="HO71" s="256"/>
      <c r="HZ71" s="256"/>
    </row>
    <row r="72" spans="1:234" x14ac:dyDescent="0.2">
      <c r="HO72" s="256"/>
      <c r="HZ72" s="256"/>
    </row>
    <row r="73" spans="1:234" x14ac:dyDescent="0.2">
      <c r="A73" s="127" t="s">
        <v>899</v>
      </c>
      <c r="HO73" s="256"/>
      <c r="HZ73" s="256"/>
    </row>
    <row r="74" spans="1:234" x14ac:dyDescent="0.2">
      <c r="HO74" s="256"/>
      <c r="HZ74" s="256"/>
    </row>
    <row r="75" spans="1:234" x14ac:dyDescent="0.2">
      <c r="B75" s="125" t="s">
        <v>452</v>
      </c>
      <c r="C75" s="125" t="s">
        <v>453</v>
      </c>
      <c r="D75" s="125" t="s">
        <v>398</v>
      </c>
      <c r="E75" s="125" t="s">
        <v>399</v>
      </c>
      <c r="F75" s="125" t="s">
        <v>400</v>
      </c>
      <c r="G75" s="125" t="s">
        <v>401</v>
      </c>
      <c r="H75" s="125" t="s">
        <v>402</v>
      </c>
      <c r="I75" s="125" t="s">
        <v>454</v>
      </c>
      <c r="J75" s="125" t="s">
        <v>455</v>
      </c>
      <c r="K75" s="125" t="s">
        <v>456</v>
      </c>
      <c r="L75" s="125" t="s">
        <v>457</v>
      </c>
      <c r="M75" s="125" t="s">
        <v>458</v>
      </c>
      <c r="DO75" s="125" t="s">
        <v>452</v>
      </c>
      <c r="DP75" s="125" t="s">
        <v>453</v>
      </c>
      <c r="DQ75" s="125" t="s">
        <v>398</v>
      </c>
      <c r="DR75" s="125" t="s">
        <v>399</v>
      </c>
      <c r="DS75" s="125" t="s">
        <v>400</v>
      </c>
      <c r="DT75" s="125" t="s">
        <v>401</v>
      </c>
      <c r="DU75" s="125" t="s">
        <v>402</v>
      </c>
      <c r="DV75" s="125" t="s">
        <v>454</v>
      </c>
      <c r="DW75" s="125" t="s">
        <v>455</v>
      </c>
      <c r="DX75" s="125" t="s">
        <v>456</v>
      </c>
      <c r="DY75" s="125" t="s">
        <v>457</v>
      </c>
      <c r="DZ75" s="125" t="s">
        <v>458</v>
      </c>
      <c r="EA75" s="125" t="s">
        <v>754</v>
      </c>
      <c r="EB75" s="125" t="s">
        <v>47</v>
      </c>
      <c r="EC75" s="125" t="s">
        <v>614</v>
      </c>
      <c r="GN75" s="125" t="s">
        <v>452</v>
      </c>
      <c r="GO75" s="125" t="s">
        <v>453</v>
      </c>
      <c r="GP75" s="125" t="s">
        <v>398</v>
      </c>
      <c r="GQ75" s="125" t="s">
        <v>399</v>
      </c>
      <c r="GR75" s="125" t="s">
        <v>400</v>
      </c>
      <c r="GS75" s="125" t="s">
        <v>401</v>
      </c>
      <c r="GT75" s="125" t="s">
        <v>402</v>
      </c>
      <c r="GU75" s="125" t="s">
        <v>454</v>
      </c>
      <c r="GV75" s="125" t="s">
        <v>455</v>
      </c>
      <c r="GW75" s="125" t="s">
        <v>456</v>
      </c>
      <c r="GX75" s="125" t="s">
        <v>457</v>
      </c>
      <c r="GY75" s="125" t="s">
        <v>458</v>
      </c>
      <c r="HO75" s="256"/>
      <c r="HZ75" s="256"/>
    </row>
    <row r="76" spans="1:234" x14ac:dyDescent="0.2">
      <c r="A76" s="89">
        <f>IF('Verwerking Bouwdelen'!A3=2,1,0)</f>
        <v>0</v>
      </c>
      <c r="B76" s="223">
        <f>$A76*'Verwerking Bouwdelen'!CJ3</f>
        <v>0</v>
      </c>
      <c r="C76" s="224">
        <f>$A76*'Verwerking Bouwdelen'!CK3</f>
        <v>0</v>
      </c>
      <c r="D76" s="224">
        <f>$A76*'Verwerking Bouwdelen'!CL3</f>
        <v>0</v>
      </c>
      <c r="E76" s="224">
        <f>$A76*'Verwerking Bouwdelen'!CM3</f>
        <v>0</v>
      </c>
      <c r="F76" s="224">
        <f>$A76*'Verwerking Bouwdelen'!CN3</f>
        <v>0</v>
      </c>
      <c r="G76" s="224">
        <f>$A76*'Verwerking Bouwdelen'!CO3</f>
        <v>0</v>
      </c>
      <c r="H76" s="224">
        <f>$A76*'Verwerking Bouwdelen'!CP3</f>
        <v>0</v>
      </c>
      <c r="I76" s="224">
        <f>$A76*'Verwerking Bouwdelen'!CQ3</f>
        <v>0</v>
      </c>
      <c r="J76" s="224">
        <f>$A76*'Verwerking Bouwdelen'!CR3</f>
        <v>0</v>
      </c>
      <c r="K76" s="224">
        <f>$A76*'Verwerking Bouwdelen'!CS3</f>
        <v>0</v>
      </c>
      <c r="L76" s="224">
        <f>$A76*'Verwerking Bouwdelen'!CT3</f>
        <v>0</v>
      </c>
      <c r="M76" s="225">
        <f>$A76*'Verwerking Bouwdelen'!CU3</f>
        <v>0</v>
      </c>
      <c r="DN76" s="89">
        <f>IF('Verwerking Bouwdelen'!A3=2,1,0)</f>
        <v>0</v>
      </c>
      <c r="DO76" s="223">
        <f>$DN76*'Verwerking Bouwdelen'!FT3</f>
        <v>0</v>
      </c>
      <c r="DP76" s="223">
        <f>$DN76*'Verwerking Bouwdelen'!FU3</f>
        <v>0</v>
      </c>
      <c r="DQ76" s="223">
        <f>$DN76*'Verwerking Bouwdelen'!FV3</f>
        <v>0</v>
      </c>
      <c r="DR76" s="223">
        <f>$DN76*'Verwerking Bouwdelen'!FW3</f>
        <v>0</v>
      </c>
      <c r="DS76" s="223">
        <f>$DN76*'Verwerking Bouwdelen'!FX3</f>
        <v>0</v>
      </c>
      <c r="DT76" s="223">
        <f>$DN76*'Verwerking Bouwdelen'!FY3</f>
        <v>0</v>
      </c>
      <c r="DU76" s="223">
        <f>$DN76*'Verwerking Bouwdelen'!FZ3</f>
        <v>0</v>
      </c>
      <c r="DV76" s="223">
        <f>$DN76*'Verwerking Bouwdelen'!GA3</f>
        <v>0</v>
      </c>
      <c r="DW76" s="223">
        <f>$DN76*'Verwerking Bouwdelen'!GB3</f>
        <v>0</v>
      </c>
      <c r="DX76" s="223">
        <f>$DN76*'Verwerking Bouwdelen'!GC3</f>
        <v>0</v>
      </c>
      <c r="DY76" s="223">
        <f>$DN76*'Verwerking Bouwdelen'!GD3</f>
        <v>0</v>
      </c>
      <c r="DZ76" s="223">
        <f>$DN76*'Verwerking Bouwdelen'!GE3</f>
        <v>0</v>
      </c>
      <c r="EA76" s="89">
        <f>'Verwerking Bouwdelen'!GO3*DN76</f>
        <v>0</v>
      </c>
      <c r="EB76" s="125">
        <f>'Verwerking Bouwdelen'!GP3*DN76</f>
        <v>0</v>
      </c>
      <c r="EC76" s="89">
        <f>0.6*EB76</f>
        <v>0</v>
      </c>
      <c r="GN76" s="220">
        <f>DO76</f>
        <v>0</v>
      </c>
      <c r="GO76" s="220">
        <f t="shared" ref="GO76:GY91" si="15">DP76</f>
        <v>0</v>
      </c>
      <c r="GP76" s="220">
        <f t="shared" si="15"/>
        <v>0</v>
      </c>
      <c r="GQ76" s="220">
        <f t="shared" si="15"/>
        <v>0</v>
      </c>
      <c r="GR76" s="220">
        <f t="shared" si="15"/>
        <v>0</v>
      </c>
      <c r="GS76" s="220">
        <f t="shared" si="15"/>
        <v>0</v>
      </c>
      <c r="GT76" s="220">
        <f t="shared" si="15"/>
        <v>0</v>
      </c>
      <c r="GU76" s="220">
        <f t="shared" si="15"/>
        <v>0</v>
      </c>
      <c r="GV76" s="220">
        <f t="shared" si="15"/>
        <v>0</v>
      </c>
      <c r="GW76" s="220">
        <f t="shared" si="15"/>
        <v>0</v>
      </c>
      <c r="GX76" s="220">
        <f t="shared" si="15"/>
        <v>0</v>
      </c>
      <c r="GY76" s="220">
        <f t="shared" si="15"/>
        <v>0</v>
      </c>
      <c r="HO76" s="256"/>
      <c r="HZ76" s="256"/>
    </row>
    <row r="77" spans="1:234" x14ac:dyDescent="0.2">
      <c r="A77" s="89">
        <f>IF('Verwerking Bouwdelen'!A4=2,1,0)</f>
        <v>0</v>
      </c>
      <c r="B77" s="226">
        <f>$A77*'Verwerking Bouwdelen'!CJ4</f>
        <v>0</v>
      </c>
      <c r="C77" s="227">
        <f>$A77*'Verwerking Bouwdelen'!CK4</f>
        <v>0</v>
      </c>
      <c r="D77" s="227">
        <f>$A77*'Verwerking Bouwdelen'!CL4</f>
        <v>0</v>
      </c>
      <c r="E77" s="227">
        <f>$A77*'Verwerking Bouwdelen'!CM4</f>
        <v>0</v>
      </c>
      <c r="F77" s="227">
        <f>$A77*'Verwerking Bouwdelen'!CN4</f>
        <v>0</v>
      </c>
      <c r="G77" s="227">
        <f>$A77*'Verwerking Bouwdelen'!CO4</f>
        <v>0</v>
      </c>
      <c r="H77" s="227">
        <f>$A77*'Verwerking Bouwdelen'!CP4</f>
        <v>0</v>
      </c>
      <c r="I77" s="227">
        <f>$A77*'Verwerking Bouwdelen'!CQ4</f>
        <v>0</v>
      </c>
      <c r="J77" s="227">
        <f>$A77*'Verwerking Bouwdelen'!CR4</f>
        <v>0</v>
      </c>
      <c r="K77" s="227">
        <f>$A77*'Verwerking Bouwdelen'!CS4</f>
        <v>0</v>
      </c>
      <c r="L77" s="227">
        <f>$A77*'Verwerking Bouwdelen'!CT4</f>
        <v>0</v>
      </c>
      <c r="M77" s="228">
        <f>$A77*'Verwerking Bouwdelen'!CU4</f>
        <v>0</v>
      </c>
      <c r="DN77" s="89">
        <f>IF('Verwerking Bouwdelen'!A4=2,1,0)</f>
        <v>0</v>
      </c>
      <c r="DO77" s="223">
        <f>$DN77*'Verwerking Bouwdelen'!FT4</f>
        <v>0</v>
      </c>
      <c r="DP77" s="223">
        <f>$DN77*'Verwerking Bouwdelen'!FU4</f>
        <v>0</v>
      </c>
      <c r="DQ77" s="223">
        <f>$DN77*'Verwerking Bouwdelen'!FV4</f>
        <v>0</v>
      </c>
      <c r="DR77" s="223">
        <f>$DN77*'Verwerking Bouwdelen'!FW4</f>
        <v>0</v>
      </c>
      <c r="DS77" s="223">
        <f>$DN77*'Verwerking Bouwdelen'!FX4</f>
        <v>0</v>
      </c>
      <c r="DT77" s="223">
        <f>$DN77*'Verwerking Bouwdelen'!FY4</f>
        <v>0</v>
      </c>
      <c r="DU77" s="223">
        <f>$DN77*'Verwerking Bouwdelen'!FZ4</f>
        <v>0</v>
      </c>
      <c r="DV77" s="223">
        <f>$DN77*'Verwerking Bouwdelen'!GA4</f>
        <v>0</v>
      </c>
      <c r="DW77" s="223">
        <f>$DN77*'Verwerking Bouwdelen'!GB4</f>
        <v>0</v>
      </c>
      <c r="DX77" s="223">
        <f>$DN77*'Verwerking Bouwdelen'!GC4</f>
        <v>0</v>
      </c>
      <c r="DY77" s="223">
        <f>$DN77*'Verwerking Bouwdelen'!GD4</f>
        <v>0</v>
      </c>
      <c r="DZ77" s="223">
        <f>$DN77*'Verwerking Bouwdelen'!GE4</f>
        <v>0</v>
      </c>
      <c r="EA77" s="89">
        <f>'Verwerking Bouwdelen'!GO4*DN77</f>
        <v>0</v>
      </c>
      <c r="EB77" s="125">
        <f>'Verwerking Bouwdelen'!GP4*DN77</f>
        <v>0</v>
      </c>
      <c r="EC77" s="89">
        <f t="shared" ref="EC77:EC117" si="16">0.6*EB77</f>
        <v>0</v>
      </c>
      <c r="GN77" s="220">
        <f t="shared" ref="GN77:GY111" si="17">DO77</f>
        <v>0</v>
      </c>
      <c r="GO77" s="220">
        <f t="shared" si="15"/>
        <v>0</v>
      </c>
      <c r="GP77" s="220">
        <f t="shared" si="15"/>
        <v>0</v>
      </c>
      <c r="GQ77" s="220">
        <f t="shared" si="15"/>
        <v>0</v>
      </c>
      <c r="GR77" s="220">
        <f t="shared" si="15"/>
        <v>0</v>
      </c>
      <c r="GS77" s="220">
        <f t="shared" si="15"/>
        <v>0</v>
      </c>
      <c r="GT77" s="220">
        <f t="shared" si="15"/>
        <v>0</v>
      </c>
      <c r="GU77" s="220">
        <f t="shared" si="15"/>
        <v>0</v>
      </c>
      <c r="GV77" s="220">
        <f t="shared" si="15"/>
        <v>0</v>
      </c>
      <c r="GW77" s="220">
        <f t="shared" si="15"/>
        <v>0</v>
      </c>
      <c r="GX77" s="220">
        <f t="shared" si="15"/>
        <v>0</v>
      </c>
      <c r="GY77" s="220">
        <f t="shared" si="15"/>
        <v>0</v>
      </c>
      <c r="HO77" s="256"/>
      <c r="HZ77" s="256"/>
    </row>
    <row r="78" spans="1:234" x14ac:dyDescent="0.2">
      <c r="A78" s="89">
        <f>IF('Verwerking Bouwdelen'!A5=2,1,0)</f>
        <v>0</v>
      </c>
      <c r="B78" s="226">
        <f>$A78*'Verwerking Bouwdelen'!CJ5</f>
        <v>0</v>
      </c>
      <c r="C78" s="227">
        <f>$A78*'Verwerking Bouwdelen'!CK5</f>
        <v>0</v>
      </c>
      <c r="D78" s="227">
        <f>$A78*'Verwerking Bouwdelen'!CL5</f>
        <v>0</v>
      </c>
      <c r="E78" s="227">
        <f>$A78*'Verwerking Bouwdelen'!CM5</f>
        <v>0</v>
      </c>
      <c r="F78" s="227">
        <f>$A78*'Verwerking Bouwdelen'!CN5</f>
        <v>0</v>
      </c>
      <c r="G78" s="227">
        <f>$A78*'Verwerking Bouwdelen'!CO5</f>
        <v>0</v>
      </c>
      <c r="H78" s="227">
        <f>$A78*'Verwerking Bouwdelen'!CP5</f>
        <v>0</v>
      </c>
      <c r="I78" s="227">
        <f>$A78*'Verwerking Bouwdelen'!CQ5</f>
        <v>0</v>
      </c>
      <c r="J78" s="227">
        <f>$A78*'Verwerking Bouwdelen'!CR5</f>
        <v>0</v>
      </c>
      <c r="K78" s="227">
        <f>$A78*'Verwerking Bouwdelen'!CS5</f>
        <v>0</v>
      </c>
      <c r="L78" s="227">
        <f>$A78*'Verwerking Bouwdelen'!CT5</f>
        <v>0</v>
      </c>
      <c r="M78" s="228">
        <f>$A78*'Verwerking Bouwdelen'!CU5</f>
        <v>0</v>
      </c>
      <c r="DN78" s="89">
        <f>IF('Verwerking Bouwdelen'!A5=2,1,0)</f>
        <v>0</v>
      </c>
      <c r="DO78" s="223">
        <f>$DN78*'Verwerking Bouwdelen'!FT5</f>
        <v>0</v>
      </c>
      <c r="DP78" s="223">
        <f>$DN78*'Verwerking Bouwdelen'!FU5</f>
        <v>0</v>
      </c>
      <c r="DQ78" s="223">
        <f>$DN78*'Verwerking Bouwdelen'!FV5</f>
        <v>0</v>
      </c>
      <c r="DR78" s="223">
        <f>$DN78*'Verwerking Bouwdelen'!FW5</f>
        <v>0</v>
      </c>
      <c r="DS78" s="223">
        <f>$DN78*'Verwerking Bouwdelen'!FX5</f>
        <v>0</v>
      </c>
      <c r="DT78" s="223">
        <f>$DN78*'Verwerking Bouwdelen'!FY5</f>
        <v>0</v>
      </c>
      <c r="DU78" s="223">
        <f>$DN78*'Verwerking Bouwdelen'!FZ5</f>
        <v>0</v>
      </c>
      <c r="DV78" s="223">
        <f>$DN78*'Verwerking Bouwdelen'!GA5</f>
        <v>0</v>
      </c>
      <c r="DW78" s="223">
        <f>$DN78*'Verwerking Bouwdelen'!GB5</f>
        <v>0</v>
      </c>
      <c r="DX78" s="223">
        <f>$DN78*'Verwerking Bouwdelen'!GC5</f>
        <v>0</v>
      </c>
      <c r="DY78" s="223">
        <f>$DN78*'Verwerking Bouwdelen'!GD5</f>
        <v>0</v>
      </c>
      <c r="DZ78" s="223">
        <f>$DN78*'Verwerking Bouwdelen'!GE5</f>
        <v>0</v>
      </c>
      <c r="EA78" s="89">
        <f>'Verwerking Bouwdelen'!GO5*DN78</f>
        <v>0</v>
      </c>
      <c r="EB78" s="125">
        <f>'Verwerking Bouwdelen'!GP5*DN78</f>
        <v>0</v>
      </c>
      <c r="EC78" s="89">
        <f t="shared" si="16"/>
        <v>0</v>
      </c>
      <c r="GN78" s="220">
        <f t="shared" si="17"/>
        <v>0</v>
      </c>
      <c r="GO78" s="220">
        <f t="shared" si="15"/>
        <v>0</v>
      </c>
      <c r="GP78" s="220">
        <f t="shared" si="15"/>
        <v>0</v>
      </c>
      <c r="GQ78" s="220">
        <f t="shared" si="15"/>
        <v>0</v>
      </c>
      <c r="GR78" s="220">
        <f t="shared" si="15"/>
        <v>0</v>
      </c>
      <c r="GS78" s="220">
        <f t="shared" si="15"/>
        <v>0</v>
      </c>
      <c r="GT78" s="220">
        <f t="shared" si="15"/>
        <v>0</v>
      </c>
      <c r="GU78" s="220">
        <f t="shared" si="15"/>
        <v>0</v>
      </c>
      <c r="GV78" s="220">
        <f t="shared" si="15"/>
        <v>0</v>
      </c>
      <c r="GW78" s="220">
        <f t="shared" si="15"/>
        <v>0</v>
      </c>
      <c r="GX78" s="220">
        <f t="shared" si="15"/>
        <v>0</v>
      </c>
      <c r="GY78" s="220">
        <f t="shared" si="15"/>
        <v>0</v>
      </c>
      <c r="HO78" s="256"/>
      <c r="HZ78" s="256"/>
    </row>
    <row r="79" spans="1:234" x14ac:dyDescent="0.2">
      <c r="A79" s="89">
        <f>IF('Verwerking Bouwdelen'!A6=2,1,0)</f>
        <v>0</v>
      </c>
      <c r="B79" s="226">
        <f>$A79*'Verwerking Bouwdelen'!CJ6</f>
        <v>0</v>
      </c>
      <c r="C79" s="227">
        <f>$A79*'Verwerking Bouwdelen'!CK6</f>
        <v>0</v>
      </c>
      <c r="D79" s="227">
        <f>$A79*'Verwerking Bouwdelen'!CL6</f>
        <v>0</v>
      </c>
      <c r="E79" s="227">
        <f>$A79*'Verwerking Bouwdelen'!CM6</f>
        <v>0</v>
      </c>
      <c r="F79" s="227">
        <f>$A79*'Verwerking Bouwdelen'!CN6</f>
        <v>0</v>
      </c>
      <c r="G79" s="227">
        <f>$A79*'Verwerking Bouwdelen'!CO6</f>
        <v>0</v>
      </c>
      <c r="H79" s="227">
        <f>$A79*'Verwerking Bouwdelen'!CP6</f>
        <v>0</v>
      </c>
      <c r="I79" s="227">
        <f>$A79*'Verwerking Bouwdelen'!CQ6</f>
        <v>0</v>
      </c>
      <c r="J79" s="227">
        <f>$A79*'Verwerking Bouwdelen'!CR6</f>
        <v>0</v>
      </c>
      <c r="K79" s="227">
        <f>$A79*'Verwerking Bouwdelen'!CS6</f>
        <v>0</v>
      </c>
      <c r="L79" s="227">
        <f>$A79*'Verwerking Bouwdelen'!CT6</f>
        <v>0</v>
      </c>
      <c r="M79" s="228">
        <f>$A79*'Verwerking Bouwdelen'!CU6</f>
        <v>0</v>
      </c>
      <c r="DN79" s="89">
        <f>IF('Verwerking Bouwdelen'!A6=2,1,0)</f>
        <v>0</v>
      </c>
      <c r="DO79" s="223">
        <f>$DN79*'Verwerking Bouwdelen'!FT6</f>
        <v>0</v>
      </c>
      <c r="DP79" s="223">
        <f>$DN79*'Verwerking Bouwdelen'!FU6</f>
        <v>0</v>
      </c>
      <c r="DQ79" s="223">
        <f>$DN79*'Verwerking Bouwdelen'!FV6</f>
        <v>0</v>
      </c>
      <c r="DR79" s="223">
        <f>$DN79*'Verwerking Bouwdelen'!FW6</f>
        <v>0</v>
      </c>
      <c r="DS79" s="223">
        <f>$DN79*'Verwerking Bouwdelen'!FX6</f>
        <v>0</v>
      </c>
      <c r="DT79" s="223">
        <f>$DN79*'Verwerking Bouwdelen'!FY6</f>
        <v>0</v>
      </c>
      <c r="DU79" s="223">
        <f>$DN79*'Verwerking Bouwdelen'!FZ6</f>
        <v>0</v>
      </c>
      <c r="DV79" s="223">
        <f>$DN79*'Verwerking Bouwdelen'!GA6</f>
        <v>0</v>
      </c>
      <c r="DW79" s="223">
        <f>$DN79*'Verwerking Bouwdelen'!GB6</f>
        <v>0</v>
      </c>
      <c r="DX79" s="223">
        <f>$DN79*'Verwerking Bouwdelen'!GC6</f>
        <v>0</v>
      </c>
      <c r="DY79" s="223">
        <f>$DN79*'Verwerking Bouwdelen'!GD6</f>
        <v>0</v>
      </c>
      <c r="DZ79" s="223">
        <f>$DN79*'Verwerking Bouwdelen'!GE6</f>
        <v>0</v>
      </c>
      <c r="EA79" s="89">
        <f>'Verwerking Bouwdelen'!GO6*DN79</f>
        <v>0</v>
      </c>
      <c r="EB79" s="125">
        <f>'Verwerking Bouwdelen'!GP6*DN79</f>
        <v>0</v>
      </c>
      <c r="EC79" s="89">
        <f t="shared" si="16"/>
        <v>0</v>
      </c>
      <c r="GN79" s="220">
        <f t="shared" si="17"/>
        <v>0</v>
      </c>
      <c r="GO79" s="220">
        <f t="shared" si="15"/>
        <v>0</v>
      </c>
      <c r="GP79" s="220">
        <f t="shared" si="15"/>
        <v>0</v>
      </c>
      <c r="GQ79" s="220">
        <f t="shared" si="15"/>
        <v>0</v>
      </c>
      <c r="GR79" s="220">
        <f t="shared" si="15"/>
        <v>0</v>
      </c>
      <c r="GS79" s="220">
        <f t="shared" si="15"/>
        <v>0</v>
      </c>
      <c r="GT79" s="220">
        <f t="shared" si="15"/>
        <v>0</v>
      </c>
      <c r="GU79" s="220">
        <f t="shared" si="15"/>
        <v>0</v>
      </c>
      <c r="GV79" s="220">
        <f t="shared" si="15"/>
        <v>0</v>
      </c>
      <c r="GW79" s="220">
        <f t="shared" si="15"/>
        <v>0</v>
      </c>
      <c r="GX79" s="220">
        <f t="shared" si="15"/>
        <v>0</v>
      </c>
      <c r="GY79" s="220">
        <f t="shared" si="15"/>
        <v>0</v>
      </c>
      <c r="HO79" s="256"/>
      <c r="HZ79" s="256"/>
    </row>
    <row r="80" spans="1:234" x14ac:dyDescent="0.2">
      <c r="A80" s="89">
        <f>IF('Verwerking Bouwdelen'!A7=2,1,0)</f>
        <v>0</v>
      </c>
      <c r="B80" s="226">
        <f>$A80*'Verwerking Bouwdelen'!CJ7</f>
        <v>0</v>
      </c>
      <c r="C80" s="227">
        <f>$A80*'Verwerking Bouwdelen'!CK7</f>
        <v>0</v>
      </c>
      <c r="D80" s="227">
        <f>$A80*'Verwerking Bouwdelen'!CL7</f>
        <v>0</v>
      </c>
      <c r="E80" s="227">
        <f>$A80*'Verwerking Bouwdelen'!CM7</f>
        <v>0</v>
      </c>
      <c r="F80" s="227">
        <f>$A80*'Verwerking Bouwdelen'!CN7</f>
        <v>0</v>
      </c>
      <c r="G80" s="227">
        <f>$A80*'Verwerking Bouwdelen'!CO7</f>
        <v>0</v>
      </c>
      <c r="H80" s="227">
        <f>$A80*'Verwerking Bouwdelen'!CP7</f>
        <v>0</v>
      </c>
      <c r="I80" s="227">
        <f>$A80*'Verwerking Bouwdelen'!CQ7</f>
        <v>0</v>
      </c>
      <c r="J80" s="227">
        <f>$A80*'Verwerking Bouwdelen'!CR7</f>
        <v>0</v>
      </c>
      <c r="K80" s="227">
        <f>$A80*'Verwerking Bouwdelen'!CS7</f>
        <v>0</v>
      </c>
      <c r="L80" s="227">
        <f>$A80*'Verwerking Bouwdelen'!CT7</f>
        <v>0</v>
      </c>
      <c r="M80" s="228">
        <f>$A80*'Verwerking Bouwdelen'!CU7</f>
        <v>0</v>
      </c>
      <c r="DN80" s="89">
        <f>IF('Verwerking Bouwdelen'!A7=2,1,0)</f>
        <v>0</v>
      </c>
      <c r="DO80" s="223">
        <f>$DN80*'Verwerking Bouwdelen'!FT7</f>
        <v>0</v>
      </c>
      <c r="DP80" s="223">
        <f>$DN80*'Verwerking Bouwdelen'!FU7</f>
        <v>0</v>
      </c>
      <c r="DQ80" s="223">
        <f>$DN80*'Verwerking Bouwdelen'!FV7</f>
        <v>0</v>
      </c>
      <c r="DR80" s="223">
        <f>$DN80*'Verwerking Bouwdelen'!FW7</f>
        <v>0</v>
      </c>
      <c r="DS80" s="223">
        <f>$DN80*'Verwerking Bouwdelen'!FX7</f>
        <v>0</v>
      </c>
      <c r="DT80" s="223">
        <f>$DN80*'Verwerking Bouwdelen'!FY7</f>
        <v>0</v>
      </c>
      <c r="DU80" s="223">
        <f>$DN80*'Verwerking Bouwdelen'!FZ7</f>
        <v>0</v>
      </c>
      <c r="DV80" s="223">
        <f>$DN80*'Verwerking Bouwdelen'!GA7</f>
        <v>0</v>
      </c>
      <c r="DW80" s="223">
        <f>$DN80*'Verwerking Bouwdelen'!GB7</f>
        <v>0</v>
      </c>
      <c r="DX80" s="223">
        <f>$DN80*'Verwerking Bouwdelen'!GC7</f>
        <v>0</v>
      </c>
      <c r="DY80" s="223">
        <f>$DN80*'Verwerking Bouwdelen'!GD7</f>
        <v>0</v>
      </c>
      <c r="DZ80" s="223">
        <f>$DN80*'Verwerking Bouwdelen'!GE7</f>
        <v>0</v>
      </c>
      <c r="EA80" s="89">
        <f>'Verwerking Bouwdelen'!GO7*DN80</f>
        <v>0</v>
      </c>
      <c r="EB80" s="125">
        <f>'Verwerking Bouwdelen'!GP7*DN80</f>
        <v>0</v>
      </c>
      <c r="EC80" s="89">
        <f t="shared" si="16"/>
        <v>0</v>
      </c>
      <c r="GN80" s="220">
        <f t="shared" si="17"/>
        <v>0</v>
      </c>
      <c r="GO80" s="220">
        <f t="shared" si="15"/>
        <v>0</v>
      </c>
      <c r="GP80" s="220">
        <f t="shared" si="15"/>
        <v>0</v>
      </c>
      <c r="GQ80" s="220">
        <f t="shared" si="15"/>
        <v>0</v>
      </c>
      <c r="GR80" s="220">
        <f t="shared" si="15"/>
        <v>0</v>
      </c>
      <c r="GS80" s="220">
        <f t="shared" si="15"/>
        <v>0</v>
      </c>
      <c r="GT80" s="220">
        <f t="shared" si="15"/>
        <v>0</v>
      </c>
      <c r="GU80" s="220">
        <f t="shared" si="15"/>
        <v>0</v>
      </c>
      <c r="GV80" s="220">
        <f t="shared" si="15"/>
        <v>0</v>
      </c>
      <c r="GW80" s="220">
        <f t="shared" si="15"/>
        <v>0</v>
      </c>
      <c r="GX80" s="220">
        <f t="shared" si="15"/>
        <v>0</v>
      </c>
      <c r="GY80" s="220">
        <f t="shared" si="15"/>
        <v>0</v>
      </c>
      <c r="HO80" s="256"/>
      <c r="HZ80" s="256"/>
    </row>
    <row r="81" spans="1:234" x14ac:dyDescent="0.2">
      <c r="A81" s="89">
        <f>IF('Verwerking Bouwdelen'!A8=2,1,0)</f>
        <v>0</v>
      </c>
      <c r="B81" s="226">
        <f>$A81*'Verwerking Bouwdelen'!CJ8</f>
        <v>0</v>
      </c>
      <c r="C81" s="227">
        <f>$A81*'Verwerking Bouwdelen'!CK8</f>
        <v>0</v>
      </c>
      <c r="D81" s="227">
        <f>$A81*'Verwerking Bouwdelen'!CL8</f>
        <v>0</v>
      </c>
      <c r="E81" s="227">
        <f>$A81*'Verwerking Bouwdelen'!CM8</f>
        <v>0</v>
      </c>
      <c r="F81" s="227">
        <f>$A81*'Verwerking Bouwdelen'!CN8</f>
        <v>0</v>
      </c>
      <c r="G81" s="227">
        <f>$A81*'Verwerking Bouwdelen'!CO8</f>
        <v>0</v>
      </c>
      <c r="H81" s="227">
        <f>$A81*'Verwerking Bouwdelen'!CP8</f>
        <v>0</v>
      </c>
      <c r="I81" s="227">
        <f>$A81*'Verwerking Bouwdelen'!CQ8</f>
        <v>0</v>
      </c>
      <c r="J81" s="227">
        <f>$A81*'Verwerking Bouwdelen'!CR8</f>
        <v>0</v>
      </c>
      <c r="K81" s="227">
        <f>$A81*'Verwerking Bouwdelen'!CS8</f>
        <v>0</v>
      </c>
      <c r="L81" s="227">
        <f>$A81*'Verwerking Bouwdelen'!CT8</f>
        <v>0</v>
      </c>
      <c r="M81" s="228">
        <f>$A81*'Verwerking Bouwdelen'!CU8</f>
        <v>0</v>
      </c>
      <c r="DN81" s="89">
        <f>IF('Verwerking Bouwdelen'!A8=2,1,0)</f>
        <v>0</v>
      </c>
      <c r="DO81" s="223">
        <f>$DN81*'Verwerking Bouwdelen'!FT8</f>
        <v>0</v>
      </c>
      <c r="DP81" s="223">
        <f>$DN81*'Verwerking Bouwdelen'!FU8</f>
        <v>0</v>
      </c>
      <c r="DQ81" s="223">
        <f>$DN81*'Verwerking Bouwdelen'!FV8</f>
        <v>0</v>
      </c>
      <c r="DR81" s="223">
        <f>$DN81*'Verwerking Bouwdelen'!FW8</f>
        <v>0</v>
      </c>
      <c r="DS81" s="223">
        <f>$DN81*'Verwerking Bouwdelen'!FX8</f>
        <v>0</v>
      </c>
      <c r="DT81" s="223">
        <f>$DN81*'Verwerking Bouwdelen'!FY8</f>
        <v>0</v>
      </c>
      <c r="DU81" s="223">
        <f>$DN81*'Verwerking Bouwdelen'!FZ8</f>
        <v>0</v>
      </c>
      <c r="DV81" s="223">
        <f>$DN81*'Verwerking Bouwdelen'!GA8</f>
        <v>0</v>
      </c>
      <c r="DW81" s="223">
        <f>$DN81*'Verwerking Bouwdelen'!GB8</f>
        <v>0</v>
      </c>
      <c r="DX81" s="223">
        <f>$DN81*'Verwerking Bouwdelen'!GC8</f>
        <v>0</v>
      </c>
      <c r="DY81" s="223">
        <f>$DN81*'Verwerking Bouwdelen'!GD8</f>
        <v>0</v>
      </c>
      <c r="DZ81" s="223">
        <f>$DN81*'Verwerking Bouwdelen'!GE8</f>
        <v>0</v>
      </c>
      <c r="EA81" s="89">
        <f>'Verwerking Bouwdelen'!GO8*DN81</f>
        <v>0</v>
      </c>
      <c r="EB81" s="125">
        <f>'Verwerking Bouwdelen'!GP8*DN81</f>
        <v>0</v>
      </c>
      <c r="EC81" s="89">
        <f t="shared" si="16"/>
        <v>0</v>
      </c>
      <c r="GN81" s="220">
        <f t="shared" si="17"/>
        <v>0</v>
      </c>
      <c r="GO81" s="220">
        <f t="shared" si="15"/>
        <v>0</v>
      </c>
      <c r="GP81" s="220">
        <f t="shared" si="15"/>
        <v>0</v>
      </c>
      <c r="GQ81" s="220">
        <f t="shared" si="15"/>
        <v>0</v>
      </c>
      <c r="GR81" s="220">
        <f t="shared" si="15"/>
        <v>0</v>
      </c>
      <c r="GS81" s="220">
        <f t="shared" si="15"/>
        <v>0</v>
      </c>
      <c r="GT81" s="220">
        <f t="shared" si="15"/>
        <v>0</v>
      </c>
      <c r="GU81" s="220">
        <f t="shared" si="15"/>
        <v>0</v>
      </c>
      <c r="GV81" s="220">
        <f t="shared" si="15"/>
        <v>0</v>
      </c>
      <c r="GW81" s="220">
        <f t="shared" si="15"/>
        <v>0</v>
      </c>
      <c r="GX81" s="220">
        <f t="shared" si="15"/>
        <v>0</v>
      </c>
      <c r="GY81" s="220">
        <f t="shared" si="15"/>
        <v>0</v>
      </c>
      <c r="HO81" s="256"/>
      <c r="HZ81" s="256"/>
    </row>
    <row r="82" spans="1:234" x14ac:dyDescent="0.2">
      <c r="A82" s="89">
        <f>IF('Verwerking Bouwdelen'!A9=2,1,0)</f>
        <v>0</v>
      </c>
      <c r="B82" s="226">
        <f>$A82*'Verwerking Bouwdelen'!CJ9</f>
        <v>0</v>
      </c>
      <c r="C82" s="227">
        <f>$A82*'Verwerking Bouwdelen'!CK9</f>
        <v>0</v>
      </c>
      <c r="D82" s="227">
        <f>$A82*'Verwerking Bouwdelen'!CL9</f>
        <v>0</v>
      </c>
      <c r="E82" s="227">
        <f>$A82*'Verwerking Bouwdelen'!CM9</f>
        <v>0</v>
      </c>
      <c r="F82" s="227">
        <f>$A82*'Verwerking Bouwdelen'!CN9</f>
        <v>0</v>
      </c>
      <c r="G82" s="227">
        <f>$A82*'Verwerking Bouwdelen'!CO9</f>
        <v>0</v>
      </c>
      <c r="H82" s="227">
        <f>$A82*'Verwerking Bouwdelen'!CP9</f>
        <v>0</v>
      </c>
      <c r="I82" s="227">
        <f>$A82*'Verwerking Bouwdelen'!CQ9</f>
        <v>0</v>
      </c>
      <c r="J82" s="227">
        <f>$A82*'Verwerking Bouwdelen'!CR9</f>
        <v>0</v>
      </c>
      <c r="K82" s="227">
        <f>$A82*'Verwerking Bouwdelen'!CS9</f>
        <v>0</v>
      </c>
      <c r="L82" s="227">
        <f>$A82*'Verwerking Bouwdelen'!CT9</f>
        <v>0</v>
      </c>
      <c r="M82" s="228">
        <f>$A82*'Verwerking Bouwdelen'!CU9</f>
        <v>0</v>
      </c>
      <c r="DN82" s="89">
        <f>IF('Verwerking Bouwdelen'!A9=2,1,0)</f>
        <v>0</v>
      </c>
      <c r="DO82" s="223">
        <f>$DN82*'Verwerking Bouwdelen'!FT9</f>
        <v>0</v>
      </c>
      <c r="DP82" s="223">
        <f>$DN82*'Verwerking Bouwdelen'!FU9</f>
        <v>0</v>
      </c>
      <c r="DQ82" s="223">
        <f>$DN82*'Verwerking Bouwdelen'!FV9</f>
        <v>0</v>
      </c>
      <c r="DR82" s="223">
        <f>$DN82*'Verwerking Bouwdelen'!FW9</f>
        <v>0</v>
      </c>
      <c r="DS82" s="223">
        <f>$DN82*'Verwerking Bouwdelen'!FX9</f>
        <v>0</v>
      </c>
      <c r="DT82" s="223">
        <f>$DN82*'Verwerking Bouwdelen'!FY9</f>
        <v>0</v>
      </c>
      <c r="DU82" s="223">
        <f>$DN82*'Verwerking Bouwdelen'!FZ9</f>
        <v>0</v>
      </c>
      <c r="DV82" s="223">
        <f>$DN82*'Verwerking Bouwdelen'!GA9</f>
        <v>0</v>
      </c>
      <c r="DW82" s="223">
        <f>$DN82*'Verwerking Bouwdelen'!GB9</f>
        <v>0</v>
      </c>
      <c r="DX82" s="223">
        <f>$DN82*'Verwerking Bouwdelen'!GC9</f>
        <v>0</v>
      </c>
      <c r="DY82" s="223">
        <f>$DN82*'Verwerking Bouwdelen'!GD9</f>
        <v>0</v>
      </c>
      <c r="DZ82" s="223">
        <f>$DN82*'Verwerking Bouwdelen'!GE9</f>
        <v>0</v>
      </c>
      <c r="EA82" s="89">
        <f>'Verwerking Bouwdelen'!GO9*DN82</f>
        <v>0</v>
      </c>
      <c r="EB82" s="125">
        <f>'Verwerking Bouwdelen'!GP9*DN82</f>
        <v>0</v>
      </c>
      <c r="EC82" s="89">
        <f t="shared" si="16"/>
        <v>0</v>
      </c>
      <c r="GN82" s="220">
        <f t="shared" si="17"/>
        <v>0</v>
      </c>
      <c r="GO82" s="220">
        <f t="shared" si="15"/>
        <v>0</v>
      </c>
      <c r="GP82" s="220">
        <f t="shared" si="15"/>
        <v>0</v>
      </c>
      <c r="GQ82" s="220">
        <f t="shared" si="15"/>
        <v>0</v>
      </c>
      <c r="GR82" s="220">
        <f t="shared" si="15"/>
        <v>0</v>
      </c>
      <c r="GS82" s="220">
        <f t="shared" si="15"/>
        <v>0</v>
      </c>
      <c r="GT82" s="220">
        <f t="shared" si="15"/>
        <v>0</v>
      </c>
      <c r="GU82" s="220">
        <f t="shared" si="15"/>
        <v>0</v>
      </c>
      <c r="GV82" s="220">
        <f t="shared" si="15"/>
        <v>0</v>
      </c>
      <c r="GW82" s="220">
        <f t="shared" si="15"/>
        <v>0</v>
      </c>
      <c r="GX82" s="220">
        <f t="shared" si="15"/>
        <v>0</v>
      </c>
      <c r="GY82" s="220">
        <f t="shared" si="15"/>
        <v>0</v>
      </c>
      <c r="HO82" s="256"/>
      <c r="HZ82" s="256"/>
    </row>
    <row r="83" spans="1:234" x14ac:dyDescent="0.2">
      <c r="A83" s="89">
        <f>IF('Verwerking Bouwdelen'!A10=2,1,0)</f>
        <v>0</v>
      </c>
      <c r="B83" s="226">
        <f>$A83*'Verwerking Bouwdelen'!CJ10</f>
        <v>0</v>
      </c>
      <c r="C83" s="227">
        <f>$A83*'Verwerking Bouwdelen'!CK10</f>
        <v>0</v>
      </c>
      <c r="D83" s="227">
        <f>$A83*'Verwerking Bouwdelen'!CL10</f>
        <v>0</v>
      </c>
      <c r="E83" s="227">
        <f>$A83*'Verwerking Bouwdelen'!CM10</f>
        <v>0</v>
      </c>
      <c r="F83" s="227">
        <f>$A83*'Verwerking Bouwdelen'!CN10</f>
        <v>0</v>
      </c>
      <c r="G83" s="227">
        <f>$A83*'Verwerking Bouwdelen'!CO10</f>
        <v>0</v>
      </c>
      <c r="H83" s="227">
        <f>$A83*'Verwerking Bouwdelen'!CP10</f>
        <v>0</v>
      </c>
      <c r="I83" s="227">
        <f>$A83*'Verwerking Bouwdelen'!CQ10</f>
        <v>0</v>
      </c>
      <c r="J83" s="227">
        <f>$A83*'Verwerking Bouwdelen'!CR10</f>
        <v>0</v>
      </c>
      <c r="K83" s="227">
        <f>$A83*'Verwerking Bouwdelen'!CS10</f>
        <v>0</v>
      </c>
      <c r="L83" s="227">
        <f>$A83*'Verwerking Bouwdelen'!CT10</f>
        <v>0</v>
      </c>
      <c r="M83" s="228">
        <f>$A83*'Verwerking Bouwdelen'!CU10</f>
        <v>0</v>
      </c>
      <c r="DN83" s="89">
        <f>IF('Verwerking Bouwdelen'!A10=2,1,0)</f>
        <v>0</v>
      </c>
      <c r="DO83" s="223">
        <f>$DN83*'Verwerking Bouwdelen'!FT10</f>
        <v>0</v>
      </c>
      <c r="DP83" s="223">
        <f>$DN83*'Verwerking Bouwdelen'!FU10</f>
        <v>0</v>
      </c>
      <c r="DQ83" s="223">
        <f>$DN83*'Verwerking Bouwdelen'!FV10</f>
        <v>0</v>
      </c>
      <c r="DR83" s="223">
        <f>$DN83*'Verwerking Bouwdelen'!FW10</f>
        <v>0</v>
      </c>
      <c r="DS83" s="223">
        <f>$DN83*'Verwerking Bouwdelen'!FX10</f>
        <v>0</v>
      </c>
      <c r="DT83" s="223">
        <f>$DN83*'Verwerking Bouwdelen'!FY10</f>
        <v>0</v>
      </c>
      <c r="DU83" s="223">
        <f>$DN83*'Verwerking Bouwdelen'!FZ10</f>
        <v>0</v>
      </c>
      <c r="DV83" s="223">
        <f>$DN83*'Verwerking Bouwdelen'!GA10</f>
        <v>0</v>
      </c>
      <c r="DW83" s="223">
        <f>$DN83*'Verwerking Bouwdelen'!GB10</f>
        <v>0</v>
      </c>
      <c r="DX83" s="223">
        <f>$DN83*'Verwerking Bouwdelen'!GC10</f>
        <v>0</v>
      </c>
      <c r="DY83" s="223">
        <f>$DN83*'Verwerking Bouwdelen'!GD10</f>
        <v>0</v>
      </c>
      <c r="DZ83" s="223">
        <f>$DN83*'Verwerking Bouwdelen'!GE10</f>
        <v>0</v>
      </c>
      <c r="EA83" s="89">
        <f>'Verwerking Bouwdelen'!GO10*DN83</f>
        <v>0</v>
      </c>
      <c r="EB83" s="125">
        <f>'Verwerking Bouwdelen'!GP10*DN83</f>
        <v>0</v>
      </c>
      <c r="EC83" s="89">
        <f t="shared" si="16"/>
        <v>0</v>
      </c>
      <c r="GN83" s="220">
        <f t="shared" si="17"/>
        <v>0</v>
      </c>
      <c r="GO83" s="220">
        <f t="shared" si="15"/>
        <v>0</v>
      </c>
      <c r="GP83" s="220">
        <f t="shared" si="15"/>
        <v>0</v>
      </c>
      <c r="GQ83" s="220">
        <f t="shared" si="15"/>
        <v>0</v>
      </c>
      <c r="GR83" s="220">
        <f t="shared" si="15"/>
        <v>0</v>
      </c>
      <c r="GS83" s="220">
        <f t="shared" si="15"/>
        <v>0</v>
      </c>
      <c r="GT83" s="220">
        <f t="shared" si="15"/>
        <v>0</v>
      </c>
      <c r="GU83" s="220">
        <f t="shared" si="15"/>
        <v>0</v>
      </c>
      <c r="GV83" s="220">
        <f t="shared" si="15"/>
        <v>0</v>
      </c>
      <c r="GW83" s="220">
        <f t="shared" si="15"/>
        <v>0</v>
      </c>
      <c r="GX83" s="220">
        <f t="shared" si="15"/>
        <v>0</v>
      </c>
      <c r="GY83" s="220">
        <f t="shared" si="15"/>
        <v>0</v>
      </c>
      <c r="HO83" s="256"/>
      <c r="HZ83" s="256"/>
    </row>
    <row r="84" spans="1:234" x14ac:dyDescent="0.2">
      <c r="A84" s="89">
        <f>IF('Verwerking Bouwdelen'!A11=2,1,0)</f>
        <v>0</v>
      </c>
      <c r="B84" s="226">
        <f>$A84*'Verwerking Bouwdelen'!CJ11</f>
        <v>0</v>
      </c>
      <c r="C84" s="227">
        <f>$A84*'Verwerking Bouwdelen'!CK11</f>
        <v>0</v>
      </c>
      <c r="D84" s="227">
        <f>$A84*'Verwerking Bouwdelen'!CL11</f>
        <v>0</v>
      </c>
      <c r="E84" s="227">
        <f>$A84*'Verwerking Bouwdelen'!CM11</f>
        <v>0</v>
      </c>
      <c r="F84" s="227">
        <f>$A84*'Verwerking Bouwdelen'!CN11</f>
        <v>0</v>
      </c>
      <c r="G84" s="227">
        <f>$A84*'Verwerking Bouwdelen'!CO11</f>
        <v>0</v>
      </c>
      <c r="H84" s="227">
        <f>$A84*'Verwerking Bouwdelen'!CP11</f>
        <v>0</v>
      </c>
      <c r="I84" s="227">
        <f>$A84*'Verwerking Bouwdelen'!CQ11</f>
        <v>0</v>
      </c>
      <c r="J84" s="227">
        <f>$A84*'Verwerking Bouwdelen'!CR11</f>
        <v>0</v>
      </c>
      <c r="K84" s="227">
        <f>$A84*'Verwerking Bouwdelen'!CS11</f>
        <v>0</v>
      </c>
      <c r="L84" s="227">
        <f>$A84*'Verwerking Bouwdelen'!CT11</f>
        <v>0</v>
      </c>
      <c r="M84" s="228">
        <f>$A84*'Verwerking Bouwdelen'!CU11</f>
        <v>0</v>
      </c>
      <c r="DN84" s="89">
        <f>IF('Verwerking Bouwdelen'!A11=2,1,0)</f>
        <v>0</v>
      </c>
      <c r="DO84" s="223">
        <f>$DN84*'Verwerking Bouwdelen'!FT11</f>
        <v>0</v>
      </c>
      <c r="DP84" s="223">
        <f>$DN84*'Verwerking Bouwdelen'!FU11</f>
        <v>0</v>
      </c>
      <c r="DQ84" s="223">
        <f>$DN84*'Verwerking Bouwdelen'!FV11</f>
        <v>0</v>
      </c>
      <c r="DR84" s="223">
        <f>$DN84*'Verwerking Bouwdelen'!FW11</f>
        <v>0</v>
      </c>
      <c r="DS84" s="223">
        <f>$DN84*'Verwerking Bouwdelen'!FX11</f>
        <v>0</v>
      </c>
      <c r="DT84" s="223">
        <f>$DN84*'Verwerking Bouwdelen'!FY11</f>
        <v>0</v>
      </c>
      <c r="DU84" s="223">
        <f>$DN84*'Verwerking Bouwdelen'!FZ11</f>
        <v>0</v>
      </c>
      <c r="DV84" s="223">
        <f>$DN84*'Verwerking Bouwdelen'!GA11</f>
        <v>0</v>
      </c>
      <c r="DW84" s="223">
        <f>$DN84*'Verwerking Bouwdelen'!GB11</f>
        <v>0</v>
      </c>
      <c r="DX84" s="223">
        <f>$DN84*'Verwerking Bouwdelen'!GC11</f>
        <v>0</v>
      </c>
      <c r="DY84" s="223">
        <f>$DN84*'Verwerking Bouwdelen'!GD11</f>
        <v>0</v>
      </c>
      <c r="DZ84" s="223">
        <f>$DN84*'Verwerking Bouwdelen'!GE11</f>
        <v>0</v>
      </c>
      <c r="EA84" s="89">
        <f>'Verwerking Bouwdelen'!GO11*DN84</f>
        <v>0</v>
      </c>
      <c r="EB84" s="125">
        <f>'Verwerking Bouwdelen'!GP11*DN84</f>
        <v>0</v>
      </c>
      <c r="EC84" s="89">
        <f t="shared" si="16"/>
        <v>0</v>
      </c>
      <c r="GN84" s="220">
        <f t="shared" si="17"/>
        <v>0</v>
      </c>
      <c r="GO84" s="220">
        <f t="shared" si="15"/>
        <v>0</v>
      </c>
      <c r="GP84" s="220">
        <f t="shared" si="15"/>
        <v>0</v>
      </c>
      <c r="GQ84" s="220">
        <f t="shared" si="15"/>
        <v>0</v>
      </c>
      <c r="GR84" s="220">
        <f t="shared" si="15"/>
        <v>0</v>
      </c>
      <c r="GS84" s="220">
        <f t="shared" si="15"/>
        <v>0</v>
      </c>
      <c r="GT84" s="220">
        <f t="shared" si="15"/>
        <v>0</v>
      </c>
      <c r="GU84" s="220">
        <f t="shared" si="15"/>
        <v>0</v>
      </c>
      <c r="GV84" s="220">
        <f t="shared" si="15"/>
        <v>0</v>
      </c>
      <c r="GW84" s="220">
        <f t="shared" si="15"/>
        <v>0</v>
      </c>
      <c r="GX84" s="220">
        <f t="shared" si="15"/>
        <v>0</v>
      </c>
      <c r="GY84" s="220">
        <f t="shared" si="15"/>
        <v>0</v>
      </c>
      <c r="HO84" s="256"/>
      <c r="HZ84" s="256"/>
    </row>
    <row r="85" spans="1:234" x14ac:dyDescent="0.2">
      <c r="A85" s="89">
        <f>IF('Verwerking Bouwdelen'!A12=2,1,0)</f>
        <v>0</v>
      </c>
      <c r="B85" s="226">
        <f>$A85*'Verwerking Bouwdelen'!CJ12</f>
        <v>0</v>
      </c>
      <c r="C85" s="227">
        <f>$A85*'Verwerking Bouwdelen'!CK12</f>
        <v>0</v>
      </c>
      <c r="D85" s="227">
        <f>$A85*'Verwerking Bouwdelen'!CL12</f>
        <v>0</v>
      </c>
      <c r="E85" s="227">
        <f>$A85*'Verwerking Bouwdelen'!CM12</f>
        <v>0</v>
      </c>
      <c r="F85" s="227">
        <f>$A85*'Verwerking Bouwdelen'!CN12</f>
        <v>0</v>
      </c>
      <c r="G85" s="227">
        <f>$A85*'Verwerking Bouwdelen'!CO12</f>
        <v>0</v>
      </c>
      <c r="H85" s="227">
        <f>$A85*'Verwerking Bouwdelen'!CP12</f>
        <v>0</v>
      </c>
      <c r="I85" s="227">
        <f>$A85*'Verwerking Bouwdelen'!CQ12</f>
        <v>0</v>
      </c>
      <c r="J85" s="227">
        <f>$A85*'Verwerking Bouwdelen'!CR12</f>
        <v>0</v>
      </c>
      <c r="K85" s="227">
        <f>$A85*'Verwerking Bouwdelen'!CS12</f>
        <v>0</v>
      </c>
      <c r="L85" s="227">
        <f>$A85*'Verwerking Bouwdelen'!CT12</f>
        <v>0</v>
      </c>
      <c r="M85" s="228">
        <f>$A85*'Verwerking Bouwdelen'!CU12</f>
        <v>0</v>
      </c>
      <c r="DN85" s="89">
        <f>IF('Verwerking Bouwdelen'!A12=2,1,0)</f>
        <v>0</v>
      </c>
      <c r="DO85" s="223">
        <f>$DN85*'Verwerking Bouwdelen'!FT12</f>
        <v>0</v>
      </c>
      <c r="DP85" s="223">
        <f>$DN85*'Verwerking Bouwdelen'!FU12</f>
        <v>0</v>
      </c>
      <c r="DQ85" s="223">
        <f>$DN85*'Verwerking Bouwdelen'!FV12</f>
        <v>0</v>
      </c>
      <c r="DR85" s="223">
        <f>$DN85*'Verwerking Bouwdelen'!FW12</f>
        <v>0</v>
      </c>
      <c r="DS85" s="223">
        <f>$DN85*'Verwerking Bouwdelen'!FX12</f>
        <v>0</v>
      </c>
      <c r="DT85" s="223">
        <f>$DN85*'Verwerking Bouwdelen'!FY12</f>
        <v>0</v>
      </c>
      <c r="DU85" s="223">
        <f>$DN85*'Verwerking Bouwdelen'!FZ12</f>
        <v>0</v>
      </c>
      <c r="DV85" s="223">
        <f>$DN85*'Verwerking Bouwdelen'!GA12</f>
        <v>0</v>
      </c>
      <c r="DW85" s="223">
        <f>$DN85*'Verwerking Bouwdelen'!GB12</f>
        <v>0</v>
      </c>
      <c r="DX85" s="223">
        <f>$DN85*'Verwerking Bouwdelen'!GC12</f>
        <v>0</v>
      </c>
      <c r="DY85" s="223">
        <f>$DN85*'Verwerking Bouwdelen'!GD12</f>
        <v>0</v>
      </c>
      <c r="DZ85" s="223">
        <f>$DN85*'Verwerking Bouwdelen'!GE12</f>
        <v>0</v>
      </c>
      <c r="EA85" s="89">
        <f>'Verwerking Bouwdelen'!GO12*DN85</f>
        <v>0</v>
      </c>
      <c r="EB85" s="125">
        <f>'Verwerking Bouwdelen'!GP12*DN85</f>
        <v>0</v>
      </c>
      <c r="EC85" s="89">
        <f t="shared" si="16"/>
        <v>0</v>
      </c>
      <c r="GN85" s="220">
        <f t="shared" si="17"/>
        <v>0</v>
      </c>
      <c r="GO85" s="220">
        <f t="shared" si="15"/>
        <v>0</v>
      </c>
      <c r="GP85" s="220">
        <f t="shared" si="15"/>
        <v>0</v>
      </c>
      <c r="GQ85" s="220">
        <f t="shared" si="15"/>
        <v>0</v>
      </c>
      <c r="GR85" s="220">
        <f t="shared" si="15"/>
        <v>0</v>
      </c>
      <c r="GS85" s="220">
        <f t="shared" si="15"/>
        <v>0</v>
      </c>
      <c r="GT85" s="220">
        <f t="shared" si="15"/>
        <v>0</v>
      </c>
      <c r="GU85" s="220">
        <f t="shared" si="15"/>
        <v>0</v>
      </c>
      <c r="GV85" s="220">
        <f t="shared" si="15"/>
        <v>0</v>
      </c>
      <c r="GW85" s="220">
        <f t="shared" si="15"/>
        <v>0</v>
      </c>
      <c r="GX85" s="220">
        <f t="shared" si="15"/>
        <v>0</v>
      </c>
      <c r="GY85" s="220">
        <f t="shared" si="15"/>
        <v>0</v>
      </c>
      <c r="HO85" s="256"/>
      <c r="HZ85" s="256"/>
    </row>
    <row r="86" spans="1:234" x14ac:dyDescent="0.2">
      <c r="A86" s="89">
        <f>IF('Verwerking Bouwdelen'!A13=2,1,0)</f>
        <v>0</v>
      </c>
      <c r="B86" s="226">
        <f>$A86*'Verwerking Bouwdelen'!CJ13</f>
        <v>0</v>
      </c>
      <c r="C86" s="227">
        <f>$A86*'Verwerking Bouwdelen'!CK13</f>
        <v>0</v>
      </c>
      <c r="D86" s="227">
        <f>$A86*'Verwerking Bouwdelen'!CL13</f>
        <v>0</v>
      </c>
      <c r="E86" s="227">
        <f>$A86*'Verwerking Bouwdelen'!CM13</f>
        <v>0</v>
      </c>
      <c r="F86" s="227">
        <f>$A86*'Verwerking Bouwdelen'!CN13</f>
        <v>0</v>
      </c>
      <c r="G86" s="227">
        <f>$A86*'Verwerking Bouwdelen'!CO13</f>
        <v>0</v>
      </c>
      <c r="H86" s="227">
        <f>$A86*'Verwerking Bouwdelen'!CP13</f>
        <v>0</v>
      </c>
      <c r="I86" s="227">
        <f>$A86*'Verwerking Bouwdelen'!CQ13</f>
        <v>0</v>
      </c>
      <c r="J86" s="227">
        <f>$A86*'Verwerking Bouwdelen'!CR13</f>
        <v>0</v>
      </c>
      <c r="K86" s="227">
        <f>$A86*'Verwerking Bouwdelen'!CS13</f>
        <v>0</v>
      </c>
      <c r="L86" s="227">
        <f>$A86*'Verwerking Bouwdelen'!CT13</f>
        <v>0</v>
      </c>
      <c r="M86" s="228">
        <f>$A86*'Verwerking Bouwdelen'!CU13</f>
        <v>0</v>
      </c>
      <c r="DN86" s="89">
        <f>IF('Verwerking Bouwdelen'!A13=2,1,0)</f>
        <v>0</v>
      </c>
      <c r="DO86" s="223">
        <f>$DN86*'Verwerking Bouwdelen'!FT13</f>
        <v>0</v>
      </c>
      <c r="DP86" s="223">
        <f>$DN86*'Verwerking Bouwdelen'!FU13</f>
        <v>0</v>
      </c>
      <c r="DQ86" s="223">
        <f>$DN86*'Verwerking Bouwdelen'!FV13</f>
        <v>0</v>
      </c>
      <c r="DR86" s="223">
        <f>$DN86*'Verwerking Bouwdelen'!FW13</f>
        <v>0</v>
      </c>
      <c r="DS86" s="223">
        <f>$DN86*'Verwerking Bouwdelen'!FX13</f>
        <v>0</v>
      </c>
      <c r="DT86" s="223">
        <f>$DN86*'Verwerking Bouwdelen'!FY13</f>
        <v>0</v>
      </c>
      <c r="DU86" s="223">
        <f>$DN86*'Verwerking Bouwdelen'!FZ13</f>
        <v>0</v>
      </c>
      <c r="DV86" s="223">
        <f>$DN86*'Verwerking Bouwdelen'!GA13</f>
        <v>0</v>
      </c>
      <c r="DW86" s="223">
        <f>$DN86*'Verwerking Bouwdelen'!GB13</f>
        <v>0</v>
      </c>
      <c r="DX86" s="223">
        <f>$DN86*'Verwerking Bouwdelen'!GC13</f>
        <v>0</v>
      </c>
      <c r="DY86" s="223">
        <f>$DN86*'Verwerking Bouwdelen'!GD13</f>
        <v>0</v>
      </c>
      <c r="DZ86" s="223">
        <f>$DN86*'Verwerking Bouwdelen'!GE13</f>
        <v>0</v>
      </c>
      <c r="EA86" s="89">
        <f>'Verwerking Bouwdelen'!GO13*DN86</f>
        <v>0</v>
      </c>
      <c r="EB86" s="125">
        <f>'Verwerking Bouwdelen'!GP13*DN86</f>
        <v>0</v>
      </c>
      <c r="EC86" s="89">
        <f t="shared" si="16"/>
        <v>0</v>
      </c>
      <c r="GN86" s="220">
        <f t="shared" si="17"/>
        <v>0</v>
      </c>
      <c r="GO86" s="220">
        <f t="shared" si="15"/>
        <v>0</v>
      </c>
      <c r="GP86" s="220">
        <f t="shared" si="15"/>
        <v>0</v>
      </c>
      <c r="GQ86" s="220">
        <f t="shared" si="15"/>
        <v>0</v>
      </c>
      <c r="GR86" s="220">
        <f t="shared" si="15"/>
        <v>0</v>
      </c>
      <c r="GS86" s="220">
        <f t="shared" si="15"/>
        <v>0</v>
      </c>
      <c r="GT86" s="220">
        <f t="shared" si="15"/>
        <v>0</v>
      </c>
      <c r="GU86" s="220">
        <f t="shared" si="15"/>
        <v>0</v>
      </c>
      <c r="GV86" s="220">
        <f t="shared" si="15"/>
        <v>0</v>
      </c>
      <c r="GW86" s="220">
        <f t="shared" si="15"/>
        <v>0</v>
      </c>
      <c r="GX86" s="220">
        <f t="shared" si="15"/>
        <v>0</v>
      </c>
      <c r="GY86" s="220">
        <f t="shared" si="15"/>
        <v>0</v>
      </c>
      <c r="HO86" s="256"/>
      <c r="HZ86" s="256"/>
    </row>
    <row r="87" spans="1:234" x14ac:dyDescent="0.2">
      <c r="A87" s="89">
        <f>IF('Verwerking Bouwdelen'!A14=2,1,0)</f>
        <v>0</v>
      </c>
      <c r="B87" s="226">
        <f>$A87*'Verwerking Bouwdelen'!CJ14</f>
        <v>0</v>
      </c>
      <c r="C87" s="227">
        <f>$A87*'Verwerking Bouwdelen'!CK14</f>
        <v>0</v>
      </c>
      <c r="D87" s="227">
        <f>$A87*'Verwerking Bouwdelen'!CL14</f>
        <v>0</v>
      </c>
      <c r="E87" s="227">
        <f>$A87*'Verwerking Bouwdelen'!CM14</f>
        <v>0</v>
      </c>
      <c r="F87" s="227">
        <f>$A87*'Verwerking Bouwdelen'!CN14</f>
        <v>0</v>
      </c>
      <c r="G87" s="227">
        <f>$A87*'Verwerking Bouwdelen'!CO14</f>
        <v>0</v>
      </c>
      <c r="H87" s="227">
        <f>$A87*'Verwerking Bouwdelen'!CP14</f>
        <v>0</v>
      </c>
      <c r="I87" s="227">
        <f>$A87*'Verwerking Bouwdelen'!CQ14</f>
        <v>0</v>
      </c>
      <c r="J87" s="227">
        <f>$A87*'Verwerking Bouwdelen'!CR14</f>
        <v>0</v>
      </c>
      <c r="K87" s="227">
        <f>$A87*'Verwerking Bouwdelen'!CS14</f>
        <v>0</v>
      </c>
      <c r="L87" s="227">
        <f>$A87*'Verwerking Bouwdelen'!CT14</f>
        <v>0</v>
      </c>
      <c r="M87" s="228">
        <f>$A87*'Verwerking Bouwdelen'!CU14</f>
        <v>0</v>
      </c>
      <c r="DN87" s="89">
        <f>IF('Verwerking Bouwdelen'!A14=2,1,0)</f>
        <v>0</v>
      </c>
      <c r="DO87" s="223">
        <f>$DN87*'Verwerking Bouwdelen'!FT14</f>
        <v>0</v>
      </c>
      <c r="DP87" s="223">
        <f>$DN87*'Verwerking Bouwdelen'!FU14</f>
        <v>0</v>
      </c>
      <c r="DQ87" s="223">
        <f>$DN87*'Verwerking Bouwdelen'!FV14</f>
        <v>0</v>
      </c>
      <c r="DR87" s="223">
        <f>$DN87*'Verwerking Bouwdelen'!FW14</f>
        <v>0</v>
      </c>
      <c r="DS87" s="223">
        <f>$DN87*'Verwerking Bouwdelen'!FX14</f>
        <v>0</v>
      </c>
      <c r="DT87" s="223">
        <f>$DN87*'Verwerking Bouwdelen'!FY14</f>
        <v>0</v>
      </c>
      <c r="DU87" s="223">
        <f>$DN87*'Verwerking Bouwdelen'!FZ14</f>
        <v>0</v>
      </c>
      <c r="DV87" s="223">
        <f>$DN87*'Verwerking Bouwdelen'!GA14</f>
        <v>0</v>
      </c>
      <c r="DW87" s="223">
        <f>$DN87*'Verwerking Bouwdelen'!GB14</f>
        <v>0</v>
      </c>
      <c r="DX87" s="223">
        <f>$DN87*'Verwerking Bouwdelen'!GC14</f>
        <v>0</v>
      </c>
      <c r="DY87" s="223">
        <f>$DN87*'Verwerking Bouwdelen'!GD14</f>
        <v>0</v>
      </c>
      <c r="DZ87" s="223">
        <f>$DN87*'Verwerking Bouwdelen'!GE14</f>
        <v>0</v>
      </c>
      <c r="EA87" s="89">
        <f>'Verwerking Bouwdelen'!GO14*DN87</f>
        <v>0</v>
      </c>
      <c r="EB87" s="125">
        <f>'Verwerking Bouwdelen'!GP14*DN87</f>
        <v>0</v>
      </c>
      <c r="EC87" s="89">
        <f t="shared" si="16"/>
        <v>0</v>
      </c>
      <c r="GN87" s="220">
        <f t="shared" si="17"/>
        <v>0</v>
      </c>
      <c r="GO87" s="220">
        <f t="shared" si="15"/>
        <v>0</v>
      </c>
      <c r="GP87" s="220">
        <f t="shared" si="15"/>
        <v>0</v>
      </c>
      <c r="GQ87" s="220">
        <f t="shared" si="15"/>
        <v>0</v>
      </c>
      <c r="GR87" s="220">
        <f t="shared" si="15"/>
        <v>0</v>
      </c>
      <c r="GS87" s="220">
        <f t="shared" si="15"/>
        <v>0</v>
      </c>
      <c r="GT87" s="220">
        <f t="shared" si="15"/>
        <v>0</v>
      </c>
      <c r="GU87" s="220">
        <f t="shared" si="15"/>
        <v>0</v>
      </c>
      <c r="GV87" s="220">
        <f t="shared" si="15"/>
        <v>0</v>
      </c>
      <c r="GW87" s="220">
        <f t="shared" si="15"/>
        <v>0</v>
      </c>
      <c r="GX87" s="220">
        <f t="shared" si="15"/>
        <v>0</v>
      </c>
      <c r="GY87" s="220">
        <f t="shared" si="15"/>
        <v>0</v>
      </c>
      <c r="HO87" s="256"/>
      <c r="HZ87" s="256"/>
    </row>
    <row r="88" spans="1:234" x14ac:dyDescent="0.2">
      <c r="A88" s="89">
        <f>IF('Verwerking Bouwdelen'!A15=2,1,0)</f>
        <v>0</v>
      </c>
      <c r="B88" s="226">
        <f>$A88*'Verwerking Bouwdelen'!CJ15</f>
        <v>0</v>
      </c>
      <c r="C88" s="227">
        <f>$A88*'Verwerking Bouwdelen'!CK15</f>
        <v>0</v>
      </c>
      <c r="D88" s="227">
        <f>$A88*'Verwerking Bouwdelen'!CL15</f>
        <v>0</v>
      </c>
      <c r="E88" s="227">
        <f>$A88*'Verwerking Bouwdelen'!CM15</f>
        <v>0</v>
      </c>
      <c r="F88" s="227">
        <f>$A88*'Verwerking Bouwdelen'!CN15</f>
        <v>0</v>
      </c>
      <c r="G88" s="227">
        <f>$A88*'Verwerking Bouwdelen'!CO15</f>
        <v>0</v>
      </c>
      <c r="H88" s="227">
        <f>$A88*'Verwerking Bouwdelen'!CP15</f>
        <v>0</v>
      </c>
      <c r="I88" s="227">
        <f>$A88*'Verwerking Bouwdelen'!CQ15</f>
        <v>0</v>
      </c>
      <c r="J88" s="227">
        <f>$A88*'Verwerking Bouwdelen'!CR15</f>
        <v>0</v>
      </c>
      <c r="K88" s="227">
        <f>$A88*'Verwerking Bouwdelen'!CS15</f>
        <v>0</v>
      </c>
      <c r="L88" s="227">
        <f>$A88*'Verwerking Bouwdelen'!CT15</f>
        <v>0</v>
      </c>
      <c r="M88" s="228">
        <f>$A88*'Verwerking Bouwdelen'!CU15</f>
        <v>0</v>
      </c>
      <c r="DN88" s="89">
        <f>IF('Verwerking Bouwdelen'!A15=2,1,0)</f>
        <v>0</v>
      </c>
      <c r="DO88" s="223">
        <f>$DN88*'Verwerking Bouwdelen'!FT15</f>
        <v>0</v>
      </c>
      <c r="DP88" s="223">
        <f>$DN88*'Verwerking Bouwdelen'!FU15</f>
        <v>0</v>
      </c>
      <c r="DQ88" s="223">
        <f>$DN88*'Verwerking Bouwdelen'!FV15</f>
        <v>0</v>
      </c>
      <c r="DR88" s="223">
        <f>$DN88*'Verwerking Bouwdelen'!FW15</f>
        <v>0</v>
      </c>
      <c r="DS88" s="223">
        <f>$DN88*'Verwerking Bouwdelen'!FX15</f>
        <v>0</v>
      </c>
      <c r="DT88" s="223">
        <f>$DN88*'Verwerking Bouwdelen'!FY15</f>
        <v>0</v>
      </c>
      <c r="DU88" s="223">
        <f>$DN88*'Verwerking Bouwdelen'!FZ15</f>
        <v>0</v>
      </c>
      <c r="DV88" s="223">
        <f>$DN88*'Verwerking Bouwdelen'!GA15</f>
        <v>0</v>
      </c>
      <c r="DW88" s="223">
        <f>$DN88*'Verwerking Bouwdelen'!GB15</f>
        <v>0</v>
      </c>
      <c r="DX88" s="223">
        <f>$DN88*'Verwerking Bouwdelen'!GC15</f>
        <v>0</v>
      </c>
      <c r="DY88" s="223">
        <f>$DN88*'Verwerking Bouwdelen'!GD15</f>
        <v>0</v>
      </c>
      <c r="DZ88" s="223">
        <f>$DN88*'Verwerking Bouwdelen'!GE15</f>
        <v>0</v>
      </c>
      <c r="EA88" s="89">
        <f>'Verwerking Bouwdelen'!GO15*DN88</f>
        <v>0</v>
      </c>
      <c r="EB88" s="125">
        <f>'Verwerking Bouwdelen'!GP15*DN88</f>
        <v>0</v>
      </c>
      <c r="EC88" s="89">
        <f t="shared" si="16"/>
        <v>0</v>
      </c>
      <c r="GN88" s="220">
        <f t="shared" si="17"/>
        <v>0</v>
      </c>
      <c r="GO88" s="220">
        <f t="shared" si="15"/>
        <v>0</v>
      </c>
      <c r="GP88" s="220">
        <f t="shared" si="15"/>
        <v>0</v>
      </c>
      <c r="GQ88" s="220">
        <f t="shared" si="15"/>
        <v>0</v>
      </c>
      <c r="GR88" s="220">
        <f t="shared" si="15"/>
        <v>0</v>
      </c>
      <c r="GS88" s="220">
        <f t="shared" si="15"/>
        <v>0</v>
      </c>
      <c r="GT88" s="220">
        <f t="shared" si="15"/>
        <v>0</v>
      </c>
      <c r="GU88" s="220">
        <f t="shared" si="15"/>
        <v>0</v>
      </c>
      <c r="GV88" s="220">
        <f t="shared" si="15"/>
        <v>0</v>
      </c>
      <c r="GW88" s="220">
        <f t="shared" si="15"/>
        <v>0</v>
      </c>
      <c r="GX88" s="220">
        <f t="shared" si="15"/>
        <v>0</v>
      </c>
      <c r="GY88" s="220">
        <f t="shared" si="15"/>
        <v>0</v>
      </c>
      <c r="HO88" s="256"/>
      <c r="HZ88" s="256"/>
    </row>
    <row r="89" spans="1:234" x14ac:dyDescent="0.2">
      <c r="A89" s="89">
        <f>IF('Verwerking Bouwdelen'!A16=2,1,0)</f>
        <v>0</v>
      </c>
      <c r="B89" s="226">
        <f>$A89*'Verwerking Bouwdelen'!CJ16</f>
        <v>0</v>
      </c>
      <c r="C89" s="227">
        <f>$A89*'Verwerking Bouwdelen'!CK16</f>
        <v>0</v>
      </c>
      <c r="D89" s="227">
        <f>$A89*'Verwerking Bouwdelen'!CL16</f>
        <v>0</v>
      </c>
      <c r="E89" s="227">
        <f>$A89*'Verwerking Bouwdelen'!CM16</f>
        <v>0</v>
      </c>
      <c r="F89" s="227">
        <f>$A89*'Verwerking Bouwdelen'!CN16</f>
        <v>0</v>
      </c>
      <c r="G89" s="227">
        <f>$A89*'Verwerking Bouwdelen'!CO16</f>
        <v>0</v>
      </c>
      <c r="H89" s="227">
        <f>$A89*'Verwerking Bouwdelen'!CP16</f>
        <v>0</v>
      </c>
      <c r="I89" s="227">
        <f>$A89*'Verwerking Bouwdelen'!CQ16</f>
        <v>0</v>
      </c>
      <c r="J89" s="227">
        <f>$A89*'Verwerking Bouwdelen'!CR16</f>
        <v>0</v>
      </c>
      <c r="K89" s="227">
        <f>$A89*'Verwerking Bouwdelen'!CS16</f>
        <v>0</v>
      </c>
      <c r="L89" s="227">
        <f>$A89*'Verwerking Bouwdelen'!CT16</f>
        <v>0</v>
      </c>
      <c r="M89" s="228">
        <f>$A89*'Verwerking Bouwdelen'!CU16</f>
        <v>0</v>
      </c>
      <c r="DN89" s="89">
        <f>IF('Verwerking Bouwdelen'!A16=2,1,0)</f>
        <v>0</v>
      </c>
      <c r="DO89" s="223">
        <f>$DN89*'Verwerking Bouwdelen'!FT16</f>
        <v>0</v>
      </c>
      <c r="DP89" s="223">
        <f>$DN89*'Verwerking Bouwdelen'!FU16</f>
        <v>0</v>
      </c>
      <c r="DQ89" s="223">
        <f>$DN89*'Verwerking Bouwdelen'!FV16</f>
        <v>0</v>
      </c>
      <c r="DR89" s="223">
        <f>$DN89*'Verwerking Bouwdelen'!FW16</f>
        <v>0</v>
      </c>
      <c r="DS89" s="223">
        <f>$DN89*'Verwerking Bouwdelen'!FX16</f>
        <v>0</v>
      </c>
      <c r="DT89" s="223">
        <f>$DN89*'Verwerking Bouwdelen'!FY16</f>
        <v>0</v>
      </c>
      <c r="DU89" s="223">
        <f>$DN89*'Verwerking Bouwdelen'!FZ16</f>
        <v>0</v>
      </c>
      <c r="DV89" s="223">
        <f>$DN89*'Verwerking Bouwdelen'!GA16</f>
        <v>0</v>
      </c>
      <c r="DW89" s="223">
        <f>$DN89*'Verwerking Bouwdelen'!GB16</f>
        <v>0</v>
      </c>
      <c r="DX89" s="223">
        <f>$DN89*'Verwerking Bouwdelen'!GC16</f>
        <v>0</v>
      </c>
      <c r="DY89" s="223">
        <f>$DN89*'Verwerking Bouwdelen'!GD16</f>
        <v>0</v>
      </c>
      <c r="DZ89" s="223">
        <f>$DN89*'Verwerking Bouwdelen'!GE16</f>
        <v>0</v>
      </c>
      <c r="EA89" s="89">
        <f>'Verwerking Bouwdelen'!GO16*DN89</f>
        <v>0</v>
      </c>
      <c r="EB89" s="125">
        <f>'Verwerking Bouwdelen'!GP16*DN89</f>
        <v>0</v>
      </c>
      <c r="EC89" s="89">
        <f t="shared" si="16"/>
        <v>0</v>
      </c>
      <c r="GN89" s="220">
        <f t="shared" si="17"/>
        <v>0</v>
      </c>
      <c r="GO89" s="220">
        <f t="shared" si="15"/>
        <v>0</v>
      </c>
      <c r="GP89" s="220">
        <f t="shared" si="15"/>
        <v>0</v>
      </c>
      <c r="GQ89" s="220">
        <f t="shared" si="15"/>
        <v>0</v>
      </c>
      <c r="GR89" s="220">
        <f t="shared" si="15"/>
        <v>0</v>
      </c>
      <c r="GS89" s="220">
        <f t="shared" si="15"/>
        <v>0</v>
      </c>
      <c r="GT89" s="220">
        <f t="shared" si="15"/>
        <v>0</v>
      </c>
      <c r="GU89" s="220">
        <f t="shared" si="15"/>
        <v>0</v>
      </c>
      <c r="GV89" s="220">
        <f t="shared" si="15"/>
        <v>0</v>
      </c>
      <c r="GW89" s="220">
        <f t="shared" si="15"/>
        <v>0</v>
      </c>
      <c r="GX89" s="220">
        <f t="shared" si="15"/>
        <v>0</v>
      </c>
      <c r="GY89" s="220">
        <f t="shared" si="15"/>
        <v>0</v>
      </c>
      <c r="HO89" s="256"/>
      <c r="HZ89" s="256"/>
    </row>
    <row r="90" spans="1:234" x14ac:dyDescent="0.2">
      <c r="A90" s="89">
        <f>IF('Verwerking Bouwdelen'!A17=2,1,0)</f>
        <v>0</v>
      </c>
      <c r="B90" s="226">
        <f>$A90*'Verwerking Bouwdelen'!CJ17</f>
        <v>0</v>
      </c>
      <c r="C90" s="227">
        <f>$A90*'Verwerking Bouwdelen'!CK17</f>
        <v>0</v>
      </c>
      <c r="D90" s="227">
        <f>$A90*'Verwerking Bouwdelen'!CL17</f>
        <v>0</v>
      </c>
      <c r="E90" s="227">
        <f>$A90*'Verwerking Bouwdelen'!CM17</f>
        <v>0</v>
      </c>
      <c r="F90" s="227">
        <f>$A90*'Verwerking Bouwdelen'!CN17</f>
        <v>0</v>
      </c>
      <c r="G90" s="227">
        <f>$A90*'Verwerking Bouwdelen'!CO17</f>
        <v>0</v>
      </c>
      <c r="H90" s="227">
        <f>$A90*'Verwerking Bouwdelen'!CP17</f>
        <v>0</v>
      </c>
      <c r="I90" s="227">
        <f>$A90*'Verwerking Bouwdelen'!CQ17</f>
        <v>0</v>
      </c>
      <c r="J90" s="227">
        <f>$A90*'Verwerking Bouwdelen'!CR17</f>
        <v>0</v>
      </c>
      <c r="K90" s="227">
        <f>$A90*'Verwerking Bouwdelen'!CS17</f>
        <v>0</v>
      </c>
      <c r="L90" s="227">
        <f>$A90*'Verwerking Bouwdelen'!CT17</f>
        <v>0</v>
      </c>
      <c r="M90" s="228">
        <f>$A90*'Verwerking Bouwdelen'!CU17</f>
        <v>0</v>
      </c>
      <c r="DN90" s="89">
        <f>IF('Verwerking Bouwdelen'!A17=2,1,0)</f>
        <v>0</v>
      </c>
      <c r="DO90" s="223">
        <f>$DN90*'Verwerking Bouwdelen'!FT17</f>
        <v>0</v>
      </c>
      <c r="DP90" s="223">
        <f>$DN90*'Verwerking Bouwdelen'!FU17</f>
        <v>0</v>
      </c>
      <c r="DQ90" s="223">
        <f>$DN90*'Verwerking Bouwdelen'!FV17</f>
        <v>0</v>
      </c>
      <c r="DR90" s="223">
        <f>$DN90*'Verwerking Bouwdelen'!FW17</f>
        <v>0</v>
      </c>
      <c r="DS90" s="223">
        <f>$DN90*'Verwerking Bouwdelen'!FX17</f>
        <v>0</v>
      </c>
      <c r="DT90" s="223">
        <f>$DN90*'Verwerking Bouwdelen'!FY17</f>
        <v>0</v>
      </c>
      <c r="DU90" s="223">
        <f>$DN90*'Verwerking Bouwdelen'!FZ17</f>
        <v>0</v>
      </c>
      <c r="DV90" s="223">
        <f>$DN90*'Verwerking Bouwdelen'!GA17</f>
        <v>0</v>
      </c>
      <c r="DW90" s="223">
        <f>$DN90*'Verwerking Bouwdelen'!GB17</f>
        <v>0</v>
      </c>
      <c r="DX90" s="223">
        <f>$DN90*'Verwerking Bouwdelen'!GC17</f>
        <v>0</v>
      </c>
      <c r="DY90" s="223">
        <f>$DN90*'Verwerking Bouwdelen'!GD17</f>
        <v>0</v>
      </c>
      <c r="DZ90" s="223">
        <f>$DN90*'Verwerking Bouwdelen'!GE17</f>
        <v>0</v>
      </c>
      <c r="EA90" s="89">
        <f>'Verwerking Bouwdelen'!GO17*DN90</f>
        <v>0</v>
      </c>
      <c r="EB90" s="125">
        <f>'Verwerking Bouwdelen'!GP17*DN90</f>
        <v>0</v>
      </c>
      <c r="EC90" s="89">
        <f t="shared" si="16"/>
        <v>0</v>
      </c>
      <c r="GN90" s="220">
        <f t="shared" si="17"/>
        <v>0</v>
      </c>
      <c r="GO90" s="220">
        <f t="shared" si="15"/>
        <v>0</v>
      </c>
      <c r="GP90" s="220">
        <f t="shared" si="15"/>
        <v>0</v>
      </c>
      <c r="GQ90" s="220">
        <f t="shared" si="15"/>
        <v>0</v>
      </c>
      <c r="GR90" s="220">
        <f t="shared" si="15"/>
        <v>0</v>
      </c>
      <c r="GS90" s="220">
        <f t="shared" si="15"/>
        <v>0</v>
      </c>
      <c r="GT90" s="220">
        <f t="shared" si="15"/>
        <v>0</v>
      </c>
      <c r="GU90" s="220">
        <f t="shared" si="15"/>
        <v>0</v>
      </c>
      <c r="GV90" s="220">
        <f t="shared" si="15"/>
        <v>0</v>
      </c>
      <c r="GW90" s="220">
        <f t="shared" si="15"/>
        <v>0</v>
      </c>
      <c r="GX90" s="220">
        <f t="shared" si="15"/>
        <v>0</v>
      </c>
      <c r="GY90" s="220">
        <f t="shared" si="15"/>
        <v>0</v>
      </c>
      <c r="HO90" s="256"/>
      <c r="HZ90" s="256"/>
    </row>
    <row r="91" spans="1:234" x14ac:dyDescent="0.2">
      <c r="A91" s="89">
        <f>IF('Verwerking Bouwdelen'!A18=2,1,0)</f>
        <v>0</v>
      </c>
      <c r="B91" s="226">
        <f>$A91*'Verwerking Bouwdelen'!CJ18</f>
        <v>0</v>
      </c>
      <c r="C91" s="227">
        <f>$A91*'Verwerking Bouwdelen'!CK18</f>
        <v>0</v>
      </c>
      <c r="D91" s="227">
        <f>$A91*'Verwerking Bouwdelen'!CL18</f>
        <v>0</v>
      </c>
      <c r="E91" s="227">
        <f>$A91*'Verwerking Bouwdelen'!CM18</f>
        <v>0</v>
      </c>
      <c r="F91" s="227">
        <f>$A91*'Verwerking Bouwdelen'!CN18</f>
        <v>0</v>
      </c>
      <c r="G91" s="227">
        <f>$A91*'Verwerking Bouwdelen'!CO18</f>
        <v>0</v>
      </c>
      <c r="H91" s="227">
        <f>$A91*'Verwerking Bouwdelen'!CP18</f>
        <v>0</v>
      </c>
      <c r="I91" s="227">
        <f>$A91*'Verwerking Bouwdelen'!CQ18</f>
        <v>0</v>
      </c>
      <c r="J91" s="227">
        <f>$A91*'Verwerking Bouwdelen'!CR18</f>
        <v>0</v>
      </c>
      <c r="K91" s="227">
        <f>$A91*'Verwerking Bouwdelen'!CS18</f>
        <v>0</v>
      </c>
      <c r="L91" s="227">
        <f>$A91*'Verwerking Bouwdelen'!CT18</f>
        <v>0</v>
      </c>
      <c r="M91" s="228">
        <f>$A91*'Verwerking Bouwdelen'!CU18</f>
        <v>0</v>
      </c>
      <c r="DN91" s="89">
        <f>IF('Verwerking Bouwdelen'!A18=2,1,0)</f>
        <v>0</v>
      </c>
      <c r="DO91" s="223">
        <f>$DN91*'Verwerking Bouwdelen'!FT18</f>
        <v>0</v>
      </c>
      <c r="DP91" s="223">
        <f>$DN91*'Verwerking Bouwdelen'!FU18</f>
        <v>0</v>
      </c>
      <c r="DQ91" s="223">
        <f>$DN91*'Verwerking Bouwdelen'!FV18</f>
        <v>0</v>
      </c>
      <c r="DR91" s="223">
        <f>$DN91*'Verwerking Bouwdelen'!FW18</f>
        <v>0</v>
      </c>
      <c r="DS91" s="223">
        <f>$DN91*'Verwerking Bouwdelen'!FX18</f>
        <v>0</v>
      </c>
      <c r="DT91" s="223">
        <f>$DN91*'Verwerking Bouwdelen'!FY18</f>
        <v>0</v>
      </c>
      <c r="DU91" s="223">
        <f>$DN91*'Verwerking Bouwdelen'!FZ18</f>
        <v>0</v>
      </c>
      <c r="DV91" s="223">
        <f>$DN91*'Verwerking Bouwdelen'!GA18</f>
        <v>0</v>
      </c>
      <c r="DW91" s="223">
        <f>$DN91*'Verwerking Bouwdelen'!GB18</f>
        <v>0</v>
      </c>
      <c r="DX91" s="223">
        <f>$DN91*'Verwerking Bouwdelen'!GC18</f>
        <v>0</v>
      </c>
      <c r="DY91" s="223">
        <f>$DN91*'Verwerking Bouwdelen'!GD18</f>
        <v>0</v>
      </c>
      <c r="DZ91" s="223">
        <f>$DN91*'Verwerking Bouwdelen'!GE18</f>
        <v>0</v>
      </c>
      <c r="EA91" s="89">
        <f>'Verwerking Bouwdelen'!GO18*DN91</f>
        <v>0</v>
      </c>
      <c r="EB91" s="125">
        <f>'Verwerking Bouwdelen'!GP18*DN91</f>
        <v>0</v>
      </c>
      <c r="EC91" s="89">
        <f t="shared" si="16"/>
        <v>0</v>
      </c>
      <c r="GN91" s="220">
        <f t="shared" si="17"/>
        <v>0</v>
      </c>
      <c r="GO91" s="220">
        <f t="shared" si="15"/>
        <v>0</v>
      </c>
      <c r="GP91" s="220">
        <f t="shared" si="15"/>
        <v>0</v>
      </c>
      <c r="GQ91" s="220">
        <f t="shared" si="15"/>
        <v>0</v>
      </c>
      <c r="GR91" s="220">
        <f t="shared" si="15"/>
        <v>0</v>
      </c>
      <c r="GS91" s="220">
        <f t="shared" si="15"/>
        <v>0</v>
      </c>
      <c r="GT91" s="220">
        <f t="shared" si="15"/>
        <v>0</v>
      </c>
      <c r="GU91" s="220">
        <f t="shared" si="15"/>
        <v>0</v>
      </c>
      <c r="GV91" s="220">
        <f t="shared" si="15"/>
        <v>0</v>
      </c>
      <c r="GW91" s="220">
        <f t="shared" si="15"/>
        <v>0</v>
      </c>
      <c r="GX91" s="220">
        <f t="shared" si="15"/>
        <v>0</v>
      </c>
      <c r="GY91" s="220">
        <f t="shared" si="15"/>
        <v>0</v>
      </c>
      <c r="HO91" s="256"/>
      <c r="HZ91" s="256"/>
    </row>
    <row r="92" spans="1:234" x14ac:dyDescent="0.2">
      <c r="A92" s="89">
        <f>IF('Verwerking Bouwdelen'!A19=2,1,0)</f>
        <v>0</v>
      </c>
      <c r="B92" s="226">
        <f>$A92*'Verwerking Bouwdelen'!CJ19</f>
        <v>0</v>
      </c>
      <c r="C92" s="227">
        <f>$A92*'Verwerking Bouwdelen'!CK19</f>
        <v>0</v>
      </c>
      <c r="D92" s="227">
        <f>$A92*'Verwerking Bouwdelen'!CL19</f>
        <v>0</v>
      </c>
      <c r="E92" s="227">
        <f>$A92*'Verwerking Bouwdelen'!CM19</f>
        <v>0</v>
      </c>
      <c r="F92" s="227">
        <f>$A92*'Verwerking Bouwdelen'!CN19</f>
        <v>0</v>
      </c>
      <c r="G92" s="227">
        <f>$A92*'Verwerking Bouwdelen'!CO19</f>
        <v>0</v>
      </c>
      <c r="H92" s="227">
        <f>$A92*'Verwerking Bouwdelen'!CP19</f>
        <v>0</v>
      </c>
      <c r="I92" s="227">
        <f>$A92*'Verwerking Bouwdelen'!CQ19</f>
        <v>0</v>
      </c>
      <c r="J92" s="227">
        <f>$A92*'Verwerking Bouwdelen'!CR19</f>
        <v>0</v>
      </c>
      <c r="K92" s="227">
        <f>$A92*'Verwerking Bouwdelen'!CS19</f>
        <v>0</v>
      </c>
      <c r="L92" s="227">
        <f>$A92*'Verwerking Bouwdelen'!CT19</f>
        <v>0</v>
      </c>
      <c r="M92" s="228">
        <f>$A92*'Verwerking Bouwdelen'!CU19</f>
        <v>0</v>
      </c>
      <c r="DN92" s="89">
        <f>IF('Verwerking Bouwdelen'!A19=2,1,0)</f>
        <v>0</v>
      </c>
      <c r="DO92" s="223">
        <f>$DN92*'Verwerking Bouwdelen'!FT19</f>
        <v>0</v>
      </c>
      <c r="DP92" s="223">
        <f>$DN92*'Verwerking Bouwdelen'!FU19</f>
        <v>0</v>
      </c>
      <c r="DQ92" s="223">
        <f>$DN92*'Verwerking Bouwdelen'!FV19</f>
        <v>0</v>
      </c>
      <c r="DR92" s="223">
        <f>$DN92*'Verwerking Bouwdelen'!FW19</f>
        <v>0</v>
      </c>
      <c r="DS92" s="223">
        <f>$DN92*'Verwerking Bouwdelen'!FX19</f>
        <v>0</v>
      </c>
      <c r="DT92" s="223">
        <f>$DN92*'Verwerking Bouwdelen'!FY19</f>
        <v>0</v>
      </c>
      <c r="DU92" s="223">
        <f>$DN92*'Verwerking Bouwdelen'!FZ19</f>
        <v>0</v>
      </c>
      <c r="DV92" s="223">
        <f>$DN92*'Verwerking Bouwdelen'!GA19</f>
        <v>0</v>
      </c>
      <c r="DW92" s="223">
        <f>$DN92*'Verwerking Bouwdelen'!GB19</f>
        <v>0</v>
      </c>
      <c r="DX92" s="223">
        <f>$DN92*'Verwerking Bouwdelen'!GC19</f>
        <v>0</v>
      </c>
      <c r="DY92" s="223">
        <f>$DN92*'Verwerking Bouwdelen'!GD19</f>
        <v>0</v>
      </c>
      <c r="DZ92" s="223">
        <f>$DN92*'Verwerking Bouwdelen'!GE19</f>
        <v>0</v>
      </c>
      <c r="EA92" s="89">
        <f>'Verwerking Bouwdelen'!GO19*DN92</f>
        <v>0</v>
      </c>
      <c r="EB92" s="125">
        <f>'Verwerking Bouwdelen'!GP19*DN92</f>
        <v>0</v>
      </c>
      <c r="EC92" s="89">
        <f t="shared" si="16"/>
        <v>0</v>
      </c>
      <c r="GN92" s="220">
        <f t="shared" si="17"/>
        <v>0</v>
      </c>
      <c r="GO92" s="220">
        <f t="shared" si="17"/>
        <v>0</v>
      </c>
      <c r="GP92" s="220">
        <f t="shared" si="17"/>
        <v>0</v>
      </c>
      <c r="GQ92" s="220">
        <f t="shared" si="17"/>
        <v>0</v>
      </c>
      <c r="GR92" s="220">
        <f t="shared" si="17"/>
        <v>0</v>
      </c>
      <c r="GS92" s="220">
        <f t="shared" si="17"/>
        <v>0</v>
      </c>
      <c r="GT92" s="220">
        <f t="shared" si="17"/>
        <v>0</v>
      </c>
      <c r="GU92" s="220">
        <f t="shared" si="17"/>
        <v>0</v>
      </c>
      <c r="GV92" s="220">
        <f t="shared" si="17"/>
        <v>0</v>
      </c>
      <c r="GW92" s="220">
        <f t="shared" si="17"/>
        <v>0</v>
      </c>
      <c r="GX92" s="220">
        <f t="shared" si="17"/>
        <v>0</v>
      </c>
      <c r="GY92" s="220">
        <f t="shared" si="17"/>
        <v>0</v>
      </c>
      <c r="HO92" s="256"/>
      <c r="HZ92" s="256"/>
    </row>
    <row r="93" spans="1:234" x14ac:dyDescent="0.2">
      <c r="A93" s="89">
        <f>IF('Verwerking Bouwdelen'!A20=2,1,0)</f>
        <v>0</v>
      </c>
      <c r="B93" s="226">
        <f>$A93*'Verwerking Bouwdelen'!CJ20</f>
        <v>0</v>
      </c>
      <c r="C93" s="227">
        <f>$A93*'Verwerking Bouwdelen'!CK20</f>
        <v>0</v>
      </c>
      <c r="D93" s="227">
        <f>$A93*'Verwerking Bouwdelen'!CL20</f>
        <v>0</v>
      </c>
      <c r="E93" s="227">
        <f>$A93*'Verwerking Bouwdelen'!CM20</f>
        <v>0</v>
      </c>
      <c r="F93" s="227">
        <f>$A93*'Verwerking Bouwdelen'!CN20</f>
        <v>0</v>
      </c>
      <c r="G93" s="227">
        <f>$A93*'Verwerking Bouwdelen'!CO20</f>
        <v>0</v>
      </c>
      <c r="H93" s="227">
        <f>$A93*'Verwerking Bouwdelen'!CP20</f>
        <v>0</v>
      </c>
      <c r="I93" s="227">
        <f>$A93*'Verwerking Bouwdelen'!CQ20</f>
        <v>0</v>
      </c>
      <c r="J93" s="227">
        <f>$A93*'Verwerking Bouwdelen'!CR20</f>
        <v>0</v>
      </c>
      <c r="K93" s="227">
        <f>$A93*'Verwerking Bouwdelen'!CS20</f>
        <v>0</v>
      </c>
      <c r="L93" s="227">
        <f>$A93*'Verwerking Bouwdelen'!CT20</f>
        <v>0</v>
      </c>
      <c r="M93" s="228">
        <f>$A93*'Verwerking Bouwdelen'!CU20</f>
        <v>0</v>
      </c>
      <c r="DN93" s="89">
        <f>IF('Verwerking Bouwdelen'!A20=2,1,0)</f>
        <v>0</v>
      </c>
      <c r="DO93" s="223">
        <f>$DN93*'Verwerking Bouwdelen'!FT20</f>
        <v>0</v>
      </c>
      <c r="DP93" s="223">
        <f>$DN93*'Verwerking Bouwdelen'!FU20</f>
        <v>0</v>
      </c>
      <c r="DQ93" s="223">
        <f>$DN93*'Verwerking Bouwdelen'!FV20</f>
        <v>0</v>
      </c>
      <c r="DR93" s="223">
        <f>$DN93*'Verwerking Bouwdelen'!FW20</f>
        <v>0</v>
      </c>
      <c r="DS93" s="223">
        <f>$DN93*'Verwerking Bouwdelen'!FX20</f>
        <v>0</v>
      </c>
      <c r="DT93" s="223">
        <f>$DN93*'Verwerking Bouwdelen'!FY20</f>
        <v>0</v>
      </c>
      <c r="DU93" s="223">
        <f>$DN93*'Verwerking Bouwdelen'!FZ20</f>
        <v>0</v>
      </c>
      <c r="DV93" s="223">
        <f>$DN93*'Verwerking Bouwdelen'!GA20</f>
        <v>0</v>
      </c>
      <c r="DW93" s="223">
        <f>$DN93*'Verwerking Bouwdelen'!GB20</f>
        <v>0</v>
      </c>
      <c r="DX93" s="223">
        <f>$DN93*'Verwerking Bouwdelen'!GC20</f>
        <v>0</v>
      </c>
      <c r="DY93" s="223">
        <f>$DN93*'Verwerking Bouwdelen'!GD20</f>
        <v>0</v>
      </c>
      <c r="DZ93" s="223">
        <f>$DN93*'Verwerking Bouwdelen'!GE20</f>
        <v>0</v>
      </c>
      <c r="EA93" s="89">
        <f>'Verwerking Bouwdelen'!GO20*DN93</f>
        <v>0</v>
      </c>
      <c r="EB93" s="125">
        <f>'Verwerking Bouwdelen'!GP20*DN93</f>
        <v>0</v>
      </c>
      <c r="EC93" s="89">
        <f t="shared" si="16"/>
        <v>0</v>
      </c>
      <c r="GN93" s="220">
        <f t="shared" si="17"/>
        <v>0</v>
      </c>
      <c r="GO93" s="220">
        <f t="shared" si="17"/>
        <v>0</v>
      </c>
      <c r="GP93" s="220">
        <f t="shared" si="17"/>
        <v>0</v>
      </c>
      <c r="GQ93" s="220">
        <f t="shared" si="17"/>
        <v>0</v>
      </c>
      <c r="GR93" s="220">
        <f t="shared" si="17"/>
        <v>0</v>
      </c>
      <c r="GS93" s="220">
        <f t="shared" si="17"/>
        <v>0</v>
      </c>
      <c r="GT93" s="220">
        <f t="shared" si="17"/>
        <v>0</v>
      </c>
      <c r="GU93" s="220">
        <f t="shared" si="17"/>
        <v>0</v>
      </c>
      <c r="GV93" s="220">
        <f t="shared" si="17"/>
        <v>0</v>
      </c>
      <c r="GW93" s="220">
        <f t="shared" si="17"/>
        <v>0</v>
      </c>
      <c r="GX93" s="220">
        <f t="shared" si="17"/>
        <v>0</v>
      </c>
      <c r="GY93" s="220">
        <f t="shared" si="17"/>
        <v>0</v>
      </c>
      <c r="HO93" s="256"/>
      <c r="HZ93" s="256"/>
    </row>
    <row r="94" spans="1:234" x14ac:dyDescent="0.2">
      <c r="A94" s="89">
        <f>IF('Verwerking Bouwdelen'!A21=2,1,0)</f>
        <v>0</v>
      </c>
      <c r="B94" s="226">
        <f>$A94*'Verwerking Bouwdelen'!CJ21</f>
        <v>0</v>
      </c>
      <c r="C94" s="227">
        <f>$A94*'Verwerking Bouwdelen'!CK21</f>
        <v>0</v>
      </c>
      <c r="D94" s="227">
        <f>$A94*'Verwerking Bouwdelen'!CL21</f>
        <v>0</v>
      </c>
      <c r="E94" s="227">
        <f>$A94*'Verwerking Bouwdelen'!CM21</f>
        <v>0</v>
      </c>
      <c r="F94" s="227">
        <f>$A94*'Verwerking Bouwdelen'!CN21</f>
        <v>0</v>
      </c>
      <c r="G94" s="227">
        <f>$A94*'Verwerking Bouwdelen'!CO21</f>
        <v>0</v>
      </c>
      <c r="H94" s="227">
        <f>$A94*'Verwerking Bouwdelen'!CP21</f>
        <v>0</v>
      </c>
      <c r="I94" s="227">
        <f>$A94*'Verwerking Bouwdelen'!CQ21</f>
        <v>0</v>
      </c>
      <c r="J94" s="227">
        <f>$A94*'Verwerking Bouwdelen'!CR21</f>
        <v>0</v>
      </c>
      <c r="K94" s="227">
        <f>$A94*'Verwerking Bouwdelen'!CS21</f>
        <v>0</v>
      </c>
      <c r="L94" s="227">
        <f>$A94*'Verwerking Bouwdelen'!CT21</f>
        <v>0</v>
      </c>
      <c r="M94" s="228">
        <f>$A94*'Verwerking Bouwdelen'!CU21</f>
        <v>0</v>
      </c>
      <c r="DN94" s="89">
        <f>IF('Verwerking Bouwdelen'!A21=2,1,0)</f>
        <v>0</v>
      </c>
      <c r="DO94" s="223">
        <f>$DN94*'Verwerking Bouwdelen'!FT21</f>
        <v>0</v>
      </c>
      <c r="DP94" s="223">
        <f>$DN94*'Verwerking Bouwdelen'!FU21</f>
        <v>0</v>
      </c>
      <c r="DQ94" s="223">
        <f>$DN94*'Verwerking Bouwdelen'!FV21</f>
        <v>0</v>
      </c>
      <c r="DR94" s="223">
        <f>$DN94*'Verwerking Bouwdelen'!FW21</f>
        <v>0</v>
      </c>
      <c r="DS94" s="223">
        <f>$DN94*'Verwerking Bouwdelen'!FX21</f>
        <v>0</v>
      </c>
      <c r="DT94" s="223">
        <f>$DN94*'Verwerking Bouwdelen'!FY21</f>
        <v>0</v>
      </c>
      <c r="DU94" s="223">
        <f>$DN94*'Verwerking Bouwdelen'!FZ21</f>
        <v>0</v>
      </c>
      <c r="DV94" s="223">
        <f>$DN94*'Verwerking Bouwdelen'!GA21</f>
        <v>0</v>
      </c>
      <c r="DW94" s="223">
        <f>$DN94*'Verwerking Bouwdelen'!GB21</f>
        <v>0</v>
      </c>
      <c r="DX94" s="223">
        <f>$DN94*'Verwerking Bouwdelen'!GC21</f>
        <v>0</v>
      </c>
      <c r="DY94" s="223">
        <f>$DN94*'Verwerking Bouwdelen'!GD21</f>
        <v>0</v>
      </c>
      <c r="DZ94" s="223">
        <f>$DN94*'Verwerking Bouwdelen'!GE21</f>
        <v>0</v>
      </c>
      <c r="EA94" s="89">
        <f>'Verwerking Bouwdelen'!GO21*DN94</f>
        <v>0</v>
      </c>
      <c r="EB94" s="125">
        <f>'Verwerking Bouwdelen'!GP21*DN94</f>
        <v>0</v>
      </c>
      <c r="EC94" s="89">
        <f t="shared" si="16"/>
        <v>0</v>
      </c>
      <c r="GN94" s="220">
        <f t="shared" si="17"/>
        <v>0</v>
      </c>
      <c r="GO94" s="220">
        <f t="shared" si="17"/>
        <v>0</v>
      </c>
      <c r="GP94" s="220">
        <f t="shared" si="17"/>
        <v>0</v>
      </c>
      <c r="GQ94" s="220">
        <f t="shared" si="17"/>
        <v>0</v>
      </c>
      <c r="GR94" s="220">
        <f t="shared" si="17"/>
        <v>0</v>
      </c>
      <c r="GS94" s="220">
        <f t="shared" si="17"/>
        <v>0</v>
      </c>
      <c r="GT94" s="220">
        <f t="shared" si="17"/>
        <v>0</v>
      </c>
      <c r="GU94" s="220">
        <f t="shared" si="17"/>
        <v>0</v>
      </c>
      <c r="GV94" s="220">
        <f t="shared" si="17"/>
        <v>0</v>
      </c>
      <c r="GW94" s="220">
        <f t="shared" si="17"/>
        <v>0</v>
      </c>
      <c r="GX94" s="220">
        <f t="shared" si="17"/>
        <v>0</v>
      </c>
      <c r="GY94" s="220">
        <f t="shared" si="17"/>
        <v>0</v>
      </c>
      <c r="HO94" s="256"/>
      <c r="HZ94" s="256"/>
    </row>
    <row r="95" spans="1:234" x14ac:dyDescent="0.2">
      <c r="A95" s="89">
        <f>IF('Verwerking Bouwdelen'!A22=2,1,0)</f>
        <v>0</v>
      </c>
      <c r="B95" s="226">
        <f>$A95*'Verwerking Bouwdelen'!CJ22</f>
        <v>0</v>
      </c>
      <c r="C95" s="227">
        <f>$A95*'Verwerking Bouwdelen'!CK22</f>
        <v>0</v>
      </c>
      <c r="D95" s="227">
        <f>$A95*'Verwerking Bouwdelen'!CL22</f>
        <v>0</v>
      </c>
      <c r="E95" s="227">
        <f>$A95*'Verwerking Bouwdelen'!CM22</f>
        <v>0</v>
      </c>
      <c r="F95" s="227">
        <f>$A95*'Verwerking Bouwdelen'!CN22</f>
        <v>0</v>
      </c>
      <c r="G95" s="227">
        <f>$A95*'Verwerking Bouwdelen'!CO22</f>
        <v>0</v>
      </c>
      <c r="H95" s="227">
        <f>$A95*'Verwerking Bouwdelen'!CP22</f>
        <v>0</v>
      </c>
      <c r="I95" s="227">
        <f>$A95*'Verwerking Bouwdelen'!CQ22</f>
        <v>0</v>
      </c>
      <c r="J95" s="227">
        <f>$A95*'Verwerking Bouwdelen'!CR22</f>
        <v>0</v>
      </c>
      <c r="K95" s="227">
        <f>$A95*'Verwerking Bouwdelen'!CS22</f>
        <v>0</v>
      </c>
      <c r="L95" s="227">
        <f>$A95*'Verwerking Bouwdelen'!CT22</f>
        <v>0</v>
      </c>
      <c r="M95" s="228">
        <f>$A95*'Verwerking Bouwdelen'!CU22</f>
        <v>0</v>
      </c>
      <c r="DN95" s="89">
        <f>IF('Verwerking Bouwdelen'!A22=2,1,0)</f>
        <v>0</v>
      </c>
      <c r="DO95" s="223">
        <f>$DN95*'Verwerking Bouwdelen'!FT22</f>
        <v>0</v>
      </c>
      <c r="DP95" s="223">
        <f>$DN95*'Verwerking Bouwdelen'!FU22</f>
        <v>0</v>
      </c>
      <c r="DQ95" s="223">
        <f>$DN95*'Verwerking Bouwdelen'!FV22</f>
        <v>0</v>
      </c>
      <c r="DR95" s="223">
        <f>$DN95*'Verwerking Bouwdelen'!FW22</f>
        <v>0</v>
      </c>
      <c r="DS95" s="223">
        <f>$DN95*'Verwerking Bouwdelen'!FX22</f>
        <v>0</v>
      </c>
      <c r="DT95" s="223">
        <f>$DN95*'Verwerking Bouwdelen'!FY22</f>
        <v>0</v>
      </c>
      <c r="DU95" s="223">
        <f>$DN95*'Verwerking Bouwdelen'!FZ22</f>
        <v>0</v>
      </c>
      <c r="DV95" s="223">
        <f>$DN95*'Verwerking Bouwdelen'!GA22</f>
        <v>0</v>
      </c>
      <c r="DW95" s="223">
        <f>$DN95*'Verwerking Bouwdelen'!GB22</f>
        <v>0</v>
      </c>
      <c r="DX95" s="223">
        <f>$DN95*'Verwerking Bouwdelen'!GC22</f>
        <v>0</v>
      </c>
      <c r="DY95" s="223">
        <f>$DN95*'Verwerking Bouwdelen'!GD22</f>
        <v>0</v>
      </c>
      <c r="DZ95" s="223">
        <f>$DN95*'Verwerking Bouwdelen'!GE22</f>
        <v>0</v>
      </c>
      <c r="EA95" s="89">
        <f>'Verwerking Bouwdelen'!GO22*DN95</f>
        <v>0</v>
      </c>
      <c r="EB95" s="125">
        <f>'Verwerking Bouwdelen'!GP22*DN95</f>
        <v>0</v>
      </c>
      <c r="EC95" s="89">
        <f t="shared" si="16"/>
        <v>0</v>
      </c>
      <c r="GN95" s="220">
        <f t="shared" si="17"/>
        <v>0</v>
      </c>
      <c r="GO95" s="220">
        <f t="shared" si="17"/>
        <v>0</v>
      </c>
      <c r="GP95" s="220">
        <f t="shared" si="17"/>
        <v>0</v>
      </c>
      <c r="GQ95" s="220">
        <f t="shared" si="17"/>
        <v>0</v>
      </c>
      <c r="GR95" s="220">
        <f t="shared" si="17"/>
        <v>0</v>
      </c>
      <c r="GS95" s="220">
        <f t="shared" si="17"/>
        <v>0</v>
      </c>
      <c r="GT95" s="220">
        <f t="shared" si="17"/>
        <v>0</v>
      </c>
      <c r="GU95" s="220">
        <f t="shared" si="17"/>
        <v>0</v>
      </c>
      <c r="GV95" s="220">
        <f t="shared" si="17"/>
        <v>0</v>
      </c>
      <c r="GW95" s="220">
        <f t="shared" si="17"/>
        <v>0</v>
      </c>
      <c r="GX95" s="220">
        <f t="shared" si="17"/>
        <v>0</v>
      </c>
      <c r="GY95" s="220">
        <f t="shared" si="17"/>
        <v>0</v>
      </c>
      <c r="HO95" s="256"/>
      <c r="HZ95" s="256"/>
    </row>
    <row r="96" spans="1:234" x14ac:dyDescent="0.2">
      <c r="A96" s="89">
        <f>IF('Verwerking Bouwdelen'!A23=2,1,0)</f>
        <v>0</v>
      </c>
      <c r="B96" s="226">
        <f>$A96*'Verwerking Bouwdelen'!CJ23</f>
        <v>0</v>
      </c>
      <c r="C96" s="227">
        <f>$A96*'Verwerking Bouwdelen'!CK23</f>
        <v>0</v>
      </c>
      <c r="D96" s="227">
        <f>$A96*'Verwerking Bouwdelen'!CL23</f>
        <v>0</v>
      </c>
      <c r="E96" s="227">
        <f>$A96*'Verwerking Bouwdelen'!CM23</f>
        <v>0</v>
      </c>
      <c r="F96" s="227">
        <f>$A96*'Verwerking Bouwdelen'!CN23</f>
        <v>0</v>
      </c>
      <c r="G96" s="227">
        <f>$A96*'Verwerking Bouwdelen'!CO23</f>
        <v>0</v>
      </c>
      <c r="H96" s="227">
        <f>$A96*'Verwerking Bouwdelen'!CP23</f>
        <v>0</v>
      </c>
      <c r="I96" s="227">
        <f>$A96*'Verwerking Bouwdelen'!CQ23</f>
        <v>0</v>
      </c>
      <c r="J96" s="227">
        <f>$A96*'Verwerking Bouwdelen'!CR23</f>
        <v>0</v>
      </c>
      <c r="K96" s="227">
        <f>$A96*'Verwerking Bouwdelen'!CS23</f>
        <v>0</v>
      </c>
      <c r="L96" s="227">
        <f>$A96*'Verwerking Bouwdelen'!CT23</f>
        <v>0</v>
      </c>
      <c r="M96" s="228">
        <f>$A96*'Verwerking Bouwdelen'!CU23</f>
        <v>0</v>
      </c>
      <c r="DN96" s="89">
        <f>IF('Verwerking Bouwdelen'!A23=2,1,0)</f>
        <v>0</v>
      </c>
      <c r="DO96" s="223">
        <f>$DN96*'Verwerking Bouwdelen'!FT23</f>
        <v>0</v>
      </c>
      <c r="DP96" s="223">
        <f>$DN96*'Verwerking Bouwdelen'!FU23</f>
        <v>0</v>
      </c>
      <c r="DQ96" s="223">
        <f>$DN96*'Verwerking Bouwdelen'!FV23</f>
        <v>0</v>
      </c>
      <c r="DR96" s="223">
        <f>$DN96*'Verwerking Bouwdelen'!FW23</f>
        <v>0</v>
      </c>
      <c r="DS96" s="223">
        <f>$DN96*'Verwerking Bouwdelen'!FX23</f>
        <v>0</v>
      </c>
      <c r="DT96" s="223">
        <f>$DN96*'Verwerking Bouwdelen'!FY23</f>
        <v>0</v>
      </c>
      <c r="DU96" s="223">
        <f>$DN96*'Verwerking Bouwdelen'!FZ23</f>
        <v>0</v>
      </c>
      <c r="DV96" s="223">
        <f>$DN96*'Verwerking Bouwdelen'!GA23</f>
        <v>0</v>
      </c>
      <c r="DW96" s="223">
        <f>$DN96*'Verwerking Bouwdelen'!GB23</f>
        <v>0</v>
      </c>
      <c r="DX96" s="223">
        <f>$DN96*'Verwerking Bouwdelen'!GC23</f>
        <v>0</v>
      </c>
      <c r="DY96" s="223">
        <f>$DN96*'Verwerking Bouwdelen'!GD23</f>
        <v>0</v>
      </c>
      <c r="DZ96" s="223">
        <f>$DN96*'Verwerking Bouwdelen'!GE23</f>
        <v>0</v>
      </c>
      <c r="EA96" s="89">
        <f>'Verwerking Bouwdelen'!GO23*DN96</f>
        <v>0</v>
      </c>
      <c r="EB96" s="125">
        <f>'Verwerking Bouwdelen'!GP23*DN96</f>
        <v>0</v>
      </c>
      <c r="EC96" s="89">
        <f t="shared" si="16"/>
        <v>0</v>
      </c>
      <c r="GN96" s="220">
        <f t="shared" si="17"/>
        <v>0</v>
      </c>
      <c r="GO96" s="220">
        <f t="shared" si="17"/>
        <v>0</v>
      </c>
      <c r="GP96" s="220">
        <f t="shared" si="17"/>
        <v>0</v>
      </c>
      <c r="GQ96" s="220">
        <f t="shared" si="17"/>
        <v>0</v>
      </c>
      <c r="GR96" s="220">
        <f t="shared" si="17"/>
        <v>0</v>
      </c>
      <c r="GS96" s="220">
        <f t="shared" si="17"/>
        <v>0</v>
      </c>
      <c r="GT96" s="220">
        <f t="shared" si="17"/>
        <v>0</v>
      </c>
      <c r="GU96" s="220">
        <f t="shared" si="17"/>
        <v>0</v>
      </c>
      <c r="GV96" s="220">
        <f t="shared" si="17"/>
        <v>0</v>
      </c>
      <c r="GW96" s="220">
        <f t="shared" si="17"/>
        <v>0</v>
      </c>
      <c r="GX96" s="220">
        <f t="shared" si="17"/>
        <v>0</v>
      </c>
      <c r="GY96" s="220">
        <f t="shared" si="17"/>
        <v>0</v>
      </c>
      <c r="HO96" s="256"/>
      <c r="HZ96" s="256"/>
    </row>
    <row r="97" spans="1:234" x14ac:dyDescent="0.2">
      <c r="A97" s="89">
        <f>IF('Verwerking Bouwdelen'!A24=2,1,0)</f>
        <v>0</v>
      </c>
      <c r="B97" s="226">
        <f>$A97*'Verwerking Bouwdelen'!CJ24</f>
        <v>0</v>
      </c>
      <c r="C97" s="227">
        <f>$A97*'Verwerking Bouwdelen'!CK24</f>
        <v>0</v>
      </c>
      <c r="D97" s="227">
        <f>$A97*'Verwerking Bouwdelen'!CL24</f>
        <v>0</v>
      </c>
      <c r="E97" s="227">
        <f>$A97*'Verwerking Bouwdelen'!CM24</f>
        <v>0</v>
      </c>
      <c r="F97" s="227">
        <f>$A97*'Verwerking Bouwdelen'!CN24</f>
        <v>0</v>
      </c>
      <c r="G97" s="227">
        <f>$A97*'Verwerking Bouwdelen'!CO24</f>
        <v>0</v>
      </c>
      <c r="H97" s="227">
        <f>$A97*'Verwerking Bouwdelen'!CP24</f>
        <v>0</v>
      </c>
      <c r="I97" s="227">
        <f>$A97*'Verwerking Bouwdelen'!CQ24</f>
        <v>0</v>
      </c>
      <c r="J97" s="227">
        <f>$A97*'Verwerking Bouwdelen'!CR24</f>
        <v>0</v>
      </c>
      <c r="K97" s="227">
        <f>$A97*'Verwerking Bouwdelen'!CS24</f>
        <v>0</v>
      </c>
      <c r="L97" s="227">
        <f>$A97*'Verwerking Bouwdelen'!CT24</f>
        <v>0</v>
      </c>
      <c r="M97" s="228">
        <f>$A97*'Verwerking Bouwdelen'!CU24</f>
        <v>0</v>
      </c>
      <c r="DN97" s="89">
        <f>IF('Verwerking Bouwdelen'!A24=2,1,0)</f>
        <v>0</v>
      </c>
      <c r="DO97" s="223">
        <f>$DN97*'Verwerking Bouwdelen'!FT24</f>
        <v>0</v>
      </c>
      <c r="DP97" s="223">
        <f>$DN97*'Verwerking Bouwdelen'!FU24</f>
        <v>0</v>
      </c>
      <c r="DQ97" s="223">
        <f>$DN97*'Verwerking Bouwdelen'!FV24</f>
        <v>0</v>
      </c>
      <c r="DR97" s="223">
        <f>$DN97*'Verwerking Bouwdelen'!FW24</f>
        <v>0</v>
      </c>
      <c r="DS97" s="223">
        <f>$DN97*'Verwerking Bouwdelen'!FX24</f>
        <v>0</v>
      </c>
      <c r="DT97" s="223">
        <f>$DN97*'Verwerking Bouwdelen'!FY24</f>
        <v>0</v>
      </c>
      <c r="DU97" s="223">
        <f>$DN97*'Verwerking Bouwdelen'!FZ24</f>
        <v>0</v>
      </c>
      <c r="DV97" s="223">
        <f>$DN97*'Verwerking Bouwdelen'!GA24</f>
        <v>0</v>
      </c>
      <c r="DW97" s="223">
        <f>$DN97*'Verwerking Bouwdelen'!GB24</f>
        <v>0</v>
      </c>
      <c r="DX97" s="223">
        <f>$DN97*'Verwerking Bouwdelen'!GC24</f>
        <v>0</v>
      </c>
      <c r="DY97" s="223">
        <f>$DN97*'Verwerking Bouwdelen'!GD24</f>
        <v>0</v>
      </c>
      <c r="DZ97" s="223">
        <f>$DN97*'Verwerking Bouwdelen'!GE24</f>
        <v>0</v>
      </c>
      <c r="EA97" s="89">
        <f>'Verwerking Bouwdelen'!GO24*DN97</f>
        <v>0</v>
      </c>
      <c r="EB97" s="125">
        <f>'Verwerking Bouwdelen'!GP24*DN97</f>
        <v>0</v>
      </c>
      <c r="EC97" s="89">
        <f t="shared" si="16"/>
        <v>0</v>
      </c>
      <c r="GN97" s="220">
        <f t="shared" si="17"/>
        <v>0</v>
      </c>
      <c r="GO97" s="220">
        <f t="shared" si="17"/>
        <v>0</v>
      </c>
      <c r="GP97" s="220">
        <f t="shared" si="17"/>
        <v>0</v>
      </c>
      <c r="GQ97" s="220">
        <f t="shared" si="17"/>
        <v>0</v>
      </c>
      <c r="GR97" s="220">
        <f t="shared" si="17"/>
        <v>0</v>
      </c>
      <c r="GS97" s="220">
        <f t="shared" si="17"/>
        <v>0</v>
      </c>
      <c r="GT97" s="220">
        <f t="shared" si="17"/>
        <v>0</v>
      </c>
      <c r="GU97" s="220">
        <f t="shared" si="17"/>
        <v>0</v>
      </c>
      <c r="GV97" s="220">
        <f t="shared" si="17"/>
        <v>0</v>
      </c>
      <c r="GW97" s="220">
        <f t="shared" si="17"/>
        <v>0</v>
      </c>
      <c r="GX97" s="220">
        <f t="shared" si="17"/>
        <v>0</v>
      </c>
      <c r="GY97" s="220">
        <f t="shared" si="17"/>
        <v>0</v>
      </c>
      <c r="HO97" s="256"/>
      <c r="HZ97" s="256"/>
    </row>
    <row r="98" spans="1:234" x14ac:dyDescent="0.2">
      <c r="A98" s="89">
        <f>IF('Verwerking Bouwdelen'!A25=2,1,0)</f>
        <v>0</v>
      </c>
      <c r="B98" s="226">
        <f>$A98*'Verwerking Bouwdelen'!CJ25</f>
        <v>0</v>
      </c>
      <c r="C98" s="227">
        <f>$A98*'Verwerking Bouwdelen'!CK25</f>
        <v>0</v>
      </c>
      <c r="D98" s="227">
        <f>$A98*'Verwerking Bouwdelen'!CL25</f>
        <v>0</v>
      </c>
      <c r="E98" s="227">
        <f>$A98*'Verwerking Bouwdelen'!CM25</f>
        <v>0</v>
      </c>
      <c r="F98" s="227">
        <f>$A98*'Verwerking Bouwdelen'!CN25</f>
        <v>0</v>
      </c>
      <c r="G98" s="227">
        <f>$A98*'Verwerking Bouwdelen'!CO25</f>
        <v>0</v>
      </c>
      <c r="H98" s="227">
        <f>$A98*'Verwerking Bouwdelen'!CP25</f>
        <v>0</v>
      </c>
      <c r="I98" s="227">
        <f>$A98*'Verwerking Bouwdelen'!CQ25</f>
        <v>0</v>
      </c>
      <c r="J98" s="227">
        <f>$A98*'Verwerking Bouwdelen'!CR25</f>
        <v>0</v>
      </c>
      <c r="K98" s="227">
        <f>$A98*'Verwerking Bouwdelen'!CS25</f>
        <v>0</v>
      </c>
      <c r="L98" s="227">
        <f>$A98*'Verwerking Bouwdelen'!CT25</f>
        <v>0</v>
      </c>
      <c r="M98" s="228">
        <f>$A98*'Verwerking Bouwdelen'!CU25</f>
        <v>0</v>
      </c>
      <c r="DN98" s="89">
        <f>IF('Verwerking Bouwdelen'!A25=2,1,0)</f>
        <v>0</v>
      </c>
      <c r="DO98" s="223">
        <f>$DN98*'Verwerking Bouwdelen'!FT25</f>
        <v>0</v>
      </c>
      <c r="DP98" s="223">
        <f>$DN98*'Verwerking Bouwdelen'!FU25</f>
        <v>0</v>
      </c>
      <c r="DQ98" s="223">
        <f>$DN98*'Verwerking Bouwdelen'!FV25</f>
        <v>0</v>
      </c>
      <c r="DR98" s="223">
        <f>$DN98*'Verwerking Bouwdelen'!FW25</f>
        <v>0</v>
      </c>
      <c r="DS98" s="223">
        <f>$DN98*'Verwerking Bouwdelen'!FX25</f>
        <v>0</v>
      </c>
      <c r="DT98" s="223">
        <f>$DN98*'Verwerking Bouwdelen'!FY25</f>
        <v>0</v>
      </c>
      <c r="DU98" s="223">
        <f>$DN98*'Verwerking Bouwdelen'!FZ25</f>
        <v>0</v>
      </c>
      <c r="DV98" s="223">
        <f>$DN98*'Verwerking Bouwdelen'!GA25</f>
        <v>0</v>
      </c>
      <c r="DW98" s="223">
        <f>$DN98*'Verwerking Bouwdelen'!GB25</f>
        <v>0</v>
      </c>
      <c r="DX98" s="223">
        <f>$DN98*'Verwerking Bouwdelen'!GC25</f>
        <v>0</v>
      </c>
      <c r="DY98" s="223">
        <f>$DN98*'Verwerking Bouwdelen'!GD25</f>
        <v>0</v>
      </c>
      <c r="DZ98" s="223">
        <f>$DN98*'Verwerking Bouwdelen'!GE25</f>
        <v>0</v>
      </c>
      <c r="EA98" s="89">
        <f>'Verwerking Bouwdelen'!GO25*DN98</f>
        <v>0</v>
      </c>
      <c r="EB98" s="125">
        <f>'Verwerking Bouwdelen'!GP25*DN98</f>
        <v>0</v>
      </c>
      <c r="EC98" s="89">
        <f t="shared" si="16"/>
        <v>0</v>
      </c>
      <c r="GN98" s="220">
        <f t="shared" si="17"/>
        <v>0</v>
      </c>
      <c r="GO98" s="220">
        <f t="shared" si="17"/>
        <v>0</v>
      </c>
      <c r="GP98" s="220">
        <f t="shared" si="17"/>
        <v>0</v>
      </c>
      <c r="GQ98" s="220">
        <f t="shared" si="17"/>
        <v>0</v>
      </c>
      <c r="GR98" s="220">
        <f t="shared" si="17"/>
        <v>0</v>
      </c>
      <c r="GS98" s="220">
        <f t="shared" si="17"/>
        <v>0</v>
      </c>
      <c r="GT98" s="220">
        <f t="shared" si="17"/>
        <v>0</v>
      </c>
      <c r="GU98" s="220">
        <f t="shared" si="17"/>
        <v>0</v>
      </c>
      <c r="GV98" s="220">
        <f t="shared" si="17"/>
        <v>0</v>
      </c>
      <c r="GW98" s="220">
        <f t="shared" si="17"/>
        <v>0</v>
      </c>
      <c r="GX98" s="220">
        <f t="shared" si="17"/>
        <v>0</v>
      </c>
      <c r="GY98" s="220">
        <f t="shared" si="17"/>
        <v>0</v>
      </c>
      <c r="HO98" s="256"/>
      <c r="HZ98" s="256"/>
    </row>
    <row r="99" spans="1:234" x14ac:dyDescent="0.2">
      <c r="A99" s="89">
        <f>IF('Verwerking Bouwdelen'!A26=2,1,0)</f>
        <v>0</v>
      </c>
      <c r="B99" s="226">
        <f>$A99*'Verwerking Bouwdelen'!CJ26</f>
        <v>0</v>
      </c>
      <c r="C99" s="227">
        <f>$A99*'Verwerking Bouwdelen'!CK26</f>
        <v>0</v>
      </c>
      <c r="D99" s="227">
        <f>$A99*'Verwerking Bouwdelen'!CL26</f>
        <v>0</v>
      </c>
      <c r="E99" s="227">
        <f>$A99*'Verwerking Bouwdelen'!CM26</f>
        <v>0</v>
      </c>
      <c r="F99" s="227">
        <f>$A99*'Verwerking Bouwdelen'!CN26</f>
        <v>0</v>
      </c>
      <c r="G99" s="227">
        <f>$A99*'Verwerking Bouwdelen'!CO26</f>
        <v>0</v>
      </c>
      <c r="H99" s="227">
        <f>$A99*'Verwerking Bouwdelen'!CP26</f>
        <v>0</v>
      </c>
      <c r="I99" s="227">
        <f>$A99*'Verwerking Bouwdelen'!CQ26</f>
        <v>0</v>
      </c>
      <c r="J99" s="227">
        <f>$A99*'Verwerking Bouwdelen'!CR26</f>
        <v>0</v>
      </c>
      <c r="K99" s="227">
        <f>$A99*'Verwerking Bouwdelen'!CS26</f>
        <v>0</v>
      </c>
      <c r="L99" s="227">
        <f>$A99*'Verwerking Bouwdelen'!CT26</f>
        <v>0</v>
      </c>
      <c r="M99" s="228">
        <f>$A99*'Verwerking Bouwdelen'!CU26</f>
        <v>0</v>
      </c>
      <c r="DN99" s="89">
        <f>IF('Verwerking Bouwdelen'!A26=2,1,0)</f>
        <v>0</v>
      </c>
      <c r="DO99" s="223">
        <f>$DN99*'Verwerking Bouwdelen'!FT26</f>
        <v>0</v>
      </c>
      <c r="DP99" s="223">
        <f>$DN99*'Verwerking Bouwdelen'!FU26</f>
        <v>0</v>
      </c>
      <c r="DQ99" s="223">
        <f>$DN99*'Verwerking Bouwdelen'!FV26</f>
        <v>0</v>
      </c>
      <c r="DR99" s="223">
        <f>$DN99*'Verwerking Bouwdelen'!FW26</f>
        <v>0</v>
      </c>
      <c r="DS99" s="223">
        <f>$DN99*'Verwerking Bouwdelen'!FX26</f>
        <v>0</v>
      </c>
      <c r="DT99" s="223">
        <f>$DN99*'Verwerking Bouwdelen'!FY26</f>
        <v>0</v>
      </c>
      <c r="DU99" s="223">
        <f>$DN99*'Verwerking Bouwdelen'!FZ26</f>
        <v>0</v>
      </c>
      <c r="DV99" s="223">
        <f>$DN99*'Verwerking Bouwdelen'!GA26</f>
        <v>0</v>
      </c>
      <c r="DW99" s="223">
        <f>$DN99*'Verwerking Bouwdelen'!GB26</f>
        <v>0</v>
      </c>
      <c r="DX99" s="223">
        <f>$DN99*'Verwerking Bouwdelen'!GC26</f>
        <v>0</v>
      </c>
      <c r="DY99" s="223">
        <f>$DN99*'Verwerking Bouwdelen'!GD26</f>
        <v>0</v>
      </c>
      <c r="DZ99" s="223">
        <f>$DN99*'Verwerking Bouwdelen'!GE26</f>
        <v>0</v>
      </c>
      <c r="EA99" s="89">
        <f>'Verwerking Bouwdelen'!GO26*DN99</f>
        <v>0</v>
      </c>
      <c r="EB99" s="125">
        <f>'Verwerking Bouwdelen'!GP26*DN99</f>
        <v>0</v>
      </c>
      <c r="EC99" s="89">
        <f t="shared" si="16"/>
        <v>0</v>
      </c>
      <c r="GN99" s="220">
        <f t="shared" si="17"/>
        <v>0</v>
      </c>
      <c r="GO99" s="220">
        <f t="shared" si="17"/>
        <v>0</v>
      </c>
      <c r="GP99" s="220">
        <f t="shared" si="17"/>
        <v>0</v>
      </c>
      <c r="GQ99" s="220">
        <f t="shared" si="17"/>
        <v>0</v>
      </c>
      <c r="GR99" s="220">
        <f t="shared" si="17"/>
        <v>0</v>
      </c>
      <c r="GS99" s="220">
        <f t="shared" si="17"/>
        <v>0</v>
      </c>
      <c r="GT99" s="220">
        <f t="shared" si="17"/>
        <v>0</v>
      </c>
      <c r="GU99" s="220">
        <f t="shared" si="17"/>
        <v>0</v>
      </c>
      <c r="GV99" s="220">
        <f t="shared" si="17"/>
        <v>0</v>
      </c>
      <c r="GW99" s="220">
        <f t="shared" si="17"/>
        <v>0</v>
      </c>
      <c r="GX99" s="220">
        <f t="shared" si="17"/>
        <v>0</v>
      </c>
      <c r="GY99" s="220">
        <f t="shared" si="17"/>
        <v>0</v>
      </c>
      <c r="HO99" s="256"/>
      <c r="HZ99" s="256"/>
    </row>
    <row r="100" spans="1:234" x14ac:dyDescent="0.2">
      <c r="A100" s="89">
        <f>IF('Verwerking Bouwdelen'!A27=2,1,0)</f>
        <v>0</v>
      </c>
      <c r="B100" s="226">
        <f>$A100*'Verwerking Bouwdelen'!CJ27</f>
        <v>0</v>
      </c>
      <c r="C100" s="227">
        <f>$A100*'Verwerking Bouwdelen'!CK27</f>
        <v>0</v>
      </c>
      <c r="D100" s="227">
        <f>$A100*'Verwerking Bouwdelen'!CL27</f>
        <v>0</v>
      </c>
      <c r="E100" s="227">
        <f>$A100*'Verwerking Bouwdelen'!CM27</f>
        <v>0</v>
      </c>
      <c r="F100" s="227">
        <f>$A100*'Verwerking Bouwdelen'!CN27</f>
        <v>0</v>
      </c>
      <c r="G100" s="227">
        <f>$A100*'Verwerking Bouwdelen'!CO27</f>
        <v>0</v>
      </c>
      <c r="H100" s="227">
        <f>$A100*'Verwerking Bouwdelen'!CP27</f>
        <v>0</v>
      </c>
      <c r="I100" s="227">
        <f>$A100*'Verwerking Bouwdelen'!CQ27</f>
        <v>0</v>
      </c>
      <c r="J100" s="227">
        <f>$A100*'Verwerking Bouwdelen'!CR27</f>
        <v>0</v>
      </c>
      <c r="K100" s="227">
        <f>$A100*'Verwerking Bouwdelen'!CS27</f>
        <v>0</v>
      </c>
      <c r="L100" s="227">
        <f>$A100*'Verwerking Bouwdelen'!CT27</f>
        <v>0</v>
      </c>
      <c r="M100" s="228">
        <f>$A100*'Verwerking Bouwdelen'!CU27</f>
        <v>0</v>
      </c>
      <c r="DN100" s="89">
        <f>IF('Verwerking Bouwdelen'!A27=2,1,0)</f>
        <v>0</v>
      </c>
      <c r="DO100" s="223">
        <f>$DN100*'Verwerking Bouwdelen'!FT27</f>
        <v>0</v>
      </c>
      <c r="DP100" s="223">
        <f>$DN100*'Verwerking Bouwdelen'!FU27</f>
        <v>0</v>
      </c>
      <c r="DQ100" s="223">
        <f>$DN100*'Verwerking Bouwdelen'!FV27</f>
        <v>0</v>
      </c>
      <c r="DR100" s="223">
        <f>$DN100*'Verwerking Bouwdelen'!FW27</f>
        <v>0</v>
      </c>
      <c r="DS100" s="223">
        <f>$DN100*'Verwerking Bouwdelen'!FX27</f>
        <v>0</v>
      </c>
      <c r="DT100" s="223">
        <f>$DN100*'Verwerking Bouwdelen'!FY27</f>
        <v>0</v>
      </c>
      <c r="DU100" s="223">
        <f>$DN100*'Verwerking Bouwdelen'!FZ27</f>
        <v>0</v>
      </c>
      <c r="DV100" s="223">
        <f>$DN100*'Verwerking Bouwdelen'!GA27</f>
        <v>0</v>
      </c>
      <c r="DW100" s="223">
        <f>$DN100*'Verwerking Bouwdelen'!GB27</f>
        <v>0</v>
      </c>
      <c r="DX100" s="223">
        <f>$DN100*'Verwerking Bouwdelen'!GC27</f>
        <v>0</v>
      </c>
      <c r="DY100" s="223">
        <f>$DN100*'Verwerking Bouwdelen'!GD27</f>
        <v>0</v>
      </c>
      <c r="DZ100" s="223">
        <f>$DN100*'Verwerking Bouwdelen'!GE27</f>
        <v>0</v>
      </c>
      <c r="EA100" s="89">
        <f>'Verwerking Bouwdelen'!GO27*DN100</f>
        <v>0</v>
      </c>
      <c r="EB100" s="125">
        <f>'Verwerking Bouwdelen'!GP27*DN100</f>
        <v>0</v>
      </c>
      <c r="EC100" s="89">
        <f t="shared" si="16"/>
        <v>0</v>
      </c>
      <c r="GN100" s="220">
        <f t="shared" si="17"/>
        <v>0</v>
      </c>
      <c r="GO100" s="220">
        <f t="shared" si="17"/>
        <v>0</v>
      </c>
      <c r="GP100" s="220">
        <f t="shared" si="17"/>
        <v>0</v>
      </c>
      <c r="GQ100" s="220">
        <f t="shared" si="17"/>
        <v>0</v>
      </c>
      <c r="GR100" s="220">
        <f t="shared" si="17"/>
        <v>0</v>
      </c>
      <c r="GS100" s="220">
        <f t="shared" si="17"/>
        <v>0</v>
      </c>
      <c r="GT100" s="220">
        <f t="shared" si="17"/>
        <v>0</v>
      </c>
      <c r="GU100" s="220">
        <f t="shared" si="17"/>
        <v>0</v>
      </c>
      <c r="GV100" s="220">
        <f t="shared" si="17"/>
        <v>0</v>
      </c>
      <c r="GW100" s="220">
        <f t="shared" si="17"/>
        <v>0</v>
      </c>
      <c r="GX100" s="220">
        <f t="shared" si="17"/>
        <v>0</v>
      </c>
      <c r="GY100" s="220">
        <f t="shared" si="17"/>
        <v>0</v>
      </c>
      <c r="HO100" s="256"/>
      <c r="HZ100" s="256"/>
    </row>
    <row r="101" spans="1:234" x14ac:dyDescent="0.2">
      <c r="A101" s="89">
        <f>IF('Verwerking Bouwdelen'!A28=2,1,0)</f>
        <v>0</v>
      </c>
      <c r="B101" s="226">
        <f>$A101*'Verwerking Bouwdelen'!CJ28</f>
        <v>0</v>
      </c>
      <c r="C101" s="227">
        <f>$A101*'Verwerking Bouwdelen'!CK28</f>
        <v>0</v>
      </c>
      <c r="D101" s="227">
        <f>$A101*'Verwerking Bouwdelen'!CL28</f>
        <v>0</v>
      </c>
      <c r="E101" s="227">
        <f>$A101*'Verwerking Bouwdelen'!CM28</f>
        <v>0</v>
      </c>
      <c r="F101" s="227">
        <f>$A101*'Verwerking Bouwdelen'!CN28</f>
        <v>0</v>
      </c>
      <c r="G101" s="227">
        <f>$A101*'Verwerking Bouwdelen'!CO28</f>
        <v>0</v>
      </c>
      <c r="H101" s="227">
        <f>$A101*'Verwerking Bouwdelen'!CP28</f>
        <v>0</v>
      </c>
      <c r="I101" s="227">
        <f>$A101*'Verwerking Bouwdelen'!CQ28</f>
        <v>0</v>
      </c>
      <c r="J101" s="227">
        <f>$A101*'Verwerking Bouwdelen'!CR28</f>
        <v>0</v>
      </c>
      <c r="K101" s="227">
        <f>$A101*'Verwerking Bouwdelen'!CS28</f>
        <v>0</v>
      </c>
      <c r="L101" s="227">
        <f>$A101*'Verwerking Bouwdelen'!CT28</f>
        <v>0</v>
      </c>
      <c r="M101" s="228">
        <f>$A101*'Verwerking Bouwdelen'!CU28</f>
        <v>0</v>
      </c>
      <c r="DN101" s="89">
        <f>IF('Verwerking Bouwdelen'!A28=2,1,0)</f>
        <v>0</v>
      </c>
      <c r="DO101" s="223">
        <f>$DN101*'Verwerking Bouwdelen'!FT28</f>
        <v>0</v>
      </c>
      <c r="DP101" s="223">
        <f>$DN101*'Verwerking Bouwdelen'!FU28</f>
        <v>0</v>
      </c>
      <c r="DQ101" s="223">
        <f>$DN101*'Verwerking Bouwdelen'!FV28</f>
        <v>0</v>
      </c>
      <c r="DR101" s="223">
        <f>$DN101*'Verwerking Bouwdelen'!FW28</f>
        <v>0</v>
      </c>
      <c r="DS101" s="223">
        <f>$DN101*'Verwerking Bouwdelen'!FX28</f>
        <v>0</v>
      </c>
      <c r="DT101" s="223">
        <f>$DN101*'Verwerking Bouwdelen'!FY28</f>
        <v>0</v>
      </c>
      <c r="DU101" s="223">
        <f>$DN101*'Verwerking Bouwdelen'!FZ28</f>
        <v>0</v>
      </c>
      <c r="DV101" s="223">
        <f>$DN101*'Verwerking Bouwdelen'!GA28</f>
        <v>0</v>
      </c>
      <c r="DW101" s="223">
        <f>$DN101*'Verwerking Bouwdelen'!GB28</f>
        <v>0</v>
      </c>
      <c r="DX101" s="223">
        <f>$DN101*'Verwerking Bouwdelen'!GC28</f>
        <v>0</v>
      </c>
      <c r="DY101" s="223">
        <f>$DN101*'Verwerking Bouwdelen'!GD28</f>
        <v>0</v>
      </c>
      <c r="DZ101" s="223">
        <f>$DN101*'Verwerking Bouwdelen'!GE28</f>
        <v>0</v>
      </c>
      <c r="EA101" s="89">
        <f>'Verwerking Bouwdelen'!GO28*DN101</f>
        <v>0</v>
      </c>
      <c r="EB101" s="125">
        <f>'Verwerking Bouwdelen'!GP28*DN101</f>
        <v>0</v>
      </c>
      <c r="EC101" s="89">
        <f t="shared" si="16"/>
        <v>0</v>
      </c>
      <c r="GN101" s="220">
        <f t="shared" si="17"/>
        <v>0</v>
      </c>
      <c r="GO101" s="220">
        <f t="shared" si="17"/>
        <v>0</v>
      </c>
      <c r="GP101" s="220">
        <f t="shared" si="17"/>
        <v>0</v>
      </c>
      <c r="GQ101" s="220">
        <f t="shared" si="17"/>
        <v>0</v>
      </c>
      <c r="GR101" s="220">
        <f t="shared" si="17"/>
        <v>0</v>
      </c>
      <c r="GS101" s="220">
        <f t="shared" si="17"/>
        <v>0</v>
      </c>
      <c r="GT101" s="220">
        <f t="shared" si="17"/>
        <v>0</v>
      </c>
      <c r="GU101" s="220">
        <f t="shared" si="17"/>
        <v>0</v>
      </c>
      <c r="GV101" s="220">
        <f t="shared" si="17"/>
        <v>0</v>
      </c>
      <c r="GW101" s="220">
        <f t="shared" si="17"/>
        <v>0</v>
      </c>
      <c r="GX101" s="220">
        <f t="shared" si="17"/>
        <v>0</v>
      </c>
      <c r="GY101" s="220">
        <f t="shared" si="17"/>
        <v>0</v>
      </c>
      <c r="HO101" s="256"/>
      <c r="HZ101" s="256"/>
    </row>
    <row r="102" spans="1:234" x14ac:dyDescent="0.2">
      <c r="A102" s="89">
        <f>IF('Verwerking Bouwdelen'!A29=2,1,0)</f>
        <v>0</v>
      </c>
      <c r="B102" s="226">
        <f>$A102*'Verwerking Bouwdelen'!CJ29</f>
        <v>0</v>
      </c>
      <c r="C102" s="227">
        <f>$A102*'Verwerking Bouwdelen'!CK29</f>
        <v>0</v>
      </c>
      <c r="D102" s="227">
        <f>$A102*'Verwerking Bouwdelen'!CL29</f>
        <v>0</v>
      </c>
      <c r="E102" s="227">
        <f>$A102*'Verwerking Bouwdelen'!CM29</f>
        <v>0</v>
      </c>
      <c r="F102" s="227">
        <f>$A102*'Verwerking Bouwdelen'!CN29</f>
        <v>0</v>
      </c>
      <c r="G102" s="227">
        <f>$A102*'Verwerking Bouwdelen'!CO29</f>
        <v>0</v>
      </c>
      <c r="H102" s="227">
        <f>$A102*'Verwerking Bouwdelen'!CP29</f>
        <v>0</v>
      </c>
      <c r="I102" s="227">
        <f>$A102*'Verwerking Bouwdelen'!CQ29</f>
        <v>0</v>
      </c>
      <c r="J102" s="227">
        <f>$A102*'Verwerking Bouwdelen'!CR29</f>
        <v>0</v>
      </c>
      <c r="K102" s="227">
        <f>$A102*'Verwerking Bouwdelen'!CS29</f>
        <v>0</v>
      </c>
      <c r="L102" s="227">
        <f>$A102*'Verwerking Bouwdelen'!CT29</f>
        <v>0</v>
      </c>
      <c r="M102" s="228">
        <f>$A102*'Verwerking Bouwdelen'!CU29</f>
        <v>0</v>
      </c>
      <c r="DN102" s="89">
        <f>IF('Verwerking Bouwdelen'!A29=2,1,0)</f>
        <v>0</v>
      </c>
      <c r="DO102" s="223">
        <f>$DN102*'Verwerking Bouwdelen'!FT29</f>
        <v>0</v>
      </c>
      <c r="DP102" s="223">
        <f>$DN102*'Verwerking Bouwdelen'!FU29</f>
        <v>0</v>
      </c>
      <c r="DQ102" s="223">
        <f>$DN102*'Verwerking Bouwdelen'!FV29</f>
        <v>0</v>
      </c>
      <c r="DR102" s="223">
        <f>$DN102*'Verwerking Bouwdelen'!FW29</f>
        <v>0</v>
      </c>
      <c r="DS102" s="223">
        <f>$DN102*'Verwerking Bouwdelen'!FX29</f>
        <v>0</v>
      </c>
      <c r="DT102" s="223">
        <f>$DN102*'Verwerking Bouwdelen'!FY29</f>
        <v>0</v>
      </c>
      <c r="DU102" s="223">
        <f>$DN102*'Verwerking Bouwdelen'!FZ29</f>
        <v>0</v>
      </c>
      <c r="DV102" s="223">
        <f>$DN102*'Verwerking Bouwdelen'!GA29</f>
        <v>0</v>
      </c>
      <c r="DW102" s="223">
        <f>$DN102*'Verwerking Bouwdelen'!GB29</f>
        <v>0</v>
      </c>
      <c r="DX102" s="223">
        <f>$DN102*'Verwerking Bouwdelen'!GC29</f>
        <v>0</v>
      </c>
      <c r="DY102" s="223">
        <f>$DN102*'Verwerking Bouwdelen'!GD29</f>
        <v>0</v>
      </c>
      <c r="DZ102" s="223">
        <f>$DN102*'Verwerking Bouwdelen'!GE29</f>
        <v>0</v>
      </c>
      <c r="EA102" s="89">
        <f>'Verwerking Bouwdelen'!GO29*DN102</f>
        <v>0</v>
      </c>
      <c r="EB102" s="125">
        <f>'Verwerking Bouwdelen'!GP29*DN102</f>
        <v>0</v>
      </c>
      <c r="EC102" s="89">
        <f t="shared" si="16"/>
        <v>0</v>
      </c>
      <c r="GN102" s="220">
        <f t="shared" si="17"/>
        <v>0</v>
      </c>
      <c r="GO102" s="220">
        <f t="shared" si="17"/>
        <v>0</v>
      </c>
      <c r="GP102" s="220">
        <f t="shared" si="17"/>
        <v>0</v>
      </c>
      <c r="GQ102" s="220">
        <f t="shared" si="17"/>
        <v>0</v>
      </c>
      <c r="GR102" s="220">
        <f t="shared" si="17"/>
        <v>0</v>
      </c>
      <c r="GS102" s="220">
        <f t="shared" si="17"/>
        <v>0</v>
      </c>
      <c r="GT102" s="220">
        <f t="shared" si="17"/>
        <v>0</v>
      </c>
      <c r="GU102" s="220">
        <f t="shared" si="17"/>
        <v>0</v>
      </c>
      <c r="GV102" s="220">
        <f t="shared" si="17"/>
        <v>0</v>
      </c>
      <c r="GW102" s="220">
        <f t="shared" si="17"/>
        <v>0</v>
      </c>
      <c r="GX102" s="220">
        <f t="shared" si="17"/>
        <v>0</v>
      </c>
      <c r="GY102" s="220">
        <f t="shared" si="17"/>
        <v>0</v>
      </c>
      <c r="HO102" s="256"/>
      <c r="HZ102" s="256"/>
    </row>
    <row r="103" spans="1:234" x14ac:dyDescent="0.2">
      <c r="A103" s="89">
        <f>IF('Verwerking Bouwdelen'!A30=2,1,0)</f>
        <v>0</v>
      </c>
      <c r="B103" s="226">
        <f>$A103*'Verwerking Bouwdelen'!CJ30</f>
        <v>0</v>
      </c>
      <c r="C103" s="227">
        <f>$A103*'Verwerking Bouwdelen'!CK30</f>
        <v>0</v>
      </c>
      <c r="D103" s="227">
        <f>$A103*'Verwerking Bouwdelen'!CL30</f>
        <v>0</v>
      </c>
      <c r="E103" s="227">
        <f>$A103*'Verwerking Bouwdelen'!CM30</f>
        <v>0</v>
      </c>
      <c r="F103" s="227">
        <f>$A103*'Verwerking Bouwdelen'!CN30</f>
        <v>0</v>
      </c>
      <c r="G103" s="227">
        <f>$A103*'Verwerking Bouwdelen'!CO30</f>
        <v>0</v>
      </c>
      <c r="H103" s="227">
        <f>$A103*'Verwerking Bouwdelen'!CP30</f>
        <v>0</v>
      </c>
      <c r="I103" s="227">
        <f>$A103*'Verwerking Bouwdelen'!CQ30</f>
        <v>0</v>
      </c>
      <c r="J103" s="227">
        <f>$A103*'Verwerking Bouwdelen'!CR30</f>
        <v>0</v>
      </c>
      <c r="K103" s="227">
        <f>$A103*'Verwerking Bouwdelen'!CS30</f>
        <v>0</v>
      </c>
      <c r="L103" s="227">
        <f>$A103*'Verwerking Bouwdelen'!CT30</f>
        <v>0</v>
      </c>
      <c r="M103" s="228">
        <f>$A103*'Verwerking Bouwdelen'!CU30</f>
        <v>0</v>
      </c>
      <c r="DN103" s="89">
        <f>IF('Verwerking Bouwdelen'!A30=2,1,0)</f>
        <v>0</v>
      </c>
      <c r="DO103" s="223">
        <f>$DN103*'Verwerking Bouwdelen'!FT30</f>
        <v>0</v>
      </c>
      <c r="DP103" s="223">
        <f>$DN103*'Verwerking Bouwdelen'!FU30</f>
        <v>0</v>
      </c>
      <c r="DQ103" s="223">
        <f>$DN103*'Verwerking Bouwdelen'!FV30</f>
        <v>0</v>
      </c>
      <c r="DR103" s="223">
        <f>$DN103*'Verwerking Bouwdelen'!FW30</f>
        <v>0</v>
      </c>
      <c r="DS103" s="223">
        <f>$DN103*'Verwerking Bouwdelen'!FX30</f>
        <v>0</v>
      </c>
      <c r="DT103" s="223">
        <f>$DN103*'Verwerking Bouwdelen'!FY30</f>
        <v>0</v>
      </c>
      <c r="DU103" s="223">
        <f>$DN103*'Verwerking Bouwdelen'!FZ30</f>
        <v>0</v>
      </c>
      <c r="DV103" s="223">
        <f>$DN103*'Verwerking Bouwdelen'!GA30</f>
        <v>0</v>
      </c>
      <c r="DW103" s="223">
        <f>$DN103*'Verwerking Bouwdelen'!GB30</f>
        <v>0</v>
      </c>
      <c r="DX103" s="223">
        <f>$DN103*'Verwerking Bouwdelen'!GC30</f>
        <v>0</v>
      </c>
      <c r="DY103" s="223">
        <f>$DN103*'Verwerking Bouwdelen'!GD30</f>
        <v>0</v>
      </c>
      <c r="DZ103" s="223">
        <f>$DN103*'Verwerking Bouwdelen'!GE30</f>
        <v>0</v>
      </c>
      <c r="EA103" s="89">
        <f>'Verwerking Bouwdelen'!GO30*DN103</f>
        <v>0</v>
      </c>
      <c r="EB103" s="125">
        <f>'Verwerking Bouwdelen'!GP30*DN103</f>
        <v>0</v>
      </c>
      <c r="EC103" s="89">
        <f t="shared" si="16"/>
        <v>0</v>
      </c>
      <c r="GN103" s="220">
        <f t="shared" si="17"/>
        <v>0</v>
      </c>
      <c r="GO103" s="220">
        <f t="shared" si="17"/>
        <v>0</v>
      </c>
      <c r="GP103" s="220">
        <f t="shared" si="17"/>
        <v>0</v>
      </c>
      <c r="GQ103" s="220">
        <f t="shared" si="17"/>
        <v>0</v>
      </c>
      <c r="GR103" s="220">
        <f t="shared" si="17"/>
        <v>0</v>
      </c>
      <c r="GS103" s="220">
        <f t="shared" si="17"/>
        <v>0</v>
      </c>
      <c r="GT103" s="220">
        <f t="shared" si="17"/>
        <v>0</v>
      </c>
      <c r="GU103" s="220">
        <f t="shared" si="17"/>
        <v>0</v>
      </c>
      <c r="GV103" s="220">
        <f t="shared" si="17"/>
        <v>0</v>
      </c>
      <c r="GW103" s="220">
        <f t="shared" si="17"/>
        <v>0</v>
      </c>
      <c r="GX103" s="220">
        <f t="shared" si="17"/>
        <v>0</v>
      </c>
      <c r="GY103" s="220">
        <f t="shared" si="17"/>
        <v>0</v>
      </c>
      <c r="HO103" s="256"/>
      <c r="HZ103" s="256"/>
    </row>
    <row r="104" spans="1:234" x14ac:dyDescent="0.2">
      <c r="A104" s="89">
        <f>IF('Verwerking Bouwdelen'!A31=2,1,0)</f>
        <v>0</v>
      </c>
      <c r="B104" s="226">
        <f>$A104*'Verwerking Bouwdelen'!CJ31</f>
        <v>0</v>
      </c>
      <c r="C104" s="227">
        <f>$A104*'Verwerking Bouwdelen'!CK31</f>
        <v>0</v>
      </c>
      <c r="D104" s="227">
        <f>$A104*'Verwerking Bouwdelen'!CL31</f>
        <v>0</v>
      </c>
      <c r="E104" s="227">
        <f>$A104*'Verwerking Bouwdelen'!CM31</f>
        <v>0</v>
      </c>
      <c r="F104" s="227">
        <f>$A104*'Verwerking Bouwdelen'!CN31</f>
        <v>0</v>
      </c>
      <c r="G104" s="227">
        <f>$A104*'Verwerking Bouwdelen'!CO31</f>
        <v>0</v>
      </c>
      <c r="H104" s="227">
        <f>$A104*'Verwerking Bouwdelen'!CP31</f>
        <v>0</v>
      </c>
      <c r="I104" s="227">
        <f>$A104*'Verwerking Bouwdelen'!CQ31</f>
        <v>0</v>
      </c>
      <c r="J104" s="227">
        <f>$A104*'Verwerking Bouwdelen'!CR31</f>
        <v>0</v>
      </c>
      <c r="K104" s="227">
        <f>$A104*'Verwerking Bouwdelen'!CS31</f>
        <v>0</v>
      </c>
      <c r="L104" s="227">
        <f>$A104*'Verwerking Bouwdelen'!CT31</f>
        <v>0</v>
      </c>
      <c r="M104" s="228">
        <f>$A104*'Verwerking Bouwdelen'!CU31</f>
        <v>0</v>
      </c>
      <c r="DN104" s="89">
        <f>IF('Verwerking Bouwdelen'!A31=2,1,0)</f>
        <v>0</v>
      </c>
      <c r="DO104" s="223">
        <f>$DN104*'Verwerking Bouwdelen'!FT31</f>
        <v>0</v>
      </c>
      <c r="DP104" s="223">
        <f>$DN104*'Verwerking Bouwdelen'!FU31</f>
        <v>0</v>
      </c>
      <c r="DQ104" s="223">
        <f>$DN104*'Verwerking Bouwdelen'!FV31</f>
        <v>0</v>
      </c>
      <c r="DR104" s="223">
        <f>$DN104*'Verwerking Bouwdelen'!FW31</f>
        <v>0</v>
      </c>
      <c r="DS104" s="223">
        <f>$DN104*'Verwerking Bouwdelen'!FX31</f>
        <v>0</v>
      </c>
      <c r="DT104" s="223">
        <f>$DN104*'Verwerking Bouwdelen'!FY31</f>
        <v>0</v>
      </c>
      <c r="DU104" s="223">
        <f>$DN104*'Verwerking Bouwdelen'!FZ31</f>
        <v>0</v>
      </c>
      <c r="DV104" s="223">
        <f>$DN104*'Verwerking Bouwdelen'!GA31</f>
        <v>0</v>
      </c>
      <c r="DW104" s="223">
        <f>$DN104*'Verwerking Bouwdelen'!GB31</f>
        <v>0</v>
      </c>
      <c r="DX104" s="223">
        <f>$DN104*'Verwerking Bouwdelen'!GC31</f>
        <v>0</v>
      </c>
      <c r="DY104" s="223">
        <f>$DN104*'Verwerking Bouwdelen'!GD31</f>
        <v>0</v>
      </c>
      <c r="DZ104" s="223">
        <f>$DN104*'Verwerking Bouwdelen'!GE31</f>
        <v>0</v>
      </c>
      <c r="EA104" s="89">
        <f>'Verwerking Bouwdelen'!GO31*DN104</f>
        <v>0</v>
      </c>
      <c r="EB104" s="125">
        <f>'Verwerking Bouwdelen'!GP31*DN104</f>
        <v>0</v>
      </c>
      <c r="EC104" s="89">
        <f t="shared" si="16"/>
        <v>0</v>
      </c>
      <c r="GN104" s="220">
        <f t="shared" si="17"/>
        <v>0</v>
      </c>
      <c r="GO104" s="220">
        <f t="shared" si="17"/>
        <v>0</v>
      </c>
      <c r="GP104" s="220">
        <f t="shared" si="17"/>
        <v>0</v>
      </c>
      <c r="GQ104" s="220">
        <f t="shared" si="17"/>
        <v>0</v>
      </c>
      <c r="GR104" s="220">
        <f t="shared" si="17"/>
        <v>0</v>
      </c>
      <c r="GS104" s="220">
        <f t="shared" si="17"/>
        <v>0</v>
      </c>
      <c r="GT104" s="220">
        <f t="shared" si="17"/>
        <v>0</v>
      </c>
      <c r="GU104" s="220">
        <f t="shared" si="17"/>
        <v>0</v>
      </c>
      <c r="GV104" s="220">
        <f t="shared" si="17"/>
        <v>0</v>
      </c>
      <c r="GW104" s="220">
        <f t="shared" si="17"/>
        <v>0</v>
      </c>
      <c r="GX104" s="220">
        <f t="shared" si="17"/>
        <v>0</v>
      </c>
      <c r="GY104" s="220">
        <f t="shared" si="17"/>
        <v>0</v>
      </c>
      <c r="HO104" s="256"/>
      <c r="HZ104" s="256"/>
    </row>
    <row r="105" spans="1:234" x14ac:dyDescent="0.2">
      <c r="A105" s="89">
        <f>IF('Verwerking Bouwdelen'!A32=2,1,0)</f>
        <v>0</v>
      </c>
      <c r="B105" s="226">
        <f>$A105*'Verwerking Bouwdelen'!CJ32</f>
        <v>0</v>
      </c>
      <c r="C105" s="227">
        <f>$A105*'Verwerking Bouwdelen'!CK32</f>
        <v>0</v>
      </c>
      <c r="D105" s="227">
        <f>$A105*'Verwerking Bouwdelen'!CL32</f>
        <v>0</v>
      </c>
      <c r="E105" s="227">
        <f>$A105*'Verwerking Bouwdelen'!CM32</f>
        <v>0</v>
      </c>
      <c r="F105" s="227">
        <f>$A105*'Verwerking Bouwdelen'!CN32</f>
        <v>0</v>
      </c>
      <c r="G105" s="227">
        <f>$A105*'Verwerking Bouwdelen'!CO32</f>
        <v>0</v>
      </c>
      <c r="H105" s="227">
        <f>$A105*'Verwerking Bouwdelen'!CP32</f>
        <v>0</v>
      </c>
      <c r="I105" s="227">
        <f>$A105*'Verwerking Bouwdelen'!CQ32</f>
        <v>0</v>
      </c>
      <c r="J105" s="227">
        <f>$A105*'Verwerking Bouwdelen'!CR32</f>
        <v>0</v>
      </c>
      <c r="K105" s="227">
        <f>$A105*'Verwerking Bouwdelen'!CS32</f>
        <v>0</v>
      </c>
      <c r="L105" s="227">
        <f>$A105*'Verwerking Bouwdelen'!CT32</f>
        <v>0</v>
      </c>
      <c r="M105" s="228">
        <f>$A105*'Verwerking Bouwdelen'!CU32</f>
        <v>0</v>
      </c>
      <c r="DN105" s="89">
        <f>IF('Verwerking Bouwdelen'!A32=2,1,0)</f>
        <v>0</v>
      </c>
      <c r="DO105" s="223">
        <f>$DN105*'Verwerking Bouwdelen'!FT32</f>
        <v>0</v>
      </c>
      <c r="DP105" s="223">
        <f>$DN105*'Verwerking Bouwdelen'!FU32</f>
        <v>0</v>
      </c>
      <c r="DQ105" s="223">
        <f>$DN105*'Verwerking Bouwdelen'!FV32</f>
        <v>0</v>
      </c>
      <c r="DR105" s="223">
        <f>$DN105*'Verwerking Bouwdelen'!FW32</f>
        <v>0</v>
      </c>
      <c r="DS105" s="223">
        <f>$DN105*'Verwerking Bouwdelen'!FX32</f>
        <v>0</v>
      </c>
      <c r="DT105" s="223">
        <f>$DN105*'Verwerking Bouwdelen'!FY32</f>
        <v>0</v>
      </c>
      <c r="DU105" s="223">
        <f>$DN105*'Verwerking Bouwdelen'!FZ32</f>
        <v>0</v>
      </c>
      <c r="DV105" s="223">
        <f>$DN105*'Verwerking Bouwdelen'!GA32</f>
        <v>0</v>
      </c>
      <c r="DW105" s="223">
        <f>$DN105*'Verwerking Bouwdelen'!GB32</f>
        <v>0</v>
      </c>
      <c r="DX105" s="223">
        <f>$DN105*'Verwerking Bouwdelen'!GC32</f>
        <v>0</v>
      </c>
      <c r="DY105" s="223">
        <f>$DN105*'Verwerking Bouwdelen'!GD32</f>
        <v>0</v>
      </c>
      <c r="DZ105" s="223">
        <f>$DN105*'Verwerking Bouwdelen'!GE32</f>
        <v>0</v>
      </c>
      <c r="EA105" s="89">
        <f>'Verwerking Bouwdelen'!GO32*DN105</f>
        <v>0</v>
      </c>
      <c r="EB105" s="125">
        <f>'Verwerking Bouwdelen'!GP32*DN105</f>
        <v>0</v>
      </c>
      <c r="EC105" s="89">
        <f t="shared" si="16"/>
        <v>0</v>
      </c>
      <c r="GN105" s="220">
        <f t="shared" si="17"/>
        <v>0</v>
      </c>
      <c r="GO105" s="220">
        <f t="shared" si="17"/>
        <v>0</v>
      </c>
      <c r="GP105" s="220">
        <f t="shared" si="17"/>
        <v>0</v>
      </c>
      <c r="GQ105" s="220">
        <f t="shared" si="17"/>
        <v>0</v>
      </c>
      <c r="GR105" s="220">
        <f t="shared" si="17"/>
        <v>0</v>
      </c>
      <c r="GS105" s="220">
        <f t="shared" si="17"/>
        <v>0</v>
      </c>
      <c r="GT105" s="220">
        <f t="shared" si="17"/>
        <v>0</v>
      </c>
      <c r="GU105" s="220">
        <f t="shared" si="17"/>
        <v>0</v>
      </c>
      <c r="GV105" s="220">
        <f t="shared" si="17"/>
        <v>0</v>
      </c>
      <c r="GW105" s="220">
        <f t="shared" si="17"/>
        <v>0</v>
      </c>
      <c r="GX105" s="220">
        <f t="shared" si="17"/>
        <v>0</v>
      </c>
      <c r="GY105" s="220">
        <f t="shared" si="17"/>
        <v>0</v>
      </c>
      <c r="HO105" s="256"/>
      <c r="HZ105" s="256"/>
    </row>
    <row r="106" spans="1:234" x14ac:dyDescent="0.2">
      <c r="A106" s="89">
        <f>IF('Verwerking Bouwdelen'!A33=2,1,0)</f>
        <v>0</v>
      </c>
      <c r="B106" s="226">
        <f>$A106*'Verwerking Bouwdelen'!CJ33</f>
        <v>0</v>
      </c>
      <c r="C106" s="227">
        <f>$A106*'Verwerking Bouwdelen'!CK33</f>
        <v>0</v>
      </c>
      <c r="D106" s="227">
        <f>$A106*'Verwerking Bouwdelen'!CL33</f>
        <v>0</v>
      </c>
      <c r="E106" s="227">
        <f>$A106*'Verwerking Bouwdelen'!CM33</f>
        <v>0</v>
      </c>
      <c r="F106" s="227">
        <f>$A106*'Verwerking Bouwdelen'!CN33</f>
        <v>0</v>
      </c>
      <c r="G106" s="227">
        <f>$A106*'Verwerking Bouwdelen'!CO33</f>
        <v>0</v>
      </c>
      <c r="H106" s="227">
        <f>$A106*'Verwerking Bouwdelen'!CP33</f>
        <v>0</v>
      </c>
      <c r="I106" s="227">
        <f>$A106*'Verwerking Bouwdelen'!CQ33</f>
        <v>0</v>
      </c>
      <c r="J106" s="227">
        <f>$A106*'Verwerking Bouwdelen'!CR33</f>
        <v>0</v>
      </c>
      <c r="K106" s="227">
        <f>$A106*'Verwerking Bouwdelen'!CS33</f>
        <v>0</v>
      </c>
      <c r="L106" s="227">
        <f>$A106*'Verwerking Bouwdelen'!CT33</f>
        <v>0</v>
      </c>
      <c r="M106" s="228">
        <f>$A106*'Verwerking Bouwdelen'!CU33</f>
        <v>0</v>
      </c>
      <c r="DN106" s="89">
        <f>IF('Verwerking Bouwdelen'!A33=2,1,0)</f>
        <v>0</v>
      </c>
      <c r="DO106" s="223">
        <f>$DN106*'Verwerking Bouwdelen'!FT33</f>
        <v>0</v>
      </c>
      <c r="DP106" s="223">
        <f>$DN106*'Verwerking Bouwdelen'!FU33</f>
        <v>0</v>
      </c>
      <c r="DQ106" s="223">
        <f>$DN106*'Verwerking Bouwdelen'!FV33</f>
        <v>0</v>
      </c>
      <c r="DR106" s="223">
        <f>$DN106*'Verwerking Bouwdelen'!FW33</f>
        <v>0</v>
      </c>
      <c r="DS106" s="223">
        <f>$DN106*'Verwerking Bouwdelen'!FX33</f>
        <v>0</v>
      </c>
      <c r="DT106" s="223">
        <f>$DN106*'Verwerking Bouwdelen'!FY33</f>
        <v>0</v>
      </c>
      <c r="DU106" s="223">
        <f>$DN106*'Verwerking Bouwdelen'!FZ33</f>
        <v>0</v>
      </c>
      <c r="DV106" s="223">
        <f>$DN106*'Verwerking Bouwdelen'!GA33</f>
        <v>0</v>
      </c>
      <c r="DW106" s="223">
        <f>$DN106*'Verwerking Bouwdelen'!GB33</f>
        <v>0</v>
      </c>
      <c r="DX106" s="223">
        <f>$DN106*'Verwerking Bouwdelen'!GC33</f>
        <v>0</v>
      </c>
      <c r="DY106" s="223">
        <f>$DN106*'Verwerking Bouwdelen'!GD33</f>
        <v>0</v>
      </c>
      <c r="DZ106" s="223">
        <f>$DN106*'Verwerking Bouwdelen'!GE33</f>
        <v>0</v>
      </c>
      <c r="EA106" s="89">
        <f>'Verwerking Bouwdelen'!GO33*DN106</f>
        <v>0</v>
      </c>
      <c r="EB106" s="125">
        <f>'Verwerking Bouwdelen'!GP33*DN106</f>
        <v>0</v>
      </c>
      <c r="EC106" s="89">
        <f t="shared" si="16"/>
        <v>0</v>
      </c>
      <c r="GN106" s="220">
        <f t="shared" si="17"/>
        <v>0</v>
      </c>
      <c r="GO106" s="220">
        <f t="shared" si="17"/>
        <v>0</v>
      </c>
      <c r="GP106" s="220">
        <f t="shared" si="17"/>
        <v>0</v>
      </c>
      <c r="GQ106" s="220">
        <f t="shared" si="17"/>
        <v>0</v>
      </c>
      <c r="GR106" s="220">
        <f t="shared" si="17"/>
        <v>0</v>
      </c>
      <c r="GS106" s="220">
        <f t="shared" si="17"/>
        <v>0</v>
      </c>
      <c r="GT106" s="220">
        <f t="shared" si="17"/>
        <v>0</v>
      </c>
      <c r="GU106" s="220">
        <f t="shared" si="17"/>
        <v>0</v>
      </c>
      <c r="GV106" s="220">
        <f t="shared" si="17"/>
        <v>0</v>
      </c>
      <c r="GW106" s="220">
        <f t="shared" si="17"/>
        <v>0</v>
      </c>
      <c r="GX106" s="220">
        <f t="shared" si="17"/>
        <v>0</v>
      </c>
      <c r="GY106" s="220">
        <f t="shared" si="17"/>
        <v>0</v>
      </c>
      <c r="HO106" s="256"/>
      <c r="HZ106" s="256"/>
    </row>
    <row r="107" spans="1:234" x14ac:dyDescent="0.2">
      <c r="A107" s="89">
        <f>IF('Verwerking Bouwdelen'!A34=2,1,0)</f>
        <v>0</v>
      </c>
      <c r="B107" s="226">
        <f>$A107*'Verwerking Bouwdelen'!CJ34</f>
        <v>0</v>
      </c>
      <c r="C107" s="227">
        <f>$A107*'Verwerking Bouwdelen'!CK34</f>
        <v>0</v>
      </c>
      <c r="D107" s="227">
        <f>$A107*'Verwerking Bouwdelen'!CL34</f>
        <v>0</v>
      </c>
      <c r="E107" s="227">
        <f>$A107*'Verwerking Bouwdelen'!CM34</f>
        <v>0</v>
      </c>
      <c r="F107" s="227">
        <f>$A107*'Verwerking Bouwdelen'!CN34</f>
        <v>0</v>
      </c>
      <c r="G107" s="227">
        <f>$A107*'Verwerking Bouwdelen'!CO34</f>
        <v>0</v>
      </c>
      <c r="H107" s="227">
        <f>$A107*'Verwerking Bouwdelen'!CP34</f>
        <v>0</v>
      </c>
      <c r="I107" s="227">
        <f>$A107*'Verwerking Bouwdelen'!CQ34</f>
        <v>0</v>
      </c>
      <c r="J107" s="227">
        <f>$A107*'Verwerking Bouwdelen'!CR34</f>
        <v>0</v>
      </c>
      <c r="K107" s="227">
        <f>$A107*'Verwerking Bouwdelen'!CS34</f>
        <v>0</v>
      </c>
      <c r="L107" s="227">
        <f>$A107*'Verwerking Bouwdelen'!CT34</f>
        <v>0</v>
      </c>
      <c r="M107" s="228">
        <f>$A107*'Verwerking Bouwdelen'!CU34</f>
        <v>0</v>
      </c>
      <c r="DN107" s="89">
        <f>IF('Verwerking Bouwdelen'!A34=2,1,0)</f>
        <v>0</v>
      </c>
      <c r="DO107" s="223">
        <f>$DN107*'Verwerking Bouwdelen'!FT34</f>
        <v>0</v>
      </c>
      <c r="DP107" s="223">
        <f>$DN107*'Verwerking Bouwdelen'!FU34</f>
        <v>0</v>
      </c>
      <c r="DQ107" s="223">
        <f>$DN107*'Verwerking Bouwdelen'!FV34</f>
        <v>0</v>
      </c>
      <c r="DR107" s="223">
        <f>$DN107*'Verwerking Bouwdelen'!FW34</f>
        <v>0</v>
      </c>
      <c r="DS107" s="223">
        <f>$DN107*'Verwerking Bouwdelen'!FX34</f>
        <v>0</v>
      </c>
      <c r="DT107" s="223">
        <f>$DN107*'Verwerking Bouwdelen'!FY34</f>
        <v>0</v>
      </c>
      <c r="DU107" s="223">
        <f>$DN107*'Verwerking Bouwdelen'!FZ34</f>
        <v>0</v>
      </c>
      <c r="DV107" s="223">
        <f>$DN107*'Verwerking Bouwdelen'!GA34</f>
        <v>0</v>
      </c>
      <c r="DW107" s="223">
        <f>$DN107*'Verwerking Bouwdelen'!GB34</f>
        <v>0</v>
      </c>
      <c r="DX107" s="223">
        <f>$DN107*'Verwerking Bouwdelen'!GC34</f>
        <v>0</v>
      </c>
      <c r="DY107" s="223">
        <f>$DN107*'Verwerking Bouwdelen'!GD34</f>
        <v>0</v>
      </c>
      <c r="DZ107" s="223">
        <f>$DN107*'Verwerking Bouwdelen'!GE34</f>
        <v>0</v>
      </c>
      <c r="EA107" s="89">
        <f>'Verwerking Bouwdelen'!GO34*DN107</f>
        <v>0</v>
      </c>
      <c r="EB107" s="125">
        <f>'Verwerking Bouwdelen'!GP34*DN107</f>
        <v>0</v>
      </c>
      <c r="EC107" s="89">
        <f t="shared" si="16"/>
        <v>0</v>
      </c>
      <c r="GN107" s="220">
        <f t="shared" si="17"/>
        <v>0</v>
      </c>
      <c r="GO107" s="220">
        <f t="shared" si="17"/>
        <v>0</v>
      </c>
      <c r="GP107" s="220">
        <f t="shared" si="17"/>
        <v>0</v>
      </c>
      <c r="GQ107" s="220">
        <f t="shared" si="17"/>
        <v>0</v>
      </c>
      <c r="GR107" s="220">
        <f t="shared" si="17"/>
        <v>0</v>
      </c>
      <c r="GS107" s="220">
        <f t="shared" si="17"/>
        <v>0</v>
      </c>
      <c r="GT107" s="220">
        <f t="shared" si="17"/>
        <v>0</v>
      </c>
      <c r="GU107" s="220">
        <f t="shared" si="17"/>
        <v>0</v>
      </c>
      <c r="GV107" s="220">
        <f t="shared" si="17"/>
        <v>0</v>
      </c>
      <c r="GW107" s="220">
        <f t="shared" si="17"/>
        <v>0</v>
      </c>
      <c r="GX107" s="220">
        <f t="shared" si="17"/>
        <v>0</v>
      </c>
      <c r="GY107" s="220">
        <f t="shared" si="17"/>
        <v>0</v>
      </c>
      <c r="HO107" s="256"/>
      <c r="HZ107" s="256"/>
    </row>
    <row r="108" spans="1:234" x14ac:dyDescent="0.2">
      <c r="A108" s="89">
        <f>IF('Verwerking Bouwdelen'!A35=2,1,0)</f>
        <v>0</v>
      </c>
      <c r="B108" s="226">
        <f>$A108*'Verwerking Bouwdelen'!CJ35</f>
        <v>0</v>
      </c>
      <c r="C108" s="227">
        <f>$A108*'Verwerking Bouwdelen'!CK35</f>
        <v>0</v>
      </c>
      <c r="D108" s="227">
        <f>$A108*'Verwerking Bouwdelen'!CL35</f>
        <v>0</v>
      </c>
      <c r="E108" s="227">
        <f>$A108*'Verwerking Bouwdelen'!CM35</f>
        <v>0</v>
      </c>
      <c r="F108" s="227">
        <f>$A108*'Verwerking Bouwdelen'!CN35</f>
        <v>0</v>
      </c>
      <c r="G108" s="227">
        <f>$A108*'Verwerking Bouwdelen'!CO35</f>
        <v>0</v>
      </c>
      <c r="H108" s="227">
        <f>$A108*'Verwerking Bouwdelen'!CP35</f>
        <v>0</v>
      </c>
      <c r="I108" s="227">
        <f>$A108*'Verwerking Bouwdelen'!CQ35</f>
        <v>0</v>
      </c>
      <c r="J108" s="227">
        <f>$A108*'Verwerking Bouwdelen'!CR35</f>
        <v>0</v>
      </c>
      <c r="K108" s="227">
        <f>$A108*'Verwerking Bouwdelen'!CS35</f>
        <v>0</v>
      </c>
      <c r="L108" s="227">
        <f>$A108*'Verwerking Bouwdelen'!CT35</f>
        <v>0</v>
      </c>
      <c r="M108" s="228">
        <f>$A108*'Verwerking Bouwdelen'!CU35</f>
        <v>0</v>
      </c>
      <c r="DN108" s="89">
        <f>IF('Verwerking Bouwdelen'!A35=2,1,0)</f>
        <v>0</v>
      </c>
      <c r="DO108" s="223">
        <f>$DN108*'Verwerking Bouwdelen'!FT35</f>
        <v>0</v>
      </c>
      <c r="DP108" s="223">
        <f>$DN108*'Verwerking Bouwdelen'!FU35</f>
        <v>0</v>
      </c>
      <c r="DQ108" s="223">
        <f>$DN108*'Verwerking Bouwdelen'!FV35</f>
        <v>0</v>
      </c>
      <c r="DR108" s="223">
        <f>$DN108*'Verwerking Bouwdelen'!FW35</f>
        <v>0</v>
      </c>
      <c r="DS108" s="223">
        <f>$DN108*'Verwerking Bouwdelen'!FX35</f>
        <v>0</v>
      </c>
      <c r="DT108" s="223">
        <f>$DN108*'Verwerking Bouwdelen'!FY35</f>
        <v>0</v>
      </c>
      <c r="DU108" s="223">
        <f>$DN108*'Verwerking Bouwdelen'!FZ35</f>
        <v>0</v>
      </c>
      <c r="DV108" s="223">
        <f>$DN108*'Verwerking Bouwdelen'!GA35</f>
        <v>0</v>
      </c>
      <c r="DW108" s="223">
        <f>$DN108*'Verwerking Bouwdelen'!GB35</f>
        <v>0</v>
      </c>
      <c r="DX108" s="223">
        <f>$DN108*'Verwerking Bouwdelen'!GC35</f>
        <v>0</v>
      </c>
      <c r="DY108" s="223">
        <f>$DN108*'Verwerking Bouwdelen'!GD35</f>
        <v>0</v>
      </c>
      <c r="DZ108" s="223">
        <f>$DN108*'Verwerking Bouwdelen'!GE35</f>
        <v>0</v>
      </c>
      <c r="EA108" s="89">
        <f>'Verwerking Bouwdelen'!GO35*DN108</f>
        <v>0</v>
      </c>
      <c r="EB108" s="125">
        <f>'Verwerking Bouwdelen'!GP35*DN108</f>
        <v>0</v>
      </c>
      <c r="EC108" s="89">
        <f t="shared" si="16"/>
        <v>0</v>
      </c>
      <c r="GN108" s="220">
        <f t="shared" si="17"/>
        <v>0</v>
      </c>
      <c r="GO108" s="220">
        <f t="shared" si="17"/>
        <v>0</v>
      </c>
      <c r="GP108" s="220">
        <f t="shared" si="17"/>
        <v>0</v>
      </c>
      <c r="GQ108" s="220">
        <f t="shared" si="17"/>
        <v>0</v>
      </c>
      <c r="GR108" s="220">
        <f t="shared" si="17"/>
        <v>0</v>
      </c>
      <c r="GS108" s="220">
        <f t="shared" si="17"/>
        <v>0</v>
      </c>
      <c r="GT108" s="220">
        <f t="shared" si="17"/>
        <v>0</v>
      </c>
      <c r="GU108" s="220">
        <f t="shared" si="17"/>
        <v>0</v>
      </c>
      <c r="GV108" s="220">
        <f t="shared" si="17"/>
        <v>0</v>
      </c>
      <c r="GW108" s="220">
        <f t="shared" si="17"/>
        <v>0</v>
      </c>
      <c r="GX108" s="220">
        <f t="shared" si="17"/>
        <v>0</v>
      </c>
      <c r="GY108" s="220">
        <f t="shared" si="17"/>
        <v>0</v>
      </c>
      <c r="HO108" s="256"/>
      <c r="HZ108" s="256"/>
    </row>
    <row r="109" spans="1:234" x14ac:dyDescent="0.2">
      <c r="A109" s="89">
        <f>IF('Verwerking Bouwdelen'!A36=2,1,0)</f>
        <v>0</v>
      </c>
      <c r="B109" s="226">
        <f>$A109*'Verwerking Bouwdelen'!CJ36</f>
        <v>0</v>
      </c>
      <c r="C109" s="227">
        <f>$A109*'Verwerking Bouwdelen'!CK36</f>
        <v>0</v>
      </c>
      <c r="D109" s="227">
        <f>$A109*'Verwerking Bouwdelen'!CL36</f>
        <v>0</v>
      </c>
      <c r="E109" s="227">
        <f>$A109*'Verwerking Bouwdelen'!CM36</f>
        <v>0</v>
      </c>
      <c r="F109" s="227">
        <f>$A109*'Verwerking Bouwdelen'!CN36</f>
        <v>0</v>
      </c>
      <c r="G109" s="227">
        <f>$A109*'Verwerking Bouwdelen'!CO36</f>
        <v>0</v>
      </c>
      <c r="H109" s="227">
        <f>$A109*'Verwerking Bouwdelen'!CP36</f>
        <v>0</v>
      </c>
      <c r="I109" s="227">
        <f>$A109*'Verwerking Bouwdelen'!CQ36</f>
        <v>0</v>
      </c>
      <c r="J109" s="227">
        <f>$A109*'Verwerking Bouwdelen'!CR36</f>
        <v>0</v>
      </c>
      <c r="K109" s="227">
        <f>$A109*'Verwerking Bouwdelen'!CS36</f>
        <v>0</v>
      </c>
      <c r="L109" s="227">
        <f>$A109*'Verwerking Bouwdelen'!CT36</f>
        <v>0</v>
      </c>
      <c r="M109" s="228">
        <f>$A109*'Verwerking Bouwdelen'!CU36</f>
        <v>0</v>
      </c>
      <c r="DN109" s="89">
        <f>IF('Verwerking Bouwdelen'!A36=2,1,0)</f>
        <v>0</v>
      </c>
      <c r="DO109" s="223">
        <f>$DN109*'Verwerking Bouwdelen'!FT36</f>
        <v>0</v>
      </c>
      <c r="DP109" s="223">
        <f>$DN109*'Verwerking Bouwdelen'!FU36</f>
        <v>0</v>
      </c>
      <c r="DQ109" s="223">
        <f>$DN109*'Verwerking Bouwdelen'!FV36</f>
        <v>0</v>
      </c>
      <c r="DR109" s="223">
        <f>$DN109*'Verwerking Bouwdelen'!FW36</f>
        <v>0</v>
      </c>
      <c r="DS109" s="223">
        <f>$DN109*'Verwerking Bouwdelen'!FX36</f>
        <v>0</v>
      </c>
      <c r="DT109" s="223">
        <f>$DN109*'Verwerking Bouwdelen'!FY36</f>
        <v>0</v>
      </c>
      <c r="DU109" s="223">
        <f>$DN109*'Verwerking Bouwdelen'!FZ36</f>
        <v>0</v>
      </c>
      <c r="DV109" s="223">
        <f>$DN109*'Verwerking Bouwdelen'!GA36</f>
        <v>0</v>
      </c>
      <c r="DW109" s="223">
        <f>$DN109*'Verwerking Bouwdelen'!GB36</f>
        <v>0</v>
      </c>
      <c r="DX109" s="223">
        <f>$DN109*'Verwerking Bouwdelen'!GC36</f>
        <v>0</v>
      </c>
      <c r="DY109" s="223">
        <f>$DN109*'Verwerking Bouwdelen'!GD36</f>
        <v>0</v>
      </c>
      <c r="DZ109" s="223">
        <f>$DN109*'Verwerking Bouwdelen'!GE36</f>
        <v>0</v>
      </c>
      <c r="EA109" s="89">
        <f>'Verwerking Bouwdelen'!GO36*DN109</f>
        <v>0</v>
      </c>
      <c r="EB109" s="125">
        <f>'Verwerking Bouwdelen'!GP36*DN109</f>
        <v>0</v>
      </c>
      <c r="EC109" s="89">
        <f t="shared" si="16"/>
        <v>0</v>
      </c>
      <c r="GN109" s="220">
        <f t="shared" si="17"/>
        <v>0</v>
      </c>
      <c r="GO109" s="220">
        <f t="shared" si="17"/>
        <v>0</v>
      </c>
      <c r="GP109" s="220">
        <f t="shared" si="17"/>
        <v>0</v>
      </c>
      <c r="GQ109" s="220">
        <f t="shared" si="17"/>
        <v>0</v>
      </c>
      <c r="GR109" s="220">
        <f t="shared" si="17"/>
        <v>0</v>
      </c>
      <c r="GS109" s="220">
        <f t="shared" si="17"/>
        <v>0</v>
      </c>
      <c r="GT109" s="220">
        <f t="shared" si="17"/>
        <v>0</v>
      </c>
      <c r="GU109" s="220">
        <f t="shared" si="17"/>
        <v>0</v>
      </c>
      <c r="GV109" s="220">
        <f t="shared" si="17"/>
        <v>0</v>
      </c>
      <c r="GW109" s="220">
        <f t="shared" si="17"/>
        <v>0</v>
      </c>
      <c r="GX109" s="220">
        <f t="shared" si="17"/>
        <v>0</v>
      </c>
      <c r="GY109" s="220">
        <f t="shared" si="17"/>
        <v>0</v>
      </c>
      <c r="HO109" s="256"/>
      <c r="HZ109" s="256"/>
    </row>
    <row r="110" spans="1:234" x14ac:dyDescent="0.2">
      <c r="A110" s="89">
        <f>IF('Verwerking Bouwdelen'!A37=2,1,0)</f>
        <v>0</v>
      </c>
      <c r="B110" s="226">
        <f>$A110*'Verwerking Bouwdelen'!CJ37</f>
        <v>0</v>
      </c>
      <c r="C110" s="227">
        <f>$A110*'Verwerking Bouwdelen'!CK37</f>
        <v>0</v>
      </c>
      <c r="D110" s="227">
        <f>$A110*'Verwerking Bouwdelen'!CL37</f>
        <v>0</v>
      </c>
      <c r="E110" s="227">
        <f>$A110*'Verwerking Bouwdelen'!CM37</f>
        <v>0</v>
      </c>
      <c r="F110" s="227">
        <f>$A110*'Verwerking Bouwdelen'!CN37</f>
        <v>0</v>
      </c>
      <c r="G110" s="227">
        <f>$A110*'Verwerking Bouwdelen'!CO37</f>
        <v>0</v>
      </c>
      <c r="H110" s="227">
        <f>$A110*'Verwerking Bouwdelen'!CP37</f>
        <v>0</v>
      </c>
      <c r="I110" s="227">
        <f>$A110*'Verwerking Bouwdelen'!CQ37</f>
        <v>0</v>
      </c>
      <c r="J110" s="227">
        <f>$A110*'Verwerking Bouwdelen'!CR37</f>
        <v>0</v>
      </c>
      <c r="K110" s="227">
        <f>$A110*'Verwerking Bouwdelen'!CS37</f>
        <v>0</v>
      </c>
      <c r="L110" s="227">
        <f>$A110*'Verwerking Bouwdelen'!CT37</f>
        <v>0</v>
      </c>
      <c r="M110" s="228">
        <f>$A110*'Verwerking Bouwdelen'!CU37</f>
        <v>0</v>
      </c>
      <c r="DN110" s="89">
        <f>IF('Verwerking Bouwdelen'!A37=2,1,0)</f>
        <v>0</v>
      </c>
      <c r="DO110" s="223">
        <f>$DN110*'Verwerking Bouwdelen'!FT37</f>
        <v>0</v>
      </c>
      <c r="DP110" s="223">
        <f>$DN110*'Verwerking Bouwdelen'!FU37</f>
        <v>0</v>
      </c>
      <c r="DQ110" s="223">
        <f>$DN110*'Verwerking Bouwdelen'!FV37</f>
        <v>0</v>
      </c>
      <c r="DR110" s="223">
        <f>$DN110*'Verwerking Bouwdelen'!FW37</f>
        <v>0</v>
      </c>
      <c r="DS110" s="223">
        <f>$DN110*'Verwerking Bouwdelen'!FX37</f>
        <v>0</v>
      </c>
      <c r="DT110" s="223">
        <f>$DN110*'Verwerking Bouwdelen'!FY37</f>
        <v>0</v>
      </c>
      <c r="DU110" s="223">
        <f>$DN110*'Verwerking Bouwdelen'!FZ37</f>
        <v>0</v>
      </c>
      <c r="DV110" s="223">
        <f>$DN110*'Verwerking Bouwdelen'!GA37</f>
        <v>0</v>
      </c>
      <c r="DW110" s="223">
        <f>$DN110*'Verwerking Bouwdelen'!GB37</f>
        <v>0</v>
      </c>
      <c r="DX110" s="223">
        <f>$DN110*'Verwerking Bouwdelen'!GC37</f>
        <v>0</v>
      </c>
      <c r="DY110" s="223">
        <f>$DN110*'Verwerking Bouwdelen'!GD37</f>
        <v>0</v>
      </c>
      <c r="DZ110" s="223">
        <f>$DN110*'Verwerking Bouwdelen'!GE37</f>
        <v>0</v>
      </c>
      <c r="EA110" s="89">
        <f>'Verwerking Bouwdelen'!GO37*DN110</f>
        <v>0</v>
      </c>
      <c r="EB110" s="125">
        <f>'Verwerking Bouwdelen'!GP37*DN110</f>
        <v>0</v>
      </c>
      <c r="EC110" s="89">
        <f t="shared" si="16"/>
        <v>0</v>
      </c>
      <c r="GN110" s="220">
        <f t="shared" si="17"/>
        <v>0</v>
      </c>
      <c r="GO110" s="220">
        <f t="shared" si="17"/>
        <v>0</v>
      </c>
      <c r="GP110" s="220">
        <f t="shared" si="17"/>
        <v>0</v>
      </c>
      <c r="GQ110" s="220">
        <f t="shared" si="17"/>
        <v>0</v>
      </c>
      <c r="GR110" s="220">
        <f t="shared" si="17"/>
        <v>0</v>
      </c>
      <c r="GS110" s="220">
        <f t="shared" si="17"/>
        <v>0</v>
      </c>
      <c r="GT110" s="220">
        <f t="shared" si="17"/>
        <v>0</v>
      </c>
      <c r="GU110" s="220">
        <f t="shared" si="17"/>
        <v>0</v>
      </c>
      <c r="GV110" s="220">
        <f t="shared" si="17"/>
        <v>0</v>
      </c>
      <c r="GW110" s="220">
        <f t="shared" si="17"/>
        <v>0</v>
      </c>
      <c r="GX110" s="220">
        <f t="shared" si="17"/>
        <v>0</v>
      </c>
      <c r="GY110" s="220">
        <f t="shared" si="17"/>
        <v>0</v>
      </c>
      <c r="HO110" s="256"/>
      <c r="HZ110" s="256"/>
    </row>
    <row r="111" spans="1:234" x14ac:dyDescent="0.2">
      <c r="A111" s="89">
        <f>IF('Verwerking Bouwdelen'!A38=2,1,0)</f>
        <v>0</v>
      </c>
      <c r="B111" s="226">
        <f>$A111*'Verwerking Bouwdelen'!CJ38</f>
        <v>0</v>
      </c>
      <c r="C111" s="227">
        <f>$A111*'Verwerking Bouwdelen'!CK38</f>
        <v>0</v>
      </c>
      <c r="D111" s="227">
        <f>$A111*'Verwerking Bouwdelen'!CL38</f>
        <v>0</v>
      </c>
      <c r="E111" s="227">
        <f>$A111*'Verwerking Bouwdelen'!CM38</f>
        <v>0</v>
      </c>
      <c r="F111" s="227">
        <f>$A111*'Verwerking Bouwdelen'!CN38</f>
        <v>0</v>
      </c>
      <c r="G111" s="227">
        <f>$A111*'Verwerking Bouwdelen'!CO38</f>
        <v>0</v>
      </c>
      <c r="H111" s="227">
        <f>$A111*'Verwerking Bouwdelen'!CP38</f>
        <v>0</v>
      </c>
      <c r="I111" s="227">
        <f>$A111*'Verwerking Bouwdelen'!CQ38</f>
        <v>0</v>
      </c>
      <c r="J111" s="227">
        <f>$A111*'Verwerking Bouwdelen'!CR38</f>
        <v>0</v>
      </c>
      <c r="K111" s="227">
        <f>$A111*'Verwerking Bouwdelen'!CS38</f>
        <v>0</v>
      </c>
      <c r="L111" s="227">
        <f>$A111*'Verwerking Bouwdelen'!CT38</f>
        <v>0</v>
      </c>
      <c r="M111" s="228">
        <f>$A111*'Verwerking Bouwdelen'!CU38</f>
        <v>0</v>
      </c>
      <c r="DN111" s="89">
        <f>IF('Verwerking Bouwdelen'!A38=2,1,0)</f>
        <v>0</v>
      </c>
      <c r="DO111" s="223">
        <f>$DN111*'Verwerking Bouwdelen'!FT38</f>
        <v>0</v>
      </c>
      <c r="DP111" s="223">
        <f>$DN111*'Verwerking Bouwdelen'!FU38</f>
        <v>0</v>
      </c>
      <c r="DQ111" s="223">
        <f>$DN111*'Verwerking Bouwdelen'!FV38</f>
        <v>0</v>
      </c>
      <c r="DR111" s="223">
        <f>$DN111*'Verwerking Bouwdelen'!FW38</f>
        <v>0</v>
      </c>
      <c r="DS111" s="223">
        <f>$DN111*'Verwerking Bouwdelen'!FX38</f>
        <v>0</v>
      </c>
      <c r="DT111" s="223">
        <f>$DN111*'Verwerking Bouwdelen'!FY38</f>
        <v>0</v>
      </c>
      <c r="DU111" s="223">
        <f>$DN111*'Verwerking Bouwdelen'!FZ38</f>
        <v>0</v>
      </c>
      <c r="DV111" s="223">
        <f>$DN111*'Verwerking Bouwdelen'!GA38</f>
        <v>0</v>
      </c>
      <c r="DW111" s="223">
        <f>$DN111*'Verwerking Bouwdelen'!GB38</f>
        <v>0</v>
      </c>
      <c r="DX111" s="223">
        <f>$DN111*'Verwerking Bouwdelen'!GC38</f>
        <v>0</v>
      </c>
      <c r="DY111" s="223">
        <f>$DN111*'Verwerking Bouwdelen'!GD38</f>
        <v>0</v>
      </c>
      <c r="DZ111" s="223">
        <f>$DN111*'Verwerking Bouwdelen'!GE38</f>
        <v>0</v>
      </c>
      <c r="EA111" s="89">
        <f>'Verwerking Bouwdelen'!GO38*DN111</f>
        <v>0</v>
      </c>
      <c r="EB111" s="125">
        <f>'Verwerking Bouwdelen'!GP38*DN111</f>
        <v>0</v>
      </c>
      <c r="EC111" s="89">
        <f t="shared" si="16"/>
        <v>0</v>
      </c>
      <c r="GN111" s="220">
        <f t="shared" si="17"/>
        <v>0</v>
      </c>
      <c r="GO111" s="220">
        <f t="shared" si="17"/>
        <v>0</v>
      </c>
      <c r="GP111" s="220">
        <f t="shared" si="17"/>
        <v>0</v>
      </c>
      <c r="GQ111" s="220">
        <f t="shared" si="17"/>
        <v>0</v>
      </c>
      <c r="GR111" s="220">
        <f t="shared" si="17"/>
        <v>0</v>
      </c>
      <c r="GS111" s="220">
        <f t="shared" si="17"/>
        <v>0</v>
      </c>
      <c r="GT111" s="220">
        <f t="shared" si="17"/>
        <v>0</v>
      </c>
      <c r="GU111" s="220">
        <f t="shared" si="17"/>
        <v>0</v>
      </c>
      <c r="GV111" s="220">
        <f t="shared" si="17"/>
        <v>0</v>
      </c>
      <c r="GW111" s="220">
        <f t="shared" si="17"/>
        <v>0</v>
      </c>
      <c r="GX111" s="220">
        <f t="shared" si="17"/>
        <v>0</v>
      </c>
      <c r="GY111" s="220">
        <f t="shared" si="17"/>
        <v>0</v>
      </c>
      <c r="HO111" s="256"/>
      <c r="HZ111" s="256"/>
    </row>
    <row r="112" spans="1:234" x14ac:dyDescent="0.2">
      <c r="A112" s="89">
        <f>IF('Verwerking Bouwdelen'!A39=2,1,0)</f>
        <v>0</v>
      </c>
      <c r="B112" s="226">
        <f>$A112*'Verwerking Bouwdelen'!CJ39</f>
        <v>0</v>
      </c>
      <c r="C112" s="227">
        <f>$A112*'Verwerking Bouwdelen'!CK39</f>
        <v>0</v>
      </c>
      <c r="D112" s="227">
        <f>$A112*'Verwerking Bouwdelen'!CL39</f>
        <v>0</v>
      </c>
      <c r="E112" s="227">
        <f>$A112*'Verwerking Bouwdelen'!CM39</f>
        <v>0</v>
      </c>
      <c r="F112" s="227">
        <f>$A112*'Verwerking Bouwdelen'!CN39</f>
        <v>0</v>
      </c>
      <c r="G112" s="227">
        <f>$A112*'Verwerking Bouwdelen'!CO39</f>
        <v>0</v>
      </c>
      <c r="H112" s="227">
        <f>$A112*'Verwerking Bouwdelen'!CP39</f>
        <v>0</v>
      </c>
      <c r="I112" s="227">
        <f>$A112*'Verwerking Bouwdelen'!CQ39</f>
        <v>0</v>
      </c>
      <c r="J112" s="227">
        <f>$A112*'Verwerking Bouwdelen'!CR39</f>
        <v>0</v>
      </c>
      <c r="K112" s="227">
        <f>$A112*'Verwerking Bouwdelen'!CS39</f>
        <v>0</v>
      </c>
      <c r="L112" s="227">
        <f>$A112*'Verwerking Bouwdelen'!CT39</f>
        <v>0</v>
      </c>
      <c r="M112" s="228">
        <f>$A112*'Verwerking Bouwdelen'!CU39</f>
        <v>0</v>
      </c>
      <c r="DN112" s="89">
        <f>IF('Verwerking Bouwdelen'!A39=2,1,0)</f>
        <v>0</v>
      </c>
      <c r="DO112" s="223">
        <f>$DN112*'Verwerking Bouwdelen'!FT39</f>
        <v>0</v>
      </c>
      <c r="DP112" s="223">
        <f>$DN112*'Verwerking Bouwdelen'!FU39</f>
        <v>0</v>
      </c>
      <c r="DQ112" s="223">
        <f>$DN112*'Verwerking Bouwdelen'!FV39</f>
        <v>0</v>
      </c>
      <c r="DR112" s="223">
        <f>$DN112*'Verwerking Bouwdelen'!FW39</f>
        <v>0</v>
      </c>
      <c r="DS112" s="223">
        <f>$DN112*'Verwerking Bouwdelen'!FX39</f>
        <v>0</v>
      </c>
      <c r="DT112" s="223">
        <f>$DN112*'Verwerking Bouwdelen'!FY39</f>
        <v>0</v>
      </c>
      <c r="DU112" s="223">
        <f>$DN112*'Verwerking Bouwdelen'!FZ39</f>
        <v>0</v>
      </c>
      <c r="DV112" s="223">
        <f>$DN112*'Verwerking Bouwdelen'!GA39</f>
        <v>0</v>
      </c>
      <c r="DW112" s="223">
        <f>$DN112*'Verwerking Bouwdelen'!GB39</f>
        <v>0</v>
      </c>
      <c r="DX112" s="223">
        <f>$DN112*'Verwerking Bouwdelen'!GC39</f>
        <v>0</v>
      </c>
      <c r="DY112" s="223">
        <f>$DN112*'Verwerking Bouwdelen'!GD39</f>
        <v>0</v>
      </c>
      <c r="DZ112" s="223">
        <f>$DN112*'Verwerking Bouwdelen'!GE39</f>
        <v>0</v>
      </c>
      <c r="EA112" s="89">
        <f>'Verwerking Bouwdelen'!GO39*DN112</f>
        <v>0</v>
      </c>
      <c r="EB112" s="125">
        <f>'Verwerking Bouwdelen'!GP39*DN112</f>
        <v>0</v>
      </c>
      <c r="EC112" s="89">
        <f t="shared" si="16"/>
        <v>0</v>
      </c>
      <c r="GN112" s="220">
        <f t="shared" ref="GN112:GY118" si="18">DO112</f>
        <v>0</v>
      </c>
      <c r="GO112" s="220">
        <f t="shared" si="18"/>
        <v>0</v>
      </c>
      <c r="GP112" s="220">
        <f t="shared" si="18"/>
        <v>0</v>
      </c>
      <c r="GQ112" s="220">
        <f t="shared" si="18"/>
        <v>0</v>
      </c>
      <c r="GR112" s="220">
        <f t="shared" si="18"/>
        <v>0</v>
      </c>
      <c r="GS112" s="220">
        <f t="shared" si="18"/>
        <v>0</v>
      </c>
      <c r="GT112" s="220">
        <f t="shared" si="18"/>
        <v>0</v>
      </c>
      <c r="GU112" s="220">
        <f t="shared" si="18"/>
        <v>0</v>
      </c>
      <c r="GV112" s="220">
        <f t="shared" si="18"/>
        <v>0</v>
      </c>
      <c r="GW112" s="220">
        <f t="shared" si="18"/>
        <v>0</v>
      </c>
      <c r="GX112" s="220">
        <f t="shared" si="18"/>
        <v>0</v>
      </c>
      <c r="GY112" s="220">
        <f t="shared" si="18"/>
        <v>0</v>
      </c>
      <c r="HO112" s="256"/>
      <c r="HZ112" s="256"/>
    </row>
    <row r="113" spans="1:234" x14ac:dyDescent="0.2">
      <c r="A113" s="89">
        <f>IF('Verwerking Bouwdelen'!A40=2,1,0)</f>
        <v>0</v>
      </c>
      <c r="B113" s="226">
        <f>$A113*'Verwerking Bouwdelen'!CJ40</f>
        <v>0</v>
      </c>
      <c r="C113" s="227">
        <f>$A113*'Verwerking Bouwdelen'!CK40</f>
        <v>0</v>
      </c>
      <c r="D113" s="227">
        <f>$A113*'Verwerking Bouwdelen'!CL40</f>
        <v>0</v>
      </c>
      <c r="E113" s="227">
        <f>$A113*'Verwerking Bouwdelen'!CM40</f>
        <v>0</v>
      </c>
      <c r="F113" s="227">
        <f>$A113*'Verwerking Bouwdelen'!CN40</f>
        <v>0</v>
      </c>
      <c r="G113" s="227">
        <f>$A113*'Verwerking Bouwdelen'!CO40</f>
        <v>0</v>
      </c>
      <c r="H113" s="227">
        <f>$A113*'Verwerking Bouwdelen'!CP40</f>
        <v>0</v>
      </c>
      <c r="I113" s="227">
        <f>$A113*'Verwerking Bouwdelen'!CQ40</f>
        <v>0</v>
      </c>
      <c r="J113" s="227">
        <f>$A113*'Verwerking Bouwdelen'!CR40</f>
        <v>0</v>
      </c>
      <c r="K113" s="227">
        <f>$A113*'Verwerking Bouwdelen'!CS40</f>
        <v>0</v>
      </c>
      <c r="L113" s="227">
        <f>$A113*'Verwerking Bouwdelen'!CT40</f>
        <v>0</v>
      </c>
      <c r="M113" s="228">
        <f>$A113*'Verwerking Bouwdelen'!CU40</f>
        <v>0</v>
      </c>
      <c r="DN113" s="89">
        <f>IF('Verwerking Bouwdelen'!A40=2,1,0)</f>
        <v>0</v>
      </c>
      <c r="DO113" s="223">
        <f>$DN113*'Verwerking Bouwdelen'!FT40</f>
        <v>0</v>
      </c>
      <c r="DP113" s="223">
        <f>$DN113*'Verwerking Bouwdelen'!FU40</f>
        <v>0</v>
      </c>
      <c r="DQ113" s="223">
        <f>$DN113*'Verwerking Bouwdelen'!FV40</f>
        <v>0</v>
      </c>
      <c r="DR113" s="223">
        <f>$DN113*'Verwerking Bouwdelen'!FW40</f>
        <v>0</v>
      </c>
      <c r="DS113" s="223">
        <f>$DN113*'Verwerking Bouwdelen'!FX40</f>
        <v>0</v>
      </c>
      <c r="DT113" s="223">
        <f>$DN113*'Verwerking Bouwdelen'!FY40</f>
        <v>0</v>
      </c>
      <c r="DU113" s="223">
        <f>$DN113*'Verwerking Bouwdelen'!FZ40</f>
        <v>0</v>
      </c>
      <c r="DV113" s="223">
        <f>$DN113*'Verwerking Bouwdelen'!GA40</f>
        <v>0</v>
      </c>
      <c r="DW113" s="223">
        <f>$DN113*'Verwerking Bouwdelen'!GB40</f>
        <v>0</v>
      </c>
      <c r="DX113" s="223">
        <f>$DN113*'Verwerking Bouwdelen'!GC40</f>
        <v>0</v>
      </c>
      <c r="DY113" s="223">
        <f>$DN113*'Verwerking Bouwdelen'!GD40</f>
        <v>0</v>
      </c>
      <c r="DZ113" s="223">
        <f>$DN113*'Verwerking Bouwdelen'!GE40</f>
        <v>0</v>
      </c>
      <c r="EA113" s="89">
        <f>'Verwerking Bouwdelen'!GO40*DN113</f>
        <v>0</v>
      </c>
      <c r="EB113" s="125">
        <f>'Verwerking Bouwdelen'!GP40*DN113</f>
        <v>0</v>
      </c>
      <c r="EC113" s="89">
        <f t="shared" si="16"/>
        <v>0</v>
      </c>
      <c r="GN113" s="220">
        <f t="shared" si="18"/>
        <v>0</v>
      </c>
      <c r="GO113" s="220">
        <f t="shared" si="18"/>
        <v>0</v>
      </c>
      <c r="GP113" s="220">
        <f t="shared" si="18"/>
        <v>0</v>
      </c>
      <c r="GQ113" s="220">
        <f t="shared" si="18"/>
        <v>0</v>
      </c>
      <c r="GR113" s="220">
        <f t="shared" si="18"/>
        <v>0</v>
      </c>
      <c r="GS113" s="220">
        <f t="shared" si="18"/>
        <v>0</v>
      </c>
      <c r="GT113" s="220">
        <f t="shared" si="18"/>
        <v>0</v>
      </c>
      <c r="GU113" s="220">
        <f t="shared" si="18"/>
        <v>0</v>
      </c>
      <c r="GV113" s="220">
        <f t="shared" si="18"/>
        <v>0</v>
      </c>
      <c r="GW113" s="220">
        <f t="shared" si="18"/>
        <v>0</v>
      </c>
      <c r="GX113" s="220">
        <f t="shared" si="18"/>
        <v>0</v>
      </c>
      <c r="GY113" s="220">
        <f t="shared" si="18"/>
        <v>0</v>
      </c>
      <c r="HO113" s="256"/>
      <c r="HZ113" s="256"/>
    </row>
    <row r="114" spans="1:234" x14ac:dyDescent="0.2">
      <c r="A114" s="89">
        <f>IF('Verwerking Bouwdelen'!A41=2,1,0)</f>
        <v>0</v>
      </c>
      <c r="B114" s="226">
        <f>$A114*'Verwerking Bouwdelen'!CJ41</f>
        <v>0</v>
      </c>
      <c r="C114" s="227">
        <f>$A114*'Verwerking Bouwdelen'!CK41</f>
        <v>0</v>
      </c>
      <c r="D114" s="227">
        <f>$A114*'Verwerking Bouwdelen'!CL41</f>
        <v>0</v>
      </c>
      <c r="E114" s="227">
        <f>$A114*'Verwerking Bouwdelen'!CM41</f>
        <v>0</v>
      </c>
      <c r="F114" s="227">
        <f>$A114*'Verwerking Bouwdelen'!CN41</f>
        <v>0</v>
      </c>
      <c r="G114" s="227">
        <f>$A114*'Verwerking Bouwdelen'!CO41</f>
        <v>0</v>
      </c>
      <c r="H114" s="227">
        <f>$A114*'Verwerking Bouwdelen'!CP41</f>
        <v>0</v>
      </c>
      <c r="I114" s="227">
        <f>$A114*'Verwerking Bouwdelen'!CQ41</f>
        <v>0</v>
      </c>
      <c r="J114" s="227">
        <f>$A114*'Verwerking Bouwdelen'!CR41</f>
        <v>0</v>
      </c>
      <c r="K114" s="227">
        <f>$A114*'Verwerking Bouwdelen'!CS41</f>
        <v>0</v>
      </c>
      <c r="L114" s="227">
        <f>$A114*'Verwerking Bouwdelen'!CT41</f>
        <v>0</v>
      </c>
      <c r="M114" s="228">
        <f>$A114*'Verwerking Bouwdelen'!CU41</f>
        <v>0</v>
      </c>
      <c r="DN114" s="89">
        <f>IF('Verwerking Bouwdelen'!A41=2,1,0)</f>
        <v>0</v>
      </c>
      <c r="DO114" s="223">
        <f>$DN114*'Verwerking Bouwdelen'!FT41</f>
        <v>0</v>
      </c>
      <c r="DP114" s="223">
        <f>$DN114*'Verwerking Bouwdelen'!FU41</f>
        <v>0</v>
      </c>
      <c r="DQ114" s="223">
        <f>$DN114*'Verwerking Bouwdelen'!FV41</f>
        <v>0</v>
      </c>
      <c r="DR114" s="223">
        <f>$DN114*'Verwerking Bouwdelen'!FW41</f>
        <v>0</v>
      </c>
      <c r="DS114" s="223">
        <f>$DN114*'Verwerking Bouwdelen'!FX41</f>
        <v>0</v>
      </c>
      <c r="DT114" s="223">
        <f>$DN114*'Verwerking Bouwdelen'!FY41</f>
        <v>0</v>
      </c>
      <c r="DU114" s="223">
        <f>$DN114*'Verwerking Bouwdelen'!FZ41</f>
        <v>0</v>
      </c>
      <c r="DV114" s="223">
        <f>$DN114*'Verwerking Bouwdelen'!GA41</f>
        <v>0</v>
      </c>
      <c r="DW114" s="223">
        <f>$DN114*'Verwerking Bouwdelen'!GB41</f>
        <v>0</v>
      </c>
      <c r="DX114" s="223">
        <f>$DN114*'Verwerking Bouwdelen'!GC41</f>
        <v>0</v>
      </c>
      <c r="DY114" s="223">
        <f>$DN114*'Verwerking Bouwdelen'!GD41</f>
        <v>0</v>
      </c>
      <c r="DZ114" s="223">
        <f>$DN114*'Verwerking Bouwdelen'!GE41</f>
        <v>0</v>
      </c>
      <c r="EA114" s="89">
        <f>'Verwerking Bouwdelen'!GO41*DN114</f>
        <v>0</v>
      </c>
      <c r="EB114" s="125">
        <f>'Verwerking Bouwdelen'!GP41*DN114</f>
        <v>0</v>
      </c>
      <c r="EC114" s="89">
        <f t="shared" si="16"/>
        <v>0</v>
      </c>
      <c r="GN114" s="220">
        <f t="shared" si="18"/>
        <v>0</v>
      </c>
      <c r="GO114" s="220">
        <f t="shared" si="18"/>
        <v>0</v>
      </c>
      <c r="GP114" s="220">
        <f t="shared" si="18"/>
        <v>0</v>
      </c>
      <c r="GQ114" s="220">
        <f t="shared" si="18"/>
        <v>0</v>
      </c>
      <c r="GR114" s="220">
        <f t="shared" si="18"/>
        <v>0</v>
      </c>
      <c r="GS114" s="220">
        <f t="shared" si="18"/>
        <v>0</v>
      </c>
      <c r="GT114" s="220">
        <f t="shared" si="18"/>
        <v>0</v>
      </c>
      <c r="GU114" s="220">
        <f t="shared" si="18"/>
        <v>0</v>
      </c>
      <c r="GV114" s="220">
        <f t="shared" si="18"/>
        <v>0</v>
      </c>
      <c r="GW114" s="220">
        <f t="shared" si="18"/>
        <v>0</v>
      </c>
      <c r="GX114" s="220">
        <f t="shared" si="18"/>
        <v>0</v>
      </c>
      <c r="GY114" s="220">
        <f t="shared" si="18"/>
        <v>0</v>
      </c>
      <c r="HO114" s="256"/>
      <c r="HZ114" s="256"/>
    </row>
    <row r="115" spans="1:234" x14ac:dyDescent="0.2">
      <c r="A115" s="89">
        <f>IF('Verwerking Bouwdelen'!A42=2,1,0)</f>
        <v>0</v>
      </c>
      <c r="B115" s="226">
        <f>$A115*'Verwerking Bouwdelen'!CJ42</f>
        <v>0</v>
      </c>
      <c r="C115" s="227">
        <f>$A115*'Verwerking Bouwdelen'!CK42</f>
        <v>0</v>
      </c>
      <c r="D115" s="227">
        <f>$A115*'Verwerking Bouwdelen'!CL42</f>
        <v>0</v>
      </c>
      <c r="E115" s="227">
        <f>$A115*'Verwerking Bouwdelen'!CM42</f>
        <v>0</v>
      </c>
      <c r="F115" s="227">
        <f>$A115*'Verwerking Bouwdelen'!CN42</f>
        <v>0</v>
      </c>
      <c r="G115" s="227">
        <f>$A115*'Verwerking Bouwdelen'!CO42</f>
        <v>0</v>
      </c>
      <c r="H115" s="227">
        <f>$A115*'Verwerking Bouwdelen'!CP42</f>
        <v>0</v>
      </c>
      <c r="I115" s="227">
        <f>$A115*'Verwerking Bouwdelen'!CQ42</f>
        <v>0</v>
      </c>
      <c r="J115" s="227">
        <f>$A115*'Verwerking Bouwdelen'!CR42</f>
        <v>0</v>
      </c>
      <c r="K115" s="227">
        <f>$A115*'Verwerking Bouwdelen'!CS42</f>
        <v>0</v>
      </c>
      <c r="L115" s="227">
        <f>$A115*'Verwerking Bouwdelen'!CT42</f>
        <v>0</v>
      </c>
      <c r="M115" s="228">
        <f>$A115*'Verwerking Bouwdelen'!CU42</f>
        <v>0</v>
      </c>
      <c r="DN115" s="89">
        <f>IF('Verwerking Bouwdelen'!A42=2,1,0)</f>
        <v>0</v>
      </c>
      <c r="DO115" s="223">
        <f>$DN115*'Verwerking Bouwdelen'!FT42</f>
        <v>0</v>
      </c>
      <c r="DP115" s="223">
        <f>$DN115*'Verwerking Bouwdelen'!FU42</f>
        <v>0</v>
      </c>
      <c r="DQ115" s="223">
        <f>$DN115*'Verwerking Bouwdelen'!FV42</f>
        <v>0</v>
      </c>
      <c r="DR115" s="223">
        <f>$DN115*'Verwerking Bouwdelen'!FW42</f>
        <v>0</v>
      </c>
      <c r="DS115" s="223">
        <f>$DN115*'Verwerking Bouwdelen'!FX42</f>
        <v>0</v>
      </c>
      <c r="DT115" s="223">
        <f>$DN115*'Verwerking Bouwdelen'!FY42</f>
        <v>0</v>
      </c>
      <c r="DU115" s="223">
        <f>$DN115*'Verwerking Bouwdelen'!FZ42</f>
        <v>0</v>
      </c>
      <c r="DV115" s="223">
        <f>$DN115*'Verwerking Bouwdelen'!GA42</f>
        <v>0</v>
      </c>
      <c r="DW115" s="223">
        <f>$DN115*'Verwerking Bouwdelen'!GB42</f>
        <v>0</v>
      </c>
      <c r="DX115" s="223">
        <f>$DN115*'Verwerking Bouwdelen'!GC42</f>
        <v>0</v>
      </c>
      <c r="DY115" s="223">
        <f>$DN115*'Verwerking Bouwdelen'!GD42</f>
        <v>0</v>
      </c>
      <c r="DZ115" s="223">
        <f>$DN115*'Verwerking Bouwdelen'!GE42</f>
        <v>0</v>
      </c>
      <c r="EA115" s="89">
        <f>'Verwerking Bouwdelen'!GO42*DN115</f>
        <v>0</v>
      </c>
      <c r="EB115" s="125">
        <f>'Verwerking Bouwdelen'!GP42*DN115</f>
        <v>0</v>
      </c>
      <c r="EC115" s="89">
        <f t="shared" si="16"/>
        <v>0</v>
      </c>
      <c r="GN115" s="220">
        <f t="shared" si="18"/>
        <v>0</v>
      </c>
      <c r="GO115" s="220">
        <f t="shared" si="18"/>
        <v>0</v>
      </c>
      <c r="GP115" s="220">
        <f t="shared" si="18"/>
        <v>0</v>
      </c>
      <c r="GQ115" s="220">
        <f t="shared" si="18"/>
        <v>0</v>
      </c>
      <c r="GR115" s="220">
        <f t="shared" si="18"/>
        <v>0</v>
      </c>
      <c r="GS115" s="220">
        <f t="shared" si="18"/>
        <v>0</v>
      </c>
      <c r="GT115" s="220">
        <f t="shared" si="18"/>
        <v>0</v>
      </c>
      <c r="GU115" s="220">
        <f t="shared" si="18"/>
        <v>0</v>
      </c>
      <c r="GV115" s="220">
        <f t="shared" si="18"/>
        <v>0</v>
      </c>
      <c r="GW115" s="220">
        <f t="shared" si="18"/>
        <v>0</v>
      </c>
      <c r="GX115" s="220">
        <f t="shared" si="18"/>
        <v>0</v>
      </c>
      <c r="GY115" s="220">
        <f t="shared" si="18"/>
        <v>0</v>
      </c>
      <c r="HO115" s="256"/>
      <c r="HZ115" s="256"/>
    </row>
    <row r="116" spans="1:234" x14ac:dyDescent="0.2">
      <c r="A116" s="89">
        <f>IF('Verwerking Bouwdelen'!A43=2,1,0)</f>
        <v>0</v>
      </c>
      <c r="B116" s="226">
        <f>$A116*'Verwerking Bouwdelen'!CJ43</f>
        <v>0</v>
      </c>
      <c r="C116" s="227">
        <f>$A116*'Verwerking Bouwdelen'!CK43</f>
        <v>0</v>
      </c>
      <c r="D116" s="227">
        <f>$A116*'Verwerking Bouwdelen'!CL43</f>
        <v>0</v>
      </c>
      <c r="E116" s="227">
        <f>$A116*'Verwerking Bouwdelen'!CM43</f>
        <v>0</v>
      </c>
      <c r="F116" s="227">
        <f>$A116*'Verwerking Bouwdelen'!CN43</f>
        <v>0</v>
      </c>
      <c r="G116" s="227">
        <f>$A116*'Verwerking Bouwdelen'!CO43</f>
        <v>0</v>
      </c>
      <c r="H116" s="227">
        <f>$A116*'Verwerking Bouwdelen'!CP43</f>
        <v>0</v>
      </c>
      <c r="I116" s="227">
        <f>$A116*'Verwerking Bouwdelen'!CQ43</f>
        <v>0</v>
      </c>
      <c r="J116" s="227">
        <f>$A116*'Verwerking Bouwdelen'!CR43</f>
        <v>0</v>
      </c>
      <c r="K116" s="227">
        <f>$A116*'Verwerking Bouwdelen'!CS43</f>
        <v>0</v>
      </c>
      <c r="L116" s="227">
        <f>$A116*'Verwerking Bouwdelen'!CT43</f>
        <v>0</v>
      </c>
      <c r="M116" s="228">
        <f>$A116*'Verwerking Bouwdelen'!CU43</f>
        <v>0</v>
      </c>
      <c r="DN116" s="89">
        <f>IF('Verwerking Bouwdelen'!A43=2,1,0)</f>
        <v>0</v>
      </c>
      <c r="DO116" s="223">
        <f>$DN116*'Verwerking Bouwdelen'!FT43</f>
        <v>0</v>
      </c>
      <c r="DP116" s="223">
        <f>$DN116*'Verwerking Bouwdelen'!FU43</f>
        <v>0</v>
      </c>
      <c r="DQ116" s="223">
        <f>$DN116*'Verwerking Bouwdelen'!FV43</f>
        <v>0</v>
      </c>
      <c r="DR116" s="223">
        <f>$DN116*'Verwerking Bouwdelen'!FW43</f>
        <v>0</v>
      </c>
      <c r="DS116" s="223">
        <f>$DN116*'Verwerking Bouwdelen'!FX43</f>
        <v>0</v>
      </c>
      <c r="DT116" s="223">
        <f>$DN116*'Verwerking Bouwdelen'!FY43</f>
        <v>0</v>
      </c>
      <c r="DU116" s="223">
        <f>$DN116*'Verwerking Bouwdelen'!FZ43</f>
        <v>0</v>
      </c>
      <c r="DV116" s="223">
        <f>$DN116*'Verwerking Bouwdelen'!GA43</f>
        <v>0</v>
      </c>
      <c r="DW116" s="223">
        <f>$DN116*'Verwerking Bouwdelen'!GB43</f>
        <v>0</v>
      </c>
      <c r="DX116" s="223">
        <f>$DN116*'Verwerking Bouwdelen'!GC43</f>
        <v>0</v>
      </c>
      <c r="DY116" s="223">
        <f>$DN116*'Verwerking Bouwdelen'!GD43</f>
        <v>0</v>
      </c>
      <c r="DZ116" s="223">
        <f>$DN116*'Verwerking Bouwdelen'!GE43</f>
        <v>0</v>
      </c>
      <c r="EA116" s="89">
        <f>'Verwerking Bouwdelen'!GO43*DN116</f>
        <v>0</v>
      </c>
      <c r="EB116" s="125">
        <f>'Verwerking Bouwdelen'!GP43*DN116</f>
        <v>0</v>
      </c>
      <c r="EC116" s="89">
        <f t="shared" si="16"/>
        <v>0</v>
      </c>
      <c r="GN116" s="220">
        <f t="shared" si="18"/>
        <v>0</v>
      </c>
      <c r="GO116" s="220">
        <f t="shared" si="18"/>
        <v>0</v>
      </c>
      <c r="GP116" s="220">
        <f t="shared" si="18"/>
        <v>0</v>
      </c>
      <c r="GQ116" s="220">
        <f t="shared" si="18"/>
        <v>0</v>
      </c>
      <c r="GR116" s="220">
        <f t="shared" si="18"/>
        <v>0</v>
      </c>
      <c r="GS116" s="220">
        <f t="shared" si="18"/>
        <v>0</v>
      </c>
      <c r="GT116" s="220">
        <f t="shared" si="18"/>
        <v>0</v>
      </c>
      <c r="GU116" s="220">
        <f t="shared" si="18"/>
        <v>0</v>
      </c>
      <c r="GV116" s="220">
        <f t="shared" si="18"/>
        <v>0</v>
      </c>
      <c r="GW116" s="220">
        <f t="shared" si="18"/>
        <v>0</v>
      </c>
      <c r="GX116" s="220">
        <f t="shared" si="18"/>
        <v>0</v>
      </c>
      <c r="GY116" s="220">
        <f t="shared" si="18"/>
        <v>0</v>
      </c>
      <c r="HO116" s="256"/>
      <c r="HZ116" s="256"/>
    </row>
    <row r="117" spans="1:234" x14ac:dyDescent="0.2">
      <c r="A117" s="89">
        <f>IF('Verwerking Bouwdelen'!A44=2,1,0)</f>
        <v>0</v>
      </c>
      <c r="B117" s="226">
        <f>$A117*'Verwerking Bouwdelen'!CJ44</f>
        <v>0</v>
      </c>
      <c r="C117" s="227">
        <f>$A117*'Verwerking Bouwdelen'!CK44</f>
        <v>0</v>
      </c>
      <c r="D117" s="227">
        <f>$A117*'Verwerking Bouwdelen'!CL44</f>
        <v>0</v>
      </c>
      <c r="E117" s="227">
        <f>$A117*'Verwerking Bouwdelen'!CM44</f>
        <v>0</v>
      </c>
      <c r="F117" s="227">
        <f>$A117*'Verwerking Bouwdelen'!CN44</f>
        <v>0</v>
      </c>
      <c r="G117" s="227">
        <f>$A117*'Verwerking Bouwdelen'!CO44</f>
        <v>0</v>
      </c>
      <c r="H117" s="227">
        <f>$A117*'Verwerking Bouwdelen'!CP44</f>
        <v>0</v>
      </c>
      <c r="I117" s="227">
        <f>$A117*'Verwerking Bouwdelen'!CQ44</f>
        <v>0</v>
      </c>
      <c r="J117" s="227">
        <f>$A117*'Verwerking Bouwdelen'!CR44</f>
        <v>0</v>
      </c>
      <c r="K117" s="227">
        <f>$A117*'Verwerking Bouwdelen'!CS44</f>
        <v>0</v>
      </c>
      <c r="L117" s="227">
        <f>$A117*'Verwerking Bouwdelen'!CT44</f>
        <v>0</v>
      </c>
      <c r="M117" s="228">
        <f>$A117*'Verwerking Bouwdelen'!CU44</f>
        <v>0</v>
      </c>
      <c r="DN117" s="89">
        <f>IF('Verwerking Bouwdelen'!A44=2,1,0)</f>
        <v>0</v>
      </c>
      <c r="DO117" s="223">
        <f>$DN117*'Verwerking Bouwdelen'!FT44</f>
        <v>0</v>
      </c>
      <c r="DP117" s="223">
        <f>$DN117*'Verwerking Bouwdelen'!FU44</f>
        <v>0</v>
      </c>
      <c r="DQ117" s="223">
        <f>$DN117*'Verwerking Bouwdelen'!FV44</f>
        <v>0</v>
      </c>
      <c r="DR117" s="223">
        <f>$DN117*'Verwerking Bouwdelen'!FW44</f>
        <v>0</v>
      </c>
      <c r="DS117" s="223">
        <f>$DN117*'Verwerking Bouwdelen'!FX44</f>
        <v>0</v>
      </c>
      <c r="DT117" s="223">
        <f>$DN117*'Verwerking Bouwdelen'!FY44</f>
        <v>0</v>
      </c>
      <c r="DU117" s="223">
        <f>$DN117*'Verwerking Bouwdelen'!FZ44</f>
        <v>0</v>
      </c>
      <c r="DV117" s="223">
        <f>$DN117*'Verwerking Bouwdelen'!GA44</f>
        <v>0</v>
      </c>
      <c r="DW117" s="223">
        <f>$DN117*'Verwerking Bouwdelen'!GB44</f>
        <v>0</v>
      </c>
      <c r="DX117" s="223">
        <f>$DN117*'Verwerking Bouwdelen'!GC44</f>
        <v>0</v>
      </c>
      <c r="DY117" s="223">
        <f>$DN117*'Verwerking Bouwdelen'!GD44</f>
        <v>0</v>
      </c>
      <c r="DZ117" s="223">
        <f>$DN117*'Verwerking Bouwdelen'!GE44</f>
        <v>0</v>
      </c>
      <c r="EA117" s="89">
        <f>'Verwerking Bouwdelen'!GO44*DN117</f>
        <v>0</v>
      </c>
      <c r="EB117" s="125">
        <f>'Verwerking Bouwdelen'!GP44*DN117</f>
        <v>0</v>
      </c>
      <c r="EC117" s="89">
        <f t="shared" si="16"/>
        <v>0</v>
      </c>
      <c r="GN117" s="220">
        <f t="shared" si="18"/>
        <v>0</v>
      </c>
      <c r="GO117" s="220">
        <f t="shared" si="18"/>
        <v>0</v>
      </c>
      <c r="GP117" s="220">
        <f t="shared" si="18"/>
        <v>0</v>
      </c>
      <c r="GQ117" s="220">
        <f t="shared" si="18"/>
        <v>0</v>
      </c>
      <c r="GR117" s="220">
        <f t="shared" si="18"/>
        <v>0</v>
      </c>
      <c r="GS117" s="220">
        <f t="shared" si="18"/>
        <v>0</v>
      </c>
      <c r="GT117" s="220">
        <f t="shared" si="18"/>
        <v>0</v>
      </c>
      <c r="GU117" s="220">
        <f t="shared" si="18"/>
        <v>0</v>
      </c>
      <c r="GV117" s="220">
        <f t="shared" si="18"/>
        <v>0</v>
      </c>
      <c r="GW117" s="220">
        <f t="shared" si="18"/>
        <v>0</v>
      </c>
      <c r="GX117" s="220">
        <f t="shared" si="18"/>
        <v>0</v>
      </c>
      <c r="GY117" s="220">
        <f t="shared" si="18"/>
        <v>0</v>
      </c>
      <c r="HO117" s="256"/>
      <c r="HZ117" s="256"/>
    </row>
    <row r="118" spans="1:234" x14ac:dyDescent="0.2">
      <c r="B118" s="229">
        <f t="shared" ref="B118:M118" si="19">SUM(B76:B117)</f>
        <v>0</v>
      </c>
      <c r="C118" s="230">
        <f t="shared" si="19"/>
        <v>0</v>
      </c>
      <c r="D118" s="230">
        <f t="shared" si="19"/>
        <v>0</v>
      </c>
      <c r="E118" s="230">
        <f t="shared" si="19"/>
        <v>0</v>
      </c>
      <c r="F118" s="230">
        <f t="shared" si="19"/>
        <v>0</v>
      </c>
      <c r="G118" s="230">
        <f t="shared" si="19"/>
        <v>0</v>
      </c>
      <c r="H118" s="230">
        <f t="shared" si="19"/>
        <v>0</v>
      </c>
      <c r="I118" s="230">
        <f t="shared" si="19"/>
        <v>0</v>
      </c>
      <c r="J118" s="230">
        <f t="shared" si="19"/>
        <v>0</v>
      </c>
      <c r="K118" s="230">
        <f t="shared" si="19"/>
        <v>0</v>
      </c>
      <c r="L118" s="230">
        <f t="shared" si="19"/>
        <v>0</v>
      </c>
      <c r="M118" s="231">
        <f t="shared" si="19"/>
        <v>0</v>
      </c>
      <c r="DO118" s="229">
        <f t="shared" ref="DO118:DZ118" si="20">SUM(DO76:DO117)</f>
        <v>0</v>
      </c>
      <c r="DP118" s="230">
        <f t="shared" si="20"/>
        <v>0</v>
      </c>
      <c r="DQ118" s="230">
        <f t="shared" si="20"/>
        <v>0</v>
      </c>
      <c r="DR118" s="230">
        <f t="shared" si="20"/>
        <v>0</v>
      </c>
      <c r="DS118" s="230">
        <f t="shared" si="20"/>
        <v>0</v>
      </c>
      <c r="DT118" s="230">
        <f t="shared" si="20"/>
        <v>0</v>
      </c>
      <c r="DU118" s="230">
        <f t="shared" si="20"/>
        <v>0</v>
      </c>
      <c r="DV118" s="230">
        <f t="shared" si="20"/>
        <v>0</v>
      </c>
      <c r="DW118" s="230">
        <f t="shared" si="20"/>
        <v>0</v>
      </c>
      <c r="DX118" s="230">
        <f t="shared" si="20"/>
        <v>0</v>
      </c>
      <c r="DY118" s="230">
        <f t="shared" si="20"/>
        <v>0</v>
      </c>
      <c r="DZ118" s="231">
        <f t="shared" si="20"/>
        <v>0</v>
      </c>
      <c r="EA118" s="227">
        <f>SUM(EA76:EA117)</f>
        <v>0</v>
      </c>
      <c r="EB118" s="227">
        <f>SUM(EB76:EB117)</f>
        <v>0</v>
      </c>
      <c r="EC118" s="227">
        <f>0.6*EB118</f>
        <v>0</v>
      </c>
      <c r="GN118" s="220">
        <f t="shared" si="18"/>
        <v>0</v>
      </c>
      <c r="GO118" s="220">
        <f t="shared" si="18"/>
        <v>0</v>
      </c>
      <c r="GP118" s="220">
        <f t="shared" si="18"/>
        <v>0</v>
      </c>
      <c r="GQ118" s="220">
        <f t="shared" si="18"/>
        <v>0</v>
      </c>
      <c r="GR118" s="220">
        <f t="shared" si="18"/>
        <v>0</v>
      </c>
      <c r="GS118" s="220">
        <f t="shared" si="18"/>
        <v>0</v>
      </c>
      <c r="GT118" s="220">
        <f t="shared" si="18"/>
        <v>0</v>
      </c>
      <c r="GU118" s="220">
        <f t="shared" si="18"/>
        <v>0</v>
      </c>
      <c r="GV118" s="220">
        <f t="shared" si="18"/>
        <v>0</v>
      </c>
      <c r="GW118" s="220">
        <f t="shared" si="18"/>
        <v>0</v>
      </c>
      <c r="GX118" s="220">
        <f t="shared" si="18"/>
        <v>0</v>
      </c>
      <c r="GY118" s="220">
        <f t="shared" si="18"/>
        <v>0</v>
      </c>
      <c r="HO118" s="256"/>
      <c r="HZ118" s="256"/>
    </row>
    <row r="119" spans="1:234" x14ac:dyDescent="0.2">
      <c r="GN119" s="220"/>
      <c r="GO119" s="220"/>
      <c r="GP119" s="220"/>
      <c r="GQ119" s="220"/>
      <c r="GR119" s="220"/>
      <c r="GS119" s="220"/>
      <c r="GT119" s="220"/>
      <c r="GU119" s="220"/>
      <c r="GV119" s="220"/>
      <c r="GW119" s="220"/>
      <c r="GX119" s="220"/>
      <c r="GY119" s="220"/>
      <c r="HO119" s="256"/>
      <c r="HZ119" s="256"/>
    </row>
    <row r="120" spans="1:234" x14ac:dyDescent="0.2">
      <c r="B120" s="125" t="s">
        <v>452</v>
      </c>
      <c r="C120" s="125" t="s">
        <v>453</v>
      </c>
      <c r="D120" s="125" t="s">
        <v>398</v>
      </c>
      <c r="E120" s="125" t="s">
        <v>399</v>
      </c>
      <c r="F120" s="125" t="s">
        <v>400</v>
      </c>
      <c r="G120" s="125" t="s">
        <v>401</v>
      </c>
      <c r="H120" s="125" t="s">
        <v>402</v>
      </c>
      <c r="I120" s="125" t="s">
        <v>454</v>
      </c>
      <c r="J120" s="125" t="s">
        <v>455</v>
      </c>
      <c r="K120" s="125" t="s">
        <v>456</v>
      </c>
      <c r="L120" s="125" t="s">
        <v>457</v>
      </c>
      <c r="M120" s="125" t="s">
        <v>458</v>
      </c>
      <c r="AD120" s="125" t="s">
        <v>452</v>
      </c>
      <c r="AE120" s="125" t="s">
        <v>453</v>
      </c>
      <c r="AF120" s="125" t="s">
        <v>398</v>
      </c>
      <c r="AG120" s="125" t="s">
        <v>399</v>
      </c>
      <c r="AH120" s="125" t="s">
        <v>400</v>
      </c>
      <c r="AI120" s="125" t="s">
        <v>401</v>
      </c>
      <c r="AJ120" s="125" t="s">
        <v>402</v>
      </c>
      <c r="AK120" s="125" t="s">
        <v>454</v>
      </c>
      <c r="AL120" s="125" t="s">
        <v>455</v>
      </c>
      <c r="AM120" s="125" t="s">
        <v>456</v>
      </c>
      <c r="AN120" s="125" t="s">
        <v>457</v>
      </c>
      <c r="AO120" s="125" t="s">
        <v>458</v>
      </c>
      <c r="AP120" s="125"/>
      <c r="AQ120" s="125"/>
      <c r="AR120" s="125"/>
      <c r="AS120" s="245"/>
      <c r="AV120" s="125" t="s">
        <v>452</v>
      </c>
      <c r="AW120" s="125" t="s">
        <v>453</v>
      </c>
      <c r="AX120" s="125" t="s">
        <v>398</v>
      </c>
      <c r="AY120" s="125" t="s">
        <v>399</v>
      </c>
      <c r="AZ120" s="125" t="s">
        <v>400</v>
      </c>
      <c r="BA120" s="125" t="s">
        <v>401</v>
      </c>
      <c r="BB120" s="125" t="s">
        <v>402</v>
      </c>
      <c r="BC120" s="125" t="s">
        <v>454</v>
      </c>
      <c r="BD120" s="125" t="s">
        <v>455</v>
      </c>
      <c r="BE120" s="125" t="s">
        <v>456</v>
      </c>
      <c r="BF120" s="125" t="s">
        <v>457</v>
      </c>
      <c r="BG120" s="125" t="s">
        <v>458</v>
      </c>
      <c r="BH120" s="125"/>
      <c r="BI120" s="125"/>
      <c r="BJ120" s="125"/>
      <c r="BK120" s="125"/>
      <c r="BO120" s="125" t="s">
        <v>452</v>
      </c>
      <c r="BP120" s="125" t="s">
        <v>453</v>
      </c>
      <c r="BQ120" s="125" t="s">
        <v>398</v>
      </c>
      <c r="BR120" s="125" t="s">
        <v>399</v>
      </c>
      <c r="BS120" s="125" t="s">
        <v>400</v>
      </c>
      <c r="BT120" s="125" t="s">
        <v>401</v>
      </c>
      <c r="BU120" s="125" t="s">
        <v>402</v>
      </c>
      <c r="BV120" s="125" t="s">
        <v>454</v>
      </c>
      <c r="BW120" s="125" t="s">
        <v>455</v>
      </c>
      <c r="BX120" s="125" t="s">
        <v>456</v>
      </c>
      <c r="BY120" s="125" t="s">
        <v>457</v>
      </c>
      <c r="BZ120" s="125" t="s">
        <v>458</v>
      </c>
      <c r="CA120" s="125"/>
      <c r="CB120" s="125"/>
      <c r="CC120" s="125"/>
      <c r="CD120" s="245"/>
      <c r="CG120" s="125" t="s">
        <v>452</v>
      </c>
      <c r="CH120" s="125" t="s">
        <v>453</v>
      </c>
      <c r="CI120" s="125" t="s">
        <v>398</v>
      </c>
      <c r="CJ120" s="125" t="s">
        <v>399</v>
      </c>
      <c r="CK120" s="125" t="s">
        <v>400</v>
      </c>
      <c r="CL120" s="125" t="s">
        <v>401</v>
      </c>
      <c r="CM120" s="125" t="s">
        <v>402</v>
      </c>
      <c r="CN120" s="125" t="s">
        <v>454</v>
      </c>
      <c r="CO120" s="125" t="s">
        <v>455</v>
      </c>
      <c r="CP120" s="125" t="s">
        <v>456</v>
      </c>
      <c r="CQ120" s="125" t="s">
        <v>457</v>
      </c>
      <c r="CR120" s="125" t="s">
        <v>458</v>
      </c>
      <c r="CS120" s="125"/>
      <c r="CT120" s="125"/>
      <c r="CU120" s="125"/>
      <c r="CX120" s="125" t="s">
        <v>452</v>
      </c>
      <c r="CY120" s="125" t="s">
        <v>453</v>
      </c>
      <c r="CZ120" s="125" t="s">
        <v>398</v>
      </c>
      <c r="DA120" s="125" t="s">
        <v>399</v>
      </c>
      <c r="DB120" s="125" t="s">
        <v>400</v>
      </c>
      <c r="DC120" s="125" t="s">
        <v>401</v>
      </c>
      <c r="DD120" s="125" t="s">
        <v>402</v>
      </c>
      <c r="DE120" s="125" t="s">
        <v>454</v>
      </c>
      <c r="DF120" s="125" t="s">
        <v>455</v>
      </c>
      <c r="DG120" s="125" t="s">
        <v>456</v>
      </c>
      <c r="DH120" s="125" t="s">
        <v>457</v>
      </c>
      <c r="DI120" s="125" t="s">
        <v>458</v>
      </c>
      <c r="DJ120" s="125"/>
      <c r="DK120" s="125"/>
      <c r="DO120" s="125" t="s">
        <v>452</v>
      </c>
      <c r="DP120" s="125" t="s">
        <v>453</v>
      </c>
      <c r="DQ120" s="125" t="s">
        <v>398</v>
      </c>
      <c r="DR120" s="125" t="s">
        <v>399</v>
      </c>
      <c r="DS120" s="125" t="s">
        <v>400</v>
      </c>
      <c r="DT120" s="125" t="s">
        <v>401</v>
      </c>
      <c r="DU120" s="125" t="s">
        <v>402</v>
      </c>
      <c r="DV120" s="125" t="s">
        <v>454</v>
      </c>
      <c r="DW120" s="125" t="s">
        <v>455</v>
      </c>
      <c r="DX120" s="125" t="s">
        <v>456</v>
      </c>
      <c r="DY120" s="125" t="s">
        <v>457</v>
      </c>
      <c r="DZ120" s="125" t="s">
        <v>458</v>
      </c>
      <c r="FC120" s="125" t="s">
        <v>452</v>
      </c>
      <c r="FD120" s="125" t="s">
        <v>453</v>
      </c>
      <c r="FE120" s="125" t="s">
        <v>398</v>
      </c>
      <c r="FF120" s="125" t="s">
        <v>399</v>
      </c>
      <c r="FG120" s="125" t="s">
        <v>400</v>
      </c>
      <c r="FH120" s="125" t="s">
        <v>401</v>
      </c>
      <c r="FI120" s="125" t="s">
        <v>402</v>
      </c>
      <c r="FJ120" s="125" t="s">
        <v>454</v>
      </c>
      <c r="FK120" s="125" t="s">
        <v>455</v>
      </c>
      <c r="FL120" s="125" t="s">
        <v>456</v>
      </c>
      <c r="FM120" s="125" t="s">
        <v>457</v>
      </c>
      <c r="FN120" s="125" t="s">
        <v>458</v>
      </c>
      <c r="FW120" s="125" t="s">
        <v>452</v>
      </c>
      <c r="FX120" s="125" t="s">
        <v>453</v>
      </c>
      <c r="FY120" s="125" t="s">
        <v>398</v>
      </c>
      <c r="FZ120" s="125" t="s">
        <v>399</v>
      </c>
      <c r="GA120" s="125" t="s">
        <v>400</v>
      </c>
      <c r="GB120" s="125" t="s">
        <v>401</v>
      </c>
      <c r="GC120" s="125" t="s">
        <v>402</v>
      </c>
      <c r="GD120" s="125" t="s">
        <v>454</v>
      </c>
      <c r="GE120" s="125" t="s">
        <v>455</v>
      </c>
      <c r="GF120" s="125" t="s">
        <v>456</v>
      </c>
      <c r="GG120" s="125" t="s">
        <v>457</v>
      </c>
      <c r="GH120" s="125" t="s">
        <v>458</v>
      </c>
      <c r="GO120" s="125" t="s">
        <v>452</v>
      </c>
      <c r="GP120" s="125" t="s">
        <v>453</v>
      </c>
      <c r="GQ120" s="125" t="s">
        <v>398</v>
      </c>
      <c r="GR120" s="125" t="s">
        <v>399</v>
      </c>
      <c r="GS120" s="125" t="s">
        <v>400</v>
      </c>
      <c r="GT120" s="125" t="s">
        <v>401</v>
      </c>
      <c r="GU120" s="125" t="s">
        <v>402</v>
      </c>
      <c r="GV120" s="125" t="s">
        <v>454</v>
      </c>
      <c r="GW120" s="125" t="s">
        <v>455</v>
      </c>
      <c r="GX120" s="125" t="s">
        <v>456</v>
      </c>
      <c r="GY120" s="125" t="s">
        <v>457</v>
      </c>
      <c r="GZ120" s="125" t="s">
        <v>458</v>
      </c>
      <c r="HO120" s="256"/>
      <c r="HZ120" s="256"/>
    </row>
    <row r="121" spans="1:234" x14ac:dyDescent="0.2">
      <c r="A121" s="155" t="s">
        <v>569</v>
      </c>
      <c r="B121" s="89">
        <f>B61+O61</f>
        <v>0</v>
      </c>
      <c r="C121" s="89">
        <f t="shared" ref="C121:M121" si="21">C61+P61</f>
        <v>0</v>
      </c>
      <c r="D121" s="89">
        <f t="shared" si="21"/>
        <v>0</v>
      </c>
      <c r="E121" s="89">
        <f t="shared" si="21"/>
        <v>0</v>
      </c>
      <c r="F121" s="89">
        <f t="shared" si="21"/>
        <v>0</v>
      </c>
      <c r="G121" s="89">
        <f t="shared" si="21"/>
        <v>0</v>
      </c>
      <c r="H121" s="89">
        <f t="shared" si="21"/>
        <v>0</v>
      </c>
      <c r="I121" s="89">
        <f t="shared" si="21"/>
        <v>0</v>
      </c>
      <c r="J121" s="89">
        <f t="shared" si="21"/>
        <v>0</v>
      </c>
      <c r="K121" s="89">
        <f t="shared" si="21"/>
        <v>0</v>
      </c>
      <c r="L121" s="89">
        <f t="shared" si="21"/>
        <v>0</v>
      </c>
      <c r="M121" s="89">
        <f t="shared" si="21"/>
        <v>0</v>
      </c>
      <c r="AC121" s="155" t="s">
        <v>569</v>
      </c>
      <c r="AD121" s="89">
        <f t="shared" ref="AD121:AO121" si="22">AD61+O61</f>
        <v>0</v>
      </c>
      <c r="AE121" s="89">
        <f t="shared" si="22"/>
        <v>0</v>
      </c>
      <c r="AF121" s="89">
        <f t="shared" si="22"/>
        <v>0</v>
      </c>
      <c r="AG121" s="89">
        <f t="shared" si="22"/>
        <v>0</v>
      </c>
      <c r="AH121" s="89">
        <f t="shared" si="22"/>
        <v>0</v>
      </c>
      <c r="AI121" s="89">
        <f t="shared" si="22"/>
        <v>0</v>
      </c>
      <c r="AJ121" s="89">
        <f t="shared" si="22"/>
        <v>0</v>
      </c>
      <c r="AK121" s="89">
        <f t="shared" si="22"/>
        <v>0</v>
      </c>
      <c r="AL121" s="89">
        <f t="shared" si="22"/>
        <v>0</v>
      </c>
      <c r="AM121" s="89">
        <f t="shared" si="22"/>
        <v>0</v>
      </c>
      <c r="AN121" s="89">
        <f t="shared" si="22"/>
        <v>0</v>
      </c>
      <c r="AO121" s="89">
        <f t="shared" si="22"/>
        <v>0</v>
      </c>
      <c r="AU121" s="155" t="s">
        <v>569</v>
      </c>
      <c r="AV121" s="89">
        <f>AV61+O61</f>
        <v>0</v>
      </c>
      <c r="AW121" s="89">
        <f t="shared" ref="AW121:BG121" si="23">AW61+P61</f>
        <v>0</v>
      </c>
      <c r="AX121" s="89">
        <f t="shared" si="23"/>
        <v>0</v>
      </c>
      <c r="AY121" s="89">
        <f t="shared" si="23"/>
        <v>0</v>
      </c>
      <c r="AZ121" s="89">
        <f t="shared" si="23"/>
        <v>0</v>
      </c>
      <c r="BA121" s="89">
        <f t="shared" si="23"/>
        <v>0</v>
      </c>
      <c r="BB121" s="89">
        <f t="shared" si="23"/>
        <v>0</v>
      </c>
      <c r="BC121" s="89">
        <f t="shared" si="23"/>
        <v>0</v>
      </c>
      <c r="BD121" s="89">
        <f t="shared" si="23"/>
        <v>0</v>
      </c>
      <c r="BE121" s="89">
        <f t="shared" si="23"/>
        <v>0</v>
      </c>
      <c r="BF121" s="89">
        <f t="shared" si="23"/>
        <v>0</v>
      </c>
      <c r="BG121" s="89">
        <f t="shared" si="23"/>
        <v>0</v>
      </c>
      <c r="BN121" s="155" t="s">
        <v>569</v>
      </c>
      <c r="BO121" s="89">
        <f t="shared" ref="BO121:BZ121" si="24">BO61+O61</f>
        <v>0</v>
      </c>
      <c r="BP121" s="89">
        <f t="shared" si="24"/>
        <v>0</v>
      </c>
      <c r="BQ121" s="89">
        <f t="shared" si="24"/>
        <v>0</v>
      </c>
      <c r="BR121" s="89">
        <f t="shared" si="24"/>
        <v>0</v>
      </c>
      <c r="BS121" s="89">
        <f t="shared" si="24"/>
        <v>0</v>
      </c>
      <c r="BT121" s="89">
        <f t="shared" si="24"/>
        <v>0</v>
      </c>
      <c r="BU121" s="89">
        <f t="shared" si="24"/>
        <v>0</v>
      </c>
      <c r="BV121" s="89">
        <f t="shared" si="24"/>
        <v>0</v>
      </c>
      <c r="BW121" s="89">
        <f t="shared" si="24"/>
        <v>0</v>
      </c>
      <c r="BX121" s="89">
        <f t="shared" si="24"/>
        <v>0</v>
      </c>
      <c r="BY121" s="89">
        <f t="shared" si="24"/>
        <v>0</v>
      </c>
      <c r="BZ121" s="89">
        <f t="shared" si="24"/>
        <v>0</v>
      </c>
      <c r="CF121" s="155" t="s">
        <v>569</v>
      </c>
      <c r="CG121" s="89">
        <f t="shared" ref="CG121:CR121" si="25">CG61+O61</f>
        <v>0</v>
      </c>
      <c r="CH121" s="89">
        <f t="shared" si="25"/>
        <v>0</v>
      </c>
      <c r="CI121" s="89">
        <f t="shared" si="25"/>
        <v>0</v>
      </c>
      <c r="CJ121" s="89">
        <f t="shared" si="25"/>
        <v>0</v>
      </c>
      <c r="CK121" s="89">
        <f t="shared" si="25"/>
        <v>0</v>
      </c>
      <c r="CL121" s="89">
        <f t="shared" si="25"/>
        <v>0</v>
      </c>
      <c r="CM121" s="89">
        <f t="shared" si="25"/>
        <v>0</v>
      </c>
      <c r="CN121" s="89">
        <f t="shared" si="25"/>
        <v>0</v>
      </c>
      <c r="CO121" s="89">
        <f t="shared" si="25"/>
        <v>0</v>
      </c>
      <c r="CP121" s="89">
        <f t="shared" si="25"/>
        <v>0</v>
      </c>
      <c r="CQ121" s="89">
        <f t="shared" si="25"/>
        <v>0</v>
      </c>
      <c r="CR121" s="89">
        <f t="shared" si="25"/>
        <v>0</v>
      </c>
      <c r="CW121" s="155" t="s">
        <v>569</v>
      </c>
      <c r="CX121" s="89">
        <f t="shared" ref="CX121:DI121" si="26">B61+CW61</f>
        <v>0</v>
      </c>
      <c r="CY121" s="89">
        <f t="shared" si="26"/>
        <v>0</v>
      </c>
      <c r="CZ121" s="89">
        <f t="shared" si="26"/>
        <v>0</v>
      </c>
      <c r="DA121" s="89">
        <f t="shared" si="26"/>
        <v>0</v>
      </c>
      <c r="DB121" s="89">
        <f t="shared" si="26"/>
        <v>0</v>
      </c>
      <c r="DC121" s="89">
        <f t="shared" si="26"/>
        <v>0</v>
      </c>
      <c r="DD121" s="89">
        <f t="shared" si="26"/>
        <v>0</v>
      </c>
      <c r="DE121" s="89">
        <f t="shared" si="26"/>
        <v>0</v>
      </c>
      <c r="DF121" s="89">
        <f t="shared" si="26"/>
        <v>0</v>
      </c>
      <c r="DG121" s="89">
        <f t="shared" si="26"/>
        <v>0</v>
      </c>
      <c r="DH121" s="89">
        <f t="shared" si="26"/>
        <v>0</v>
      </c>
      <c r="DI121" s="89">
        <f t="shared" si="26"/>
        <v>0</v>
      </c>
      <c r="DN121" s="155" t="s">
        <v>569</v>
      </c>
      <c r="DO121" s="89">
        <f>B61+O61</f>
        <v>0</v>
      </c>
      <c r="DP121" s="89">
        <f t="shared" ref="DP121:DZ121" si="27">C61+P61</f>
        <v>0</v>
      </c>
      <c r="DQ121" s="89">
        <f t="shared" si="27"/>
        <v>0</v>
      </c>
      <c r="DR121" s="89">
        <f t="shared" si="27"/>
        <v>0</v>
      </c>
      <c r="DS121" s="89">
        <f t="shared" si="27"/>
        <v>0</v>
      </c>
      <c r="DT121" s="89">
        <f t="shared" si="27"/>
        <v>0</v>
      </c>
      <c r="DU121" s="89">
        <f t="shared" si="27"/>
        <v>0</v>
      </c>
      <c r="DV121" s="89">
        <f t="shared" si="27"/>
        <v>0</v>
      </c>
      <c r="DW121" s="89">
        <f t="shared" si="27"/>
        <v>0</v>
      </c>
      <c r="DX121" s="89">
        <f t="shared" si="27"/>
        <v>0</v>
      </c>
      <c r="DY121" s="89">
        <f t="shared" si="27"/>
        <v>0</v>
      </c>
      <c r="DZ121" s="89">
        <f t="shared" si="27"/>
        <v>0</v>
      </c>
      <c r="FB121" s="155" t="s">
        <v>569</v>
      </c>
      <c r="FC121" s="89">
        <f>B121</f>
        <v>0</v>
      </c>
      <c r="FD121" s="89">
        <f t="shared" ref="FD121:FN121" si="28">C121</f>
        <v>0</v>
      </c>
      <c r="FE121" s="89">
        <f t="shared" si="28"/>
        <v>0</v>
      </c>
      <c r="FF121" s="89">
        <f t="shared" si="28"/>
        <v>0</v>
      </c>
      <c r="FG121" s="89">
        <f t="shared" si="28"/>
        <v>0</v>
      </c>
      <c r="FH121" s="89">
        <f t="shared" si="28"/>
        <v>0</v>
      </c>
      <c r="FI121" s="89">
        <f t="shared" si="28"/>
        <v>0</v>
      </c>
      <c r="FJ121" s="89">
        <f t="shared" si="28"/>
        <v>0</v>
      </c>
      <c r="FK121" s="89">
        <f t="shared" si="28"/>
        <v>0</v>
      </c>
      <c r="FL121" s="89">
        <f t="shared" si="28"/>
        <v>0</v>
      </c>
      <c r="FM121" s="89">
        <f t="shared" si="28"/>
        <v>0</v>
      </c>
      <c r="FN121" s="89">
        <f t="shared" si="28"/>
        <v>0</v>
      </c>
      <c r="FV121" s="155" t="s">
        <v>569</v>
      </c>
      <c r="FW121" s="89">
        <f>B121</f>
        <v>0</v>
      </c>
      <c r="FX121" s="89">
        <f t="shared" ref="FX121:GH122" si="29">C121</f>
        <v>0</v>
      </c>
      <c r="FY121" s="89">
        <f t="shared" si="29"/>
        <v>0</v>
      </c>
      <c r="FZ121" s="89">
        <f t="shared" si="29"/>
        <v>0</v>
      </c>
      <c r="GA121" s="89">
        <f t="shared" si="29"/>
        <v>0</v>
      </c>
      <c r="GB121" s="89">
        <f t="shared" si="29"/>
        <v>0</v>
      </c>
      <c r="GC121" s="89">
        <f t="shared" si="29"/>
        <v>0</v>
      </c>
      <c r="GD121" s="89">
        <f t="shared" si="29"/>
        <v>0</v>
      </c>
      <c r="GE121" s="89">
        <f t="shared" si="29"/>
        <v>0</v>
      </c>
      <c r="GF121" s="89">
        <f t="shared" si="29"/>
        <v>0</v>
      </c>
      <c r="GG121" s="89">
        <f t="shared" si="29"/>
        <v>0</v>
      </c>
      <c r="GH121" s="89">
        <f t="shared" si="29"/>
        <v>0</v>
      </c>
      <c r="GN121" s="155" t="s">
        <v>569</v>
      </c>
      <c r="GO121" s="89">
        <f>GO61+HB61</f>
        <v>0</v>
      </c>
      <c r="GP121" s="89">
        <f t="shared" ref="GP121:GZ121" si="30">GP61+HC61</f>
        <v>0</v>
      </c>
      <c r="GQ121" s="89">
        <f t="shared" si="30"/>
        <v>0</v>
      </c>
      <c r="GR121" s="89">
        <f t="shared" si="30"/>
        <v>0</v>
      </c>
      <c r="GS121" s="89">
        <f t="shared" si="30"/>
        <v>0</v>
      </c>
      <c r="GT121" s="89">
        <f t="shared" si="30"/>
        <v>0</v>
      </c>
      <c r="GU121" s="89">
        <f t="shared" si="30"/>
        <v>0</v>
      </c>
      <c r="GV121" s="89">
        <f t="shared" si="30"/>
        <v>0</v>
      </c>
      <c r="GW121" s="89">
        <f t="shared" si="30"/>
        <v>0</v>
      </c>
      <c r="GX121" s="89">
        <f t="shared" si="30"/>
        <v>0</v>
      </c>
      <c r="GY121" s="89">
        <f t="shared" si="30"/>
        <v>0</v>
      </c>
      <c r="GZ121" s="89">
        <f t="shared" si="30"/>
        <v>0</v>
      </c>
      <c r="HO121" s="256"/>
      <c r="HZ121" s="256"/>
    </row>
    <row r="122" spans="1:234" x14ac:dyDescent="0.2">
      <c r="A122" s="155" t="s">
        <v>507</v>
      </c>
      <c r="B122" s="89">
        <f>H12</f>
        <v>0</v>
      </c>
      <c r="C122" s="89">
        <f t="shared" ref="C122:M122" si="31">I12</f>
        <v>0</v>
      </c>
      <c r="D122" s="89">
        <f t="shared" si="31"/>
        <v>0</v>
      </c>
      <c r="E122" s="89">
        <f t="shared" si="31"/>
        <v>0</v>
      </c>
      <c r="F122" s="89">
        <f t="shared" si="31"/>
        <v>0</v>
      </c>
      <c r="G122" s="89">
        <f t="shared" si="31"/>
        <v>0</v>
      </c>
      <c r="H122" s="89">
        <f t="shared" si="31"/>
        <v>0</v>
      </c>
      <c r="I122" s="89">
        <f t="shared" si="31"/>
        <v>0</v>
      </c>
      <c r="J122" s="89">
        <f t="shared" si="31"/>
        <v>0</v>
      </c>
      <c r="K122" s="89">
        <f t="shared" si="31"/>
        <v>0</v>
      </c>
      <c r="L122" s="89">
        <f t="shared" si="31"/>
        <v>0</v>
      </c>
      <c r="M122" s="89">
        <f t="shared" si="31"/>
        <v>0</v>
      </c>
      <c r="AC122" s="155" t="s">
        <v>507</v>
      </c>
      <c r="AD122" s="89">
        <f>H12</f>
        <v>0</v>
      </c>
      <c r="AE122" s="89">
        <f t="shared" ref="AE122:AO122" si="32">I12</f>
        <v>0</v>
      </c>
      <c r="AF122" s="89">
        <f t="shared" si="32"/>
        <v>0</v>
      </c>
      <c r="AG122" s="89">
        <f t="shared" si="32"/>
        <v>0</v>
      </c>
      <c r="AH122" s="89">
        <f t="shared" si="32"/>
        <v>0</v>
      </c>
      <c r="AI122" s="89">
        <f t="shared" si="32"/>
        <v>0</v>
      </c>
      <c r="AJ122" s="89">
        <f t="shared" si="32"/>
        <v>0</v>
      </c>
      <c r="AK122" s="89">
        <f t="shared" si="32"/>
        <v>0</v>
      </c>
      <c r="AL122" s="89">
        <f t="shared" si="32"/>
        <v>0</v>
      </c>
      <c r="AM122" s="89">
        <f t="shared" si="32"/>
        <v>0</v>
      </c>
      <c r="AN122" s="89">
        <f t="shared" si="32"/>
        <v>0</v>
      </c>
      <c r="AO122" s="89">
        <f t="shared" si="32"/>
        <v>0</v>
      </c>
      <c r="AU122" s="155" t="s">
        <v>507</v>
      </c>
      <c r="AV122" s="89">
        <f>H12</f>
        <v>0</v>
      </c>
      <c r="AW122" s="89">
        <f t="shared" ref="AW122:BG122" si="33">I12</f>
        <v>0</v>
      </c>
      <c r="AX122" s="89">
        <f t="shared" si="33"/>
        <v>0</v>
      </c>
      <c r="AY122" s="89">
        <f t="shared" si="33"/>
        <v>0</v>
      </c>
      <c r="AZ122" s="89">
        <f t="shared" si="33"/>
        <v>0</v>
      </c>
      <c r="BA122" s="89">
        <f t="shared" si="33"/>
        <v>0</v>
      </c>
      <c r="BB122" s="89">
        <f t="shared" si="33"/>
        <v>0</v>
      </c>
      <c r="BC122" s="89">
        <f t="shared" si="33"/>
        <v>0</v>
      </c>
      <c r="BD122" s="89">
        <f t="shared" si="33"/>
        <v>0</v>
      </c>
      <c r="BE122" s="89">
        <f t="shared" si="33"/>
        <v>0</v>
      </c>
      <c r="BF122" s="89">
        <f t="shared" si="33"/>
        <v>0</v>
      </c>
      <c r="BG122" s="89">
        <f t="shared" si="33"/>
        <v>0</v>
      </c>
      <c r="BN122" s="155" t="s">
        <v>507</v>
      </c>
      <c r="BO122" s="89">
        <f>H12</f>
        <v>0</v>
      </c>
      <c r="BP122" s="89">
        <f t="shared" ref="BP122:BZ122" si="34">I12</f>
        <v>0</v>
      </c>
      <c r="BQ122" s="89">
        <f t="shared" si="34"/>
        <v>0</v>
      </c>
      <c r="BR122" s="89">
        <f t="shared" si="34"/>
        <v>0</v>
      </c>
      <c r="BS122" s="89">
        <f t="shared" si="34"/>
        <v>0</v>
      </c>
      <c r="BT122" s="89">
        <f t="shared" si="34"/>
        <v>0</v>
      </c>
      <c r="BU122" s="89">
        <f t="shared" si="34"/>
        <v>0</v>
      </c>
      <c r="BV122" s="89">
        <f t="shared" si="34"/>
        <v>0</v>
      </c>
      <c r="BW122" s="89">
        <f t="shared" si="34"/>
        <v>0</v>
      </c>
      <c r="BX122" s="89">
        <f t="shared" si="34"/>
        <v>0</v>
      </c>
      <c r="BY122" s="89">
        <f t="shared" si="34"/>
        <v>0</v>
      </c>
      <c r="BZ122" s="89">
        <f t="shared" si="34"/>
        <v>0</v>
      </c>
      <c r="CF122" s="155" t="s">
        <v>507</v>
      </c>
      <c r="CG122" s="89">
        <f>H12</f>
        <v>0</v>
      </c>
      <c r="CH122" s="89">
        <f t="shared" ref="CH122:CR122" si="35">I12</f>
        <v>0</v>
      </c>
      <c r="CI122" s="89">
        <f t="shared" si="35"/>
        <v>0</v>
      </c>
      <c r="CJ122" s="89">
        <f t="shared" si="35"/>
        <v>0</v>
      </c>
      <c r="CK122" s="89">
        <f t="shared" si="35"/>
        <v>0</v>
      </c>
      <c r="CL122" s="89">
        <f t="shared" si="35"/>
        <v>0</v>
      </c>
      <c r="CM122" s="89">
        <f t="shared" si="35"/>
        <v>0</v>
      </c>
      <c r="CN122" s="89">
        <f t="shared" si="35"/>
        <v>0</v>
      </c>
      <c r="CO122" s="89">
        <f t="shared" si="35"/>
        <v>0</v>
      </c>
      <c r="CP122" s="89">
        <f t="shared" si="35"/>
        <v>0</v>
      </c>
      <c r="CQ122" s="89">
        <f t="shared" si="35"/>
        <v>0</v>
      </c>
      <c r="CR122" s="89">
        <f t="shared" si="35"/>
        <v>0</v>
      </c>
      <c r="CW122" s="155" t="s">
        <v>507</v>
      </c>
      <c r="CX122" s="89">
        <f>H12</f>
        <v>0</v>
      </c>
      <c r="CY122" s="89">
        <f t="shared" ref="CY122:DI122" si="36">I12</f>
        <v>0</v>
      </c>
      <c r="CZ122" s="89">
        <f t="shared" si="36"/>
        <v>0</v>
      </c>
      <c r="DA122" s="89">
        <f t="shared" si="36"/>
        <v>0</v>
      </c>
      <c r="DB122" s="89">
        <f t="shared" si="36"/>
        <v>0</v>
      </c>
      <c r="DC122" s="89">
        <f t="shared" si="36"/>
        <v>0</v>
      </c>
      <c r="DD122" s="89">
        <f t="shared" si="36"/>
        <v>0</v>
      </c>
      <c r="DE122" s="89">
        <f t="shared" si="36"/>
        <v>0</v>
      </c>
      <c r="DF122" s="89">
        <f t="shared" si="36"/>
        <v>0</v>
      </c>
      <c r="DG122" s="89">
        <f t="shared" si="36"/>
        <v>0</v>
      </c>
      <c r="DH122" s="89">
        <f t="shared" si="36"/>
        <v>0</v>
      </c>
      <c r="DI122" s="89">
        <f t="shared" si="36"/>
        <v>0</v>
      </c>
      <c r="DN122" s="155" t="s">
        <v>507</v>
      </c>
      <c r="DO122" s="89">
        <f>H12</f>
        <v>0</v>
      </c>
      <c r="DP122" s="89">
        <f t="shared" ref="DP122:DZ122" si="37">I12</f>
        <v>0</v>
      </c>
      <c r="DQ122" s="89">
        <f t="shared" si="37"/>
        <v>0</v>
      </c>
      <c r="DR122" s="89">
        <f t="shared" si="37"/>
        <v>0</v>
      </c>
      <c r="DS122" s="89">
        <f t="shared" si="37"/>
        <v>0</v>
      </c>
      <c r="DT122" s="89">
        <f t="shared" si="37"/>
        <v>0</v>
      </c>
      <c r="DU122" s="89">
        <f t="shared" si="37"/>
        <v>0</v>
      </c>
      <c r="DV122" s="89">
        <f t="shared" si="37"/>
        <v>0</v>
      </c>
      <c r="DW122" s="89">
        <f t="shared" si="37"/>
        <v>0</v>
      </c>
      <c r="DX122" s="89">
        <f t="shared" si="37"/>
        <v>0</v>
      </c>
      <c r="DY122" s="89">
        <f t="shared" si="37"/>
        <v>0</v>
      </c>
      <c r="DZ122" s="89">
        <f t="shared" si="37"/>
        <v>0</v>
      </c>
      <c r="FB122" s="155" t="s">
        <v>507</v>
      </c>
      <c r="FC122" s="89">
        <f t="shared" ref="FC122:FN122" si="38">FI12</f>
        <v>0</v>
      </c>
      <c r="FD122" s="89">
        <f t="shared" si="38"/>
        <v>0</v>
      </c>
      <c r="FE122" s="89">
        <f t="shared" si="38"/>
        <v>0</v>
      </c>
      <c r="FF122" s="89">
        <f t="shared" si="38"/>
        <v>0</v>
      </c>
      <c r="FG122" s="89">
        <f t="shared" si="38"/>
        <v>0</v>
      </c>
      <c r="FH122" s="89">
        <f t="shared" si="38"/>
        <v>0</v>
      </c>
      <c r="FI122" s="89">
        <f t="shared" si="38"/>
        <v>0</v>
      </c>
      <c r="FJ122" s="89">
        <f t="shared" si="38"/>
        <v>0</v>
      </c>
      <c r="FK122" s="89">
        <f t="shared" si="38"/>
        <v>0</v>
      </c>
      <c r="FL122" s="89">
        <f t="shared" si="38"/>
        <v>0</v>
      </c>
      <c r="FM122" s="89">
        <f t="shared" si="38"/>
        <v>0</v>
      </c>
      <c r="FN122" s="89">
        <f t="shared" si="38"/>
        <v>0</v>
      </c>
      <c r="FV122" s="155" t="s">
        <v>507</v>
      </c>
      <c r="FW122" s="89">
        <f>B122</f>
        <v>0</v>
      </c>
      <c r="FX122" s="89">
        <f t="shared" si="29"/>
        <v>0</v>
      </c>
      <c r="FY122" s="89">
        <f t="shared" si="29"/>
        <v>0</v>
      </c>
      <c r="FZ122" s="89">
        <f t="shared" si="29"/>
        <v>0</v>
      </c>
      <c r="GA122" s="89">
        <f t="shared" si="29"/>
        <v>0</v>
      </c>
      <c r="GB122" s="89">
        <f t="shared" si="29"/>
        <v>0</v>
      </c>
      <c r="GC122" s="89">
        <f t="shared" si="29"/>
        <v>0</v>
      </c>
      <c r="GD122" s="89">
        <f t="shared" si="29"/>
        <v>0</v>
      </c>
      <c r="GE122" s="89">
        <f t="shared" si="29"/>
        <v>0</v>
      </c>
      <c r="GF122" s="89">
        <f t="shared" si="29"/>
        <v>0</v>
      </c>
      <c r="GG122" s="89">
        <f t="shared" si="29"/>
        <v>0</v>
      </c>
      <c r="GH122" s="89">
        <f t="shared" si="29"/>
        <v>0</v>
      </c>
      <c r="GN122" s="155" t="s">
        <v>507</v>
      </c>
      <c r="GO122" s="89">
        <f>GT12</f>
        <v>0</v>
      </c>
      <c r="GP122" s="89">
        <f t="shared" ref="GP122:GZ122" si="39">GU12</f>
        <v>0</v>
      </c>
      <c r="GQ122" s="89">
        <f t="shared" si="39"/>
        <v>0</v>
      </c>
      <c r="GR122" s="89">
        <f t="shared" si="39"/>
        <v>0</v>
      </c>
      <c r="GS122" s="89">
        <f t="shared" si="39"/>
        <v>0</v>
      </c>
      <c r="GT122" s="89">
        <f t="shared" si="39"/>
        <v>0</v>
      </c>
      <c r="GU122" s="89">
        <f t="shared" si="39"/>
        <v>0</v>
      </c>
      <c r="GV122" s="89">
        <f t="shared" si="39"/>
        <v>0</v>
      </c>
      <c r="GW122" s="89">
        <f t="shared" si="39"/>
        <v>0</v>
      </c>
      <c r="GX122" s="89">
        <f t="shared" si="39"/>
        <v>0</v>
      </c>
      <c r="GY122" s="89">
        <f t="shared" si="39"/>
        <v>0</v>
      </c>
      <c r="GZ122" s="89">
        <f t="shared" si="39"/>
        <v>0</v>
      </c>
      <c r="HO122" s="256"/>
      <c r="HZ122" s="256"/>
    </row>
    <row r="123" spans="1:234" x14ac:dyDescent="0.2">
      <c r="A123" s="155" t="s">
        <v>720</v>
      </c>
      <c r="B123" s="89">
        <f>'Verwerken Algemeen'!C30</f>
        <v>0</v>
      </c>
      <c r="C123" s="89">
        <f>$B$123</f>
        <v>0</v>
      </c>
      <c r="D123" s="89">
        <f t="shared" ref="D123:M123" si="40">$B$123</f>
        <v>0</v>
      </c>
      <c r="E123" s="89">
        <f t="shared" si="40"/>
        <v>0</v>
      </c>
      <c r="F123" s="89">
        <f t="shared" si="40"/>
        <v>0</v>
      </c>
      <c r="G123" s="89">
        <f t="shared" si="40"/>
        <v>0</v>
      </c>
      <c r="H123" s="89">
        <f t="shared" si="40"/>
        <v>0</v>
      </c>
      <c r="I123" s="89">
        <f t="shared" si="40"/>
        <v>0</v>
      </c>
      <c r="J123" s="89">
        <f t="shared" si="40"/>
        <v>0</v>
      </c>
      <c r="K123" s="89">
        <f t="shared" si="40"/>
        <v>0</v>
      </c>
      <c r="L123" s="89">
        <f t="shared" si="40"/>
        <v>0</v>
      </c>
      <c r="M123" s="89">
        <f t="shared" si="40"/>
        <v>0</v>
      </c>
      <c r="AC123" s="155" t="s">
        <v>720</v>
      </c>
      <c r="AD123" s="89">
        <f>$B$123</f>
        <v>0</v>
      </c>
      <c r="AE123" s="89">
        <f t="shared" ref="AE123:AO123" si="41">$B$123</f>
        <v>0</v>
      </c>
      <c r="AF123" s="89">
        <f t="shared" si="41"/>
        <v>0</v>
      </c>
      <c r="AG123" s="89">
        <f t="shared" si="41"/>
        <v>0</v>
      </c>
      <c r="AH123" s="89">
        <f t="shared" si="41"/>
        <v>0</v>
      </c>
      <c r="AI123" s="89">
        <f t="shared" si="41"/>
        <v>0</v>
      </c>
      <c r="AJ123" s="89">
        <f t="shared" si="41"/>
        <v>0</v>
      </c>
      <c r="AK123" s="89">
        <f t="shared" si="41"/>
        <v>0</v>
      </c>
      <c r="AL123" s="89">
        <f t="shared" si="41"/>
        <v>0</v>
      </c>
      <c r="AM123" s="89">
        <f t="shared" si="41"/>
        <v>0</v>
      </c>
      <c r="AN123" s="89">
        <f t="shared" si="41"/>
        <v>0</v>
      </c>
      <c r="AO123" s="89">
        <f t="shared" si="41"/>
        <v>0</v>
      </c>
      <c r="AU123" s="155" t="s">
        <v>720</v>
      </c>
      <c r="AV123" s="89">
        <f>$B$123</f>
        <v>0</v>
      </c>
      <c r="AW123" s="89">
        <f t="shared" ref="AW123:BG123" si="42">$B$123</f>
        <v>0</v>
      </c>
      <c r="AX123" s="89">
        <f t="shared" si="42"/>
        <v>0</v>
      </c>
      <c r="AY123" s="89">
        <f t="shared" si="42"/>
        <v>0</v>
      </c>
      <c r="AZ123" s="89">
        <f t="shared" si="42"/>
        <v>0</v>
      </c>
      <c r="BA123" s="89">
        <f t="shared" si="42"/>
        <v>0</v>
      </c>
      <c r="BB123" s="89">
        <f t="shared" si="42"/>
        <v>0</v>
      </c>
      <c r="BC123" s="89">
        <f t="shared" si="42"/>
        <v>0</v>
      </c>
      <c r="BD123" s="89">
        <f t="shared" si="42"/>
        <v>0</v>
      </c>
      <c r="BE123" s="89">
        <f t="shared" si="42"/>
        <v>0</v>
      </c>
      <c r="BF123" s="89">
        <f t="shared" si="42"/>
        <v>0</v>
      </c>
      <c r="BG123" s="89">
        <f t="shared" si="42"/>
        <v>0</v>
      </c>
      <c r="BN123" s="155" t="s">
        <v>720</v>
      </c>
      <c r="BO123" s="89">
        <f>$B$123</f>
        <v>0</v>
      </c>
      <c r="BP123" s="89">
        <f t="shared" ref="BP123:BZ123" si="43">$B$123</f>
        <v>0</v>
      </c>
      <c r="BQ123" s="89">
        <f t="shared" si="43"/>
        <v>0</v>
      </c>
      <c r="BR123" s="89">
        <f t="shared" si="43"/>
        <v>0</v>
      </c>
      <c r="BS123" s="89">
        <f t="shared" si="43"/>
        <v>0</v>
      </c>
      <c r="BT123" s="89">
        <f t="shared" si="43"/>
        <v>0</v>
      </c>
      <c r="BU123" s="89">
        <f t="shared" si="43"/>
        <v>0</v>
      </c>
      <c r="BV123" s="89">
        <f t="shared" si="43"/>
        <v>0</v>
      </c>
      <c r="BW123" s="89">
        <f t="shared" si="43"/>
        <v>0</v>
      </c>
      <c r="BX123" s="89">
        <f t="shared" si="43"/>
        <v>0</v>
      </c>
      <c r="BY123" s="89">
        <f t="shared" si="43"/>
        <v>0</v>
      </c>
      <c r="BZ123" s="89">
        <f t="shared" si="43"/>
        <v>0</v>
      </c>
      <c r="CF123" s="155" t="s">
        <v>720</v>
      </c>
      <c r="CG123" s="89">
        <f>$B$123</f>
        <v>0</v>
      </c>
      <c r="CH123" s="89">
        <f t="shared" ref="CH123:CR123" si="44">$B$123</f>
        <v>0</v>
      </c>
      <c r="CI123" s="89">
        <f t="shared" si="44"/>
        <v>0</v>
      </c>
      <c r="CJ123" s="89">
        <f t="shared" si="44"/>
        <v>0</v>
      </c>
      <c r="CK123" s="89">
        <f t="shared" si="44"/>
        <v>0</v>
      </c>
      <c r="CL123" s="89">
        <f t="shared" si="44"/>
        <v>0</v>
      </c>
      <c r="CM123" s="89">
        <f t="shared" si="44"/>
        <v>0</v>
      </c>
      <c r="CN123" s="89">
        <f t="shared" si="44"/>
        <v>0</v>
      </c>
      <c r="CO123" s="89">
        <f t="shared" si="44"/>
        <v>0</v>
      </c>
      <c r="CP123" s="89">
        <f t="shared" si="44"/>
        <v>0</v>
      </c>
      <c r="CQ123" s="89">
        <f t="shared" si="44"/>
        <v>0</v>
      </c>
      <c r="CR123" s="89">
        <f t="shared" si="44"/>
        <v>0</v>
      </c>
      <c r="CW123" s="155" t="s">
        <v>720</v>
      </c>
      <c r="CX123" s="89">
        <f>$B$123</f>
        <v>0</v>
      </c>
      <c r="CY123" s="89">
        <f t="shared" ref="CY123:DI123" si="45">$B$123</f>
        <v>0</v>
      </c>
      <c r="CZ123" s="89">
        <f t="shared" si="45"/>
        <v>0</v>
      </c>
      <c r="DA123" s="89">
        <f t="shared" si="45"/>
        <v>0</v>
      </c>
      <c r="DB123" s="89">
        <f t="shared" si="45"/>
        <v>0</v>
      </c>
      <c r="DC123" s="89">
        <f t="shared" si="45"/>
        <v>0</v>
      </c>
      <c r="DD123" s="89">
        <f t="shared" si="45"/>
        <v>0</v>
      </c>
      <c r="DE123" s="89">
        <f t="shared" si="45"/>
        <v>0</v>
      </c>
      <c r="DF123" s="89">
        <f t="shared" si="45"/>
        <v>0</v>
      </c>
      <c r="DG123" s="89">
        <f t="shared" si="45"/>
        <v>0</v>
      </c>
      <c r="DH123" s="89">
        <f t="shared" si="45"/>
        <v>0</v>
      </c>
      <c r="DI123" s="89">
        <f t="shared" si="45"/>
        <v>0</v>
      </c>
      <c r="DN123" s="155" t="s">
        <v>720</v>
      </c>
      <c r="DO123" s="89">
        <f>$B$123</f>
        <v>0</v>
      </c>
      <c r="DP123" s="89">
        <f t="shared" ref="DP123:DZ123" si="46">$B$123</f>
        <v>0</v>
      </c>
      <c r="DQ123" s="89">
        <f t="shared" si="46"/>
        <v>0</v>
      </c>
      <c r="DR123" s="89">
        <f t="shared" si="46"/>
        <v>0</v>
      </c>
      <c r="DS123" s="89">
        <f t="shared" si="46"/>
        <v>0</v>
      </c>
      <c r="DT123" s="89">
        <f t="shared" si="46"/>
        <v>0</v>
      </c>
      <c r="DU123" s="89">
        <f t="shared" si="46"/>
        <v>0</v>
      </c>
      <c r="DV123" s="89">
        <f t="shared" si="46"/>
        <v>0</v>
      </c>
      <c r="DW123" s="89">
        <f t="shared" si="46"/>
        <v>0</v>
      </c>
      <c r="DX123" s="89">
        <f t="shared" si="46"/>
        <v>0</v>
      </c>
      <c r="DY123" s="89">
        <f t="shared" si="46"/>
        <v>0</v>
      </c>
      <c r="DZ123" s="89">
        <f t="shared" si="46"/>
        <v>0</v>
      </c>
      <c r="FB123" s="155" t="s">
        <v>720</v>
      </c>
      <c r="FC123" s="89">
        <f>$B$123</f>
        <v>0</v>
      </c>
      <c r="FD123" s="89">
        <f t="shared" ref="FD123:FN123" si="47">$B$123</f>
        <v>0</v>
      </c>
      <c r="FE123" s="89">
        <f t="shared" si="47"/>
        <v>0</v>
      </c>
      <c r="FF123" s="89">
        <f t="shared" si="47"/>
        <v>0</v>
      </c>
      <c r="FG123" s="89">
        <f t="shared" si="47"/>
        <v>0</v>
      </c>
      <c r="FH123" s="89">
        <f t="shared" si="47"/>
        <v>0</v>
      </c>
      <c r="FI123" s="89">
        <f t="shared" si="47"/>
        <v>0</v>
      </c>
      <c r="FJ123" s="89">
        <f t="shared" si="47"/>
        <v>0</v>
      </c>
      <c r="FK123" s="89">
        <f t="shared" si="47"/>
        <v>0</v>
      </c>
      <c r="FL123" s="89">
        <f t="shared" si="47"/>
        <v>0</v>
      </c>
      <c r="FM123" s="89">
        <f t="shared" si="47"/>
        <v>0</v>
      </c>
      <c r="FN123" s="89">
        <f t="shared" si="47"/>
        <v>0</v>
      </c>
      <c r="FV123" s="155" t="s">
        <v>720</v>
      </c>
      <c r="FW123" s="89">
        <f>$B$123</f>
        <v>0</v>
      </c>
      <c r="FX123" s="89">
        <f t="shared" ref="FX123:GH123" si="48">$B$123</f>
        <v>0</v>
      </c>
      <c r="FY123" s="89">
        <f t="shared" si="48"/>
        <v>0</v>
      </c>
      <c r="FZ123" s="89">
        <f t="shared" si="48"/>
        <v>0</v>
      </c>
      <c r="GA123" s="89">
        <f t="shared" si="48"/>
        <v>0</v>
      </c>
      <c r="GB123" s="89">
        <f t="shared" si="48"/>
        <v>0</v>
      </c>
      <c r="GC123" s="89">
        <f t="shared" si="48"/>
        <v>0</v>
      </c>
      <c r="GD123" s="89">
        <f t="shared" si="48"/>
        <v>0</v>
      </c>
      <c r="GE123" s="89">
        <f t="shared" si="48"/>
        <v>0</v>
      </c>
      <c r="GF123" s="89">
        <f t="shared" si="48"/>
        <v>0</v>
      </c>
      <c r="GG123" s="89">
        <f t="shared" si="48"/>
        <v>0</v>
      </c>
      <c r="GH123" s="89">
        <f t="shared" si="48"/>
        <v>0</v>
      </c>
      <c r="GN123" s="155" t="s">
        <v>720</v>
      </c>
      <c r="GO123" s="89">
        <f>$B$123</f>
        <v>0</v>
      </c>
      <c r="GP123" s="89">
        <f t="shared" ref="GP123:GZ123" si="49">$B$123</f>
        <v>0</v>
      </c>
      <c r="GQ123" s="89">
        <f t="shared" si="49"/>
        <v>0</v>
      </c>
      <c r="GR123" s="89">
        <f t="shared" si="49"/>
        <v>0</v>
      </c>
      <c r="GS123" s="89">
        <f t="shared" si="49"/>
        <v>0</v>
      </c>
      <c r="GT123" s="89">
        <f t="shared" si="49"/>
        <v>0</v>
      </c>
      <c r="GU123" s="89">
        <f t="shared" si="49"/>
        <v>0</v>
      </c>
      <c r="GV123" s="89">
        <f t="shared" si="49"/>
        <v>0</v>
      </c>
      <c r="GW123" s="89">
        <f t="shared" si="49"/>
        <v>0</v>
      </c>
      <c r="GX123" s="89">
        <f t="shared" si="49"/>
        <v>0</v>
      </c>
      <c r="GY123" s="89">
        <f t="shared" si="49"/>
        <v>0</v>
      </c>
      <c r="GZ123" s="89">
        <f t="shared" si="49"/>
        <v>0</v>
      </c>
      <c r="HO123" s="256"/>
      <c r="HZ123" s="256"/>
    </row>
    <row r="124" spans="1:234" x14ac:dyDescent="0.2">
      <c r="A124" s="155" t="s">
        <v>449</v>
      </c>
      <c r="B124" s="89" t="e">
        <f>0.81+((1/76.9)*((B123*'Invoer Algemeen'!D16)/(E12+'Verwerking Bouwdelen'!GZ45)))</f>
        <v>#DIV/0!</v>
      </c>
      <c r="C124" s="89" t="e">
        <f>$B$124</f>
        <v>#DIV/0!</v>
      </c>
      <c r="D124" s="89" t="e">
        <f t="shared" ref="D124:M124" si="50">$B$124</f>
        <v>#DIV/0!</v>
      </c>
      <c r="E124" s="89" t="e">
        <f t="shared" si="50"/>
        <v>#DIV/0!</v>
      </c>
      <c r="F124" s="89" t="e">
        <f t="shared" si="50"/>
        <v>#DIV/0!</v>
      </c>
      <c r="G124" s="89" t="e">
        <f t="shared" si="50"/>
        <v>#DIV/0!</v>
      </c>
      <c r="H124" s="89" t="e">
        <f t="shared" si="50"/>
        <v>#DIV/0!</v>
      </c>
      <c r="I124" s="89" t="e">
        <f t="shared" si="50"/>
        <v>#DIV/0!</v>
      </c>
      <c r="J124" s="89" t="e">
        <f t="shared" si="50"/>
        <v>#DIV/0!</v>
      </c>
      <c r="K124" s="89" t="e">
        <f t="shared" si="50"/>
        <v>#DIV/0!</v>
      </c>
      <c r="L124" s="89" t="e">
        <f t="shared" si="50"/>
        <v>#DIV/0!</v>
      </c>
      <c r="M124" s="89" t="e">
        <f t="shared" si="50"/>
        <v>#DIV/0!</v>
      </c>
      <c r="AC124" s="155" t="s">
        <v>449</v>
      </c>
      <c r="AD124" s="89" t="e">
        <f>$B$124</f>
        <v>#DIV/0!</v>
      </c>
      <c r="AE124" s="89" t="e">
        <f t="shared" ref="AE124:AO124" si="51">$B$124</f>
        <v>#DIV/0!</v>
      </c>
      <c r="AF124" s="89" t="e">
        <f t="shared" si="51"/>
        <v>#DIV/0!</v>
      </c>
      <c r="AG124" s="89" t="e">
        <f t="shared" si="51"/>
        <v>#DIV/0!</v>
      </c>
      <c r="AH124" s="89" t="e">
        <f t="shared" si="51"/>
        <v>#DIV/0!</v>
      </c>
      <c r="AI124" s="89" t="e">
        <f t="shared" si="51"/>
        <v>#DIV/0!</v>
      </c>
      <c r="AJ124" s="89" t="e">
        <f t="shared" si="51"/>
        <v>#DIV/0!</v>
      </c>
      <c r="AK124" s="89" t="e">
        <f t="shared" si="51"/>
        <v>#DIV/0!</v>
      </c>
      <c r="AL124" s="89" t="e">
        <f t="shared" si="51"/>
        <v>#DIV/0!</v>
      </c>
      <c r="AM124" s="89" t="e">
        <f t="shared" si="51"/>
        <v>#DIV/0!</v>
      </c>
      <c r="AN124" s="89" t="e">
        <f t="shared" si="51"/>
        <v>#DIV/0!</v>
      </c>
      <c r="AO124" s="89" t="e">
        <f t="shared" si="51"/>
        <v>#DIV/0!</v>
      </c>
      <c r="AU124" s="155" t="s">
        <v>449</v>
      </c>
      <c r="AV124" s="89" t="e">
        <f>$B$124</f>
        <v>#DIV/0!</v>
      </c>
      <c r="AW124" s="89" t="e">
        <f t="shared" ref="AW124:BG124" si="52">$B$124</f>
        <v>#DIV/0!</v>
      </c>
      <c r="AX124" s="89" t="e">
        <f t="shared" si="52"/>
        <v>#DIV/0!</v>
      </c>
      <c r="AY124" s="89" t="e">
        <f t="shared" si="52"/>
        <v>#DIV/0!</v>
      </c>
      <c r="AZ124" s="89" t="e">
        <f t="shared" si="52"/>
        <v>#DIV/0!</v>
      </c>
      <c r="BA124" s="89" t="e">
        <f t="shared" si="52"/>
        <v>#DIV/0!</v>
      </c>
      <c r="BB124" s="89" t="e">
        <f t="shared" si="52"/>
        <v>#DIV/0!</v>
      </c>
      <c r="BC124" s="89" t="e">
        <f t="shared" si="52"/>
        <v>#DIV/0!</v>
      </c>
      <c r="BD124" s="89" t="e">
        <f t="shared" si="52"/>
        <v>#DIV/0!</v>
      </c>
      <c r="BE124" s="89" t="e">
        <f t="shared" si="52"/>
        <v>#DIV/0!</v>
      </c>
      <c r="BF124" s="89" t="e">
        <f t="shared" si="52"/>
        <v>#DIV/0!</v>
      </c>
      <c r="BG124" s="89" t="e">
        <f t="shared" si="52"/>
        <v>#DIV/0!</v>
      </c>
      <c r="BN124" s="155" t="s">
        <v>449</v>
      </c>
      <c r="BO124" s="89" t="e">
        <f>$B$124</f>
        <v>#DIV/0!</v>
      </c>
      <c r="BP124" s="89" t="e">
        <f t="shared" ref="BP124:BZ124" si="53">$B$124</f>
        <v>#DIV/0!</v>
      </c>
      <c r="BQ124" s="89" t="e">
        <f t="shared" si="53"/>
        <v>#DIV/0!</v>
      </c>
      <c r="BR124" s="89" t="e">
        <f t="shared" si="53"/>
        <v>#DIV/0!</v>
      </c>
      <c r="BS124" s="89" t="e">
        <f t="shared" si="53"/>
        <v>#DIV/0!</v>
      </c>
      <c r="BT124" s="89" t="e">
        <f t="shared" si="53"/>
        <v>#DIV/0!</v>
      </c>
      <c r="BU124" s="89" t="e">
        <f t="shared" si="53"/>
        <v>#DIV/0!</v>
      </c>
      <c r="BV124" s="89" t="e">
        <f t="shared" si="53"/>
        <v>#DIV/0!</v>
      </c>
      <c r="BW124" s="89" t="e">
        <f t="shared" si="53"/>
        <v>#DIV/0!</v>
      </c>
      <c r="BX124" s="89" t="e">
        <f t="shared" si="53"/>
        <v>#DIV/0!</v>
      </c>
      <c r="BY124" s="89" t="e">
        <f t="shared" si="53"/>
        <v>#DIV/0!</v>
      </c>
      <c r="BZ124" s="89" t="e">
        <f t="shared" si="53"/>
        <v>#DIV/0!</v>
      </c>
      <c r="CF124" s="155" t="s">
        <v>449</v>
      </c>
      <c r="CG124" s="89" t="e">
        <f>$B$124</f>
        <v>#DIV/0!</v>
      </c>
      <c r="CH124" s="89" t="e">
        <f t="shared" ref="CH124:CR124" si="54">$B$124</f>
        <v>#DIV/0!</v>
      </c>
      <c r="CI124" s="89" t="e">
        <f t="shared" si="54"/>
        <v>#DIV/0!</v>
      </c>
      <c r="CJ124" s="89" t="e">
        <f t="shared" si="54"/>
        <v>#DIV/0!</v>
      </c>
      <c r="CK124" s="89" t="e">
        <f t="shared" si="54"/>
        <v>#DIV/0!</v>
      </c>
      <c r="CL124" s="89" t="e">
        <f t="shared" si="54"/>
        <v>#DIV/0!</v>
      </c>
      <c r="CM124" s="89" t="e">
        <f t="shared" si="54"/>
        <v>#DIV/0!</v>
      </c>
      <c r="CN124" s="89" t="e">
        <f t="shared" si="54"/>
        <v>#DIV/0!</v>
      </c>
      <c r="CO124" s="89" t="e">
        <f t="shared" si="54"/>
        <v>#DIV/0!</v>
      </c>
      <c r="CP124" s="89" t="e">
        <f t="shared" si="54"/>
        <v>#DIV/0!</v>
      </c>
      <c r="CQ124" s="89" t="e">
        <f t="shared" si="54"/>
        <v>#DIV/0!</v>
      </c>
      <c r="CR124" s="89" t="e">
        <f t="shared" si="54"/>
        <v>#DIV/0!</v>
      </c>
      <c r="CW124" s="155" t="s">
        <v>449</v>
      </c>
      <c r="CX124" s="89" t="e">
        <f>$B$124</f>
        <v>#DIV/0!</v>
      </c>
      <c r="CY124" s="89" t="e">
        <f t="shared" ref="CY124:DI124" si="55">$B$124</f>
        <v>#DIV/0!</v>
      </c>
      <c r="CZ124" s="89" t="e">
        <f t="shared" si="55"/>
        <v>#DIV/0!</v>
      </c>
      <c r="DA124" s="89" t="e">
        <f t="shared" si="55"/>
        <v>#DIV/0!</v>
      </c>
      <c r="DB124" s="89" t="e">
        <f t="shared" si="55"/>
        <v>#DIV/0!</v>
      </c>
      <c r="DC124" s="89" t="e">
        <f t="shared" si="55"/>
        <v>#DIV/0!</v>
      </c>
      <c r="DD124" s="89" t="e">
        <f t="shared" si="55"/>
        <v>#DIV/0!</v>
      </c>
      <c r="DE124" s="89" t="e">
        <f t="shared" si="55"/>
        <v>#DIV/0!</v>
      </c>
      <c r="DF124" s="89" t="e">
        <f t="shared" si="55"/>
        <v>#DIV/0!</v>
      </c>
      <c r="DG124" s="89" t="e">
        <f t="shared" si="55"/>
        <v>#DIV/0!</v>
      </c>
      <c r="DH124" s="89" t="e">
        <f t="shared" si="55"/>
        <v>#DIV/0!</v>
      </c>
      <c r="DI124" s="89" t="e">
        <f t="shared" si="55"/>
        <v>#DIV/0!</v>
      </c>
      <c r="DN124" s="155" t="s">
        <v>449</v>
      </c>
      <c r="DO124" s="89" t="e">
        <f>$B$124</f>
        <v>#DIV/0!</v>
      </c>
      <c r="DP124" s="89" t="e">
        <f t="shared" ref="DP124:DZ124" si="56">$B$124</f>
        <v>#DIV/0!</v>
      </c>
      <c r="DQ124" s="89" t="e">
        <f t="shared" si="56"/>
        <v>#DIV/0!</v>
      </c>
      <c r="DR124" s="89" t="e">
        <f t="shared" si="56"/>
        <v>#DIV/0!</v>
      </c>
      <c r="DS124" s="89" t="e">
        <f t="shared" si="56"/>
        <v>#DIV/0!</v>
      </c>
      <c r="DT124" s="89" t="e">
        <f t="shared" si="56"/>
        <v>#DIV/0!</v>
      </c>
      <c r="DU124" s="89" t="e">
        <f t="shared" si="56"/>
        <v>#DIV/0!</v>
      </c>
      <c r="DV124" s="89" t="e">
        <f t="shared" si="56"/>
        <v>#DIV/0!</v>
      </c>
      <c r="DW124" s="89" t="e">
        <f t="shared" si="56"/>
        <v>#DIV/0!</v>
      </c>
      <c r="DX124" s="89" t="e">
        <f t="shared" si="56"/>
        <v>#DIV/0!</v>
      </c>
      <c r="DY124" s="89" t="e">
        <f t="shared" si="56"/>
        <v>#DIV/0!</v>
      </c>
      <c r="DZ124" s="89" t="e">
        <f t="shared" si="56"/>
        <v>#DIV/0!</v>
      </c>
      <c r="FB124" s="155" t="s">
        <v>449</v>
      </c>
      <c r="FC124" s="89" t="e">
        <f>$B$124</f>
        <v>#DIV/0!</v>
      </c>
      <c r="FD124" s="89" t="e">
        <f t="shared" ref="FD124:FN124" si="57">$B$124</f>
        <v>#DIV/0!</v>
      </c>
      <c r="FE124" s="89" t="e">
        <f t="shared" si="57"/>
        <v>#DIV/0!</v>
      </c>
      <c r="FF124" s="89" t="e">
        <f t="shared" si="57"/>
        <v>#DIV/0!</v>
      </c>
      <c r="FG124" s="89" t="e">
        <f t="shared" si="57"/>
        <v>#DIV/0!</v>
      </c>
      <c r="FH124" s="89" t="e">
        <f t="shared" si="57"/>
        <v>#DIV/0!</v>
      </c>
      <c r="FI124" s="89" t="e">
        <f t="shared" si="57"/>
        <v>#DIV/0!</v>
      </c>
      <c r="FJ124" s="89" t="e">
        <f t="shared" si="57"/>
        <v>#DIV/0!</v>
      </c>
      <c r="FK124" s="89" t="e">
        <f t="shared" si="57"/>
        <v>#DIV/0!</v>
      </c>
      <c r="FL124" s="89" t="e">
        <f t="shared" si="57"/>
        <v>#DIV/0!</v>
      </c>
      <c r="FM124" s="89" t="e">
        <f t="shared" si="57"/>
        <v>#DIV/0!</v>
      </c>
      <c r="FN124" s="89" t="e">
        <f t="shared" si="57"/>
        <v>#DIV/0!</v>
      </c>
      <c r="FV124" s="155" t="s">
        <v>449</v>
      </c>
      <c r="FW124" s="89" t="e">
        <f>$B$124</f>
        <v>#DIV/0!</v>
      </c>
      <c r="FX124" s="89" t="e">
        <f t="shared" ref="FX124:GH124" si="58">$B$124</f>
        <v>#DIV/0!</v>
      </c>
      <c r="FY124" s="89" t="e">
        <f t="shared" si="58"/>
        <v>#DIV/0!</v>
      </c>
      <c r="FZ124" s="89" t="e">
        <f t="shared" si="58"/>
        <v>#DIV/0!</v>
      </c>
      <c r="GA124" s="89" t="e">
        <f t="shared" si="58"/>
        <v>#DIV/0!</v>
      </c>
      <c r="GB124" s="89" t="e">
        <f t="shared" si="58"/>
        <v>#DIV/0!</v>
      </c>
      <c r="GC124" s="89" t="e">
        <f t="shared" si="58"/>
        <v>#DIV/0!</v>
      </c>
      <c r="GD124" s="89" t="e">
        <f t="shared" si="58"/>
        <v>#DIV/0!</v>
      </c>
      <c r="GE124" s="89" t="e">
        <f t="shared" si="58"/>
        <v>#DIV/0!</v>
      </c>
      <c r="GF124" s="89" t="e">
        <f t="shared" si="58"/>
        <v>#DIV/0!</v>
      </c>
      <c r="GG124" s="89" t="e">
        <f t="shared" si="58"/>
        <v>#DIV/0!</v>
      </c>
      <c r="GH124" s="89" t="e">
        <f t="shared" si="58"/>
        <v>#DIV/0!</v>
      </c>
      <c r="GN124" s="155" t="s">
        <v>449</v>
      </c>
      <c r="GO124" s="89" t="e">
        <f>$B$124</f>
        <v>#DIV/0!</v>
      </c>
      <c r="GP124" s="89" t="e">
        <f t="shared" ref="GP124:GZ124" si="59">$B$124</f>
        <v>#DIV/0!</v>
      </c>
      <c r="GQ124" s="89" t="e">
        <f t="shared" si="59"/>
        <v>#DIV/0!</v>
      </c>
      <c r="GR124" s="89" t="e">
        <f t="shared" si="59"/>
        <v>#DIV/0!</v>
      </c>
      <c r="GS124" s="89" t="e">
        <f t="shared" si="59"/>
        <v>#DIV/0!</v>
      </c>
      <c r="GT124" s="89" t="e">
        <f t="shared" si="59"/>
        <v>#DIV/0!</v>
      </c>
      <c r="GU124" s="89" t="e">
        <f t="shared" si="59"/>
        <v>#DIV/0!</v>
      </c>
      <c r="GV124" s="89" t="e">
        <f t="shared" si="59"/>
        <v>#DIV/0!</v>
      </c>
      <c r="GW124" s="89" t="e">
        <f t="shared" si="59"/>
        <v>#DIV/0!</v>
      </c>
      <c r="GX124" s="89" t="e">
        <f t="shared" si="59"/>
        <v>#DIV/0!</v>
      </c>
      <c r="GY124" s="89" t="e">
        <f t="shared" si="59"/>
        <v>#DIV/0!</v>
      </c>
      <c r="GZ124" s="89" t="e">
        <f t="shared" si="59"/>
        <v>#DIV/0!</v>
      </c>
      <c r="HO124" s="256"/>
      <c r="HZ124" s="256"/>
    </row>
    <row r="125" spans="1:234" x14ac:dyDescent="0.2">
      <c r="A125" s="155" t="s">
        <v>570</v>
      </c>
      <c r="B125" s="89" t="e">
        <f>IF(B128=1,B124/(1+B124),(1-B128^B124)/(1-B128^(B124+1)))</f>
        <v>#DIV/0!</v>
      </c>
      <c r="C125" s="89" t="e">
        <f t="shared" ref="C125:M125" si="60">IF(C128=1,C124/(1+C124),(1-C128^C124)/(1-C128^(C124+1)))</f>
        <v>#DIV/0!</v>
      </c>
      <c r="D125" s="89" t="e">
        <f t="shared" si="60"/>
        <v>#DIV/0!</v>
      </c>
      <c r="E125" s="89" t="e">
        <f t="shared" si="60"/>
        <v>#DIV/0!</v>
      </c>
      <c r="F125" s="89" t="e">
        <f t="shared" si="60"/>
        <v>#DIV/0!</v>
      </c>
      <c r="G125" s="89" t="e">
        <f t="shared" si="60"/>
        <v>#DIV/0!</v>
      </c>
      <c r="H125" s="89" t="e">
        <f t="shared" si="60"/>
        <v>#DIV/0!</v>
      </c>
      <c r="I125" s="89" t="e">
        <f t="shared" si="60"/>
        <v>#DIV/0!</v>
      </c>
      <c r="J125" s="89" t="e">
        <f t="shared" si="60"/>
        <v>#DIV/0!</v>
      </c>
      <c r="K125" s="89" t="e">
        <f t="shared" si="60"/>
        <v>#DIV/0!</v>
      </c>
      <c r="L125" s="89" t="e">
        <f t="shared" si="60"/>
        <v>#DIV/0!</v>
      </c>
      <c r="M125" s="89" t="e">
        <f t="shared" si="60"/>
        <v>#DIV/0!</v>
      </c>
      <c r="AC125" s="155" t="s">
        <v>570</v>
      </c>
      <c r="AD125" s="89" t="e">
        <f>IF(AD128=1,AD124/(1+AD124),(1-AD128^AD124)/(1-AD128^(AD124+1)))</f>
        <v>#DIV/0!</v>
      </c>
      <c r="AE125" s="89" t="e">
        <f t="shared" ref="AE125:AO125" si="61">IF(AE128=1,AE124/(1+AE124),(1-AE128^AE124)/(1-AE128^(AE124+1)))</f>
        <v>#DIV/0!</v>
      </c>
      <c r="AF125" s="89" t="e">
        <f t="shared" si="61"/>
        <v>#DIV/0!</v>
      </c>
      <c r="AG125" s="89" t="e">
        <f t="shared" si="61"/>
        <v>#DIV/0!</v>
      </c>
      <c r="AH125" s="89" t="e">
        <f t="shared" si="61"/>
        <v>#DIV/0!</v>
      </c>
      <c r="AI125" s="89" t="e">
        <f t="shared" si="61"/>
        <v>#DIV/0!</v>
      </c>
      <c r="AJ125" s="89" t="e">
        <f t="shared" si="61"/>
        <v>#DIV/0!</v>
      </c>
      <c r="AK125" s="89" t="e">
        <f t="shared" si="61"/>
        <v>#DIV/0!</v>
      </c>
      <c r="AL125" s="89" t="e">
        <f t="shared" si="61"/>
        <v>#DIV/0!</v>
      </c>
      <c r="AM125" s="89" t="e">
        <f t="shared" si="61"/>
        <v>#DIV/0!</v>
      </c>
      <c r="AN125" s="89" t="e">
        <f t="shared" si="61"/>
        <v>#DIV/0!</v>
      </c>
      <c r="AO125" s="89" t="e">
        <f t="shared" si="61"/>
        <v>#DIV/0!</v>
      </c>
      <c r="AU125" s="155" t="s">
        <v>570</v>
      </c>
      <c r="AV125" s="89" t="e">
        <f>IF(AV128=1,AV124/(1+AV124),(1-AV128^AV124)/(1-AV128^(AV124+1)))</f>
        <v>#DIV/0!</v>
      </c>
      <c r="AW125" s="89" t="e">
        <f t="shared" ref="AW125:BG125" si="62">IF(AW128=1,AW124/(1+AW124),(1-AW128^AW124)/(1-AW128^(AW124+1)))</f>
        <v>#DIV/0!</v>
      </c>
      <c r="AX125" s="89" t="e">
        <f t="shared" si="62"/>
        <v>#DIV/0!</v>
      </c>
      <c r="AY125" s="89" t="e">
        <f t="shared" si="62"/>
        <v>#DIV/0!</v>
      </c>
      <c r="AZ125" s="89" t="e">
        <f t="shared" si="62"/>
        <v>#DIV/0!</v>
      </c>
      <c r="BA125" s="89" t="e">
        <f t="shared" si="62"/>
        <v>#DIV/0!</v>
      </c>
      <c r="BB125" s="89" t="e">
        <f t="shared" si="62"/>
        <v>#DIV/0!</v>
      </c>
      <c r="BC125" s="89" t="e">
        <f t="shared" si="62"/>
        <v>#DIV/0!</v>
      </c>
      <c r="BD125" s="89" t="e">
        <f t="shared" si="62"/>
        <v>#DIV/0!</v>
      </c>
      <c r="BE125" s="89" t="e">
        <f t="shared" si="62"/>
        <v>#DIV/0!</v>
      </c>
      <c r="BF125" s="89" t="e">
        <f t="shared" si="62"/>
        <v>#DIV/0!</v>
      </c>
      <c r="BG125" s="89" t="e">
        <f t="shared" si="62"/>
        <v>#DIV/0!</v>
      </c>
      <c r="BN125" s="155" t="s">
        <v>570</v>
      </c>
      <c r="BO125" s="89" t="e">
        <f t="shared" ref="BO125:BZ125" si="63">IF(BO128=1,BO124/(1+BO124),(1-BO128^BO124)/(1-BO128^(BO124+1)))</f>
        <v>#DIV/0!</v>
      </c>
      <c r="BP125" s="89" t="e">
        <f t="shared" si="63"/>
        <v>#DIV/0!</v>
      </c>
      <c r="BQ125" s="89" t="e">
        <f t="shared" si="63"/>
        <v>#DIV/0!</v>
      </c>
      <c r="BR125" s="89" t="e">
        <f t="shared" si="63"/>
        <v>#DIV/0!</v>
      </c>
      <c r="BS125" s="89" t="e">
        <f t="shared" si="63"/>
        <v>#DIV/0!</v>
      </c>
      <c r="BT125" s="89" t="e">
        <f t="shared" si="63"/>
        <v>#DIV/0!</v>
      </c>
      <c r="BU125" s="89" t="e">
        <f t="shared" si="63"/>
        <v>#DIV/0!</v>
      </c>
      <c r="BV125" s="89" t="e">
        <f t="shared" si="63"/>
        <v>#DIV/0!</v>
      </c>
      <c r="BW125" s="89" t="e">
        <f t="shared" si="63"/>
        <v>#DIV/0!</v>
      </c>
      <c r="BX125" s="89" t="e">
        <f t="shared" si="63"/>
        <v>#DIV/0!</v>
      </c>
      <c r="BY125" s="89" t="e">
        <f t="shared" si="63"/>
        <v>#DIV/0!</v>
      </c>
      <c r="BZ125" s="89" t="e">
        <f t="shared" si="63"/>
        <v>#DIV/0!</v>
      </c>
      <c r="CF125" s="155" t="s">
        <v>570</v>
      </c>
      <c r="CG125" s="89" t="e">
        <f t="shared" ref="CG125:CR125" si="64">IF(CG128=1,CG124/(1+CG124),(1-CG128^CG124)/(1-CG128^(CG124+1)))</f>
        <v>#DIV/0!</v>
      </c>
      <c r="CH125" s="89" t="e">
        <f t="shared" si="64"/>
        <v>#DIV/0!</v>
      </c>
      <c r="CI125" s="89" t="e">
        <f t="shared" si="64"/>
        <v>#DIV/0!</v>
      </c>
      <c r="CJ125" s="89" t="e">
        <f t="shared" si="64"/>
        <v>#DIV/0!</v>
      </c>
      <c r="CK125" s="89" t="e">
        <f t="shared" si="64"/>
        <v>#DIV/0!</v>
      </c>
      <c r="CL125" s="89" t="e">
        <f t="shared" si="64"/>
        <v>#DIV/0!</v>
      </c>
      <c r="CM125" s="89" t="e">
        <f t="shared" si="64"/>
        <v>#DIV/0!</v>
      </c>
      <c r="CN125" s="89" t="e">
        <f t="shared" si="64"/>
        <v>#DIV/0!</v>
      </c>
      <c r="CO125" s="89" t="e">
        <f t="shared" si="64"/>
        <v>#DIV/0!</v>
      </c>
      <c r="CP125" s="89" t="e">
        <f t="shared" si="64"/>
        <v>#DIV/0!</v>
      </c>
      <c r="CQ125" s="89" t="e">
        <f t="shared" si="64"/>
        <v>#DIV/0!</v>
      </c>
      <c r="CR125" s="89" t="e">
        <f t="shared" si="64"/>
        <v>#DIV/0!</v>
      </c>
      <c r="CW125" s="155" t="s">
        <v>570</v>
      </c>
      <c r="CX125" s="89" t="e">
        <f t="shared" ref="CX125:DI125" si="65">IF(CX128=1,CX124/(1+CX124),(1-CX128^CX124)/(1-CX128^(CX124+1)))</f>
        <v>#DIV/0!</v>
      </c>
      <c r="CY125" s="89" t="e">
        <f t="shared" si="65"/>
        <v>#DIV/0!</v>
      </c>
      <c r="CZ125" s="89" t="e">
        <f t="shared" si="65"/>
        <v>#DIV/0!</v>
      </c>
      <c r="DA125" s="89" t="e">
        <f t="shared" si="65"/>
        <v>#DIV/0!</v>
      </c>
      <c r="DB125" s="89" t="e">
        <f t="shared" si="65"/>
        <v>#DIV/0!</v>
      </c>
      <c r="DC125" s="89" t="e">
        <f t="shared" si="65"/>
        <v>#DIV/0!</v>
      </c>
      <c r="DD125" s="89" t="e">
        <f t="shared" si="65"/>
        <v>#DIV/0!</v>
      </c>
      <c r="DE125" s="89" t="e">
        <f t="shared" si="65"/>
        <v>#DIV/0!</v>
      </c>
      <c r="DF125" s="89" t="e">
        <f t="shared" si="65"/>
        <v>#DIV/0!</v>
      </c>
      <c r="DG125" s="89" t="e">
        <f t="shared" si="65"/>
        <v>#DIV/0!</v>
      </c>
      <c r="DH125" s="89" t="e">
        <f t="shared" si="65"/>
        <v>#DIV/0!</v>
      </c>
      <c r="DI125" s="89" t="e">
        <f t="shared" si="65"/>
        <v>#DIV/0!</v>
      </c>
      <c r="DN125" s="155" t="s">
        <v>570</v>
      </c>
      <c r="DO125" s="89" t="e">
        <f t="shared" ref="DO125:DZ125" si="66">IF(DO128=1,DO124/(1+DO124),(1-DO128^DO124)/(1-DO128^(DO124+1)))</f>
        <v>#DIV/0!</v>
      </c>
      <c r="DP125" s="89" t="e">
        <f t="shared" si="66"/>
        <v>#DIV/0!</v>
      </c>
      <c r="DQ125" s="89" t="e">
        <f t="shared" si="66"/>
        <v>#DIV/0!</v>
      </c>
      <c r="DR125" s="89" t="e">
        <f t="shared" si="66"/>
        <v>#DIV/0!</v>
      </c>
      <c r="DS125" s="89" t="e">
        <f t="shared" si="66"/>
        <v>#DIV/0!</v>
      </c>
      <c r="DT125" s="89" t="e">
        <f t="shared" si="66"/>
        <v>#DIV/0!</v>
      </c>
      <c r="DU125" s="89" t="e">
        <f t="shared" si="66"/>
        <v>#DIV/0!</v>
      </c>
      <c r="DV125" s="89" t="e">
        <f t="shared" si="66"/>
        <v>#DIV/0!</v>
      </c>
      <c r="DW125" s="89" t="e">
        <f t="shared" si="66"/>
        <v>#DIV/0!</v>
      </c>
      <c r="DX125" s="89" t="e">
        <f t="shared" si="66"/>
        <v>#DIV/0!</v>
      </c>
      <c r="DY125" s="89" t="e">
        <f t="shared" si="66"/>
        <v>#DIV/0!</v>
      </c>
      <c r="DZ125" s="89" t="e">
        <f t="shared" si="66"/>
        <v>#DIV/0!</v>
      </c>
      <c r="FB125" s="155" t="s">
        <v>570</v>
      </c>
      <c r="FC125" s="89" t="e">
        <f t="shared" ref="FC125:FN125" si="67">IF(FC128=1,FC124/(1+FC124),(1-FC128^FC124)/(1-FC128^(FC124+1)))</f>
        <v>#DIV/0!</v>
      </c>
      <c r="FD125" s="89" t="e">
        <f t="shared" si="67"/>
        <v>#DIV/0!</v>
      </c>
      <c r="FE125" s="89" t="e">
        <f t="shared" si="67"/>
        <v>#DIV/0!</v>
      </c>
      <c r="FF125" s="89" t="e">
        <f t="shared" si="67"/>
        <v>#DIV/0!</v>
      </c>
      <c r="FG125" s="89" t="e">
        <f t="shared" si="67"/>
        <v>#DIV/0!</v>
      </c>
      <c r="FH125" s="89" t="e">
        <f t="shared" si="67"/>
        <v>#DIV/0!</v>
      </c>
      <c r="FI125" s="89" t="e">
        <f t="shared" si="67"/>
        <v>#DIV/0!</v>
      </c>
      <c r="FJ125" s="89" t="e">
        <f t="shared" si="67"/>
        <v>#DIV/0!</v>
      </c>
      <c r="FK125" s="89" t="e">
        <f t="shared" si="67"/>
        <v>#DIV/0!</v>
      </c>
      <c r="FL125" s="89" t="e">
        <f t="shared" si="67"/>
        <v>#DIV/0!</v>
      </c>
      <c r="FM125" s="89" t="e">
        <f t="shared" si="67"/>
        <v>#DIV/0!</v>
      </c>
      <c r="FN125" s="89" t="e">
        <f t="shared" si="67"/>
        <v>#DIV/0!</v>
      </c>
      <c r="FV125" s="155" t="s">
        <v>570</v>
      </c>
      <c r="FW125" s="89" t="e">
        <f t="shared" ref="FW125:GH125" si="68">IF(FW128=1,FW124/(1+FW124),(1-FW128^FW124)/(1-FW128^(FW124+1)))</f>
        <v>#DIV/0!</v>
      </c>
      <c r="FX125" s="89" t="e">
        <f t="shared" si="68"/>
        <v>#DIV/0!</v>
      </c>
      <c r="FY125" s="89" t="e">
        <f t="shared" si="68"/>
        <v>#DIV/0!</v>
      </c>
      <c r="FZ125" s="89" t="e">
        <f t="shared" si="68"/>
        <v>#DIV/0!</v>
      </c>
      <c r="GA125" s="89" t="e">
        <f t="shared" si="68"/>
        <v>#DIV/0!</v>
      </c>
      <c r="GB125" s="89" t="e">
        <f t="shared" si="68"/>
        <v>#DIV/0!</v>
      </c>
      <c r="GC125" s="89" t="e">
        <f t="shared" si="68"/>
        <v>#DIV/0!</v>
      </c>
      <c r="GD125" s="89" t="e">
        <f t="shared" si="68"/>
        <v>#DIV/0!</v>
      </c>
      <c r="GE125" s="89" t="e">
        <f t="shared" si="68"/>
        <v>#DIV/0!</v>
      </c>
      <c r="GF125" s="89" t="e">
        <f t="shared" si="68"/>
        <v>#DIV/0!</v>
      </c>
      <c r="GG125" s="89" t="e">
        <f t="shared" si="68"/>
        <v>#DIV/0!</v>
      </c>
      <c r="GH125" s="89" t="e">
        <f t="shared" si="68"/>
        <v>#DIV/0!</v>
      </c>
      <c r="GN125" s="155" t="s">
        <v>570</v>
      </c>
      <c r="GO125" s="89" t="e">
        <f>IF(GO128=1,GO124/(1+GO124),(1-GO128^GO124)/(1-GO128^(GO124+1)))</f>
        <v>#DIV/0!</v>
      </c>
      <c r="GP125" s="89" t="e">
        <f t="shared" ref="GP125:GZ125" si="69">IF(GP128=1,GP124/(1+GP124),(1-GP128^GP124)/(1-GP128^(GP124+1)))</f>
        <v>#DIV/0!</v>
      </c>
      <c r="GQ125" s="89" t="e">
        <f t="shared" si="69"/>
        <v>#DIV/0!</v>
      </c>
      <c r="GR125" s="89" t="e">
        <f t="shared" si="69"/>
        <v>#DIV/0!</v>
      </c>
      <c r="GS125" s="89" t="e">
        <f t="shared" si="69"/>
        <v>#DIV/0!</v>
      </c>
      <c r="GT125" s="89" t="e">
        <f t="shared" si="69"/>
        <v>#DIV/0!</v>
      </c>
      <c r="GU125" s="89" t="e">
        <f t="shared" si="69"/>
        <v>#DIV/0!</v>
      </c>
      <c r="GV125" s="89" t="e">
        <f t="shared" si="69"/>
        <v>#DIV/0!</v>
      </c>
      <c r="GW125" s="89" t="e">
        <f t="shared" si="69"/>
        <v>#DIV/0!</v>
      </c>
      <c r="GX125" s="89" t="e">
        <f t="shared" si="69"/>
        <v>#DIV/0!</v>
      </c>
      <c r="GY125" s="89" t="e">
        <f t="shared" si="69"/>
        <v>#DIV/0!</v>
      </c>
      <c r="GZ125" s="89" t="e">
        <f t="shared" si="69"/>
        <v>#DIV/0!</v>
      </c>
      <c r="HO125" s="256"/>
      <c r="HZ125" s="256"/>
    </row>
    <row r="126" spans="1:234" x14ac:dyDescent="0.2">
      <c r="A126" s="155" t="s">
        <v>571</v>
      </c>
      <c r="B126" s="89">
        <f>$G$71</f>
        <v>0</v>
      </c>
      <c r="C126" s="89">
        <f t="shared" ref="C126:M126" si="70">$G$71</f>
        <v>0</v>
      </c>
      <c r="D126" s="89">
        <f t="shared" si="70"/>
        <v>0</v>
      </c>
      <c r="E126" s="89">
        <f t="shared" si="70"/>
        <v>0</v>
      </c>
      <c r="F126" s="89">
        <f t="shared" si="70"/>
        <v>0</v>
      </c>
      <c r="G126" s="89">
        <f t="shared" si="70"/>
        <v>0</v>
      </c>
      <c r="H126" s="89">
        <f t="shared" si="70"/>
        <v>0</v>
      </c>
      <c r="I126" s="89">
        <f t="shared" si="70"/>
        <v>0</v>
      </c>
      <c r="J126" s="89">
        <f t="shared" si="70"/>
        <v>0</v>
      </c>
      <c r="K126" s="89">
        <f t="shared" si="70"/>
        <v>0</v>
      </c>
      <c r="L126" s="89">
        <f t="shared" si="70"/>
        <v>0</v>
      </c>
      <c r="M126" s="89">
        <f t="shared" si="70"/>
        <v>0</v>
      </c>
      <c r="AC126" s="155" t="s">
        <v>571</v>
      </c>
      <c r="AD126" s="89">
        <f>$G$71</f>
        <v>0</v>
      </c>
      <c r="AE126" s="89">
        <f t="shared" ref="AE126:AO126" si="71">$G$71</f>
        <v>0</v>
      </c>
      <c r="AF126" s="89">
        <f t="shared" si="71"/>
        <v>0</v>
      </c>
      <c r="AG126" s="89">
        <f t="shared" si="71"/>
        <v>0</v>
      </c>
      <c r="AH126" s="89">
        <f t="shared" si="71"/>
        <v>0</v>
      </c>
      <c r="AI126" s="89">
        <f t="shared" si="71"/>
        <v>0</v>
      </c>
      <c r="AJ126" s="89">
        <f t="shared" si="71"/>
        <v>0</v>
      </c>
      <c r="AK126" s="89">
        <f t="shared" si="71"/>
        <v>0</v>
      </c>
      <c r="AL126" s="89">
        <f t="shared" si="71"/>
        <v>0</v>
      </c>
      <c r="AM126" s="89">
        <f t="shared" si="71"/>
        <v>0</v>
      </c>
      <c r="AN126" s="89">
        <f t="shared" si="71"/>
        <v>0</v>
      </c>
      <c r="AO126" s="89">
        <f t="shared" si="71"/>
        <v>0</v>
      </c>
      <c r="AU126" s="155" t="s">
        <v>571</v>
      </c>
      <c r="AV126" s="89">
        <f>$G$71</f>
        <v>0</v>
      </c>
      <c r="AW126" s="89">
        <f t="shared" ref="AW126:BG126" si="72">$G$71</f>
        <v>0</v>
      </c>
      <c r="AX126" s="89">
        <f t="shared" si="72"/>
        <v>0</v>
      </c>
      <c r="AY126" s="89">
        <f t="shared" si="72"/>
        <v>0</v>
      </c>
      <c r="AZ126" s="89">
        <f t="shared" si="72"/>
        <v>0</v>
      </c>
      <c r="BA126" s="89">
        <f t="shared" si="72"/>
        <v>0</v>
      </c>
      <c r="BB126" s="89">
        <f t="shared" si="72"/>
        <v>0</v>
      </c>
      <c r="BC126" s="89">
        <f t="shared" si="72"/>
        <v>0</v>
      </c>
      <c r="BD126" s="89">
        <f t="shared" si="72"/>
        <v>0</v>
      </c>
      <c r="BE126" s="89">
        <f t="shared" si="72"/>
        <v>0</v>
      </c>
      <c r="BF126" s="89">
        <f t="shared" si="72"/>
        <v>0</v>
      </c>
      <c r="BG126" s="89">
        <f t="shared" si="72"/>
        <v>0</v>
      </c>
      <c r="BN126" s="155" t="s">
        <v>571</v>
      </c>
      <c r="BO126" s="89">
        <f>$G$71</f>
        <v>0</v>
      </c>
      <c r="BP126" s="89">
        <f t="shared" ref="BP126:BZ126" si="73">$G$71</f>
        <v>0</v>
      </c>
      <c r="BQ126" s="89">
        <f t="shared" si="73"/>
        <v>0</v>
      </c>
      <c r="BR126" s="89">
        <f t="shared" si="73"/>
        <v>0</v>
      </c>
      <c r="BS126" s="89">
        <f t="shared" si="73"/>
        <v>0</v>
      </c>
      <c r="BT126" s="89">
        <f t="shared" si="73"/>
        <v>0</v>
      </c>
      <c r="BU126" s="89">
        <f t="shared" si="73"/>
        <v>0</v>
      </c>
      <c r="BV126" s="89">
        <f t="shared" si="73"/>
        <v>0</v>
      </c>
      <c r="BW126" s="89">
        <f t="shared" si="73"/>
        <v>0</v>
      </c>
      <c r="BX126" s="89">
        <f t="shared" si="73"/>
        <v>0</v>
      </c>
      <c r="BY126" s="89">
        <f t="shared" si="73"/>
        <v>0</v>
      </c>
      <c r="BZ126" s="89">
        <f t="shared" si="73"/>
        <v>0</v>
      </c>
      <c r="CF126" s="155" t="s">
        <v>571</v>
      </c>
      <c r="CG126" s="89">
        <f>$G$71</f>
        <v>0</v>
      </c>
      <c r="CH126" s="89">
        <f t="shared" ref="CH126:CR126" si="74">$G$71</f>
        <v>0</v>
      </c>
      <c r="CI126" s="89">
        <f t="shared" si="74"/>
        <v>0</v>
      </c>
      <c r="CJ126" s="89">
        <f t="shared" si="74"/>
        <v>0</v>
      </c>
      <c r="CK126" s="89">
        <f t="shared" si="74"/>
        <v>0</v>
      </c>
      <c r="CL126" s="89">
        <f t="shared" si="74"/>
        <v>0</v>
      </c>
      <c r="CM126" s="89">
        <f t="shared" si="74"/>
        <v>0</v>
      </c>
      <c r="CN126" s="89">
        <f t="shared" si="74"/>
        <v>0</v>
      </c>
      <c r="CO126" s="89">
        <f t="shared" si="74"/>
        <v>0</v>
      </c>
      <c r="CP126" s="89">
        <f t="shared" si="74"/>
        <v>0</v>
      </c>
      <c r="CQ126" s="89">
        <f t="shared" si="74"/>
        <v>0</v>
      </c>
      <c r="CR126" s="89">
        <f t="shared" si="74"/>
        <v>0</v>
      </c>
      <c r="CW126" s="155" t="s">
        <v>571</v>
      </c>
      <c r="CX126" s="89">
        <f>$G$71</f>
        <v>0</v>
      </c>
      <c r="CY126" s="89">
        <f t="shared" ref="CY126:DI126" si="75">$G$71</f>
        <v>0</v>
      </c>
      <c r="CZ126" s="89">
        <f t="shared" si="75"/>
        <v>0</v>
      </c>
      <c r="DA126" s="89">
        <f t="shared" si="75"/>
        <v>0</v>
      </c>
      <c r="DB126" s="89">
        <f t="shared" si="75"/>
        <v>0</v>
      </c>
      <c r="DC126" s="89">
        <f t="shared" si="75"/>
        <v>0</v>
      </c>
      <c r="DD126" s="89">
        <f t="shared" si="75"/>
        <v>0</v>
      </c>
      <c r="DE126" s="89">
        <f t="shared" si="75"/>
        <v>0</v>
      </c>
      <c r="DF126" s="89">
        <f t="shared" si="75"/>
        <v>0</v>
      </c>
      <c r="DG126" s="89">
        <f t="shared" si="75"/>
        <v>0</v>
      </c>
      <c r="DH126" s="89">
        <f t="shared" si="75"/>
        <v>0</v>
      </c>
      <c r="DI126" s="89">
        <f t="shared" si="75"/>
        <v>0</v>
      </c>
      <c r="DN126" s="155" t="s">
        <v>571</v>
      </c>
      <c r="DO126" s="89">
        <f>$G$71</f>
        <v>0</v>
      </c>
      <c r="DP126" s="89">
        <f t="shared" ref="DP126:DZ126" si="76">$G$71</f>
        <v>0</v>
      </c>
      <c r="DQ126" s="89">
        <f t="shared" si="76"/>
        <v>0</v>
      </c>
      <c r="DR126" s="89">
        <f t="shared" si="76"/>
        <v>0</v>
      </c>
      <c r="DS126" s="89">
        <f t="shared" si="76"/>
        <v>0</v>
      </c>
      <c r="DT126" s="89">
        <f t="shared" si="76"/>
        <v>0</v>
      </c>
      <c r="DU126" s="89">
        <f t="shared" si="76"/>
        <v>0</v>
      </c>
      <c r="DV126" s="89">
        <f t="shared" si="76"/>
        <v>0</v>
      </c>
      <c r="DW126" s="89">
        <f t="shared" si="76"/>
        <v>0</v>
      </c>
      <c r="DX126" s="89">
        <f t="shared" si="76"/>
        <v>0</v>
      </c>
      <c r="DY126" s="89">
        <f t="shared" si="76"/>
        <v>0</v>
      </c>
      <c r="DZ126" s="89">
        <f t="shared" si="76"/>
        <v>0</v>
      </c>
      <c r="FB126" s="155" t="s">
        <v>571</v>
      </c>
      <c r="FC126" s="89">
        <f>$G$71</f>
        <v>0</v>
      </c>
      <c r="FD126" s="89">
        <f t="shared" ref="FD126:FN126" si="77">$G$71</f>
        <v>0</v>
      </c>
      <c r="FE126" s="89">
        <f t="shared" si="77"/>
        <v>0</v>
      </c>
      <c r="FF126" s="89">
        <f t="shared" si="77"/>
        <v>0</v>
      </c>
      <c r="FG126" s="89">
        <f t="shared" si="77"/>
        <v>0</v>
      </c>
      <c r="FH126" s="89">
        <f t="shared" si="77"/>
        <v>0</v>
      </c>
      <c r="FI126" s="89">
        <f t="shared" si="77"/>
        <v>0</v>
      </c>
      <c r="FJ126" s="89">
        <f t="shared" si="77"/>
        <v>0</v>
      </c>
      <c r="FK126" s="89">
        <f t="shared" si="77"/>
        <v>0</v>
      </c>
      <c r="FL126" s="89">
        <f t="shared" si="77"/>
        <v>0</v>
      </c>
      <c r="FM126" s="89">
        <f t="shared" si="77"/>
        <v>0</v>
      </c>
      <c r="FN126" s="89">
        <f t="shared" si="77"/>
        <v>0</v>
      </c>
      <c r="FV126" s="155" t="s">
        <v>571</v>
      </c>
      <c r="FW126" s="89">
        <f>$GB$71</f>
        <v>0</v>
      </c>
      <c r="FX126" s="89">
        <f t="shared" ref="FX126:GH126" si="78">$GB$71</f>
        <v>0</v>
      </c>
      <c r="FY126" s="89">
        <f t="shared" si="78"/>
        <v>0</v>
      </c>
      <c r="FZ126" s="89">
        <f t="shared" si="78"/>
        <v>0</v>
      </c>
      <c r="GA126" s="89">
        <f t="shared" si="78"/>
        <v>0</v>
      </c>
      <c r="GB126" s="89">
        <f t="shared" si="78"/>
        <v>0</v>
      </c>
      <c r="GC126" s="89">
        <f t="shared" si="78"/>
        <v>0</v>
      </c>
      <c r="GD126" s="89">
        <f t="shared" si="78"/>
        <v>0</v>
      </c>
      <c r="GE126" s="89">
        <f t="shared" si="78"/>
        <v>0</v>
      </c>
      <c r="GF126" s="89">
        <f t="shared" si="78"/>
        <v>0</v>
      </c>
      <c r="GG126" s="89">
        <f t="shared" si="78"/>
        <v>0</v>
      </c>
      <c r="GH126" s="89">
        <f t="shared" si="78"/>
        <v>0</v>
      </c>
      <c r="GN126" s="155" t="s">
        <v>571</v>
      </c>
      <c r="GO126" s="89">
        <f>GS71</f>
        <v>0</v>
      </c>
      <c r="GP126" s="89">
        <f>$GO$126</f>
        <v>0</v>
      </c>
      <c r="GQ126" s="89">
        <f t="shared" ref="GQ126:GZ126" si="79">$GO$126</f>
        <v>0</v>
      </c>
      <c r="GR126" s="89">
        <f t="shared" si="79"/>
        <v>0</v>
      </c>
      <c r="GS126" s="89">
        <f t="shared" si="79"/>
        <v>0</v>
      </c>
      <c r="GT126" s="89">
        <f t="shared" si="79"/>
        <v>0</v>
      </c>
      <c r="GU126" s="89">
        <f t="shared" si="79"/>
        <v>0</v>
      </c>
      <c r="GV126" s="89">
        <f t="shared" si="79"/>
        <v>0</v>
      </c>
      <c r="GW126" s="89">
        <f t="shared" si="79"/>
        <v>0</v>
      </c>
      <c r="GX126" s="89">
        <f t="shared" si="79"/>
        <v>0</v>
      </c>
      <c r="GY126" s="89">
        <f t="shared" si="79"/>
        <v>0</v>
      </c>
      <c r="GZ126" s="89">
        <f t="shared" si="79"/>
        <v>0</v>
      </c>
      <c r="HO126" s="256"/>
      <c r="HZ126" s="256"/>
    </row>
    <row r="127" spans="1:234" x14ac:dyDescent="0.2">
      <c r="A127" s="155" t="s">
        <v>572</v>
      </c>
      <c r="B127" s="220">
        <f>B118</f>
        <v>0</v>
      </c>
      <c r="C127" s="220">
        <f t="shared" ref="C127:M127" si="80">C118</f>
        <v>0</v>
      </c>
      <c r="D127" s="220">
        <f t="shared" si="80"/>
        <v>0</v>
      </c>
      <c r="E127" s="220">
        <f t="shared" si="80"/>
        <v>0</v>
      </c>
      <c r="F127" s="220">
        <f t="shared" si="80"/>
        <v>0</v>
      </c>
      <c r="G127" s="220">
        <f t="shared" si="80"/>
        <v>0</v>
      </c>
      <c r="H127" s="220">
        <f t="shared" si="80"/>
        <v>0</v>
      </c>
      <c r="I127" s="220">
        <f t="shared" si="80"/>
        <v>0</v>
      </c>
      <c r="J127" s="220">
        <f t="shared" si="80"/>
        <v>0</v>
      </c>
      <c r="K127" s="220">
        <f t="shared" si="80"/>
        <v>0</v>
      </c>
      <c r="L127" s="220">
        <f t="shared" si="80"/>
        <v>0</v>
      </c>
      <c r="M127" s="220">
        <f t="shared" si="80"/>
        <v>0</v>
      </c>
      <c r="AC127" s="155" t="s">
        <v>572</v>
      </c>
      <c r="AD127" s="220">
        <f>B118</f>
        <v>0</v>
      </c>
      <c r="AE127" s="220">
        <f t="shared" ref="AE127:AO127" si="81">C118</f>
        <v>0</v>
      </c>
      <c r="AF127" s="220">
        <f t="shared" si="81"/>
        <v>0</v>
      </c>
      <c r="AG127" s="220">
        <f t="shared" si="81"/>
        <v>0</v>
      </c>
      <c r="AH127" s="220">
        <f t="shared" si="81"/>
        <v>0</v>
      </c>
      <c r="AI127" s="220">
        <f t="shared" si="81"/>
        <v>0</v>
      </c>
      <c r="AJ127" s="220">
        <f t="shared" si="81"/>
        <v>0</v>
      </c>
      <c r="AK127" s="220">
        <f t="shared" si="81"/>
        <v>0</v>
      </c>
      <c r="AL127" s="220">
        <f t="shared" si="81"/>
        <v>0</v>
      </c>
      <c r="AM127" s="220">
        <f t="shared" si="81"/>
        <v>0</v>
      </c>
      <c r="AN127" s="220">
        <f t="shared" si="81"/>
        <v>0</v>
      </c>
      <c r="AO127" s="220">
        <f t="shared" si="81"/>
        <v>0</v>
      </c>
      <c r="AP127" s="220"/>
      <c r="AQ127" s="220"/>
      <c r="AR127" s="220"/>
      <c r="AS127" s="250"/>
      <c r="AU127" s="155" t="s">
        <v>572</v>
      </c>
      <c r="AV127" s="220">
        <f>B118</f>
        <v>0</v>
      </c>
      <c r="AW127" s="220">
        <f t="shared" ref="AW127:BG127" si="82">C118</f>
        <v>0</v>
      </c>
      <c r="AX127" s="220">
        <f t="shared" si="82"/>
        <v>0</v>
      </c>
      <c r="AY127" s="220">
        <f t="shared" si="82"/>
        <v>0</v>
      </c>
      <c r="AZ127" s="220">
        <f t="shared" si="82"/>
        <v>0</v>
      </c>
      <c r="BA127" s="220">
        <f t="shared" si="82"/>
        <v>0</v>
      </c>
      <c r="BB127" s="220">
        <f t="shared" si="82"/>
        <v>0</v>
      </c>
      <c r="BC127" s="220">
        <f t="shared" si="82"/>
        <v>0</v>
      </c>
      <c r="BD127" s="220">
        <f t="shared" si="82"/>
        <v>0</v>
      </c>
      <c r="BE127" s="220">
        <f t="shared" si="82"/>
        <v>0</v>
      </c>
      <c r="BF127" s="220">
        <f t="shared" si="82"/>
        <v>0</v>
      </c>
      <c r="BG127" s="220">
        <f t="shared" si="82"/>
        <v>0</v>
      </c>
      <c r="BH127" s="220"/>
      <c r="BI127" s="220"/>
      <c r="BJ127" s="220"/>
      <c r="BK127" s="220"/>
      <c r="BN127" s="155" t="s">
        <v>572</v>
      </c>
      <c r="BO127" s="220">
        <f>B118</f>
        <v>0</v>
      </c>
      <c r="BP127" s="220">
        <f t="shared" ref="BP127:BZ127" si="83">C118</f>
        <v>0</v>
      </c>
      <c r="BQ127" s="220">
        <f t="shared" si="83"/>
        <v>0</v>
      </c>
      <c r="BR127" s="220">
        <f t="shared" si="83"/>
        <v>0</v>
      </c>
      <c r="BS127" s="220">
        <f t="shared" si="83"/>
        <v>0</v>
      </c>
      <c r="BT127" s="220">
        <f t="shared" si="83"/>
        <v>0</v>
      </c>
      <c r="BU127" s="220">
        <f t="shared" si="83"/>
        <v>0</v>
      </c>
      <c r="BV127" s="220">
        <f t="shared" si="83"/>
        <v>0</v>
      </c>
      <c r="BW127" s="220">
        <f t="shared" si="83"/>
        <v>0</v>
      </c>
      <c r="BX127" s="220">
        <f t="shared" si="83"/>
        <v>0</v>
      </c>
      <c r="BY127" s="220">
        <f t="shared" si="83"/>
        <v>0</v>
      </c>
      <c r="BZ127" s="220">
        <f t="shared" si="83"/>
        <v>0</v>
      </c>
      <c r="CA127" s="220"/>
      <c r="CB127" s="220"/>
      <c r="CC127" s="220"/>
      <c r="CD127" s="250"/>
      <c r="CF127" s="155" t="s">
        <v>572</v>
      </c>
      <c r="CG127" s="220">
        <f>B118</f>
        <v>0</v>
      </c>
      <c r="CH127" s="220">
        <f t="shared" ref="CH127:CR127" si="84">C118</f>
        <v>0</v>
      </c>
      <c r="CI127" s="220">
        <f t="shared" si="84"/>
        <v>0</v>
      </c>
      <c r="CJ127" s="220">
        <f t="shared" si="84"/>
        <v>0</v>
      </c>
      <c r="CK127" s="220">
        <f t="shared" si="84"/>
        <v>0</v>
      </c>
      <c r="CL127" s="220">
        <f t="shared" si="84"/>
        <v>0</v>
      </c>
      <c r="CM127" s="220">
        <f t="shared" si="84"/>
        <v>0</v>
      </c>
      <c r="CN127" s="220">
        <f t="shared" si="84"/>
        <v>0</v>
      </c>
      <c r="CO127" s="220">
        <f t="shared" si="84"/>
        <v>0</v>
      </c>
      <c r="CP127" s="220">
        <f t="shared" si="84"/>
        <v>0</v>
      </c>
      <c r="CQ127" s="220">
        <f t="shared" si="84"/>
        <v>0</v>
      </c>
      <c r="CR127" s="220">
        <f t="shared" si="84"/>
        <v>0</v>
      </c>
      <c r="CS127" s="220"/>
      <c r="CT127" s="220"/>
      <c r="CU127" s="220"/>
      <c r="CW127" s="155" t="s">
        <v>572</v>
      </c>
      <c r="CX127" s="220">
        <f>B118</f>
        <v>0</v>
      </c>
      <c r="CY127" s="220">
        <f t="shared" ref="CY127:DI127" si="85">C118</f>
        <v>0</v>
      </c>
      <c r="CZ127" s="220">
        <f t="shared" si="85"/>
        <v>0</v>
      </c>
      <c r="DA127" s="220">
        <f t="shared" si="85"/>
        <v>0</v>
      </c>
      <c r="DB127" s="220">
        <f t="shared" si="85"/>
        <v>0</v>
      </c>
      <c r="DC127" s="220">
        <f t="shared" si="85"/>
        <v>0</v>
      </c>
      <c r="DD127" s="220">
        <f t="shared" si="85"/>
        <v>0</v>
      </c>
      <c r="DE127" s="220">
        <f t="shared" si="85"/>
        <v>0</v>
      </c>
      <c r="DF127" s="220">
        <f t="shared" si="85"/>
        <v>0</v>
      </c>
      <c r="DG127" s="220">
        <f t="shared" si="85"/>
        <v>0</v>
      </c>
      <c r="DH127" s="220">
        <f t="shared" si="85"/>
        <v>0</v>
      </c>
      <c r="DI127" s="220">
        <f t="shared" si="85"/>
        <v>0</v>
      </c>
      <c r="DJ127" s="220"/>
      <c r="DK127" s="220"/>
      <c r="DN127" s="155" t="s">
        <v>572</v>
      </c>
      <c r="DO127" s="220">
        <f>DO118</f>
        <v>0</v>
      </c>
      <c r="DP127" s="220">
        <f t="shared" ref="DP127:DZ127" si="86">DP118</f>
        <v>0</v>
      </c>
      <c r="DQ127" s="220">
        <f t="shared" si="86"/>
        <v>0</v>
      </c>
      <c r="DR127" s="220">
        <f t="shared" si="86"/>
        <v>0</v>
      </c>
      <c r="DS127" s="220">
        <f t="shared" si="86"/>
        <v>0</v>
      </c>
      <c r="DT127" s="220">
        <f t="shared" si="86"/>
        <v>0</v>
      </c>
      <c r="DU127" s="220">
        <f t="shared" si="86"/>
        <v>0</v>
      </c>
      <c r="DV127" s="220">
        <f t="shared" si="86"/>
        <v>0</v>
      </c>
      <c r="DW127" s="220">
        <f t="shared" si="86"/>
        <v>0</v>
      </c>
      <c r="DX127" s="220">
        <f t="shared" si="86"/>
        <v>0</v>
      </c>
      <c r="DY127" s="220">
        <f t="shared" si="86"/>
        <v>0</v>
      </c>
      <c r="DZ127" s="220">
        <f t="shared" si="86"/>
        <v>0</v>
      </c>
      <c r="FB127" s="155" t="s">
        <v>572</v>
      </c>
      <c r="FC127" s="220">
        <f>B127</f>
        <v>0</v>
      </c>
      <c r="FD127" s="220">
        <f t="shared" ref="FD127:FN127" si="87">C127</f>
        <v>0</v>
      </c>
      <c r="FE127" s="220">
        <f t="shared" si="87"/>
        <v>0</v>
      </c>
      <c r="FF127" s="220">
        <f t="shared" si="87"/>
        <v>0</v>
      </c>
      <c r="FG127" s="220">
        <f t="shared" si="87"/>
        <v>0</v>
      </c>
      <c r="FH127" s="220">
        <f t="shared" si="87"/>
        <v>0</v>
      </c>
      <c r="FI127" s="220">
        <f t="shared" si="87"/>
        <v>0</v>
      </c>
      <c r="FJ127" s="220">
        <f t="shared" si="87"/>
        <v>0</v>
      </c>
      <c r="FK127" s="220">
        <f t="shared" si="87"/>
        <v>0</v>
      </c>
      <c r="FL127" s="220">
        <f t="shared" si="87"/>
        <v>0</v>
      </c>
      <c r="FM127" s="220">
        <f t="shared" si="87"/>
        <v>0</v>
      </c>
      <c r="FN127" s="220">
        <f t="shared" si="87"/>
        <v>0</v>
      </c>
      <c r="FV127" s="155" t="s">
        <v>572</v>
      </c>
      <c r="FW127" s="89">
        <f>B127</f>
        <v>0</v>
      </c>
      <c r="FX127" s="89">
        <f t="shared" ref="FX127:GH127" si="88">C127</f>
        <v>0</v>
      </c>
      <c r="FY127" s="89">
        <f t="shared" si="88"/>
        <v>0</v>
      </c>
      <c r="FZ127" s="89">
        <f t="shared" si="88"/>
        <v>0</v>
      </c>
      <c r="GA127" s="89">
        <f t="shared" si="88"/>
        <v>0</v>
      </c>
      <c r="GB127" s="89">
        <f t="shared" si="88"/>
        <v>0</v>
      </c>
      <c r="GC127" s="89">
        <f t="shared" si="88"/>
        <v>0</v>
      </c>
      <c r="GD127" s="89">
        <f t="shared" si="88"/>
        <v>0</v>
      </c>
      <c r="GE127" s="89">
        <f t="shared" si="88"/>
        <v>0</v>
      </c>
      <c r="GF127" s="89">
        <f t="shared" si="88"/>
        <v>0</v>
      </c>
      <c r="GG127" s="89">
        <f t="shared" si="88"/>
        <v>0</v>
      </c>
      <c r="GH127" s="89">
        <f t="shared" si="88"/>
        <v>0</v>
      </c>
      <c r="GN127" s="155" t="s">
        <v>572</v>
      </c>
      <c r="GO127" s="220">
        <f>GN118</f>
        <v>0</v>
      </c>
      <c r="GP127" s="220">
        <f t="shared" ref="GP127:GZ127" si="89">GO118</f>
        <v>0</v>
      </c>
      <c r="GQ127" s="220">
        <f t="shared" si="89"/>
        <v>0</v>
      </c>
      <c r="GR127" s="220">
        <f t="shared" si="89"/>
        <v>0</v>
      </c>
      <c r="GS127" s="220">
        <f t="shared" si="89"/>
        <v>0</v>
      </c>
      <c r="GT127" s="220">
        <f t="shared" si="89"/>
        <v>0</v>
      </c>
      <c r="GU127" s="220">
        <f t="shared" si="89"/>
        <v>0</v>
      </c>
      <c r="GV127" s="220">
        <f t="shared" si="89"/>
        <v>0</v>
      </c>
      <c r="GW127" s="220">
        <f t="shared" si="89"/>
        <v>0</v>
      </c>
      <c r="GX127" s="220">
        <f t="shared" si="89"/>
        <v>0</v>
      </c>
      <c r="GY127" s="220">
        <f t="shared" si="89"/>
        <v>0</v>
      </c>
      <c r="GZ127" s="220">
        <f t="shared" si="89"/>
        <v>0</v>
      </c>
      <c r="HO127" s="256"/>
      <c r="HZ127" s="256"/>
    </row>
    <row r="128" spans="1:234" x14ac:dyDescent="0.2">
      <c r="A128" s="237" t="s">
        <v>574</v>
      </c>
      <c r="B128" s="89" t="e">
        <f>(B126+B127)/(B121+B122)</f>
        <v>#DIV/0!</v>
      </c>
      <c r="C128" s="89" t="e">
        <f t="shared" ref="C128:M128" si="90">(C126+C127)/(C121+C122)</f>
        <v>#DIV/0!</v>
      </c>
      <c r="D128" s="89" t="e">
        <f t="shared" si="90"/>
        <v>#DIV/0!</v>
      </c>
      <c r="E128" s="89" t="e">
        <f t="shared" si="90"/>
        <v>#DIV/0!</v>
      </c>
      <c r="F128" s="89" t="e">
        <f t="shared" si="90"/>
        <v>#DIV/0!</v>
      </c>
      <c r="G128" s="89" t="e">
        <f t="shared" si="90"/>
        <v>#DIV/0!</v>
      </c>
      <c r="H128" s="89" t="e">
        <f t="shared" si="90"/>
        <v>#DIV/0!</v>
      </c>
      <c r="I128" s="89" t="e">
        <f t="shared" si="90"/>
        <v>#DIV/0!</v>
      </c>
      <c r="J128" s="89" t="e">
        <f t="shared" si="90"/>
        <v>#DIV/0!</v>
      </c>
      <c r="K128" s="89" t="e">
        <f t="shared" si="90"/>
        <v>#DIV/0!</v>
      </c>
      <c r="L128" s="89" t="e">
        <f t="shared" si="90"/>
        <v>#DIV/0!</v>
      </c>
      <c r="M128" s="89" t="e">
        <f t="shared" si="90"/>
        <v>#DIV/0!</v>
      </c>
      <c r="AC128" s="237" t="s">
        <v>574</v>
      </c>
      <c r="AD128" s="89" t="e">
        <f>(AD126+AD127)/(AD121+AD122)</f>
        <v>#DIV/0!</v>
      </c>
      <c r="AE128" s="89" t="e">
        <f t="shared" ref="AE128:AO128" si="91">(AE126+AE127)/(AE121+AE122)</f>
        <v>#DIV/0!</v>
      </c>
      <c r="AF128" s="89" t="e">
        <f t="shared" si="91"/>
        <v>#DIV/0!</v>
      </c>
      <c r="AG128" s="89" t="e">
        <f t="shared" si="91"/>
        <v>#DIV/0!</v>
      </c>
      <c r="AH128" s="89" t="e">
        <f t="shared" si="91"/>
        <v>#DIV/0!</v>
      </c>
      <c r="AI128" s="89" t="e">
        <f t="shared" si="91"/>
        <v>#DIV/0!</v>
      </c>
      <c r="AJ128" s="89" t="e">
        <f t="shared" si="91"/>
        <v>#DIV/0!</v>
      </c>
      <c r="AK128" s="89" t="e">
        <f t="shared" si="91"/>
        <v>#DIV/0!</v>
      </c>
      <c r="AL128" s="89" t="e">
        <f t="shared" si="91"/>
        <v>#DIV/0!</v>
      </c>
      <c r="AM128" s="89" t="e">
        <f t="shared" si="91"/>
        <v>#DIV/0!</v>
      </c>
      <c r="AN128" s="89" t="e">
        <f t="shared" si="91"/>
        <v>#DIV/0!</v>
      </c>
      <c r="AO128" s="89" t="e">
        <f t="shared" si="91"/>
        <v>#DIV/0!</v>
      </c>
      <c r="AU128" s="237" t="s">
        <v>574</v>
      </c>
      <c r="AV128" s="89" t="e">
        <f>(AV126+AV127)/(AV121+AV122)</f>
        <v>#DIV/0!</v>
      </c>
      <c r="AW128" s="89" t="e">
        <f t="shared" ref="AW128:BG128" si="92">(AW126+AW127)/(AW121+AW122)</f>
        <v>#DIV/0!</v>
      </c>
      <c r="AX128" s="89" t="e">
        <f t="shared" si="92"/>
        <v>#DIV/0!</v>
      </c>
      <c r="AY128" s="89" t="e">
        <f t="shared" si="92"/>
        <v>#DIV/0!</v>
      </c>
      <c r="AZ128" s="89" t="e">
        <f t="shared" si="92"/>
        <v>#DIV/0!</v>
      </c>
      <c r="BA128" s="89" t="e">
        <f t="shared" si="92"/>
        <v>#DIV/0!</v>
      </c>
      <c r="BB128" s="89" t="e">
        <f t="shared" si="92"/>
        <v>#DIV/0!</v>
      </c>
      <c r="BC128" s="89" t="e">
        <f t="shared" si="92"/>
        <v>#DIV/0!</v>
      </c>
      <c r="BD128" s="89" t="e">
        <f t="shared" si="92"/>
        <v>#DIV/0!</v>
      </c>
      <c r="BE128" s="89" t="e">
        <f t="shared" si="92"/>
        <v>#DIV/0!</v>
      </c>
      <c r="BF128" s="89" t="e">
        <f t="shared" si="92"/>
        <v>#DIV/0!</v>
      </c>
      <c r="BG128" s="89" t="e">
        <f t="shared" si="92"/>
        <v>#DIV/0!</v>
      </c>
      <c r="BN128" s="237" t="s">
        <v>574</v>
      </c>
      <c r="BO128" s="89" t="e">
        <f>(BO126+BO127)/(BO121+BO122)</f>
        <v>#DIV/0!</v>
      </c>
      <c r="BP128" s="89" t="e">
        <f t="shared" ref="BP128:BZ128" si="93">(BP126+BP127)/(BP121+BP122)</f>
        <v>#DIV/0!</v>
      </c>
      <c r="BQ128" s="89" t="e">
        <f t="shared" si="93"/>
        <v>#DIV/0!</v>
      </c>
      <c r="BR128" s="89" t="e">
        <f t="shared" si="93"/>
        <v>#DIV/0!</v>
      </c>
      <c r="BS128" s="89" t="e">
        <f t="shared" si="93"/>
        <v>#DIV/0!</v>
      </c>
      <c r="BT128" s="89" t="e">
        <f t="shared" si="93"/>
        <v>#DIV/0!</v>
      </c>
      <c r="BU128" s="89" t="e">
        <f t="shared" si="93"/>
        <v>#DIV/0!</v>
      </c>
      <c r="BV128" s="89" t="e">
        <f t="shared" si="93"/>
        <v>#DIV/0!</v>
      </c>
      <c r="BW128" s="89" t="e">
        <f t="shared" si="93"/>
        <v>#DIV/0!</v>
      </c>
      <c r="BX128" s="89" t="e">
        <f t="shared" si="93"/>
        <v>#DIV/0!</v>
      </c>
      <c r="BY128" s="89" t="e">
        <f t="shared" si="93"/>
        <v>#DIV/0!</v>
      </c>
      <c r="BZ128" s="89" t="e">
        <f t="shared" si="93"/>
        <v>#DIV/0!</v>
      </c>
      <c r="CF128" s="237" t="s">
        <v>574</v>
      </c>
      <c r="CG128" s="89" t="e">
        <f>(CG126+CG127)/(CG121+CG122)</f>
        <v>#DIV/0!</v>
      </c>
      <c r="CH128" s="89" t="e">
        <f t="shared" ref="CH128:CR128" si="94">(CH126+CH127)/(CH121+CH122)</f>
        <v>#DIV/0!</v>
      </c>
      <c r="CI128" s="89" t="e">
        <f t="shared" si="94"/>
        <v>#DIV/0!</v>
      </c>
      <c r="CJ128" s="89" t="e">
        <f t="shared" si="94"/>
        <v>#DIV/0!</v>
      </c>
      <c r="CK128" s="89" t="e">
        <f t="shared" si="94"/>
        <v>#DIV/0!</v>
      </c>
      <c r="CL128" s="89" t="e">
        <f t="shared" si="94"/>
        <v>#DIV/0!</v>
      </c>
      <c r="CM128" s="89" t="e">
        <f t="shared" si="94"/>
        <v>#DIV/0!</v>
      </c>
      <c r="CN128" s="89" t="e">
        <f t="shared" si="94"/>
        <v>#DIV/0!</v>
      </c>
      <c r="CO128" s="89" t="e">
        <f t="shared" si="94"/>
        <v>#DIV/0!</v>
      </c>
      <c r="CP128" s="89" t="e">
        <f t="shared" si="94"/>
        <v>#DIV/0!</v>
      </c>
      <c r="CQ128" s="89" t="e">
        <f t="shared" si="94"/>
        <v>#DIV/0!</v>
      </c>
      <c r="CR128" s="89" t="e">
        <f t="shared" si="94"/>
        <v>#DIV/0!</v>
      </c>
      <c r="CW128" s="237" t="s">
        <v>574</v>
      </c>
      <c r="CX128" s="89" t="e">
        <f>(CX126+CX127)/(CX121+CX122)</f>
        <v>#DIV/0!</v>
      </c>
      <c r="CY128" s="89" t="e">
        <f t="shared" ref="CY128:DI128" si="95">(CY126+CY127)/(CY121+CY122)</f>
        <v>#DIV/0!</v>
      </c>
      <c r="CZ128" s="89" t="e">
        <f t="shared" si="95"/>
        <v>#DIV/0!</v>
      </c>
      <c r="DA128" s="89" t="e">
        <f t="shared" si="95"/>
        <v>#DIV/0!</v>
      </c>
      <c r="DB128" s="89" t="e">
        <f t="shared" si="95"/>
        <v>#DIV/0!</v>
      </c>
      <c r="DC128" s="89" t="e">
        <f t="shared" si="95"/>
        <v>#DIV/0!</v>
      </c>
      <c r="DD128" s="89" t="e">
        <f t="shared" si="95"/>
        <v>#DIV/0!</v>
      </c>
      <c r="DE128" s="89" t="e">
        <f t="shared" si="95"/>
        <v>#DIV/0!</v>
      </c>
      <c r="DF128" s="89" t="e">
        <f t="shared" si="95"/>
        <v>#DIV/0!</v>
      </c>
      <c r="DG128" s="89" t="e">
        <f t="shared" si="95"/>
        <v>#DIV/0!</v>
      </c>
      <c r="DH128" s="89" t="e">
        <f t="shared" si="95"/>
        <v>#DIV/0!</v>
      </c>
      <c r="DI128" s="89" t="e">
        <f t="shared" si="95"/>
        <v>#DIV/0!</v>
      </c>
      <c r="DN128" s="237" t="s">
        <v>574</v>
      </c>
      <c r="DO128" s="89" t="e">
        <f>(DO126+DO127)/(DO121+DO122)</f>
        <v>#DIV/0!</v>
      </c>
      <c r="DP128" s="89" t="e">
        <f t="shared" ref="DP128:DZ128" si="96">(DP126+DP127)/(DP121+DP122)</f>
        <v>#DIV/0!</v>
      </c>
      <c r="DQ128" s="89" t="e">
        <f t="shared" si="96"/>
        <v>#DIV/0!</v>
      </c>
      <c r="DR128" s="89" t="e">
        <f t="shared" si="96"/>
        <v>#DIV/0!</v>
      </c>
      <c r="DS128" s="89" t="e">
        <f t="shared" si="96"/>
        <v>#DIV/0!</v>
      </c>
      <c r="DT128" s="89" t="e">
        <f t="shared" si="96"/>
        <v>#DIV/0!</v>
      </c>
      <c r="DU128" s="89" t="e">
        <f t="shared" si="96"/>
        <v>#DIV/0!</v>
      </c>
      <c r="DV128" s="89" t="e">
        <f t="shared" si="96"/>
        <v>#DIV/0!</v>
      </c>
      <c r="DW128" s="89" t="e">
        <f t="shared" si="96"/>
        <v>#DIV/0!</v>
      </c>
      <c r="DX128" s="89" t="e">
        <f t="shared" si="96"/>
        <v>#DIV/0!</v>
      </c>
      <c r="DY128" s="89" t="e">
        <f t="shared" si="96"/>
        <v>#DIV/0!</v>
      </c>
      <c r="DZ128" s="89" t="e">
        <f t="shared" si="96"/>
        <v>#DIV/0!</v>
      </c>
      <c r="FB128" s="237" t="s">
        <v>574</v>
      </c>
      <c r="FC128" s="89" t="e">
        <f>(FC126+FC127)/(FC121+FC122)</f>
        <v>#DIV/0!</v>
      </c>
      <c r="FD128" s="89" t="e">
        <f t="shared" ref="FD128:FN128" si="97">(FD126+FD127)/(FD121+FD122)</f>
        <v>#DIV/0!</v>
      </c>
      <c r="FE128" s="89" t="e">
        <f t="shared" si="97"/>
        <v>#DIV/0!</v>
      </c>
      <c r="FF128" s="89" t="e">
        <f t="shared" si="97"/>
        <v>#DIV/0!</v>
      </c>
      <c r="FG128" s="89" t="e">
        <f t="shared" si="97"/>
        <v>#DIV/0!</v>
      </c>
      <c r="FH128" s="89" t="e">
        <f t="shared" si="97"/>
        <v>#DIV/0!</v>
      </c>
      <c r="FI128" s="89" t="e">
        <f t="shared" si="97"/>
        <v>#DIV/0!</v>
      </c>
      <c r="FJ128" s="89" t="e">
        <f t="shared" si="97"/>
        <v>#DIV/0!</v>
      </c>
      <c r="FK128" s="89" t="e">
        <f t="shared" si="97"/>
        <v>#DIV/0!</v>
      </c>
      <c r="FL128" s="89" t="e">
        <f t="shared" si="97"/>
        <v>#DIV/0!</v>
      </c>
      <c r="FM128" s="89" t="e">
        <f t="shared" si="97"/>
        <v>#DIV/0!</v>
      </c>
      <c r="FN128" s="89" t="e">
        <f t="shared" si="97"/>
        <v>#DIV/0!</v>
      </c>
      <c r="FV128" s="237" t="s">
        <v>574</v>
      </c>
      <c r="FW128" s="89" t="e">
        <f>(FW126+FW127)/(FW121+FW122)</f>
        <v>#DIV/0!</v>
      </c>
      <c r="FX128" s="89" t="e">
        <f t="shared" ref="FX128:GH128" si="98">(FX126+FX127)/(FX121+FX122)</f>
        <v>#DIV/0!</v>
      </c>
      <c r="FY128" s="89" t="e">
        <f t="shared" si="98"/>
        <v>#DIV/0!</v>
      </c>
      <c r="FZ128" s="89" t="e">
        <f t="shared" si="98"/>
        <v>#DIV/0!</v>
      </c>
      <c r="GA128" s="89" t="e">
        <f t="shared" si="98"/>
        <v>#DIV/0!</v>
      </c>
      <c r="GB128" s="89" t="e">
        <f t="shared" si="98"/>
        <v>#DIV/0!</v>
      </c>
      <c r="GC128" s="89" t="e">
        <f t="shared" si="98"/>
        <v>#DIV/0!</v>
      </c>
      <c r="GD128" s="89" t="e">
        <f t="shared" si="98"/>
        <v>#DIV/0!</v>
      </c>
      <c r="GE128" s="89" t="e">
        <f t="shared" si="98"/>
        <v>#DIV/0!</v>
      </c>
      <c r="GF128" s="89" t="e">
        <f t="shared" si="98"/>
        <v>#DIV/0!</v>
      </c>
      <c r="GG128" s="89" t="e">
        <f t="shared" si="98"/>
        <v>#DIV/0!</v>
      </c>
      <c r="GH128" s="89" t="e">
        <f t="shared" si="98"/>
        <v>#DIV/0!</v>
      </c>
      <c r="GN128" s="237" t="s">
        <v>574</v>
      </c>
      <c r="GO128" s="89" t="e">
        <f>(GO126+GO127)/(GO121+GO122)</f>
        <v>#DIV/0!</v>
      </c>
      <c r="GP128" s="89" t="e">
        <f t="shared" ref="GP128:GZ128" si="99">(GP126+GP127)/(GP121+GP122)</f>
        <v>#DIV/0!</v>
      </c>
      <c r="GQ128" s="89" t="e">
        <f t="shared" si="99"/>
        <v>#DIV/0!</v>
      </c>
      <c r="GR128" s="89" t="e">
        <f t="shared" si="99"/>
        <v>#DIV/0!</v>
      </c>
      <c r="GS128" s="89" t="e">
        <f t="shared" si="99"/>
        <v>#DIV/0!</v>
      </c>
      <c r="GT128" s="89" t="e">
        <f t="shared" si="99"/>
        <v>#DIV/0!</v>
      </c>
      <c r="GU128" s="89" t="e">
        <f t="shared" si="99"/>
        <v>#DIV/0!</v>
      </c>
      <c r="GV128" s="89" t="e">
        <f t="shared" si="99"/>
        <v>#DIV/0!</v>
      </c>
      <c r="GW128" s="89" t="e">
        <f t="shared" si="99"/>
        <v>#DIV/0!</v>
      </c>
      <c r="GX128" s="89" t="e">
        <f t="shared" si="99"/>
        <v>#DIV/0!</v>
      </c>
      <c r="GY128" s="89" t="e">
        <f t="shared" si="99"/>
        <v>#DIV/0!</v>
      </c>
      <c r="GZ128" s="89" t="e">
        <f t="shared" si="99"/>
        <v>#DIV/0!</v>
      </c>
      <c r="HO128" s="256"/>
      <c r="HZ128" s="256"/>
    </row>
    <row r="129" spans="1:234" x14ac:dyDescent="0.2">
      <c r="A129" s="155" t="s">
        <v>568</v>
      </c>
      <c r="B129" s="89" t="e">
        <f>IF(B128&lt;2.51,B121+B122-B125*(B126+B127),0)</f>
        <v>#DIV/0!</v>
      </c>
      <c r="C129" s="89" t="e">
        <f t="shared" ref="C129:M129" si="100">IF(C128&lt;2.51,C121+C122-C125*(C126+C127),0)</f>
        <v>#DIV/0!</v>
      </c>
      <c r="D129" s="89" t="e">
        <f t="shared" si="100"/>
        <v>#DIV/0!</v>
      </c>
      <c r="E129" s="89" t="e">
        <f t="shared" si="100"/>
        <v>#DIV/0!</v>
      </c>
      <c r="F129" s="89" t="e">
        <f>0.5*IF(F128&lt;2.51,F121+F122-F125*(F126+F127),0)</f>
        <v>#DIV/0!</v>
      </c>
      <c r="G129" s="89">
        <v>0</v>
      </c>
      <c r="H129" s="89">
        <v>0</v>
      </c>
      <c r="I129" s="89">
        <v>0</v>
      </c>
      <c r="J129" s="89" t="e">
        <f>0.5*IF(J128&lt;2.51,J121+J122-J125*(J126+J127),0)</f>
        <v>#DIV/0!</v>
      </c>
      <c r="K129" s="89" t="e">
        <f t="shared" si="100"/>
        <v>#DIV/0!</v>
      </c>
      <c r="L129" s="89" t="e">
        <f t="shared" si="100"/>
        <v>#DIV/0!</v>
      </c>
      <c r="M129" s="89" t="e">
        <f t="shared" si="100"/>
        <v>#DIV/0!</v>
      </c>
      <c r="AC129" s="155" t="s">
        <v>568</v>
      </c>
      <c r="AD129" s="89" t="e">
        <f>IF(AD128&lt;2.51,AD121+AD122-AD125*(AD126+AD127),0)</f>
        <v>#DIV/0!</v>
      </c>
      <c r="AE129" s="89" t="e">
        <f t="shared" ref="AE129:AO129" si="101">IF(AE128&lt;2.51,AE121+AE122-AE125*(AE126+AE127),0)</f>
        <v>#DIV/0!</v>
      </c>
      <c r="AF129" s="89" t="e">
        <f t="shared" si="101"/>
        <v>#DIV/0!</v>
      </c>
      <c r="AG129" s="89" t="e">
        <f t="shared" si="101"/>
        <v>#DIV/0!</v>
      </c>
      <c r="AH129" s="89" t="e">
        <f>0.5*IF(AH128&lt;2.51,AH121+AH122-AH125*(AH126+AH127),0)</f>
        <v>#DIV/0!</v>
      </c>
      <c r="AI129" s="89">
        <v>0</v>
      </c>
      <c r="AJ129" s="89">
        <v>0</v>
      </c>
      <c r="AK129" s="89">
        <v>0</v>
      </c>
      <c r="AL129" s="89" t="e">
        <f>0.5*IF(AL128&lt;2.51,AL121+AL122-AL125*(AL126+AL127),0)</f>
        <v>#DIV/0!</v>
      </c>
      <c r="AM129" s="89" t="e">
        <f t="shared" si="101"/>
        <v>#DIV/0!</v>
      </c>
      <c r="AN129" s="89" t="e">
        <f t="shared" si="101"/>
        <v>#DIV/0!</v>
      </c>
      <c r="AO129" s="89" t="e">
        <f t="shared" si="101"/>
        <v>#DIV/0!</v>
      </c>
      <c r="AU129" s="155" t="s">
        <v>568</v>
      </c>
      <c r="AV129" s="89" t="e">
        <f>IF(AV128&lt;2.51,AV121+AV122-AV125*(AV126+AV127),0)</f>
        <v>#DIV/0!</v>
      </c>
      <c r="AW129" s="89" t="e">
        <f t="shared" ref="AW129:BG129" si="102">IF(AW128&lt;2.51,AW121+AW122-AW125*(AW126+AW127),0)</f>
        <v>#DIV/0!</v>
      </c>
      <c r="AX129" s="89" t="e">
        <f t="shared" si="102"/>
        <v>#DIV/0!</v>
      </c>
      <c r="AY129" s="89" t="e">
        <f t="shared" si="102"/>
        <v>#DIV/0!</v>
      </c>
      <c r="AZ129" s="89" t="e">
        <f>0.5*IF(AZ128&lt;2.51,AZ121+AZ122-AZ125*(AZ126+AZ127),0)</f>
        <v>#DIV/0!</v>
      </c>
      <c r="BA129" s="89">
        <v>0</v>
      </c>
      <c r="BB129" s="89">
        <v>0</v>
      </c>
      <c r="BC129" s="89">
        <v>0</v>
      </c>
      <c r="BD129" s="89" t="e">
        <f>0.5*IF(BD128&lt;2.51,BD121+BD122-BD125*(BD126+BD127),0)</f>
        <v>#DIV/0!</v>
      </c>
      <c r="BE129" s="89" t="e">
        <f t="shared" si="102"/>
        <v>#DIV/0!</v>
      </c>
      <c r="BF129" s="89" t="e">
        <f t="shared" si="102"/>
        <v>#DIV/0!</v>
      </c>
      <c r="BG129" s="89" t="e">
        <f t="shared" si="102"/>
        <v>#DIV/0!</v>
      </c>
      <c r="BN129" s="155" t="s">
        <v>568</v>
      </c>
      <c r="BO129" s="89" t="e">
        <f>IF(BO128&lt;2.51,BO121+BO122-BO125*(BO126+BO127),0)</f>
        <v>#DIV/0!</v>
      </c>
      <c r="BP129" s="89" t="e">
        <f t="shared" ref="BP129:BZ129" si="103">IF(BP128&lt;2.51,BP121+BP122-BP125*(BP126+BP127),0)</f>
        <v>#DIV/0!</v>
      </c>
      <c r="BQ129" s="89" t="e">
        <f t="shared" si="103"/>
        <v>#DIV/0!</v>
      </c>
      <c r="BR129" s="89" t="e">
        <f t="shared" si="103"/>
        <v>#DIV/0!</v>
      </c>
      <c r="BS129" s="89" t="e">
        <f>0.5*IF(BS128&lt;2.51,BS121+BS122-BS125*(BS126+BS127),0)</f>
        <v>#DIV/0!</v>
      </c>
      <c r="BT129" s="89">
        <v>0</v>
      </c>
      <c r="BU129" s="89">
        <v>0</v>
      </c>
      <c r="BV129" s="89">
        <v>0</v>
      </c>
      <c r="BW129" s="89" t="e">
        <f>0.5*IF(BW128&lt;2.51,BW121+BW122-BW125*(BW126+BW127),0)</f>
        <v>#DIV/0!</v>
      </c>
      <c r="BX129" s="89" t="e">
        <f t="shared" si="103"/>
        <v>#DIV/0!</v>
      </c>
      <c r="BY129" s="89" t="e">
        <f t="shared" si="103"/>
        <v>#DIV/0!</v>
      </c>
      <c r="BZ129" s="89" t="e">
        <f t="shared" si="103"/>
        <v>#DIV/0!</v>
      </c>
      <c r="CF129" s="155" t="s">
        <v>568</v>
      </c>
      <c r="CG129" s="89" t="e">
        <f>IF(CG128&lt;2.51,CG121+CG122-CG125*(CG126+CG127),0)</f>
        <v>#DIV/0!</v>
      </c>
      <c r="CH129" s="89" t="e">
        <f t="shared" ref="CH129:CR129" si="104">IF(CH128&lt;2.51,CH121+CH122-CH125*(CH126+CH127),0)</f>
        <v>#DIV/0!</v>
      </c>
      <c r="CI129" s="89" t="e">
        <f t="shared" si="104"/>
        <v>#DIV/0!</v>
      </c>
      <c r="CJ129" s="89" t="e">
        <f t="shared" si="104"/>
        <v>#DIV/0!</v>
      </c>
      <c r="CK129" s="89" t="e">
        <f>0.5*IF(CK128&lt;2.51,CK121+CK122-CK125*(CK126+CK127),0)</f>
        <v>#DIV/0!</v>
      </c>
      <c r="CL129" s="89">
        <v>0</v>
      </c>
      <c r="CM129" s="89">
        <v>0</v>
      </c>
      <c r="CN129" s="89">
        <v>0</v>
      </c>
      <c r="CO129" s="89" t="e">
        <f>0.5*IF(CO128&lt;2.51,CO121+CO122-CO125*(CO126+CO127),0)</f>
        <v>#DIV/0!</v>
      </c>
      <c r="CP129" s="89" t="e">
        <f t="shared" si="104"/>
        <v>#DIV/0!</v>
      </c>
      <c r="CQ129" s="89" t="e">
        <f t="shared" si="104"/>
        <v>#DIV/0!</v>
      </c>
      <c r="CR129" s="89" t="e">
        <f t="shared" si="104"/>
        <v>#DIV/0!</v>
      </c>
      <c r="CW129" s="155" t="s">
        <v>568</v>
      </c>
      <c r="CX129" s="89" t="e">
        <f>IF(CX128&lt;2.51,CX121+CX122-CX125*(CX126+CX127),0)</f>
        <v>#DIV/0!</v>
      </c>
      <c r="CY129" s="89" t="e">
        <f t="shared" ref="CY129:DI129" si="105">IF(CY128&lt;2.51,CY121+CY122-CY125*(CY126+CY127),0)</f>
        <v>#DIV/0!</v>
      </c>
      <c r="CZ129" s="89" t="e">
        <f t="shared" si="105"/>
        <v>#DIV/0!</v>
      </c>
      <c r="DA129" s="89" t="e">
        <f t="shared" si="105"/>
        <v>#DIV/0!</v>
      </c>
      <c r="DB129" s="89" t="e">
        <f>0.5*IF(DB128&lt;2.51,DB121+DB122-DB125*(DB126+DB127),0)</f>
        <v>#DIV/0!</v>
      </c>
      <c r="DC129" s="89">
        <v>0</v>
      </c>
      <c r="DD129" s="89">
        <v>0</v>
      </c>
      <c r="DE129" s="89">
        <v>0</v>
      </c>
      <c r="DF129" s="89" t="e">
        <f>0.5*IF(DF128&lt;2.51,DF121+DF122-DF125*(DF126+DF127),0)</f>
        <v>#DIV/0!</v>
      </c>
      <c r="DG129" s="89" t="e">
        <f t="shared" si="105"/>
        <v>#DIV/0!</v>
      </c>
      <c r="DH129" s="89" t="e">
        <f t="shared" si="105"/>
        <v>#DIV/0!</v>
      </c>
      <c r="DI129" s="89" t="e">
        <f t="shared" si="105"/>
        <v>#DIV/0!</v>
      </c>
      <c r="DN129" s="155" t="s">
        <v>568</v>
      </c>
      <c r="DO129" s="89" t="e">
        <f>IF(DO128&lt;2.51,DO121+DO122-DO125*(DO126+DO127),0)</f>
        <v>#DIV/0!</v>
      </c>
      <c r="DP129" s="89" t="e">
        <f t="shared" ref="DP129:DZ129" si="106">IF(DP128&lt;2.51,DP121+DP122-DP125*(DP126+DP127),0)</f>
        <v>#DIV/0!</v>
      </c>
      <c r="DQ129" s="89" t="e">
        <f t="shared" si="106"/>
        <v>#DIV/0!</v>
      </c>
      <c r="DR129" s="89" t="e">
        <f t="shared" si="106"/>
        <v>#DIV/0!</v>
      </c>
      <c r="DS129" s="89" t="e">
        <f>0.5*IF(DS128&lt;2.51,DS121+DS122-DS125*(DS126+DS127),0)</f>
        <v>#DIV/0!</v>
      </c>
      <c r="DT129" s="89">
        <v>0</v>
      </c>
      <c r="DU129" s="89">
        <v>0</v>
      </c>
      <c r="DV129" s="89">
        <v>0</v>
      </c>
      <c r="DW129" s="89" t="e">
        <f>0.5*IF(DW128&lt;2.51,DW121+DW122-DW125*(DW126+DW127),0)</f>
        <v>#DIV/0!</v>
      </c>
      <c r="DX129" s="89" t="e">
        <f t="shared" si="106"/>
        <v>#DIV/0!</v>
      </c>
      <c r="DY129" s="89" t="e">
        <f t="shared" si="106"/>
        <v>#DIV/0!</v>
      </c>
      <c r="DZ129" s="89" t="e">
        <f t="shared" si="106"/>
        <v>#DIV/0!</v>
      </c>
      <c r="FB129" s="155" t="s">
        <v>568</v>
      </c>
      <c r="FC129" s="89" t="e">
        <f>IF(FC128&lt;2.51,FC121+FC122-FC125*(FC126+FC127),0)</f>
        <v>#DIV/0!</v>
      </c>
      <c r="FD129" s="89" t="e">
        <f t="shared" ref="FD129:FN129" si="107">IF(FD128&lt;2.51,FD121+FD122-FD125*(FD126+FD127),0)</f>
        <v>#DIV/0!</v>
      </c>
      <c r="FE129" s="89" t="e">
        <f t="shared" si="107"/>
        <v>#DIV/0!</v>
      </c>
      <c r="FF129" s="89" t="e">
        <f t="shared" si="107"/>
        <v>#DIV/0!</v>
      </c>
      <c r="FG129" s="89" t="e">
        <f>0.5*IF(FG128&lt;2.51,FG121+FG122-FG125*(FG126+FG127),0)</f>
        <v>#DIV/0!</v>
      </c>
      <c r="FH129" s="89">
        <v>0</v>
      </c>
      <c r="FI129" s="89">
        <v>0</v>
      </c>
      <c r="FJ129" s="89">
        <v>0</v>
      </c>
      <c r="FK129" s="89" t="e">
        <f>0.5*IF(FK128&lt;2.51,FK121+FK122-FK125*(FK126+FK127),0)</f>
        <v>#DIV/0!</v>
      </c>
      <c r="FL129" s="89" t="e">
        <f t="shared" si="107"/>
        <v>#DIV/0!</v>
      </c>
      <c r="FM129" s="89" t="e">
        <f t="shared" si="107"/>
        <v>#DIV/0!</v>
      </c>
      <c r="FN129" s="89" t="e">
        <f t="shared" si="107"/>
        <v>#DIV/0!</v>
      </c>
      <c r="FV129" s="155" t="s">
        <v>568</v>
      </c>
      <c r="FW129" s="89" t="e">
        <f>IF(FW128&lt;2.51,FW121+FW122-FW125*(FW126+FW127),0)</f>
        <v>#DIV/0!</v>
      </c>
      <c r="FX129" s="89" t="e">
        <f t="shared" ref="FX129:GH129" si="108">IF(FX128&lt;2.51,FX121+FX122-FX125*(FX126+FX127),0)</f>
        <v>#DIV/0!</v>
      </c>
      <c r="FY129" s="89" t="e">
        <f t="shared" si="108"/>
        <v>#DIV/0!</v>
      </c>
      <c r="FZ129" s="89" t="e">
        <f t="shared" si="108"/>
        <v>#DIV/0!</v>
      </c>
      <c r="GA129" s="89" t="e">
        <f>0.5*IF(GA128&lt;2.51,GA121+GA122-GA125*(GA126+GA127),0)</f>
        <v>#DIV/0!</v>
      </c>
      <c r="GB129" s="89">
        <v>0</v>
      </c>
      <c r="GC129" s="89">
        <v>0</v>
      </c>
      <c r="GD129" s="89">
        <v>0</v>
      </c>
      <c r="GE129" s="89" t="e">
        <f>0.5*IF(GE128&lt;2.51,GE121+GE122-GE125*(GE126+GE127),0)</f>
        <v>#DIV/0!</v>
      </c>
      <c r="GF129" s="89" t="e">
        <f t="shared" si="108"/>
        <v>#DIV/0!</v>
      </c>
      <c r="GG129" s="89" t="e">
        <f t="shared" si="108"/>
        <v>#DIV/0!</v>
      </c>
      <c r="GH129" s="89" t="e">
        <f t="shared" si="108"/>
        <v>#DIV/0!</v>
      </c>
      <c r="GN129" s="155" t="s">
        <v>568</v>
      </c>
      <c r="GO129" s="89" t="e">
        <f>IF(GO128&lt;2.51,GO121+GO122-GO125*(GO126+GO127),0)</f>
        <v>#DIV/0!</v>
      </c>
      <c r="GP129" s="89" t="e">
        <f t="shared" ref="GP129:GZ129" si="109">IF(GP128&lt;2.51,GP121+GP122-GP125*(GP126+GP127),0)</f>
        <v>#DIV/0!</v>
      </c>
      <c r="GQ129" s="89" t="e">
        <f t="shared" si="109"/>
        <v>#DIV/0!</v>
      </c>
      <c r="GR129" s="89" t="e">
        <f t="shared" si="109"/>
        <v>#DIV/0!</v>
      </c>
      <c r="GS129" s="89" t="e">
        <f>0.5*IF(GS128&lt;2.51,GS121+GS122-GS125*(GS126+GS127),0)</f>
        <v>#DIV/0!</v>
      </c>
      <c r="GT129" s="89">
        <v>0</v>
      </c>
      <c r="GU129" s="89">
        <v>0</v>
      </c>
      <c r="GV129" s="89">
        <v>0</v>
      </c>
      <c r="GW129" s="89" t="e">
        <f>0.5*IF(GW128&lt;2.51,GW121+GW122-GW125*(GW126+GW127),0)</f>
        <v>#DIV/0!</v>
      </c>
      <c r="GX129" s="89" t="e">
        <f t="shared" si="109"/>
        <v>#DIV/0!</v>
      </c>
      <c r="GY129" s="89" t="e">
        <f t="shared" si="109"/>
        <v>#DIV/0!</v>
      </c>
      <c r="GZ129" s="89" t="e">
        <f t="shared" si="109"/>
        <v>#DIV/0!</v>
      </c>
      <c r="HO129" s="256"/>
      <c r="HZ129" s="256"/>
    </row>
    <row r="130" spans="1:234" x14ac:dyDescent="0.2">
      <c r="A130" s="155" t="s">
        <v>562</v>
      </c>
      <c r="B130" s="89">
        <f>'Fitten energieverbruik'!C21*'Fitten energieverbruik'!C22*IF(B3=0,0,SUM(B129:M129)/($B$3*$C$3))</f>
        <v>0</v>
      </c>
      <c r="AC130" s="155" t="s">
        <v>562</v>
      </c>
      <c r="AD130" s="89">
        <f>'Fitten energieverbruik'!C21*IF(B3=0,0,SUM(AD129:AO129)/($B$3*$C$3))</f>
        <v>0</v>
      </c>
      <c r="AU130" s="155" t="s">
        <v>562</v>
      </c>
      <c r="AV130" s="89">
        <f>'Fitten energieverbruik'!C21*IF(B3=0,0,SUM(AV129:BG129)/($B$3*$C$3))</f>
        <v>0</v>
      </c>
      <c r="BN130" s="155" t="s">
        <v>562</v>
      </c>
      <c r="BO130" s="89">
        <f>'Fitten energieverbruik'!C21*IF(B3=0,0,SUM(BO129:BZ129)/($B$3*$C$3))</f>
        <v>0</v>
      </c>
      <c r="CF130" s="155" t="s">
        <v>562</v>
      </c>
      <c r="CG130" s="89">
        <f>'Fitten energieverbruik'!C21*IF(B3=0,0,SUM(CG129:CR129)/($B$3*$C$3)-35.17*CU61)</f>
        <v>0</v>
      </c>
      <c r="CW130" s="155" t="s">
        <v>562</v>
      </c>
      <c r="CX130" s="89">
        <f>'Fitten energieverbruik'!C21*IF(B3=0,0,SUM(CX129:DI129)/($B$3*$C$3))</f>
        <v>0</v>
      </c>
      <c r="DN130" s="155" t="s">
        <v>562</v>
      </c>
      <c r="DO130" s="89">
        <f>'Fitten energieverbruik'!C21*IF(B3=0,0,SUM(DO129:DZ129)/($B$3*$C$3))</f>
        <v>0</v>
      </c>
      <c r="EF130" s="155" t="s">
        <v>562</v>
      </c>
      <c r="EG130" s="89">
        <f>'Fitten energieverbruik'!C21*IF(EG3=0,0,SUM(B129:M129)/(EG3*EH3))</f>
        <v>0</v>
      </c>
      <c r="EQ130" s="155" t="s">
        <v>562</v>
      </c>
      <c r="ER130" s="89">
        <f>'Fitten energieverbruik'!C21*IF(ER3=0,0,SUM(B129:M129)/(ER3*ES3))</f>
        <v>0</v>
      </c>
      <c r="FB130" s="155" t="s">
        <v>562</v>
      </c>
      <c r="FC130" s="89">
        <f>'Fitten energieverbruik'!C21*IF(B3=0,0,SUM(FC129:FN129)/($B$3*$C$3))</f>
        <v>0</v>
      </c>
      <c r="FV130" s="155" t="s">
        <v>562</v>
      </c>
      <c r="FW130" s="89">
        <f>'Fitten energieverbruik'!C21*IF(B3=0,0,SUM(FW129:GH129)/($B$3*$C$3))</f>
        <v>0</v>
      </c>
      <c r="GN130" s="155" t="s">
        <v>562</v>
      </c>
      <c r="GO130" s="89">
        <f>'Fitten energieverbruik'!C21*IF(GN3=0,0,SUM(GO129:GZ129)/($GN$3*$GO$3))</f>
        <v>0</v>
      </c>
      <c r="HO130" s="256"/>
      <c r="HP130" s="155" t="s">
        <v>562</v>
      </c>
      <c r="HQ130" s="89">
        <f>EG130</f>
        <v>0</v>
      </c>
      <c r="HZ130" s="256"/>
    </row>
    <row r="131" spans="1:234" x14ac:dyDescent="0.2">
      <c r="A131" s="155" t="s">
        <v>513</v>
      </c>
      <c r="B131" s="89">
        <f>'Verwerken ventilatie'!D59</f>
        <v>0</v>
      </c>
      <c r="AC131" s="155" t="s">
        <v>513</v>
      </c>
      <c r="AD131" s="89">
        <f>'Verwerken ventilatie'!D59</f>
        <v>0</v>
      </c>
      <c r="AU131" s="155" t="s">
        <v>513</v>
      </c>
      <c r="AV131" s="89">
        <f>'Verwerken ventilatie'!D59</f>
        <v>0</v>
      </c>
      <c r="BN131" s="155" t="s">
        <v>513</v>
      </c>
      <c r="BO131" s="89">
        <f>'Verwerken ventilatie'!D59</f>
        <v>0</v>
      </c>
      <c r="CF131" s="155" t="s">
        <v>513</v>
      </c>
      <c r="CG131" s="89">
        <f>'Verwerken ventilatie'!D59</f>
        <v>0</v>
      </c>
      <c r="CW131" s="155" t="s">
        <v>513</v>
      </c>
      <c r="CX131" s="89">
        <f>'Verwerken ventilatie'!D59</f>
        <v>0</v>
      </c>
      <c r="DN131" s="155" t="s">
        <v>513</v>
      </c>
      <c r="DO131" s="89">
        <f>'Verwerken ventilatie'!D59</f>
        <v>0</v>
      </c>
      <c r="EF131" s="155" t="s">
        <v>513</v>
      </c>
      <c r="EG131" s="89">
        <f t="shared" ref="EG131:EG136" si="110">B131</f>
        <v>0</v>
      </c>
      <c r="EQ131" s="155" t="s">
        <v>513</v>
      </c>
      <c r="ER131" s="89">
        <f t="shared" ref="ER131:ER136" si="111">B131</f>
        <v>0</v>
      </c>
      <c r="FB131" s="155" t="s">
        <v>513</v>
      </c>
      <c r="FC131" s="89">
        <f>'Verwerken ventilatie'!AM59</f>
        <v>0</v>
      </c>
      <c r="FV131" s="155" t="s">
        <v>513</v>
      </c>
      <c r="FW131" s="89">
        <f>B131</f>
        <v>0</v>
      </c>
      <c r="GN131" s="155" t="s">
        <v>513</v>
      </c>
      <c r="GO131" s="89">
        <f>FC131</f>
        <v>0</v>
      </c>
      <c r="HO131" s="256"/>
      <c r="HP131" s="155" t="s">
        <v>513</v>
      </c>
      <c r="HQ131" s="89">
        <f t="shared" ref="HQ131:HQ137" si="112">EG131</f>
        <v>0</v>
      </c>
      <c r="HZ131" s="256"/>
    </row>
    <row r="132" spans="1:234" x14ac:dyDescent="0.2">
      <c r="A132" s="155" t="s">
        <v>563</v>
      </c>
      <c r="B132" s="89">
        <f>'Verwerken verlichting'!Q29*12</f>
        <v>0</v>
      </c>
      <c r="AC132" s="155" t="s">
        <v>563</v>
      </c>
      <c r="AD132" s="89">
        <f>B132</f>
        <v>0</v>
      </c>
      <c r="AU132" s="155" t="s">
        <v>563</v>
      </c>
      <c r="AV132" s="89">
        <f>$B$132</f>
        <v>0</v>
      </c>
      <c r="BN132" s="155" t="s">
        <v>563</v>
      </c>
      <c r="BO132" s="89">
        <f>$B$132</f>
        <v>0</v>
      </c>
      <c r="CF132" s="155" t="s">
        <v>563</v>
      </c>
      <c r="CG132" s="89">
        <f>$B$132</f>
        <v>0</v>
      </c>
      <c r="CW132" s="155" t="s">
        <v>563</v>
      </c>
      <c r="CX132" s="89">
        <f>$B$132</f>
        <v>0</v>
      </c>
      <c r="DN132" s="155" t="s">
        <v>563</v>
      </c>
      <c r="DO132" s="89">
        <f>$B$132</f>
        <v>0</v>
      </c>
      <c r="EF132" s="155" t="s">
        <v>563</v>
      </c>
      <c r="EG132" s="89">
        <f t="shared" si="110"/>
        <v>0</v>
      </c>
      <c r="EQ132" s="155" t="s">
        <v>563</v>
      </c>
      <c r="ER132" s="89">
        <f t="shared" si="111"/>
        <v>0</v>
      </c>
      <c r="FB132" s="155" t="s">
        <v>563</v>
      </c>
      <c r="FC132" s="89">
        <f>B132</f>
        <v>0</v>
      </c>
      <c r="FV132" s="155" t="s">
        <v>563</v>
      </c>
      <c r="FW132" s="89">
        <f>FW65*12</f>
        <v>0</v>
      </c>
      <c r="FX132" s="89">
        <f>FX65*12</f>
        <v>0</v>
      </c>
      <c r="FY132" s="89">
        <f>FY65*12</f>
        <v>0</v>
      </c>
      <c r="GN132" s="155" t="s">
        <v>563</v>
      </c>
      <c r="GO132" s="89">
        <f>GN65*12</f>
        <v>0</v>
      </c>
      <c r="HO132" s="256"/>
      <c r="HP132" s="155" t="s">
        <v>563</v>
      </c>
      <c r="HQ132" s="89">
        <f t="shared" si="112"/>
        <v>0</v>
      </c>
      <c r="HZ132" s="256"/>
    </row>
    <row r="133" spans="1:234" x14ac:dyDescent="0.2">
      <c r="A133" s="155" t="s">
        <v>564</v>
      </c>
      <c r="B133" s="89">
        <f>IF(B121=0,0,(8/(0.39*12))*0.75*'Invoer Algemeen'!D16*12)</f>
        <v>0</v>
      </c>
      <c r="AC133" s="155" t="s">
        <v>564</v>
      </c>
      <c r="AD133" s="89">
        <f>$B$133</f>
        <v>0</v>
      </c>
      <c r="AU133" s="155" t="s">
        <v>564</v>
      </c>
      <c r="AV133" s="89">
        <f>$B$133</f>
        <v>0</v>
      </c>
      <c r="BN133" s="155" t="s">
        <v>564</v>
      </c>
      <c r="BO133" s="89">
        <f>$B$133</f>
        <v>0</v>
      </c>
      <c r="CF133" s="155" t="s">
        <v>564</v>
      </c>
      <c r="CG133" s="89">
        <f>$B$133</f>
        <v>0</v>
      </c>
      <c r="CW133" s="155" t="s">
        <v>564</v>
      </c>
      <c r="CX133" s="89">
        <f>$B$133</f>
        <v>0</v>
      </c>
      <c r="DN133" s="155" t="s">
        <v>564</v>
      </c>
      <c r="DO133" s="89">
        <f>$B$133</f>
        <v>0</v>
      </c>
      <c r="EF133" s="155" t="s">
        <v>564</v>
      </c>
      <c r="EG133" s="89">
        <f t="shared" si="110"/>
        <v>0</v>
      </c>
      <c r="EQ133" s="155" t="s">
        <v>564</v>
      </c>
      <c r="ER133" s="89">
        <f t="shared" si="111"/>
        <v>0</v>
      </c>
      <c r="FB133" s="155" t="s">
        <v>564</v>
      </c>
      <c r="FC133" s="89">
        <f>B133</f>
        <v>0</v>
      </c>
      <c r="FV133" s="155" t="s">
        <v>564</v>
      </c>
      <c r="FW133" s="89">
        <f>$B$133</f>
        <v>0</v>
      </c>
      <c r="GN133" s="155" t="s">
        <v>564</v>
      </c>
      <c r="GO133" s="89">
        <f>$B$133</f>
        <v>0</v>
      </c>
      <c r="HO133" s="256"/>
      <c r="HP133" s="155" t="s">
        <v>564</v>
      </c>
      <c r="HQ133" s="89">
        <f t="shared" si="112"/>
        <v>0</v>
      </c>
      <c r="HZ133" s="256"/>
    </row>
    <row r="134" spans="1:234" x14ac:dyDescent="0.2">
      <c r="A134" s="155" t="s">
        <v>565</v>
      </c>
      <c r="B134" s="89">
        <v>0</v>
      </c>
      <c r="AC134" s="155" t="s">
        <v>565</v>
      </c>
      <c r="AD134" s="89">
        <v>0</v>
      </c>
      <c r="AU134" s="155" t="s">
        <v>565</v>
      </c>
      <c r="AV134" s="89">
        <v>0</v>
      </c>
      <c r="BN134" s="155" t="s">
        <v>565</v>
      </c>
      <c r="BO134" s="89">
        <v>0</v>
      </c>
      <c r="CF134" s="155" t="s">
        <v>565</v>
      </c>
      <c r="CG134" s="89">
        <v>0</v>
      </c>
      <c r="CW134" s="155" t="s">
        <v>565</v>
      </c>
      <c r="CX134" s="89">
        <v>0</v>
      </c>
      <c r="DN134" s="155" t="s">
        <v>565</v>
      </c>
      <c r="DO134" s="89">
        <v>0</v>
      </c>
      <c r="EF134" s="155" t="s">
        <v>565</v>
      </c>
      <c r="EG134" s="89">
        <f t="shared" si="110"/>
        <v>0</v>
      </c>
      <c r="EQ134" s="155" t="s">
        <v>565</v>
      </c>
      <c r="ER134" s="89">
        <f t="shared" si="111"/>
        <v>0</v>
      </c>
      <c r="FB134" s="155" t="s">
        <v>565</v>
      </c>
      <c r="FC134" s="89">
        <f>B134</f>
        <v>0</v>
      </c>
      <c r="FV134" s="155" t="s">
        <v>565</v>
      </c>
      <c r="FW134" s="89">
        <f>B134</f>
        <v>0</v>
      </c>
      <c r="GN134" s="155" t="s">
        <v>565</v>
      </c>
      <c r="GO134" s="89">
        <v>0</v>
      </c>
      <c r="HO134" s="256"/>
      <c r="HP134" s="155" t="s">
        <v>565</v>
      </c>
      <c r="HQ134" s="89">
        <f t="shared" si="112"/>
        <v>0</v>
      </c>
      <c r="HZ134" s="256"/>
    </row>
    <row r="135" spans="1:234" x14ac:dyDescent="0.2">
      <c r="A135" s="155" t="s">
        <v>566</v>
      </c>
      <c r="B135" s="89">
        <v>0</v>
      </c>
      <c r="AC135" s="155" t="s">
        <v>566</v>
      </c>
      <c r="AD135" s="89">
        <v>0</v>
      </c>
      <c r="AU135" s="155" t="s">
        <v>566</v>
      </c>
      <c r="AV135" s="89">
        <v>0</v>
      </c>
      <c r="BN135" s="155" t="s">
        <v>566</v>
      </c>
      <c r="BO135" s="89">
        <v>0</v>
      </c>
      <c r="CF135" s="155" t="s">
        <v>566</v>
      </c>
      <c r="CG135" s="89">
        <v>0</v>
      </c>
      <c r="CW135" s="155" t="s">
        <v>566</v>
      </c>
      <c r="CX135" s="89">
        <v>0</v>
      </c>
      <c r="DN135" s="155" t="s">
        <v>566</v>
      </c>
      <c r="DO135" s="89">
        <v>0</v>
      </c>
      <c r="EF135" s="155" t="s">
        <v>566</v>
      </c>
      <c r="EG135" s="89">
        <f t="shared" si="110"/>
        <v>0</v>
      </c>
      <c r="EQ135" s="155" t="s">
        <v>566</v>
      </c>
      <c r="ER135" s="89">
        <f t="shared" si="111"/>
        <v>0</v>
      </c>
      <c r="FB135" s="155" t="s">
        <v>566</v>
      </c>
      <c r="FC135" s="89">
        <f>B135</f>
        <v>0</v>
      </c>
      <c r="FV135" s="155" t="s">
        <v>566</v>
      </c>
      <c r="FW135" s="89">
        <f>B135</f>
        <v>0</v>
      </c>
      <c r="GN135" s="155" t="s">
        <v>566</v>
      </c>
      <c r="GO135" s="89">
        <v>0</v>
      </c>
      <c r="HO135" s="256"/>
      <c r="HP135" s="155" t="s">
        <v>566</v>
      </c>
      <c r="HQ135" s="89">
        <f t="shared" si="112"/>
        <v>0</v>
      </c>
      <c r="HZ135" s="256"/>
    </row>
    <row r="136" spans="1:234" x14ac:dyDescent="0.2">
      <c r="A136" s="155" t="s">
        <v>567</v>
      </c>
      <c r="B136" s="89">
        <f>'Verwerken Verwarming en Tapwate'!H10</f>
        <v>0</v>
      </c>
      <c r="AC136" s="155" t="s">
        <v>567</v>
      </c>
      <c r="AD136" s="89">
        <f>'Verwerken Verwarming en Tapwate'!H10</f>
        <v>0</v>
      </c>
      <c r="AU136" s="155" t="s">
        <v>567</v>
      </c>
      <c r="AV136" s="89">
        <f>'Verwerken Verwarming en Tapwate'!H10</f>
        <v>0</v>
      </c>
      <c r="BN136" s="155" t="s">
        <v>567</v>
      </c>
      <c r="BO136" s="89">
        <f>'Verwerken Verwarming en Tapwate'!W10</f>
        <v>0</v>
      </c>
      <c r="CF136" s="155" t="s">
        <v>567</v>
      </c>
      <c r="CG136" s="89">
        <f>'Verwerken Verwarming en Tapwate'!AL10</f>
        <v>0</v>
      </c>
      <c r="CW136" s="155" t="s">
        <v>567</v>
      </c>
      <c r="CX136" s="89">
        <f>'Verwerken Verwarming en Tapwate'!H10</f>
        <v>0</v>
      </c>
      <c r="DN136" s="155" t="s">
        <v>567</v>
      </c>
      <c r="DO136" s="89">
        <f>'Verwerken Verwarming en Tapwate'!H10</f>
        <v>0</v>
      </c>
      <c r="EF136" s="155" t="s">
        <v>567</v>
      </c>
      <c r="EG136" s="89">
        <f t="shared" si="110"/>
        <v>0</v>
      </c>
      <c r="EQ136" s="155" t="s">
        <v>567</v>
      </c>
      <c r="ER136" s="89">
        <f t="shared" si="111"/>
        <v>0</v>
      </c>
      <c r="FB136" s="155" t="s">
        <v>567</v>
      </c>
      <c r="FC136" s="89">
        <f>B136</f>
        <v>0</v>
      </c>
      <c r="FV136" s="155" t="s">
        <v>567</v>
      </c>
      <c r="FW136" s="89">
        <f>B136</f>
        <v>0</v>
      </c>
      <c r="GN136" s="155" t="s">
        <v>567</v>
      </c>
      <c r="GO136" s="89">
        <f>B136</f>
        <v>0</v>
      </c>
      <c r="HO136" s="256"/>
      <c r="HP136" s="155" t="s">
        <v>567</v>
      </c>
      <c r="HQ136" s="89">
        <f t="shared" si="112"/>
        <v>0</v>
      </c>
      <c r="HZ136" s="256"/>
    </row>
    <row r="137" spans="1:234" x14ac:dyDescent="0.2">
      <c r="A137" s="155" t="s">
        <v>561</v>
      </c>
      <c r="B137" s="89">
        <f>IF('Invoer Algemeen'!$D$16=0,0,B130+B131+B132+B133+B134+B135+B136)</f>
        <v>0</v>
      </c>
      <c r="AC137" s="155" t="s">
        <v>561</v>
      </c>
      <c r="AD137" s="89">
        <f>IF('Invoer Algemeen'!$D$16=0,0,AD130+AD131+AD132+AD133+AD134+AD135+AD136)</f>
        <v>0</v>
      </c>
      <c r="AU137" s="155" t="s">
        <v>561</v>
      </c>
      <c r="AV137" s="89">
        <f>IF('Invoer Algemeen'!$D$16=0,0,AV130+AV131+AV132+AV133+AV134+AV135+AV136)</f>
        <v>0</v>
      </c>
      <c r="BN137" s="155" t="s">
        <v>561</v>
      </c>
      <c r="BO137" s="89">
        <f>IF('Invoer Algemeen'!$D$16=0,0,BO130+BO131+BO132+BO133+BO134+BO135+BO136)</f>
        <v>0</v>
      </c>
      <c r="CF137" s="155" t="s">
        <v>561</v>
      </c>
      <c r="CG137" s="89">
        <f>IF('Invoer Algemeen'!$D$16=0,0,CG130+CG131+CG132+CG133+CG134+CG135+CG136)</f>
        <v>0</v>
      </c>
      <c r="CW137" s="155" t="s">
        <v>561</v>
      </c>
      <c r="CX137" s="89">
        <f>IF('Invoer Algemeen'!$D$16=0,0,CX130+CX131+CX132+CX133+CX134+CX135+CX136)</f>
        <v>0</v>
      </c>
      <c r="DN137" s="155" t="s">
        <v>561</v>
      </c>
      <c r="DO137" s="89">
        <f>IF('Invoer Algemeen'!$D$16=0,0,DO130+DO131+DO132+DO133+DO134+DO135+DO136)</f>
        <v>0</v>
      </c>
      <c r="EF137" s="155" t="s">
        <v>561</v>
      </c>
      <c r="EG137" s="89">
        <f>IF('Invoer Algemeen'!$D$16=0,0,EG130+EG131+EG132+EG133+EG134+EG135+EG136)</f>
        <v>0</v>
      </c>
      <c r="EQ137" s="155" t="s">
        <v>561</v>
      </c>
      <c r="ER137" s="89">
        <f>IF('Invoer Algemeen'!$D$16=0,0,ER130+ER131+ER132+ER133+ER134+ER135+ER136)</f>
        <v>0</v>
      </c>
      <c r="FB137" s="155" t="s">
        <v>561</v>
      </c>
      <c r="FC137" s="89">
        <f>IF('Invoer Algemeen'!$D$16=0,0,FC130+FC131+FC132+FC133+FC134+FC135+FC136)</f>
        <v>0</v>
      </c>
      <c r="FV137" s="155" t="s">
        <v>561</v>
      </c>
      <c r="FW137" s="89">
        <f>IF('Invoer Algemeen'!$D$16=0,0,FW130+FW131+FW132+FW133+FW134+FW135+FW136)</f>
        <v>0</v>
      </c>
      <c r="GN137" s="155" t="s">
        <v>561</v>
      </c>
      <c r="GO137" s="89">
        <f>IF('Invoer Algemeen'!$D$16=0,0,GO130+GO131+GO132+GO133+GO134+GO135+GO136)</f>
        <v>0</v>
      </c>
      <c r="HO137" s="256"/>
      <c r="HP137" s="155" t="s">
        <v>561</v>
      </c>
      <c r="HQ137" s="89">
        <f t="shared" si="112"/>
        <v>0</v>
      </c>
      <c r="HZ137" s="256"/>
    </row>
    <row r="138" spans="1:234" x14ac:dyDescent="0.2">
      <c r="HO138" s="256"/>
      <c r="HZ138" s="256"/>
    </row>
    <row r="139" spans="1:234" x14ac:dyDescent="0.2">
      <c r="D139" s="89" t="s">
        <v>593</v>
      </c>
      <c r="HO139" s="256"/>
      <c r="HZ139" s="256"/>
    </row>
    <row r="140" spans="1:234" x14ac:dyDescent="0.2">
      <c r="A140" s="89" t="s">
        <v>588</v>
      </c>
      <c r="B140" s="89">
        <f>IF(B137=0,0,330*'Invoer Algemeen'!D16*1.4*1.19+1.25*135*0.3*3.5*'Invoer Algemeen'!D16*0.8)</f>
        <v>0</v>
      </c>
      <c r="AC140" s="89" t="s">
        <v>588</v>
      </c>
      <c r="AD140" s="89">
        <f>330*'Invoer Algemeen'!D16*1.4*1.19+1.25*135*0.3*3.5*'Invoer Algemeen'!D16*0.8</f>
        <v>0</v>
      </c>
      <c r="AU140" s="89" t="s">
        <v>588</v>
      </c>
      <c r="AV140" s="89">
        <f>330*'Invoer Algemeen'!D16*1.4*1.19+1.25*135*0.3*3.5*'Invoer Algemeen'!D16*0.8</f>
        <v>0</v>
      </c>
      <c r="BN140" s="89" t="s">
        <v>588</v>
      </c>
      <c r="BO140" s="89">
        <f>330*'Invoer Algemeen'!D16*1.4*1.19+1.25*135*0.3*3.5*'Invoer Algemeen'!D16*0.8</f>
        <v>0</v>
      </c>
      <c r="CF140" s="89" t="s">
        <v>588</v>
      </c>
      <c r="CG140" s="89">
        <f>330*'Invoer Algemeen'!D16*1.4*1.19+1.25*135*0.3*3.5*'Invoer Algemeen'!D16*0.8</f>
        <v>0</v>
      </c>
      <c r="CW140" s="89" t="s">
        <v>588</v>
      </c>
      <c r="CX140" s="89">
        <f>330*'Invoer Algemeen'!D16*1.4*1.19+1.25*135*0.3*3.5*'Invoer Algemeen'!D16*0.8</f>
        <v>0</v>
      </c>
      <c r="DN140" s="89" t="s">
        <v>588</v>
      </c>
      <c r="DO140" s="89">
        <f>330*'Invoer Algemeen'!D16*1.4*1.19+1.25*135*0.3*3.5*'Invoer Algemeen'!D16*0.8</f>
        <v>0</v>
      </c>
      <c r="EF140" s="89" t="s">
        <v>588</v>
      </c>
      <c r="EG140" s="89">
        <f>330*'Invoer Algemeen'!D16*1.4*1.19+1.25*135*0.3*3.5*'Invoer Algemeen'!D16*0.8</f>
        <v>0</v>
      </c>
      <c r="EQ140" s="89" t="s">
        <v>588</v>
      </c>
      <c r="ER140" s="89">
        <f>330*'Invoer Algemeen'!D16*1.4*1.19+1.25*135*0.3*3.5*'Invoer Algemeen'!D16*0.8</f>
        <v>0</v>
      </c>
      <c r="FB140" s="89" t="s">
        <v>588</v>
      </c>
      <c r="FC140" s="89">
        <f>330*'Invoer Algemeen'!D16*1.4*1.19+1.25*135*0.3*3.5*'Invoer Algemeen'!D16*0.8</f>
        <v>0</v>
      </c>
      <c r="FV140" s="89" t="s">
        <v>588</v>
      </c>
      <c r="FW140" s="89">
        <f>330*'Invoer Algemeen'!D16*1.4*1.19+1.25*135*0.3*3.5*'Invoer Algemeen'!D16*0.8</f>
        <v>0</v>
      </c>
      <c r="GN140" s="89" t="s">
        <v>588</v>
      </c>
      <c r="GO140" s="89">
        <f>330*'Invoer Algemeen'!D16*1.4*1.19+1.25*135*0.3*3.5*'Invoer Algemeen'!D16*0.8</f>
        <v>0</v>
      </c>
      <c r="HO140" s="256"/>
      <c r="HP140" s="89" t="s">
        <v>588</v>
      </c>
      <c r="HQ140" s="89">
        <f>EG140</f>
        <v>0</v>
      </c>
      <c r="HZ140" s="256"/>
    </row>
    <row r="141" spans="1:234" x14ac:dyDescent="0.2">
      <c r="HO141" s="256"/>
      <c r="HZ141" s="256"/>
    </row>
    <row r="142" spans="1:234" x14ac:dyDescent="0.2">
      <c r="A142" s="155" t="s">
        <v>900</v>
      </c>
      <c r="B142" s="89">
        <f>IF('Verwerken Verwarming en Tapwate'!E3=1,1,0.79)</f>
        <v>1</v>
      </c>
      <c r="AC142" s="155" t="s">
        <v>900</v>
      </c>
      <c r="AD142" s="89">
        <f>B142</f>
        <v>1</v>
      </c>
      <c r="AU142" s="155" t="s">
        <v>900</v>
      </c>
      <c r="AV142" s="89">
        <f>T142</f>
        <v>0</v>
      </c>
      <c r="BN142" s="155" t="s">
        <v>900</v>
      </c>
      <c r="BO142" s="89">
        <f>B142</f>
        <v>1</v>
      </c>
      <c r="CF142" s="155" t="s">
        <v>900</v>
      </c>
      <c r="CG142" s="89">
        <f>B142</f>
        <v>1</v>
      </c>
      <c r="CW142" s="155" t="s">
        <v>900</v>
      </c>
      <c r="CX142" s="89">
        <f>B142</f>
        <v>1</v>
      </c>
      <c r="DN142" s="155" t="s">
        <v>900</v>
      </c>
      <c r="DO142" s="89">
        <f>B142</f>
        <v>1</v>
      </c>
      <c r="EF142" s="155" t="s">
        <v>900</v>
      </c>
      <c r="EG142" s="89">
        <f>IF(AND('Verwerken Verwarming en Tapwate'!$T$3=1,'Verwerken Verwarming en Tapwate'!$W$3=1),B142,IF('Verwerken Verwarming en Tapwate'!$W$3=1,1,0.79))</f>
        <v>1</v>
      </c>
      <c r="EQ142" s="155" t="s">
        <v>900</v>
      </c>
      <c r="ER142" s="155">
        <f>B142</f>
        <v>1</v>
      </c>
      <c r="FB142" s="155" t="s">
        <v>900</v>
      </c>
      <c r="FC142" s="89">
        <f>B142</f>
        <v>1</v>
      </c>
      <c r="FV142" s="155" t="s">
        <v>900</v>
      </c>
      <c r="FW142" s="89">
        <f>B142</f>
        <v>1</v>
      </c>
      <c r="GN142" s="155" t="s">
        <v>900</v>
      </c>
      <c r="GO142" s="89">
        <f>IF(AND('Verwerken Verwarming en Tapwate'!$T$3=1,'Verwerken Verwarming en Tapwate'!$W$3=1),$B$142,IF('Verwerken Verwarming en Tapwate'!$W$3=1,1,0.79))</f>
        <v>1</v>
      </c>
      <c r="HO142" s="256"/>
      <c r="HP142" s="155" t="s">
        <v>900</v>
      </c>
      <c r="HQ142" s="89">
        <f>IF(AND('Verwerken Verwarming en Tapwate'!$T$3=1,'Verwerken Verwarming en Tapwate'!$W$3=1),CL142,IF('Verwerken Verwarming en Tapwate'!$W$3=1,1,0.79))</f>
        <v>0</v>
      </c>
      <c r="HZ142" s="256"/>
    </row>
    <row r="143" spans="1:234" x14ac:dyDescent="0.2">
      <c r="B143" s="619" t="s">
        <v>904</v>
      </c>
      <c r="C143" s="619"/>
      <c r="D143" s="619"/>
      <c r="E143" s="619" t="s">
        <v>611</v>
      </c>
      <c r="F143" s="619"/>
      <c r="G143" s="619"/>
      <c r="H143" s="155" t="s">
        <v>724</v>
      </c>
      <c r="AD143" s="619" t="s">
        <v>904</v>
      </c>
      <c r="AE143" s="619"/>
      <c r="AF143" s="619"/>
      <c r="AG143" s="619" t="s">
        <v>611</v>
      </c>
      <c r="AH143" s="619"/>
      <c r="AI143" s="619"/>
      <c r="AJ143" s="155" t="s">
        <v>724</v>
      </c>
      <c r="AV143" s="619" t="s">
        <v>904</v>
      </c>
      <c r="AW143" s="619"/>
      <c r="AX143" s="619"/>
      <c r="AY143" s="619" t="s">
        <v>611</v>
      </c>
      <c r="AZ143" s="619"/>
      <c r="BA143" s="619"/>
      <c r="BB143" s="155" t="s">
        <v>724</v>
      </c>
      <c r="BO143" s="619" t="s">
        <v>904</v>
      </c>
      <c r="BP143" s="619"/>
      <c r="BQ143" s="619"/>
      <c r="BR143" s="619" t="s">
        <v>611</v>
      </c>
      <c r="BS143" s="619"/>
      <c r="BT143" s="619"/>
      <c r="BU143" s="155" t="s">
        <v>724</v>
      </c>
      <c r="CG143" s="619" t="s">
        <v>904</v>
      </c>
      <c r="CH143" s="619"/>
      <c r="CI143" s="619"/>
      <c r="CJ143" s="619" t="s">
        <v>611</v>
      </c>
      <c r="CK143" s="619"/>
      <c r="CL143" s="619"/>
      <c r="CM143" s="155" t="s">
        <v>724</v>
      </c>
      <c r="CX143" s="619" t="s">
        <v>904</v>
      </c>
      <c r="CY143" s="619"/>
      <c r="CZ143" s="619"/>
      <c r="DA143" s="619" t="s">
        <v>611</v>
      </c>
      <c r="DB143" s="619"/>
      <c r="DC143" s="619"/>
      <c r="DD143" s="155" t="s">
        <v>724</v>
      </c>
      <c r="DO143" s="619" t="s">
        <v>904</v>
      </c>
      <c r="DP143" s="619"/>
      <c r="DQ143" s="619"/>
      <c r="DR143" s="619" t="s">
        <v>611</v>
      </c>
      <c r="DS143" s="619"/>
      <c r="DT143" s="619"/>
      <c r="DU143" s="155" t="s">
        <v>724</v>
      </c>
      <c r="EG143" s="619" t="s">
        <v>904</v>
      </c>
      <c r="EH143" s="619"/>
      <c r="EI143" s="619"/>
      <c r="EJ143" s="619" t="s">
        <v>611</v>
      </c>
      <c r="EK143" s="619"/>
      <c r="EL143" s="619"/>
      <c r="EM143" s="155" t="s">
        <v>724</v>
      </c>
      <c r="ER143" s="619" t="s">
        <v>904</v>
      </c>
      <c r="ES143" s="619"/>
      <c r="ET143" s="619"/>
      <c r="EU143" s="619" t="s">
        <v>611</v>
      </c>
      <c r="EV143" s="619"/>
      <c r="EW143" s="619"/>
      <c r="EX143" s="155" t="s">
        <v>724</v>
      </c>
      <c r="FC143" s="619" t="s">
        <v>904</v>
      </c>
      <c r="FD143" s="619"/>
      <c r="FE143" s="619"/>
      <c r="FF143" s="619" t="s">
        <v>611</v>
      </c>
      <c r="FG143" s="619"/>
      <c r="FH143" s="619"/>
      <c r="FI143" s="155" t="s">
        <v>724</v>
      </c>
      <c r="FW143" s="619" t="s">
        <v>904</v>
      </c>
      <c r="FX143" s="619"/>
      <c r="FY143" s="619"/>
      <c r="FZ143" s="619" t="s">
        <v>611</v>
      </c>
      <c r="GA143" s="619"/>
      <c r="GB143" s="619"/>
      <c r="GC143" s="155" t="s">
        <v>724</v>
      </c>
      <c r="GO143" s="619" t="s">
        <v>904</v>
      </c>
      <c r="GP143" s="619"/>
      <c r="GQ143" s="619"/>
      <c r="GR143" s="619" t="s">
        <v>611</v>
      </c>
      <c r="GS143" s="619"/>
      <c r="GT143" s="619"/>
      <c r="GU143" s="155" t="s">
        <v>724</v>
      </c>
      <c r="HO143" s="256"/>
      <c r="HQ143" s="619" t="s">
        <v>904</v>
      </c>
      <c r="HR143" s="619"/>
      <c r="HS143" s="619"/>
      <c r="HT143" s="619" t="s">
        <v>611</v>
      </c>
      <c r="HU143" s="619"/>
      <c r="HV143" s="619"/>
      <c r="HW143" s="155" t="s">
        <v>724</v>
      </c>
      <c r="HZ143" s="256"/>
    </row>
    <row r="144" spans="1:234" x14ac:dyDescent="0.2">
      <c r="B144" s="155" t="s">
        <v>608</v>
      </c>
      <c r="C144" s="155" t="s">
        <v>609</v>
      </c>
      <c r="D144" s="155" t="s">
        <v>610</v>
      </c>
      <c r="E144" s="155" t="s">
        <v>608</v>
      </c>
      <c r="F144" s="155" t="s">
        <v>609</v>
      </c>
      <c r="G144" s="155" t="s">
        <v>610</v>
      </c>
      <c r="H144" s="155" t="s">
        <v>608</v>
      </c>
      <c r="I144" s="155" t="s">
        <v>609</v>
      </c>
      <c r="J144" s="155" t="s">
        <v>610</v>
      </c>
      <c r="AD144" s="155" t="s">
        <v>608</v>
      </c>
      <c r="AE144" s="155" t="s">
        <v>609</v>
      </c>
      <c r="AF144" s="155" t="s">
        <v>610</v>
      </c>
      <c r="AG144" s="155" t="s">
        <v>608</v>
      </c>
      <c r="AH144" s="155" t="s">
        <v>609</v>
      </c>
      <c r="AI144" s="155" t="s">
        <v>610</v>
      </c>
      <c r="AJ144" s="155" t="s">
        <v>608</v>
      </c>
      <c r="AK144" s="155" t="s">
        <v>609</v>
      </c>
      <c r="AL144" s="155" t="s">
        <v>610</v>
      </c>
      <c r="AV144" s="155" t="s">
        <v>608</v>
      </c>
      <c r="AW144" s="155" t="s">
        <v>609</v>
      </c>
      <c r="AX144" s="155" t="s">
        <v>610</v>
      </c>
      <c r="AY144" s="155" t="s">
        <v>608</v>
      </c>
      <c r="AZ144" s="155" t="s">
        <v>609</v>
      </c>
      <c r="BA144" s="155" t="s">
        <v>610</v>
      </c>
      <c r="BB144" s="155" t="s">
        <v>608</v>
      </c>
      <c r="BC144" s="155" t="s">
        <v>609</v>
      </c>
      <c r="BD144" s="155" t="s">
        <v>610</v>
      </c>
      <c r="BO144" s="155" t="s">
        <v>608</v>
      </c>
      <c r="BP144" s="155" t="s">
        <v>609</v>
      </c>
      <c r="BQ144" s="155" t="s">
        <v>610</v>
      </c>
      <c r="BR144" s="155" t="s">
        <v>608</v>
      </c>
      <c r="BS144" s="155" t="s">
        <v>609</v>
      </c>
      <c r="BT144" s="155" t="s">
        <v>610</v>
      </c>
      <c r="BU144" s="155" t="s">
        <v>608</v>
      </c>
      <c r="BV144" s="155" t="s">
        <v>609</v>
      </c>
      <c r="BW144" s="155" t="s">
        <v>610</v>
      </c>
      <c r="CG144" s="155" t="s">
        <v>608</v>
      </c>
      <c r="CH144" s="155" t="s">
        <v>609</v>
      </c>
      <c r="CI144" s="155" t="s">
        <v>610</v>
      </c>
      <c r="CJ144" s="155" t="s">
        <v>608</v>
      </c>
      <c r="CK144" s="155" t="s">
        <v>609</v>
      </c>
      <c r="CL144" s="155" t="s">
        <v>610</v>
      </c>
      <c r="CM144" s="155" t="s">
        <v>608</v>
      </c>
      <c r="CN144" s="155" t="s">
        <v>609</v>
      </c>
      <c r="CO144" s="155" t="s">
        <v>610</v>
      </c>
      <c r="CX144" s="155" t="s">
        <v>608</v>
      </c>
      <c r="CY144" s="155" t="s">
        <v>609</v>
      </c>
      <c r="CZ144" s="155" t="s">
        <v>610</v>
      </c>
      <c r="DA144" s="155" t="s">
        <v>608</v>
      </c>
      <c r="DB144" s="155" t="s">
        <v>609</v>
      </c>
      <c r="DC144" s="155" t="s">
        <v>610</v>
      </c>
      <c r="DD144" s="155" t="s">
        <v>608</v>
      </c>
      <c r="DE144" s="155" t="s">
        <v>609</v>
      </c>
      <c r="DF144" s="155" t="s">
        <v>610</v>
      </c>
      <c r="DO144" s="155" t="s">
        <v>608</v>
      </c>
      <c r="DP144" s="155" t="s">
        <v>609</v>
      </c>
      <c r="DQ144" s="155" t="s">
        <v>610</v>
      </c>
      <c r="DR144" s="155" t="s">
        <v>608</v>
      </c>
      <c r="DS144" s="155" t="s">
        <v>609</v>
      </c>
      <c r="DT144" s="155" t="s">
        <v>610</v>
      </c>
      <c r="DU144" s="155" t="s">
        <v>608</v>
      </c>
      <c r="DV144" s="155" t="s">
        <v>609</v>
      </c>
      <c r="DW144" s="155" t="s">
        <v>610</v>
      </c>
      <c r="EG144" s="155" t="s">
        <v>608</v>
      </c>
      <c r="EH144" s="155" t="s">
        <v>609</v>
      </c>
      <c r="EI144" s="155" t="s">
        <v>610</v>
      </c>
      <c r="EJ144" s="155" t="s">
        <v>608</v>
      </c>
      <c r="EK144" s="155" t="s">
        <v>609</v>
      </c>
      <c r="EL144" s="155" t="s">
        <v>610</v>
      </c>
      <c r="EM144" s="155" t="s">
        <v>608</v>
      </c>
      <c r="EN144" s="155" t="s">
        <v>609</v>
      </c>
      <c r="EO144" s="155" t="s">
        <v>610</v>
      </c>
      <c r="ER144" s="155" t="s">
        <v>608</v>
      </c>
      <c r="ES144" s="155" t="s">
        <v>609</v>
      </c>
      <c r="ET144" s="155" t="s">
        <v>610</v>
      </c>
      <c r="EU144" s="155" t="s">
        <v>608</v>
      </c>
      <c r="EV144" s="155" t="s">
        <v>609</v>
      </c>
      <c r="EW144" s="155" t="s">
        <v>610</v>
      </c>
      <c r="EX144" s="155" t="s">
        <v>608</v>
      </c>
      <c r="EY144" s="155" t="s">
        <v>609</v>
      </c>
      <c r="EZ144" s="155" t="s">
        <v>610</v>
      </c>
      <c r="FC144" s="155" t="s">
        <v>608</v>
      </c>
      <c r="FD144" s="155" t="s">
        <v>609</v>
      </c>
      <c r="FE144" s="155" t="s">
        <v>610</v>
      </c>
      <c r="FF144" s="155" t="s">
        <v>608</v>
      </c>
      <c r="FG144" s="155" t="s">
        <v>609</v>
      </c>
      <c r="FH144" s="155" t="s">
        <v>610</v>
      </c>
      <c r="FI144" s="155" t="s">
        <v>608</v>
      </c>
      <c r="FJ144" s="155" t="s">
        <v>609</v>
      </c>
      <c r="FK144" s="155" t="s">
        <v>610</v>
      </c>
      <c r="FW144" s="155" t="s">
        <v>608</v>
      </c>
      <c r="FX144" s="155" t="s">
        <v>609</v>
      </c>
      <c r="FY144" s="155" t="s">
        <v>610</v>
      </c>
      <c r="FZ144" s="155" t="s">
        <v>608</v>
      </c>
      <c r="GA144" s="155" t="s">
        <v>609</v>
      </c>
      <c r="GB144" s="155" t="s">
        <v>610</v>
      </c>
      <c r="GC144" s="155" t="s">
        <v>608</v>
      </c>
      <c r="GD144" s="155" t="s">
        <v>609</v>
      </c>
      <c r="GE144" s="155" t="s">
        <v>610</v>
      </c>
      <c r="GO144" s="155" t="s">
        <v>608</v>
      </c>
      <c r="GP144" s="155" t="s">
        <v>609</v>
      </c>
      <c r="GQ144" s="155" t="s">
        <v>610</v>
      </c>
      <c r="GR144" s="155" t="s">
        <v>608</v>
      </c>
      <c r="GS144" s="155" t="s">
        <v>609</v>
      </c>
      <c r="GT144" s="155" t="s">
        <v>610</v>
      </c>
      <c r="GU144" s="155" t="s">
        <v>608</v>
      </c>
      <c r="GV144" s="155" t="s">
        <v>609</v>
      </c>
      <c r="GW144" s="155" t="s">
        <v>610</v>
      </c>
      <c r="HO144" s="256"/>
      <c r="HQ144" s="155" t="s">
        <v>608</v>
      </c>
      <c r="HR144" s="155" t="s">
        <v>609</v>
      </c>
      <c r="HS144" s="155" t="s">
        <v>610</v>
      </c>
      <c r="HT144" s="155" t="s">
        <v>608</v>
      </c>
      <c r="HU144" s="155" t="s">
        <v>609</v>
      </c>
      <c r="HV144" s="155" t="s">
        <v>610</v>
      </c>
      <c r="HW144" s="155" t="s">
        <v>608</v>
      </c>
      <c r="HX144" s="155" t="s">
        <v>609</v>
      </c>
      <c r="HY144" s="155" t="s">
        <v>610</v>
      </c>
      <c r="HZ144" s="256"/>
    </row>
    <row r="145" spans="1:234" x14ac:dyDescent="0.2">
      <c r="A145" s="155" t="s">
        <v>901</v>
      </c>
      <c r="B145" s="89">
        <f>IF(OR('Verwerken Verwarming en Tapwate'!$B$3=1,'Verwerken Verwarming en Tapwate'!$B$3=7,'Verwerken Verwarming en Tapwate'!$B$3=11),0,IF('Verwerken Verwarming en Tapwate'!$B$3=8,0,$B$142*$B$130/35.17))</f>
        <v>0</v>
      </c>
      <c r="C145" s="89">
        <f>IF(OR('Verwerken Verwarming en Tapwate'!$B$3=7,'Verwerken Verwarming en Tapwate'!$B$3=11),0,IF('Verwerken Verwarming en Tapwate'!$B$3=8,$B$142*$B$130/1000,0))</f>
        <v>0</v>
      </c>
      <c r="D145" s="89">
        <f>IF(OR('Verwerken Verwarming en Tapwate'!$B$3=7,'Verwerken Verwarming en Tapwate'!$B$3=11),$B$142*$B$130/9.23,IF('Verwerken Verwarming en Tapwate'!$B$3=8,0,0))</f>
        <v>0</v>
      </c>
      <c r="E145" s="89">
        <f>IF(OR('Verwerken Verwarming en Tapwate'!$E$3=1,'Verwerken Verwarming en Tapwate'!$E$3=7,'Verwerken Verwarming en Tapwate'!$E$3=11),0,IF('Verwerken Verwarming en Tapwate'!$E$3=8,0,(1-$B$142)*$B$130/35.17))</f>
        <v>0</v>
      </c>
      <c r="F145" s="89">
        <f>IF(OR('Verwerken Verwarming en Tapwate'!$E$3=7,'Verwerken Verwarming en Tapwate'!$E$3=11),0,IF('Verwerken Verwarming en Tapwate'!$E$3=8,(1-$B$142)*$B$130/1000,0))</f>
        <v>0</v>
      </c>
      <c r="G145" s="89">
        <f>IF(OR('Verwerken Verwarming en Tapwate'!$E$3=7,'Verwerken Verwarming en Tapwate'!$E$3=11),(1-$B$142)*$B$130/9.23,IF('Verwerken Verwarming en Tapwate'!$E$3=8,0,0))</f>
        <v>0</v>
      </c>
      <c r="H145" s="89">
        <f>B145+E145</f>
        <v>0</v>
      </c>
      <c r="I145" s="89">
        <f>C145+F145</f>
        <v>0</v>
      </c>
      <c r="J145" s="89">
        <f>D145+G145</f>
        <v>0</v>
      </c>
      <c r="AC145" s="155" t="s">
        <v>901</v>
      </c>
      <c r="AD145" s="89">
        <f>IF(OR('Verwerken Verwarming en Tapwate'!$B$3=7,'Verwerken Verwarming en Tapwate'!$B$3=11),0,IF('Verwerken Verwarming en Tapwate'!$B$3=8,0,$B$142*$AD$130/35.17))</f>
        <v>0</v>
      </c>
      <c r="AE145" s="89">
        <f>IF(OR('Verwerken Verwarming en Tapwate'!$B$3=7,'Verwerken Verwarming en Tapwate'!$B$3=11),0,IF('Verwerken Verwarming en Tapwate'!$B$3=8,$B$142*$AD$130/1000,0))</f>
        <v>0</v>
      </c>
      <c r="AF145" s="89">
        <f>IF(OR('Verwerken Verwarming en Tapwate'!$B$3=7,'Verwerken Verwarming en Tapwate'!$B$3=11),$B$142*$AD$130/9.23,IF('Verwerken Verwarming en Tapwate'!$B$3=8,0,0))</f>
        <v>0</v>
      </c>
      <c r="AG145" s="89">
        <f>IF(OR('Verwerken Verwarming en Tapwate'!$E$3=1,'Verwerken Verwarming en Tapwate'!$E$3=7,'Verwerken Verwarming en Tapwate'!$E$3=11),0,IF('Verwerken Verwarming en Tapwate'!$E$3=8,0,(1-$B$142)*$AD$130/35.17))</f>
        <v>0</v>
      </c>
      <c r="AH145" s="89">
        <f>IF(OR('Verwerken Verwarming en Tapwate'!$E$3=7,'Verwerken Verwarming en Tapwate'!$E$3=11),0,IF('Verwerken Verwarming en Tapwate'!$E$3=8,(1-$B$142)*$AD$130/1000,0))</f>
        <v>0</v>
      </c>
      <c r="AI145" s="89">
        <f>IF(OR('Verwerken Verwarming en Tapwate'!$E$3=7,'Verwerken Verwarming en Tapwate'!$E$3=11),(1-$B$142)*$AD$130/9.23,IF('Verwerken Verwarming en Tapwate'!$E$3=8,0,0))</f>
        <v>0</v>
      </c>
      <c r="AJ145" s="89">
        <f>AD145+AG145</f>
        <v>0</v>
      </c>
      <c r="AK145" s="89">
        <f>AE145+AH145</f>
        <v>0</v>
      </c>
      <c r="AL145" s="89">
        <f>AF145+AI145</f>
        <v>0</v>
      </c>
      <c r="AU145" s="155" t="s">
        <v>901</v>
      </c>
      <c r="AV145" s="89">
        <f>IF(OR('Verwerken Verwarming en Tapwate'!$B$3=7,'Verwerken Verwarming en Tapwate'!$B$3=11),0,IF('Verwerken Verwarming en Tapwate'!$B$3=8,0,$B$142*$AV$130/35.17))</f>
        <v>0</v>
      </c>
      <c r="AW145" s="89">
        <f>IF(OR('Verwerken Verwarming en Tapwate'!$B$3=7,'Verwerken Verwarming en Tapwate'!$B$3=11),0,IF('Verwerken Verwarming en Tapwate'!$B$3=8,$B$142*$AV$130/1000,0))</f>
        <v>0</v>
      </c>
      <c r="AX145" s="89">
        <f>IF(OR('Verwerken Verwarming en Tapwate'!$B$3=7,'Verwerken Verwarming en Tapwate'!$B$3=11),$B$142*$AV$130/9.23,IF('Verwerken Verwarming en Tapwate'!$B$3=8,0,0))</f>
        <v>0</v>
      </c>
      <c r="AY145" s="89">
        <f>IF(OR('Verwerken Verwarming en Tapwate'!$E$3=1,'Verwerken Verwarming en Tapwate'!$E$3=7,'Verwerken Verwarming en Tapwate'!$E$3=11),0,IF('Verwerken Verwarming en Tapwate'!$E$3=8,0,(1-$B$142)*$AV$130/35.17))</f>
        <v>0</v>
      </c>
      <c r="AZ145" s="89">
        <f>IF(OR('Verwerken Verwarming en Tapwate'!$E$3=7,'Verwerken Verwarming en Tapwate'!$E$3=11),0,IF('Verwerken Verwarming en Tapwate'!$E$3=8,(1-$B$142)*$AV$130/1000,0))</f>
        <v>0</v>
      </c>
      <c r="BA145" s="89">
        <f>IF(OR('Verwerken Verwarming en Tapwate'!$E$3=7,'Verwerken Verwarming en Tapwate'!$E$3=11),(1-$B$142)*$AV$130/9.23,IF('Verwerken Verwarming en Tapwate'!$E$3=8,0,0))</f>
        <v>0</v>
      </c>
      <c r="BB145" s="89">
        <f>AV145+AY145</f>
        <v>0</v>
      </c>
      <c r="BC145" s="89">
        <f>AW145+AZ145</f>
        <v>0</v>
      </c>
      <c r="BD145" s="89">
        <f>AX145+BA145</f>
        <v>0</v>
      </c>
      <c r="BN145" s="155" t="s">
        <v>901</v>
      </c>
      <c r="BO145" s="89">
        <f>IF(OR('Verwerken Verwarming en Tapwate'!$B$3=7,'Verwerken Verwarming en Tapwate'!$B$3=11),0,IF('Verwerken Verwarming en Tapwate'!$B$3=8,0,$B$142*$BO$130/35.17))</f>
        <v>0</v>
      </c>
      <c r="BP145" s="89">
        <f>IF(OR('Verwerken Verwarming en Tapwate'!$B$3=7,'Verwerken Verwarming en Tapwate'!$B$3=11),0,IF('Verwerken Verwarming en Tapwate'!$B$3=8,$B$142*$BO$130/1000,0))</f>
        <v>0</v>
      </c>
      <c r="BQ145" s="89">
        <f>IF(OR('Verwerken Verwarming en Tapwate'!$B$3=7,'Verwerken Verwarming en Tapwate'!$B$3=11),$B$142*$BO$130/9.23,IF('Verwerken Verwarming en Tapwate'!$B$3=8,0,0))</f>
        <v>0</v>
      </c>
      <c r="BR145" s="89">
        <f>IF(OR('Verwerken Verwarming en Tapwate'!$E$3=1,'Verwerken Verwarming en Tapwate'!$E$3=7,'Verwerken Verwarming en Tapwate'!$E$3=11),0,IF('Verwerken Verwarming en Tapwate'!$E$3=8,0,(1-$B$142)*$BO$130/35.17))</f>
        <v>0</v>
      </c>
      <c r="BS145" s="89">
        <f>IF(OR('Verwerken Verwarming en Tapwate'!$E$3=7,'Verwerken Verwarming en Tapwate'!$E$3=11),0,IF('Verwerken Verwarming en Tapwate'!$E$3=8,(1-$B$142)*$BO$130/1000,0))</f>
        <v>0</v>
      </c>
      <c r="BT145" s="89">
        <f>IF(OR('Verwerken Verwarming en Tapwate'!$E$3=7,'Verwerken Verwarming en Tapwate'!$E$3=11),(1-$B$142)*$BO$130/9.23,IF('Verwerken Verwarming en Tapwate'!$E$3=8,0,0))</f>
        <v>0</v>
      </c>
      <c r="BU145" s="89">
        <f>BO145+BR145</f>
        <v>0</v>
      </c>
      <c r="BV145" s="89">
        <f>BP145+BS145</f>
        <v>0</v>
      </c>
      <c r="BW145" s="89">
        <f>BQ145+BT145</f>
        <v>0</v>
      </c>
      <c r="CF145" s="155" t="s">
        <v>901</v>
      </c>
      <c r="CG145" s="89">
        <f>IF(OR('Verwerken Verwarming en Tapwate'!$B$3=7,'Verwerken Verwarming en Tapwate'!$B$3=11),0,IF('Verwerken Verwarming en Tapwate'!$B$3=8,0,$B$142*$CG$130/35.17))</f>
        <v>0</v>
      </c>
      <c r="CH145" s="89">
        <f>IF(OR('Verwerken Verwarming en Tapwate'!$B$3=7,'Verwerken Verwarming en Tapwate'!$B$3=11),0,IF('Verwerken Verwarming en Tapwate'!$B$3=8,$B$142*$CG$130/1000,0))</f>
        <v>0</v>
      </c>
      <c r="CI145" s="89">
        <f>IF(OR('Verwerken Verwarming en Tapwate'!$B$3=7,'Verwerken Verwarming en Tapwate'!$B$3=11),$B$142*$CG$130/9.23,IF('Verwerken Verwarming en Tapwate'!$B$3=8,0,0))</f>
        <v>0</v>
      </c>
      <c r="CJ145" s="89">
        <f>IF(OR('Verwerken Verwarming en Tapwate'!$E$3=1,'Verwerken Verwarming en Tapwate'!$E$3=7,'Verwerken Verwarming en Tapwate'!$E$3=11),0,IF('Verwerken Verwarming en Tapwate'!$E$3=8,0,(1-$B$142)*$CG$130/35.17))</f>
        <v>0</v>
      </c>
      <c r="CK145" s="89">
        <f>IF(OR('Verwerken Verwarming en Tapwate'!$E$3=7,'Verwerken Verwarming en Tapwate'!$E$3=11),0,IF('Verwerken Verwarming en Tapwate'!$E$3=8,(1-$B$142)*$CG$130/1000,0))</f>
        <v>0</v>
      </c>
      <c r="CL145" s="89">
        <f>IF(OR('Verwerken Verwarming en Tapwate'!$E$3=7,'Verwerken Verwarming en Tapwate'!$E$3=11),(1-$B$142)*$CG$130/9.23,IF('Verwerken Verwarming en Tapwate'!$E$3=8,0,0))</f>
        <v>0</v>
      </c>
      <c r="CM145" s="89">
        <f>CG145+CJ145</f>
        <v>0</v>
      </c>
      <c r="CN145" s="89">
        <f>CH145+CK145</f>
        <v>0</v>
      </c>
      <c r="CO145" s="89">
        <f>CI145+CL145</f>
        <v>0</v>
      </c>
      <c r="CW145" s="155" t="s">
        <v>901</v>
      </c>
      <c r="CX145" s="89">
        <f>IF(OR('Verwerken Verwarming en Tapwate'!$B$3=7,'Verwerken Verwarming en Tapwate'!$B$3=11),0,IF('Verwerken Verwarming en Tapwate'!$B$3=8,0,$B$142*$CX$130/35.17))</f>
        <v>0</v>
      </c>
      <c r="CY145" s="89">
        <f>IF(OR('Verwerken Verwarming en Tapwate'!$B$3=7,'Verwerken Verwarming en Tapwate'!$B$3=11),0,IF('Verwerken Verwarming en Tapwate'!$B$3=8,$B$142*$CX$130/1000,0))</f>
        <v>0</v>
      </c>
      <c r="CZ145" s="89">
        <f>IF(OR('Verwerken Verwarming en Tapwate'!$B$3=7,'Verwerken Verwarming en Tapwate'!$B$3=11),$B$142*$CX$130/9.23,IF('Verwerken Verwarming en Tapwate'!$B$3=8,0,0))</f>
        <v>0</v>
      </c>
      <c r="DA145" s="89">
        <f>IF(OR('Verwerken Verwarming en Tapwate'!$E$3=1,'Verwerken Verwarming en Tapwate'!$E$3=7,'Verwerken Verwarming en Tapwate'!$E$3=11),0,IF('Verwerken Verwarming en Tapwate'!$E$3=8,0,(1-$B$142)*$CX$130/35.17))</f>
        <v>0</v>
      </c>
      <c r="DB145" s="89">
        <f>IF(OR('Verwerken Verwarming en Tapwate'!$E$3=7,'Verwerken Verwarming en Tapwate'!$E$3=11),0,IF('Verwerken Verwarming en Tapwate'!$E$3=8,(1-$B$142)*$CX$130/1000,0))</f>
        <v>0</v>
      </c>
      <c r="DC145" s="89">
        <f>IF(OR('Verwerken Verwarming en Tapwate'!$E$3=7,'Verwerken Verwarming en Tapwate'!$E$3=11),(1-$B$142)*$CX$130/9.23,IF('Verwerken Verwarming en Tapwate'!$E$3=8,0,0))</f>
        <v>0</v>
      </c>
      <c r="DD145" s="89">
        <f>CX145+DA145</f>
        <v>0</v>
      </c>
      <c r="DE145" s="89">
        <f>CY145+DB145</f>
        <v>0</v>
      </c>
      <c r="DF145" s="89">
        <f>CZ145+DC145</f>
        <v>0</v>
      </c>
      <c r="DN145" s="155" t="s">
        <v>901</v>
      </c>
      <c r="DO145" s="89">
        <f>IF(OR('Verwerken Verwarming en Tapwate'!$B$3=7,'Verwerken Verwarming en Tapwate'!$B$3=11),0,IF('Verwerken Verwarming en Tapwate'!$B$3=8,0,$B$142*$DO$130/35.17))</f>
        <v>0</v>
      </c>
      <c r="DP145" s="89">
        <f>IF(OR('Verwerken Verwarming en Tapwate'!$B$3=7,'Verwerken Verwarming en Tapwate'!$B$3=11),0,IF('Verwerken Verwarming en Tapwate'!$B$3=8,$B$142*$DO$130/1000,0))</f>
        <v>0</v>
      </c>
      <c r="DQ145" s="89">
        <f>IF(OR('Verwerken Verwarming en Tapwate'!$B$3=7,'Verwerken Verwarming en Tapwate'!$B$3=11),$B$142*$DO$130/9.23,IF('Verwerken Verwarming en Tapwate'!$B$3=8,0,0))</f>
        <v>0</v>
      </c>
      <c r="DR145" s="89">
        <f>IF(OR('Verwerken Verwarming en Tapwate'!$E$3=1,'Verwerken Verwarming en Tapwate'!$E$3=7,'Verwerken Verwarming en Tapwate'!$E$3=11),0,IF('Verwerken Verwarming en Tapwate'!$E$3=8,0,(1-$B$142)*$DO$130/35.17))</f>
        <v>0</v>
      </c>
      <c r="DS145" s="89">
        <f>IF(OR('Verwerken Verwarming en Tapwate'!$E$3=7,'Verwerken Verwarming en Tapwate'!$E$3=11),0,IF('Verwerken Verwarming en Tapwate'!$E$3=8,(1-$B$142)*$DO$130/1000,0))</f>
        <v>0</v>
      </c>
      <c r="DT145" s="89">
        <f>IF(OR('Verwerken Verwarming en Tapwate'!$E$3=7,'Verwerken Verwarming en Tapwate'!$E$3=11),(1-$B$142)*$DO$130/9.23,IF('Verwerken Verwarming en Tapwate'!$E$3=8,0,0))</f>
        <v>0</v>
      </c>
      <c r="DU145" s="89">
        <f>DO145+DR145</f>
        <v>0</v>
      </c>
      <c r="DV145" s="89">
        <f>DP145+DS145</f>
        <v>0</v>
      </c>
      <c r="DW145" s="89">
        <f>DQ145+DT145</f>
        <v>0</v>
      </c>
      <c r="EF145" s="155" t="s">
        <v>901</v>
      </c>
      <c r="EG145" s="89">
        <f>IF(OR('Verwerken Verwarming en Tapwate'!$B$3=7,'Verwerken Verwarming en Tapwate'!$B$3=11),0,IF('Verwerken Verwarming en Tapwate'!$B$3=8,0,$B$142*$EG$130/35.17))</f>
        <v>0</v>
      </c>
      <c r="EH145" s="89">
        <f>IF(OR('Verwerken Verwarming en Tapwate'!$B$3=7,'Verwerken Verwarming en Tapwate'!$B$3=11),0,IF('Verwerken Verwarming en Tapwate'!$B$3=8,$B$142*$EG$130/1000,0))</f>
        <v>0</v>
      </c>
      <c r="EI145" s="89">
        <f>IF(OR('Verwerken Verwarming en Tapwate'!$B$3=7,'Verwerken Verwarming en Tapwate'!$B$3=11),$B$142*$EG$130/9.23,IF('Verwerken Verwarming en Tapwate'!$B$3=8,0,0))</f>
        <v>0</v>
      </c>
      <c r="EJ145" s="89">
        <f>IF(OR('Verwerken Verwarming en Tapwate'!$E$3=1,'Verwerken Verwarming en Tapwate'!$E$3=7,'Verwerken Verwarming en Tapwate'!$E$3=11),0,IF('Verwerken Verwarming en Tapwate'!$E$3=8,0,(1-$B$142)*$EG$130/35.17))</f>
        <v>0</v>
      </c>
      <c r="EK145" s="89">
        <f>IF(OR('Verwerken Verwarming en Tapwate'!$E$3=7,'Verwerken Verwarming en Tapwate'!$E$3=11),0,IF('Verwerken Verwarming en Tapwate'!$E$3=8,(1-$B$142)*$EG$130/1000,0))</f>
        <v>0</v>
      </c>
      <c r="EL145" s="89">
        <f>IF(OR('Verwerken Verwarming en Tapwate'!$E$3=7,'Verwerken Verwarming en Tapwate'!$E$3=11),(1-$B$142)*$EG$130/9.23,IF('Verwerken Verwarming en Tapwate'!$E$3=8,0,0))</f>
        <v>0</v>
      </c>
      <c r="EM145" s="89">
        <f>EG145+EJ145</f>
        <v>0</v>
      </c>
      <c r="EN145" s="89">
        <f>EH145+EK145</f>
        <v>0</v>
      </c>
      <c r="EO145" s="89">
        <f>EI145+EL145</f>
        <v>0</v>
      </c>
      <c r="EQ145" s="155" t="s">
        <v>901</v>
      </c>
      <c r="ER145" s="89">
        <f>IF(OR('Verwerken Verwarming en Tapwate'!$B$3=7,'Verwerken Verwarming en Tapwate'!$B$3=11),0,IF('Verwerken Verwarming en Tapwate'!$B$3=8,0,$B$142*$ER$130/35.17))</f>
        <v>0</v>
      </c>
      <c r="ES145" s="89">
        <f>IF(OR('Verwerken Verwarming en Tapwate'!$B$3=7,'Verwerken Verwarming en Tapwate'!$B$3=11),0,IF('Verwerken Verwarming en Tapwate'!$B$3=8,$B$142*$ER$130/1000,0))</f>
        <v>0</v>
      </c>
      <c r="ET145" s="89">
        <f>IF(OR('Verwerken Verwarming en Tapwate'!$B$3=7,'Verwerken Verwarming en Tapwate'!$B$3=11),$B$142*$ER$130/9.23,IF('Verwerken Verwarming en Tapwate'!$B$3=8,0,0))</f>
        <v>0</v>
      </c>
      <c r="EU145" s="89">
        <f>IF(OR('Verwerken Verwarming en Tapwate'!$E$3=1,'Verwerken Verwarming en Tapwate'!$E$3=7,'Verwerken Verwarming en Tapwate'!$E$3=11),0,IF('Verwerken Verwarming en Tapwate'!$E$3=8,0,(1-$B$142)*$ER$130/35.17))</f>
        <v>0</v>
      </c>
      <c r="EV145" s="89">
        <f>IF(OR('Verwerken Verwarming en Tapwate'!$E$3=7,'Verwerken Verwarming en Tapwate'!$E$3=11),0,IF('Verwerken Verwarming en Tapwate'!$E$3=8,(1-$B$142)*$ER$130/1000,0))</f>
        <v>0</v>
      </c>
      <c r="EW145" s="89">
        <f>IF(OR('Verwerken Verwarming en Tapwate'!$E$3=7,'Verwerken Verwarming en Tapwate'!$E$3=11),(1-$B$142)*$ER$130/9.23,IF('Verwerken Verwarming en Tapwate'!$E$3=8,0,0))</f>
        <v>0</v>
      </c>
      <c r="EX145" s="89">
        <f>ER145+EU145</f>
        <v>0</v>
      </c>
      <c r="EY145" s="89">
        <f>ES145+EV145</f>
        <v>0</v>
      </c>
      <c r="EZ145" s="89">
        <f>ET145+EW145</f>
        <v>0</v>
      </c>
      <c r="FB145" s="155" t="s">
        <v>901</v>
      </c>
      <c r="FC145" s="89">
        <f>IF(OR('Verwerken Verwarming en Tapwate'!$B$3=7,'Verwerken Verwarming en Tapwate'!$B$3=11),0,IF('Verwerken Verwarming en Tapwate'!$B$3=8,0,$B$142*$FC$130/35.17))</f>
        <v>0</v>
      </c>
      <c r="FD145" s="89">
        <f>IF(OR('Verwerken Verwarming en Tapwate'!$B$3=7,'Verwerken Verwarming en Tapwate'!$B$3=11),0,IF('Verwerken Verwarming en Tapwate'!$B$3=8,$B$142*$FC$130/1000,0))</f>
        <v>0</v>
      </c>
      <c r="FE145" s="89">
        <f>IF(OR('Verwerken Verwarming en Tapwate'!$B$3=7,'Verwerken Verwarming en Tapwate'!$B$3=11),$B$142*$FC$130/9.23,IF('Verwerken Verwarming en Tapwate'!$B$3=8,0,0))</f>
        <v>0</v>
      </c>
      <c r="FF145" s="89">
        <f>IF(OR('Verwerken Verwarming en Tapwate'!$E$3=1,'Verwerken Verwarming en Tapwate'!$E$3=7,'Verwerken Verwarming en Tapwate'!$E$3=11),0,IF('Verwerken Verwarming en Tapwate'!$E$3=8,0,(1-$B$142)*$FC$130/35.17))</f>
        <v>0</v>
      </c>
      <c r="FG145" s="89">
        <f>IF(OR('Verwerken Verwarming en Tapwate'!$E$3=7,'Verwerken Verwarming en Tapwate'!$E$3=11),0,IF('Verwerken Verwarming en Tapwate'!$E$3=8,(1-$B$142)*$FC$130/1000,0))</f>
        <v>0</v>
      </c>
      <c r="FH145" s="89">
        <f>IF(OR('Verwerken Verwarming en Tapwate'!$E$3=7,'Verwerken Verwarming en Tapwate'!$E$3=11),(1-$B$142)*$FC$130/9.23,IF('Verwerken Verwarming en Tapwate'!$E$3=8,0,0))</f>
        <v>0</v>
      </c>
      <c r="FI145" s="89">
        <f>FC145+FF145</f>
        <v>0</v>
      </c>
      <c r="FJ145" s="89">
        <f>FD145+FG145</f>
        <v>0</v>
      </c>
      <c r="FK145" s="89">
        <f>FE145+FH145</f>
        <v>0</v>
      </c>
      <c r="FV145" s="155" t="s">
        <v>901</v>
      </c>
      <c r="FW145" s="89">
        <f>IF(OR('Verwerken Verwarming en Tapwate'!$B$3=7,'Verwerken Verwarming en Tapwate'!$B$3=11),0,IF('Verwerken Verwarming en Tapwate'!$B$3=8,0,$B$142*$FW$130/35.17))</f>
        <v>0</v>
      </c>
      <c r="FX145" s="89">
        <f>IF(OR('Verwerken Verwarming en Tapwate'!$B$3=7,'Verwerken Verwarming en Tapwate'!$B$3=11),0,IF('Verwerken Verwarming en Tapwate'!$B$3=8,$B$142*$FW$130/1000,0))</f>
        <v>0</v>
      </c>
      <c r="FY145" s="89">
        <f>IF(OR('Verwerken Verwarming en Tapwate'!$B$3=7,'Verwerken Verwarming en Tapwate'!$B$3=11),$B$142*$FW$130/9.23,IF('Verwerken Verwarming en Tapwate'!$B$3=8,0,0))</f>
        <v>0</v>
      </c>
      <c r="FZ145" s="89">
        <f>IF(OR('Verwerken Verwarming en Tapwate'!$E$3=1,'Verwerken Verwarming en Tapwate'!$E$3=7,'Verwerken Verwarming en Tapwate'!$E$3=11),0,IF('Verwerken Verwarming en Tapwate'!$E$3=8,0,(1-$B$142)*$FW$130/35.17))</f>
        <v>0</v>
      </c>
      <c r="GA145" s="89">
        <f>IF(OR('Verwerken Verwarming en Tapwate'!$E$3=7,'Verwerken Verwarming en Tapwate'!$E$3=11),0,IF('Verwerken Verwarming en Tapwate'!$E$3=8,(1-$B$142)*$FW$130/1000,0))</f>
        <v>0</v>
      </c>
      <c r="GB145" s="89">
        <f>IF(OR('Verwerken Verwarming en Tapwate'!$E$3=7,'Verwerken Verwarming en Tapwate'!$E$3=11),(1-$B$142)*$FW$130/9.23,IF('Verwerken Verwarming en Tapwate'!$E$3=8,0,0))</f>
        <v>0</v>
      </c>
      <c r="GC145" s="89">
        <f>FW145+FZ145</f>
        <v>0</v>
      </c>
      <c r="GD145" s="89">
        <f>FX145+GA145</f>
        <v>0</v>
      </c>
      <c r="GE145" s="89">
        <f>FY145+GB145</f>
        <v>0</v>
      </c>
      <c r="GN145" s="155" t="s">
        <v>901</v>
      </c>
      <c r="GO145" s="89">
        <f>IF(OR('Verwerken Verwarming en Tapwate'!$B$3=7,'Verwerken Verwarming en Tapwate'!$B$3=11),0,IF('Verwerken Verwarming en Tapwate'!$B$3=8,0,$B$142*$GO$130/35.17))</f>
        <v>0</v>
      </c>
      <c r="GP145" s="89">
        <f>IF(OR('Verwerken Verwarming en Tapwate'!$B$3=7,'Verwerken Verwarming en Tapwate'!$B$3=11),0,IF('Verwerken Verwarming en Tapwate'!$B$3=8,$B$142*$GO$130/1000,0))</f>
        <v>0</v>
      </c>
      <c r="GQ145" s="89">
        <f>IF(OR('Verwerken Verwarming en Tapwate'!$B$3=7,'Verwerken Verwarming en Tapwate'!$B$3=11),$B$142*$GO$130/9.23,IF('Verwerken Verwarming en Tapwate'!$B$3=8,0,0))</f>
        <v>0</v>
      </c>
      <c r="GR145" s="89">
        <f>IF(OR('Verwerken Verwarming en Tapwate'!$E$3=1,'Verwerken Verwarming en Tapwate'!$E$3=7,'Verwerken Verwarming en Tapwate'!$E$3=11),0,IF('Verwerken Verwarming en Tapwate'!$E$3=8,0,(1-$B$142)*$GO$130/35.17))</f>
        <v>0</v>
      </c>
      <c r="GS145" s="89">
        <f>IF(OR('Verwerken Verwarming en Tapwate'!$E$3=7,'Verwerken Verwarming en Tapwate'!$E$3=11),0,IF('Verwerken Verwarming en Tapwate'!$E$3=8,(1-$B$142)*$GO$130/1000,0))</f>
        <v>0</v>
      </c>
      <c r="GT145" s="89">
        <f>IF(OR('Verwerken Verwarming en Tapwate'!$E$3=7,'Verwerken Verwarming en Tapwate'!$E$3=11),(1-$B$142)*$GO$130/9.23,IF('Verwerken Verwarming en Tapwate'!$E$3=8,0,0))</f>
        <v>0</v>
      </c>
      <c r="GU145" s="89">
        <f>GO145+GR145</f>
        <v>0</v>
      </c>
      <c r="GV145" s="89">
        <f>GP145+GS145</f>
        <v>0</v>
      </c>
      <c r="GW145" s="89">
        <f>GQ145+GT145</f>
        <v>0</v>
      </c>
      <c r="HO145" s="256"/>
      <c r="HP145" s="155" t="s">
        <v>901</v>
      </c>
      <c r="HQ145" s="89">
        <f>IF(OR('Verwerken Verwarming en Tapwate'!$B$3=7,'Verwerken Verwarming en Tapwate'!$B$3=11),0,IF('Verwerken Verwarming en Tapwate'!$B$3=8,0,$B$142*$EG$130/35.17))</f>
        <v>0</v>
      </c>
      <c r="HR145" s="89">
        <f>IF(OR('Verwerken Verwarming en Tapwate'!$B$3=7,'Verwerken Verwarming en Tapwate'!$B$3=11),0,IF('Verwerken Verwarming en Tapwate'!$B$3=8,$B$142*$EG$130/1000,0))</f>
        <v>0</v>
      </c>
      <c r="HS145" s="89">
        <f>IF(OR('Verwerken Verwarming en Tapwate'!$B$3=7,'Verwerken Verwarming en Tapwate'!$B$3=11),$B$142*$EG$130/9.23,IF('Verwerken Verwarming en Tapwate'!$B$3=8,0,0))</f>
        <v>0</v>
      </c>
      <c r="HT145" s="89">
        <f>IF(OR('Verwerken Verwarming en Tapwate'!$E$3=1,'Verwerken Verwarming en Tapwate'!$E$3=7,'Verwerken Verwarming en Tapwate'!$E$3=11),0,IF('Verwerken Verwarming en Tapwate'!$E$3=8,0,(1-$B$142)*$EG$130/35.17))</f>
        <v>0</v>
      </c>
      <c r="HU145" s="89">
        <f>IF(OR('Verwerken Verwarming en Tapwate'!$E$3=7,'Verwerken Verwarming en Tapwate'!$E$3=11),0,IF('Verwerken Verwarming en Tapwate'!$E$3=8,(1-$B$142)*$EG$130/1000,0))</f>
        <v>0</v>
      </c>
      <c r="HV145" s="89">
        <f>IF(OR('Verwerken Verwarming en Tapwate'!$E$3=7,'Verwerken Verwarming en Tapwate'!$E$3=11),(1-$B$142)*$EG$130/9.23,IF('Verwerken Verwarming en Tapwate'!$E$3=8,0,0))</f>
        <v>0</v>
      </c>
      <c r="HW145" s="89">
        <f>HQ145+HT145</f>
        <v>0</v>
      </c>
      <c r="HX145" s="89">
        <f>HR145+HU145</f>
        <v>0</v>
      </c>
      <c r="HY145" s="89">
        <f>HS145+HV145</f>
        <v>0</v>
      </c>
      <c r="HZ145" s="256"/>
    </row>
    <row r="146" spans="1:234" x14ac:dyDescent="0.2">
      <c r="A146" s="155" t="s">
        <v>893</v>
      </c>
      <c r="J146" s="89">
        <f>B131/9.23</f>
        <v>0</v>
      </c>
      <c r="AC146" s="155" t="s">
        <v>893</v>
      </c>
      <c r="AL146" s="89">
        <f>AD131/9.23</f>
        <v>0</v>
      </c>
      <c r="AU146" s="155" t="s">
        <v>893</v>
      </c>
      <c r="BD146" s="89">
        <f>AV131/9.23</f>
        <v>0</v>
      </c>
      <c r="BN146" s="155" t="s">
        <v>893</v>
      </c>
      <c r="BW146" s="89">
        <f>BO131/9.23</f>
        <v>0</v>
      </c>
      <c r="CF146" s="155" t="s">
        <v>893</v>
      </c>
      <c r="CO146" s="89">
        <f>CG131/9.23</f>
        <v>0</v>
      </c>
      <c r="CW146" s="155" t="s">
        <v>893</v>
      </c>
      <c r="DF146" s="89">
        <f>CX131/9.23</f>
        <v>0</v>
      </c>
      <c r="DN146" s="155" t="s">
        <v>893</v>
      </c>
      <c r="DW146" s="89">
        <f>DO131/9.23</f>
        <v>0</v>
      </c>
      <c r="EF146" s="155" t="s">
        <v>893</v>
      </c>
      <c r="EO146" s="89">
        <f>EG131/9.23</f>
        <v>0</v>
      </c>
      <c r="EQ146" s="155" t="s">
        <v>893</v>
      </c>
      <c r="EZ146" s="89">
        <f>ER131/9.23</f>
        <v>0</v>
      </c>
      <c r="FB146" s="155" t="s">
        <v>893</v>
      </c>
      <c r="FK146" s="89">
        <f>FC131/9.23</f>
        <v>0</v>
      </c>
      <c r="FV146" s="155" t="s">
        <v>893</v>
      </c>
      <c r="GE146" s="89">
        <f>FW131/9.23</f>
        <v>0</v>
      </c>
      <c r="GN146" s="155" t="s">
        <v>893</v>
      </c>
      <c r="GW146" s="89">
        <f>GO131/9.23</f>
        <v>0</v>
      </c>
      <c r="HO146" s="256"/>
      <c r="HP146" s="155" t="s">
        <v>893</v>
      </c>
      <c r="HY146" s="89">
        <f>HQ131/9.23</f>
        <v>0</v>
      </c>
      <c r="HZ146" s="256"/>
    </row>
    <row r="147" spans="1:234" x14ac:dyDescent="0.2">
      <c r="A147" s="155" t="s">
        <v>902</v>
      </c>
      <c r="J147" s="89">
        <f>B133/9.23</f>
        <v>0</v>
      </c>
      <c r="AC147" s="155" t="s">
        <v>902</v>
      </c>
      <c r="AL147" s="89">
        <f>AD133/9.23</f>
        <v>0</v>
      </c>
      <c r="AU147" s="155" t="s">
        <v>902</v>
      </c>
      <c r="BD147" s="89">
        <f>AV133/9.23</f>
        <v>0</v>
      </c>
      <c r="BN147" s="155" t="s">
        <v>902</v>
      </c>
      <c r="BW147" s="89">
        <f>BO133/9.23</f>
        <v>0</v>
      </c>
      <c r="CF147" s="155" t="s">
        <v>902</v>
      </c>
      <c r="CO147" s="89">
        <f>CG133/9.23</f>
        <v>0</v>
      </c>
      <c r="CW147" s="155" t="s">
        <v>902</v>
      </c>
      <c r="DF147" s="89">
        <f>CX133/9.23</f>
        <v>0</v>
      </c>
      <c r="DN147" s="155" t="s">
        <v>902</v>
      </c>
      <c r="DW147" s="89">
        <f>DO133/9.23</f>
        <v>0</v>
      </c>
      <c r="EF147" s="155" t="s">
        <v>902</v>
      </c>
      <c r="EO147" s="89">
        <f>EG133/9.23</f>
        <v>0</v>
      </c>
      <c r="EQ147" s="155" t="s">
        <v>902</v>
      </c>
      <c r="EZ147" s="89">
        <f>ER133/9.23</f>
        <v>0</v>
      </c>
      <c r="FB147" s="155" t="s">
        <v>902</v>
      </c>
      <c r="FK147" s="89">
        <f>FC133/9.23</f>
        <v>0</v>
      </c>
      <c r="FV147" s="155" t="s">
        <v>902</v>
      </c>
      <c r="GE147" s="89">
        <f>FW133/9.23</f>
        <v>0</v>
      </c>
      <c r="GN147" s="155" t="s">
        <v>902</v>
      </c>
      <c r="GW147" s="89">
        <f>GO133/9.23</f>
        <v>0</v>
      </c>
      <c r="HO147" s="256"/>
      <c r="HP147" s="155" t="s">
        <v>902</v>
      </c>
      <c r="HY147" s="89">
        <f>HQ133/9.23</f>
        <v>0</v>
      </c>
      <c r="HZ147" s="256"/>
    </row>
    <row r="148" spans="1:234" x14ac:dyDescent="0.2">
      <c r="A148" s="155" t="s">
        <v>903</v>
      </c>
      <c r="H148" s="89">
        <f>IF('Verwerken Verwarming en Tapwate'!C10&lt;3,0,IF('Verwerken Verwarming en Tapwate'!C10=9,0,'Verwerken Verwarming en Tapwate'!H10/35.17))</f>
        <v>0</v>
      </c>
      <c r="I148" s="89">
        <f>IF('Verwerken Verwarming en Tapwate'!C10&lt;3,0,IF('Verwerken Verwarming en Tapwate'!C10=9,'Verwerken Verwarming en Tapwate'!H10/1000,0))</f>
        <v>0</v>
      </c>
      <c r="J148" s="89">
        <f>IF('Verwerken Verwarming en Tapwate'!C10=2,'Verwerken Verwarming en Tapwate'!H10/9.23,IF('Verwerken Verwarming en Tapwate'!C10=9,0,0))</f>
        <v>0</v>
      </c>
      <c r="AC148" s="155" t="s">
        <v>903</v>
      </c>
      <c r="AJ148" s="89">
        <f>H148</f>
        <v>0</v>
      </c>
      <c r="AK148" s="89">
        <f>I148</f>
        <v>0</v>
      </c>
      <c r="AL148" s="89">
        <f>J148</f>
        <v>0</v>
      </c>
      <c r="AU148" s="155" t="s">
        <v>903</v>
      </c>
      <c r="BB148" s="89">
        <f>H148</f>
        <v>0</v>
      </c>
      <c r="BC148" s="89">
        <f>I148</f>
        <v>0</v>
      </c>
      <c r="BD148" s="89">
        <f>J148</f>
        <v>0</v>
      </c>
      <c r="BN148" s="155" t="s">
        <v>903</v>
      </c>
      <c r="BU148" s="89">
        <f>H148</f>
        <v>0</v>
      </c>
      <c r="BV148" s="89">
        <f>I148</f>
        <v>0</v>
      </c>
      <c r="BW148" s="89">
        <f>J148</f>
        <v>0</v>
      </c>
      <c r="CF148" s="155" t="s">
        <v>903</v>
      </c>
      <c r="CM148" s="89">
        <f>H148</f>
        <v>0</v>
      </c>
      <c r="CN148" s="89">
        <f>I148</f>
        <v>0</v>
      </c>
      <c r="CO148" s="89">
        <f>J148</f>
        <v>0</v>
      </c>
      <c r="CW148" s="155" t="s">
        <v>903</v>
      </c>
      <c r="DD148" s="89">
        <f>H148</f>
        <v>0</v>
      </c>
      <c r="DE148" s="89">
        <f>I148</f>
        <v>0</v>
      </c>
      <c r="DF148" s="89">
        <f>J148</f>
        <v>0</v>
      </c>
      <c r="DN148" s="155" t="s">
        <v>903</v>
      </c>
      <c r="DU148" s="89">
        <f>H148</f>
        <v>0</v>
      </c>
      <c r="DV148" s="89">
        <f>I148</f>
        <v>0</v>
      </c>
      <c r="DW148" s="89">
        <f>J148</f>
        <v>0</v>
      </c>
      <c r="EF148" s="155" t="s">
        <v>903</v>
      </c>
      <c r="EM148" s="89">
        <f>H148</f>
        <v>0</v>
      </c>
      <c r="EN148" s="89">
        <f>I148</f>
        <v>0</v>
      </c>
      <c r="EO148" s="89">
        <f>J148</f>
        <v>0</v>
      </c>
      <c r="EQ148" s="155" t="s">
        <v>903</v>
      </c>
      <c r="EX148" s="89">
        <f>H148</f>
        <v>0</v>
      </c>
      <c r="EY148" s="89">
        <f>I148</f>
        <v>0</v>
      </c>
      <c r="EZ148" s="89">
        <f>J148</f>
        <v>0</v>
      </c>
      <c r="FB148" s="155" t="s">
        <v>903</v>
      </c>
      <c r="FI148" s="89">
        <f>H148</f>
        <v>0</v>
      </c>
      <c r="FJ148" s="89">
        <f>I148</f>
        <v>0</v>
      </c>
      <c r="FK148" s="89">
        <f>J148</f>
        <v>0</v>
      </c>
      <c r="FV148" s="155" t="s">
        <v>903</v>
      </c>
      <c r="GC148" s="89">
        <f>H148</f>
        <v>0</v>
      </c>
      <c r="GD148" s="89">
        <f>I148</f>
        <v>0</v>
      </c>
      <c r="GE148" s="89">
        <f>J148</f>
        <v>0</v>
      </c>
      <c r="GN148" s="155" t="s">
        <v>903</v>
      </c>
      <c r="GU148" s="89">
        <f>H148</f>
        <v>0</v>
      </c>
      <c r="GV148" s="89">
        <f>I148</f>
        <v>0</v>
      </c>
      <c r="GW148" s="89">
        <f>J148</f>
        <v>0</v>
      </c>
      <c r="HO148" s="256"/>
      <c r="HP148" s="155" t="s">
        <v>903</v>
      </c>
      <c r="HW148" s="89">
        <f>CR148</f>
        <v>0</v>
      </c>
      <c r="HX148" s="89">
        <f>CS148</f>
        <v>0</v>
      </c>
      <c r="HY148" s="89">
        <f>CT148</f>
        <v>0</v>
      </c>
      <c r="HZ148" s="256"/>
    </row>
    <row r="149" spans="1:234" x14ac:dyDescent="0.2">
      <c r="A149" s="155" t="s">
        <v>895</v>
      </c>
      <c r="J149" s="89">
        <f>B132/9.23</f>
        <v>0</v>
      </c>
      <c r="AC149" s="155" t="s">
        <v>895</v>
      </c>
      <c r="AL149" s="89">
        <f>AD132/9.23</f>
        <v>0</v>
      </c>
      <c r="AU149" s="155" t="s">
        <v>895</v>
      </c>
      <c r="BD149" s="89">
        <f>AV132/9.23</f>
        <v>0</v>
      </c>
      <c r="BN149" s="155" t="s">
        <v>895</v>
      </c>
      <c r="BW149" s="89">
        <f>BO132/9.23</f>
        <v>0</v>
      </c>
      <c r="CF149" s="155" t="s">
        <v>895</v>
      </c>
      <c r="CO149" s="89">
        <f>CG132/9.23</f>
        <v>0</v>
      </c>
      <c r="CW149" s="155" t="s">
        <v>895</v>
      </c>
      <c r="DF149" s="89">
        <f>CX132/9.23</f>
        <v>0</v>
      </c>
      <c r="DN149" s="155" t="s">
        <v>895</v>
      </c>
      <c r="DW149" s="89">
        <f>DO132/9.23</f>
        <v>0</v>
      </c>
      <c r="EF149" s="155" t="s">
        <v>895</v>
      </c>
      <c r="EO149" s="89">
        <f>EG132/9.23</f>
        <v>0</v>
      </c>
      <c r="EQ149" s="155" t="s">
        <v>895</v>
      </c>
      <c r="EZ149" s="89">
        <f>ER132/9.23</f>
        <v>0</v>
      </c>
      <c r="FB149" s="155" t="s">
        <v>895</v>
      </c>
      <c r="FK149" s="89">
        <f>FC132/9.23</f>
        <v>0</v>
      </c>
      <c r="FV149" s="155" t="s">
        <v>895</v>
      </c>
      <c r="GE149" s="89">
        <f>FW132/9.23</f>
        <v>0</v>
      </c>
      <c r="GF149" s="89">
        <f>FX132/9.23</f>
        <v>0</v>
      </c>
      <c r="GG149" s="89">
        <f>FY132/9.23</f>
        <v>0</v>
      </c>
      <c r="GN149" s="155" t="s">
        <v>895</v>
      </c>
      <c r="GW149" s="89">
        <f>GO132/9.23</f>
        <v>0</v>
      </c>
      <c r="HO149" s="256"/>
      <c r="HP149" s="155" t="s">
        <v>895</v>
      </c>
      <c r="HY149" s="89">
        <f>HQ132/9.23</f>
        <v>0</v>
      </c>
      <c r="HZ149" s="256"/>
    </row>
    <row r="150" spans="1:234" x14ac:dyDescent="0.2">
      <c r="B150" s="155" t="s">
        <v>724</v>
      </c>
      <c r="AD150" s="155" t="s">
        <v>724</v>
      </c>
      <c r="AV150" s="155" t="s">
        <v>724</v>
      </c>
      <c r="BO150" s="155" t="s">
        <v>724</v>
      </c>
      <c r="CG150" s="155" t="s">
        <v>724</v>
      </c>
      <c r="CX150" s="155" t="s">
        <v>724</v>
      </c>
      <c r="DO150" s="155" t="s">
        <v>724</v>
      </c>
      <c r="EG150" s="155" t="s">
        <v>724</v>
      </c>
      <c r="ER150" s="155" t="s">
        <v>724</v>
      </c>
      <c r="FC150" s="155" t="s">
        <v>724</v>
      </c>
      <c r="FW150" s="155" t="s">
        <v>724</v>
      </c>
      <c r="GO150" s="155" t="s">
        <v>724</v>
      </c>
      <c r="HO150" s="256"/>
      <c r="HQ150" s="155" t="s">
        <v>724</v>
      </c>
      <c r="HZ150" s="256"/>
    </row>
    <row r="151" spans="1:234" x14ac:dyDescent="0.2">
      <c r="A151" s="247" t="s">
        <v>5</v>
      </c>
      <c r="B151" s="89">
        <f>H145+H146+H147+H148</f>
        <v>0</v>
      </c>
      <c r="AC151" s="247" t="s">
        <v>5</v>
      </c>
      <c r="AD151" s="89">
        <f>AJ145+AJ146+AJ147+AJ148</f>
        <v>0</v>
      </c>
      <c r="AU151" s="247" t="s">
        <v>5</v>
      </c>
      <c r="AV151" s="89">
        <f>BB145+BB146+BB147+BB148</f>
        <v>0</v>
      </c>
      <c r="BN151" s="247" t="s">
        <v>5</v>
      </c>
      <c r="BO151" s="89">
        <f>BU145+BU146+BU147+BU148</f>
        <v>0</v>
      </c>
      <c r="CF151" s="247" t="s">
        <v>5</v>
      </c>
      <c r="CG151" s="89">
        <f>CM145+CM146+CM147+CM148</f>
        <v>0</v>
      </c>
      <c r="CW151" s="247" t="s">
        <v>5</v>
      </c>
      <c r="CX151" s="89">
        <f>DD145+DD146+DD147+DD148</f>
        <v>0</v>
      </c>
      <c r="DN151" s="247" t="s">
        <v>5</v>
      </c>
      <c r="DO151" s="89">
        <f>DU145+DU146+DU147+DU148</f>
        <v>0</v>
      </c>
      <c r="EF151" s="247" t="s">
        <v>5</v>
      </c>
      <c r="EG151" s="89">
        <f>EM145+EM146+EM147+EM148</f>
        <v>0</v>
      </c>
      <c r="EQ151" s="247" t="s">
        <v>5</v>
      </c>
      <c r="ER151" s="89">
        <f>EX145+EX146+EX147+EX148</f>
        <v>0</v>
      </c>
      <c r="FB151" s="247" t="s">
        <v>5</v>
      </c>
      <c r="FC151" s="89">
        <f>FI145+FI146+FI147+FI148</f>
        <v>0</v>
      </c>
      <c r="FV151" s="247" t="s">
        <v>5</v>
      </c>
      <c r="FW151" s="89">
        <f>GC145+GC146+GC147+GC148</f>
        <v>0</v>
      </c>
      <c r="GN151" s="247" t="s">
        <v>5</v>
      </c>
      <c r="GO151" s="89">
        <f>GU145+GU146+GU147+GU148</f>
        <v>0</v>
      </c>
      <c r="HO151" s="256"/>
      <c r="HP151" s="247" t="s">
        <v>5</v>
      </c>
      <c r="HQ151" s="89">
        <f>HW145+HW146+HW147+HW148</f>
        <v>0</v>
      </c>
      <c r="HZ151" s="256"/>
    </row>
    <row r="152" spans="1:234" x14ac:dyDescent="0.2">
      <c r="A152" s="155" t="s">
        <v>6</v>
      </c>
      <c r="B152" s="89">
        <f>I145+I146+I147+I148</f>
        <v>0</v>
      </c>
      <c r="AC152" s="155" t="s">
        <v>6</v>
      </c>
      <c r="AD152" s="89">
        <f>AK145+AK146+AK147+AK148</f>
        <v>0</v>
      </c>
      <c r="AU152" s="155" t="s">
        <v>6</v>
      </c>
      <c r="AV152" s="89">
        <f>BC145+BC146+BC147+BC148</f>
        <v>0</v>
      </c>
      <c r="BN152" s="155" t="s">
        <v>6</v>
      </c>
      <c r="BO152" s="89">
        <f>BV145+BV146+BV147+BV148</f>
        <v>0</v>
      </c>
      <c r="CF152" s="155" t="s">
        <v>6</v>
      </c>
      <c r="CG152" s="89">
        <f>CN145+CN146+CN147+CN148</f>
        <v>0</v>
      </c>
      <c r="CW152" s="155" t="s">
        <v>6</v>
      </c>
      <c r="CX152" s="89">
        <f>DE145+DE146+DE147+DE148</f>
        <v>0</v>
      </c>
      <c r="DN152" s="155" t="s">
        <v>6</v>
      </c>
      <c r="DO152" s="89">
        <f>DV145+DV146+DV147+DV148</f>
        <v>0</v>
      </c>
      <c r="EF152" s="155" t="s">
        <v>6</v>
      </c>
      <c r="EG152" s="89">
        <f>EN145+EN146+EN147+EN148</f>
        <v>0</v>
      </c>
      <c r="EQ152" s="155" t="s">
        <v>6</v>
      </c>
      <c r="ER152" s="89">
        <f>EY145+EY146+EY147+EY148</f>
        <v>0</v>
      </c>
      <c r="FB152" s="155" t="s">
        <v>6</v>
      </c>
      <c r="FC152" s="89">
        <f>FJ145+FJ146+FJ147+FJ148</f>
        <v>0</v>
      </c>
      <c r="FV152" s="155" t="s">
        <v>6</v>
      </c>
      <c r="FW152" s="89">
        <f>GD145+GD146+GD147+GD148</f>
        <v>0</v>
      </c>
      <c r="GN152" s="155" t="s">
        <v>6</v>
      </c>
      <c r="GO152" s="89">
        <f>GV145+GV146+GV147+GV148</f>
        <v>0</v>
      </c>
      <c r="HO152" s="256"/>
      <c r="HP152" s="155" t="s">
        <v>6</v>
      </c>
      <c r="HQ152" s="89">
        <f>HX145+HX146+HX147+HX148</f>
        <v>0</v>
      </c>
      <c r="HZ152" s="256"/>
    </row>
    <row r="153" spans="1:234" x14ac:dyDescent="0.2">
      <c r="A153" s="247" t="s">
        <v>610</v>
      </c>
      <c r="B153" s="89">
        <f>J145+J146+J147+J148+J149</f>
        <v>0</v>
      </c>
      <c r="AC153" s="247" t="s">
        <v>610</v>
      </c>
      <c r="AD153" s="89">
        <f>AL145+AL146+AL147+AL148+AL149</f>
        <v>0</v>
      </c>
      <c r="AU153" s="247" t="s">
        <v>610</v>
      </c>
      <c r="AV153" s="89">
        <f>BD145+BD146+BD147+BD148+BD149</f>
        <v>0</v>
      </c>
      <c r="BN153" s="247" t="s">
        <v>610</v>
      </c>
      <c r="BO153" s="89">
        <f>BW145+BW146+BW147+BW148+BW149</f>
        <v>0</v>
      </c>
      <c r="CF153" s="247" t="s">
        <v>610</v>
      </c>
      <c r="CG153" s="89">
        <f>CO145+CO146+CO147+CO148+CO149</f>
        <v>0</v>
      </c>
      <c r="CW153" s="247" t="s">
        <v>610</v>
      </c>
      <c r="CX153" s="89">
        <f>DF145+DF146+DF147+DF148+DF149</f>
        <v>0</v>
      </c>
      <c r="DN153" s="247" t="s">
        <v>610</v>
      </c>
      <c r="DO153" s="89">
        <f>DW145+DW146+DW147+DW148+DW149</f>
        <v>0</v>
      </c>
      <c r="EF153" s="247" t="s">
        <v>610</v>
      </c>
      <c r="EG153" s="89">
        <f>EO145+EO146+EO147+EO148+EO149</f>
        <v>0</v>
      </c>
      <c r="EQ153" s="247" t="s">
        <v>610</v>
      </c>
      <c r="ER153" s="89">
        <f>EZ145+EZ146+EZ147+EZ148+EZ149</f>
        <v>0</v>
      </c>
      <c r="FB153" s="247" t="s">
        <v>610</v>
      </c>
      <c r="FC153" s="89">
        <f>FK145+FK146+FK147+FK148+FK149</f>
        <v>0</v>
      </c>
      <c r="FV153" s="247" t="s">
        <v>610</v>
      </c>
      <c r="FW153" s="89">
        <f>GE145+GE146+GE147+GE148+GE149</f>
        <v>0</v>
      </c>
      <c r="GN153" s="247" t="s">
        <v>610</v>
      </c>
      <c r="GO153" s="89">
        <f>GW145+GW146+GW147+GW148+GW149</f>
        <v>0</v>
      </c>
      <c r="HO153" s="256"/>
      <c r="HP153" s="247" t="s">
        <v>610</v>
      </c>
      <c r="HQ153" s="89">
        <f>HY145+HY146+HY147+HY148+HY149</f>
        <v>0</v>
      </c>
      <c r="HZ153" s="256"/>
    </row>
    <row r="154" spans="1:234" x14ac:dyDescent="0.2">
      <c r="HO154" s="256"/>
      <c r="HZ154" s="256"/>
    </row>
    <row r="157" spans="1:234" x14ac:dyDescent="0.2">
      <c r="A157" s="118" t="s">
        <v>725</v>
      </c>
      <c r="B157"/>
      <c r="C157"/>
      <c r="D157"/>
      <c r="E157"/>
    </row>
    <row r="158" spans="1:234" x14ac:dyDescent="0.2">
      <c r="A158" s="118"/>
      <c r="B158"/>
      <c r="C158"/>
      <c r="D158"/>
      <c r="E158"/>
    </row>
    <row r="159" spans="1:234" x14ac:dyDescent="0.2">
      <c r="A159"/>
      <c r="B159"/>
      <c r="C159" s="118" t="s">
        <v>605</v>
      </c>
      <c r="D159"/>
      <c r="E159"/>
      <c r="F159"/>
      <c r="G159" s="118"/>
    </row>
    <row r="160" spans="1:234" x14ac:dyDescent="0.2">
      <c r="A160"/>
      <c r="B160" s="118" t="s">
        <v>754</v>
      </c>
      <c r="C160" s="118" t="s">
        <v>608</v>
      </c>
      <c r="D160" s="118" t="s">
        <v>609</v>
      </c>
      <c r="E160" s="118" t="s">
        <v>610</v>
      </c>
      <c r="F160" s="118" t="s">
        <v>613</v>
      </c>
      <c r="G160" s="118" t="s">
        <v>47</v>
      </c>
      <c r="H160" s="155" t="s">
        <v>614</v>
      </c>
      <c r="I160" s="155" t="s">
        <v>905</v>
      </c>
      <c r="J160" s="155" t="s">
        <v>906</v>
      </c>
    </row>
    <row r="161" spans="1:11" x14ac:dyDescent="0.2">
      <c r="A161" s="118" t="s">
        <v>846</v>
      </c>
      <c r="B161" s="118">
        <f>AP61</f>
        <v>0</v>
      </c>
      <c r="C161">
        <f>IF('Verwerken Verwarming en Tapwate'!J3=1,0,$B$151-AD151)</f>
        <v>0</v>
      </c>
      <c r="D161">
        <f>$B$152-AD152</f>
        <v>0</v>
      </c>
      <c r="E161">
        <v>0</v>
      </c>
      <c r="F161">
        <f>(C161*('Invoer energieverbruik'!$C$23+'Energiebelasting en transport'!$D$13)+D161*('Invoer energieverbruik'!$C$27)+E161*'Energiebelasting en transport'!$C$24)*1.21</f>
        <v>0</v>
      </c>
      <c r="G161">
        <f>AQ61</f>
        <v>0</v>
      </c>
      <c r="H161">
        <v>0</v>
      </c>
      <c r="I161" s="89">
        <f>IF(F161&gt;0,(G161-H161)/F161,0)</f>
        <v>0</v>
      </c>
      <c r="J161" s="280">
        <f>IF(F161=0,0,(C161*35.17+D161*1000+E161*9.23)/($B$151*35.17+$B$152*1000+$B$153*9.23))</f>
        <v>0</v>
      </c>
    </row>
    <row r="162" spans="1:11" x14ac:dyDescent="0.2">
      <c r="A162" s="118" t="s">
        <v>45</v>
      </c>
      <c r="B162" s="118">
        <f>BH61</f>
        <v>0</v>
      </c>
      <c r="C162">
        <f>IF('Verwerken Verwarming en Tapwate'!J3=1,0,$B$151-AV151)</f>
        <v>0</v>
      </c>
      <c r="D162">
        <f>$B$152-AV152</f>
        <v>0</v>
      </c>
      <c r="E162">
        <v>0</v>
      </c>
      <c r="F162">
        <f>(C162*('Invoer energieverbruik'!$C$23+'Energiebelasting en transport'!$D$13)+D162*('Invoer energieverbruik'!$C$27)+E162*'Energiebelasting en transport'!$C$24)*1.21</f>
        <v>0</v>
      </c>
      <c r="G162">
        <f>BI61</f>
        <v>0</v>
      </c>
      <c r="H162">
        <v>0</v>
      </c>
      <c r="I162" s="89">
        <f>IF(F162&gt;0,(G162-H162)/F162,0)</f>
        <v>0</v>
      </c>
      <c r="J162" s="280">
        <f>IF(F162=0,0,(C162*35.17+D162*1000+E162*9.23)/($B$151*35.17+$B$152*1000+$B$153*9.23))</f>
        <v>0</v>
      </c>
    </row>
    <row r="163" spans="1:11" x14ac:dyDescent="0.2">
      <c r="A163" s="118" t="s">
        <v>847</v>
      </c>
      <c r="B163" s="118">
        <f>CA61</f>
        <v>0</v>
      </c>
      <c r="C163">
        <f>IF('Verwerken Verwarming en Tapwate'!J3=1,0,$B$151-BO151)</f>
        <v>0</v>
      </c>
      <c r="D163">
        <f>$B$152-BO152</f>
        <v>0</v>
      </c>
      <c r="E163">
        <v>0</v>
      </c>
      <c r="F163">
        <f>(C163*('Invoer energieverbruik'!$C$23+'Energiebelasting en transport'!$D$13)+D163*('Invoer energieverbruik'!$C$27)+E163*'Energiebelasting en transport'!$C$24)*1.21</f>
        <v>0</v>
      </c>
      <c r="G163">
        <f>CB61</f>
        <v>0</v>
      </c>
      <c r="H163" s="89">
        <v>0</v>
      </c>
      <c r="I163" s="89">
        <f t="shared" ref="I163:I175" si="113">IF(F163&gt;0,(G163-H163)/F163,0)</f>
        <v>0</v>
      </c>
      <c r="J163" s="280">
        <f t="shared" ref="J163:J175" si="114">IF(F163=0,0,(C163*35.17+D163*1000+E163*9.23)/($B$151*35.17+$B$152*1000+$B$153*9.23))</f>
        <v>0</v>
      </c>
    </row>
    <row r="164" spans="1:11" x14ac:dyDescent="0.2">
      <c r="A164" s="118" t="s">
        <v>848</v>
      </c>
      <c r="B164" s="118">
        <f>CS61</f>
        <v>0</v>
      </c>
      <c r="C164">
        <f>IF('Verwerken Verwarming en Tapwate'!J3=1,0,$B$151-CG151)</f>
        <v>0</v>
      </c>
      <c r="D164">
        <f>$B$152-CG152</f>
        <v>0</v>
      </c>
      <c r="E164">
        <v>0</v>
      </c>
      <c r="F164">
        <f>(C164*('Invoer energieverbruik'!$C$23+'Energiebelasting en transport'!$D$13)+D164*('Invoer energieverbruik'!$C$27)+E164*'Energiebelasting en transport'!$C$24)*1.21</f>
        <v>0</v>
      </c>
      <c r="G164">
        <f>CT61</f>
        <v>0</v>
      </c>
      <c r="H164" s="89">
        <v>0</v>
      </c>
      <c r="I164" s="89">
        <f t="shared" si="113"/>
        <v>0</v>
      </c>
      <c r="J164" s="280">
        <f t="shared" si="114"/>
        <v>0</v>
      </c>
    </row>
    <row r="165" spans="1:11" x14ac:dyDescent="0.2">
      <c r="A165" s="118" t="s">
        <v>849</v>
      </c>
      <c r="B165" s="118">
        <f>DI61</f>
        <v>0</v>
      </c>
      <c r="C165">
        <f>IF('Verwerken Verwarming en Tapwate'!J3=1,0,$B$151-CX151)</f>
        <v>0</v>
      </c>
      <c r="D165">
        <f>$B$152-CX152</f>
        <v>0</v>
      </c>
      <c r="E165">
        <v>0</v>
      </c>
      <c r="F165">
        <f>(C165*('Invoer energieverbruik'!$C$23+'Energiebelasting en transport'!$D$13)+D165*('Invoer energieverbruik'!$C$27)+E165*'Energiebelasting en transport'!$C$24)*1.21</f>
        <v>0</v>
      </c>
      <c r="G165">
        <f>DJ61</f>
        <v>0</v>
      </c>
      <c r="H165">
        <v>0</v>
      </c>
      <c r="I165" s="89">
        <f t="shared" si="113"/>
        <v>0</v>
      </c>
      <c r="J165" s="280">
        <f t="shared" si="114"/>
        <v>0</v>
      </c>
    </row>
    <row r="166" spans="1:11" x14ac:dyDescent="0.2">
      <c r="A166" s="118" t="s">
        <v>282</v>
      </c>
      <c r="B166" s="329">
        <f>EA118</f>
        <v>0</v>
      </c>
      <c r="C166">
        <f>IF('Verwerken Verwarming en Tapwate'!J3=1,0,$B$151-DO151)</f>
        <v>0</v>
      </c>
      <c r="D166">
        <f>$B$152-DO152</f>
        <v>0</v>
      </c>
      <c r="E166">
        <f>$B$153-DO153</f>
        <v>0</v>
      </c>
      <c r="F166">
        <f>(C166*('Invoer energieverbruik'!$C$23+'Energiebelasting en transport'!$D$13)+D166*('Invoer energieverbruik'!$C$27)+E166*'Energiebelasting en transport'!$C$24)*1.21</f>
        <v>0</v>
      </c>
      <c r="G166" s="219">
        <f>EB118</f>
        <v>0</v>
      </c>
      <c r="H166" s="219">
        <v>0</v>
      </c>
      <c r="I166" s="89">
        <f t="shared" si="113"/>
        <v>0</v>
      </c>
      <c r="J166" s="280">
        <f t="shared" si="114"/>
        <v>0</v>
      </c>
    </row>
    <row r="167" spans="1:11" x14ac:dyDescent="0.2">
      <c r="A167" s="155" t="s">
        <v>625</v>
      </c>
      <c r="B167" s="155">
        <f>'Verwerken Verwarming en Tapwate'!AJ3</f>
        <v>0</v>
      </c>
      <c r="C167">
        <f>IF('Verwerken Verwarming en Tapwate'!J3=1,0,$B$151-EG151)</f>
        <v>0</v>
      </c>
      <c r="D167">
        <f>$B$152-EG152</f>
        <v>0</v>
      </c>
      <c r="E167">
        <v>0</v>
      </c>
      <c r="F167">
        <f>(C167*('Invoer energieverbruik'!$C$23+'Energiebelasting en transport'!$D$13)+D167*('Invoer energieverbruik'!$C$27)+E167*'Energiebelasting en transport'!$C$24)*1.21</f>
        <v>0</v>
      </c>
      <c r="G167" s="89">
        <f>EJ3</f>
        <v>0</v>
      </c>
      <c r="H167" s="89">
        <v>0</v>
      </c>
      <c r="I167" s="89">
        <f t="shared" si="113"/>
        <v>0</v>
      </c>
      <c r="J167" s="280">
        <f t="shared" si="114"/>
        <v>0</v>
      </c>
    </row>
    <row r="168" spans="1:11" x14ac:dyDescent="0.2">
      <c r="A168" s="155" t="s">
        <v>850</v>
      </c>
      <c r="B168" s="155">
        <f>'Invoer verwarming en tapwater'!J13</f>
        <v>0</v>
      </c>
      <c r="C168">
        <f>IF('Verwerken Verwarming en Tapwate'!J3=1,0,$B$151-ER151+B151*'Verwerken Verwarming en Tapwate'!AJ12)</f>
        <v>0</v>
      </c>
      <c r="D168">
        <f>$B$152-ER152+'Verwerken Verwarming en Tapwate'!AJ12*ER152</f>
        <v>0</v>
      </c>
      <c r="E168">
        <v>0</v>
      </c>
      <c r="F168">
        <f>(C168*('Invoer energieverbruik'!$C$23+'Energiebelasting en transport'!$D$13)+D168*('Invoer energieverbruik'!$C$27)+E168*'Energiebelasting en transport'!$C$24)*1.21</f>
        <v>0</v>
      </c>
      <c r="G168" s="89">
        <f>EU3+EU4</f>
        <v>0</v>
      </c>
      <c r="H168" s="89">
        <v>0</v>
      </c>
      <c r="I168" s="89">
        <f t="shared" si="113"/>
        <v>0</v>
      </c>
      <c r="J168" s="280">
        <f t="shared" si="114"/>
        <v>0</v>
      </c>
    </row>
    <row r="169" spans="1:11" x14ac:dyDescent="0.2">
      <c r="A169" s="155" t="s">
        <v>851</v>
      </c>
      <c r="B169" s="155">
        <f>'Verwerken ventilatie'!BV20</f>
        <v>0</v>
      </c>
      <c r="C169">
        <f>IF('Verwerken Verwarming en Tapwate'!J3=1,0,$B$151-FC151)</f>
        <v>0</v>
      </c>
      <c r="D169">
        <f>$B$152-FC152</f>
        <v>0</v>
      </c>
      <c r="E169">
        <f>$B$153-FC153</f>
        <v>0</v>
      </c>
      <c r="F169">
        <f>(C169*('Invoer energieverbruik'!$C$23+'Energiebelasting en transport'!$D$13)+D169*('Invoer energieverbruik'!$C$27)+E169*'Energiebelasting en transport'!$C$24)*1.21</f>
        <v>0</v>
      </c>
      <c r="G169" s="89">
        <f>FD28</f>
        <v>0</v>
      </c>
      <c r="H169" s="89">
        <v>0</v>
      </c>
      <c r="I169" s="89">
        <f t="shared" si="113"/>
        <v>0</v>
      </c>
      <c r="J169" s="280">
        <f t="shared" si="114"/>
        <v>0</v>
      </c>
      <c r="K169" s="361" t="s">
        <v>729</v>
      </c>
    </row>
    <row r="170" spans="1:11" x14ac:dyDescent="0.2">
      <c r="A170" s="288" t="s">
        <v>852</v>
      </c>
      <c r="B170" s="288">
        <f>GG33</f>
        <v>0</v>
      </c>
      <c r="C170">
        <v>0</v>
      </c>
      <c r="D170">
        <f>$B$152-FW152</f>
        <v>0</v>
      </c>
      <c r="E170">
        <f>$B$153-FW153-(GG149-GE149)</f>
        <v>0</v>
      </c>
      <c r="F170">
        <f>(C170*('Invoer energieverbruik'!$C$23+'Energiebelasting en transport'!$D$13)+D170*('Invoer energieverbruik'!$C$27)+E170*'Energiebelasting en transport'!$C$24)*1.21</f>
        <v>0</v>
      </c>
      <c r="G170" s="89">
        <f>IF(E170=0,0,GA33)</f>
        <v>0</v>
      </c>
      <c r="H170" s="89">
        <v>0</v>
      </c>
      <c r="I170" s="89">
        <f t="shared" si="113"/>
        <v>0</v>
      </c>
      <c r="J170" s="280">
        <f>IF(F170=0,0,(C170*35.17+D170*1000+E170*9.23)/($B$151*35.17+$B$152*1000+$B$153*9.23))</f>
        <v>0</v>
      </c>
    </row>
    <row r="171" spans="1:11" x14ac:dyDescent="0.2">
      <c r="A171" s="288" t="s">
        <v>322</v>
      </c>
      <c r="B171" s="288">
        <f>GH33</f>
        <v>0</v>
      </c>
      <c r="C171">
        <v>0</v>
      </c>
      <c r="D171">
        <f>$B$152-FW152</f>
        <v>0</v>
      </c>
      <c r="E171">
        <f>(GG149-GF149)</f>
        <v>0</v>
      </c>
      <c r="F171">
        <f>(C171*('Invoer energieverbruik'!$C$23+'Energiebelasting en transport'!$D$13)+D171*('Invoer energieverbruik'!$C$27)+E171*'Energiebelasting en transport'!$C$24)*1.21</f>
        <v>0</v>
      </c>
      <c r="G171" s="89">
        <f>IF(E171=0,0,GB33)</f>
        <v>0</v>
      </c>
      <c r="H171" s="89">
        <v>0</v>
      </c>
      <c r="I171" s="89">
        <f t="shared" si="113"/>
        <v>0</v>
      </c>
      <c r="J171" s="280">
        <f t="shared" si="114"/>
        <v>0</v>
      </c>
    </row>
    <row r="172" spans="1:11" x14ac:dyDescent="0.2">
      <c r="A172" s="288" t="s">
        <v>649</v>
      </c>
      <c r="B172" s="288">
        <f>GI33</f>
        <v>0</v>
      </c>
      <c r="C172">
        <v>0</v>
      </c>
      <c r="D172">
        <v>0</v>
      </c>
      <c r="E172">
        <f>12*'Verwerken verlichting'!BP29/9.23</f>
        <v>0</v>
      </c>
      <c r="F172">
        <f>(C172*('Invoer energieverbruik'!$C$23+'Energiebelasting en transport'!$D$13)+D172*('Invoer energieverbruik'!$C$27)+E172*'Energiebelasting en transport'!$C$24)*1.21</f>
        <v>0</v>
      </c>
      <c r="G172" s="89">
        <f>IF(E172=0,0,GC33)</f>
        <v>0</v>
      </c>
      <c r="H172" s="89">
        <v>0</v>
      </c>
      <c r="I172" s="89">
        <f t="shared" si="113"/>
        <v>0</v>
      </c>
      <c r="J172" s="280">
        <f>IF(F172=0,0,(C172*35.17+D172*1000+E172*9.23)/($B$151*35.17+$B$152*1000+$B$153*9.23))</f>
        <v>0</v>
      </c>
    </row>
    <row r="173" spans="1:11" ht="25.5" x14ac:dyDescent="0.2">
      <c r="A173" s="288" t="s">
        <v>907</v>
      </c>
      <c r="B173" s="288">
        <f>GG33</f>
        <v>0</v>
      </c>
      <c r="C173">
        <v>0</v>
      </c>
      <c r="D173">
        <v>0</v>
      </c>
      <c r="E173">
        <f>E170</f>
        <v>0</v>
      </c>
      <c r="F173">
        <f>F170</f>
        <v>0</v>
      </c>
      <c r="G173" s="89">
        <f>GJ33</f>
        <v>0</v>
      </c>
      <c r="H173" s="89">
        <v>0</v>
      </c>
      <c r="I173" s="89">
        <f t="shared" si="113"/>
        <v>0</v>
      </c>
      <c r="J173" s="280">
        <f t="shared" si="114"/>
        <v>0</v>
      </c>
    </row>
    <row r="174" spans="1:11" x14ac:dyDescent="0.2">
      <c r="A174" s="155" t="s">
        <v>855</v>
      </c>
      <c r="B174" s="155">
        <v>0</v>
      </c>
      <c r="C174" s="89">
        <f>IF('Verwerken Verwarming en Tapwate'!J3=1,0,B151*'Verwerken Verwarming en Tapwate'!AH19)</f>
        <v>0</v>
      </c>
      <c r="D174" s="89">
        <f>B152*'Verwerken Verwarming en Tapwate'!AH19</f>
        <v>0</v>
      </c>
      <c r="E174" s="89">
        <v>0</v>
      </c>
      <c r="F174">
        <f>(C174*('Invoer energieverbruik'!$C$23+'Energiebelasting en transport'!$D$13)+D174*('Invoer energieverbruik'!$C$27)+E174*'Energiebelasting en transport'!$C$24)*1.21</f>
        <v>0</v>
      </c>
      <c r="G174" s="155">
        <f>IF(C174&gt;0,'Kosten kengetallen'!B39,0)</f>
        <v>0</v>
      </c>
      <c r="H174" s="89">
        <v>0</v>
      </c>
      <c r="I174" s="89">
        <f t="shared" si="113"/>
        <v>0</v>
      </c>
      <c r="J174" s="280">
        <f t="shared" si="114"/>
        <v>0</v>
      </c>
    </row>
    <row r="175" spans="1:11" x14ac:dyDescent="0.2">
      <c r="A175" s="155" t="s">
        <v>908</v>
      </c>
      <c r="B175" s="155"/>
      <c r="C175" s="89">
        <f>IF('Verwerken Verwarming en Tapwate'!J3=1,0,B151-GO151+'Verwerken Verwarming en Tapwate'!AH19*GO151+'Verwerken Verwarming en Tapwate'!AJ12*GO151-C166-C173)</f>
        <v>0</v>
      </c>
      <c r="D175" s="89">
        <f>B152-GO152+'Verwerken Verwarming en Tapwate'!AH19*GO152+'Verwerken Verwarming en Tapwate'!AJ12*GO152-D166-D173</f>
        <v>0</v>
      </c>
      <c r="E175" s="89">
        <f>B153-GO153-E166-E173</f>
        <v>0</v>
      </c>
      <c r="F175">
        <f>(C175*('Invoer energieverbruik'!$C$23+'Energiebelasting en transport'!$D$13)+D175*('Invoer energieverbruik'!$C$27)+E175*'Energiebelasting en transport'!$C$24)*1.21</f>
        <v>0</v>
      </c>
      <c r="G175" s="220">
        <f>SUM(G161:G174)-G166-G173</f>
        <v>0</v>
      </c>
      <c r="H175" s="220">
        <v>0</v>
      </c>
      <c r="I175" s="89">
        <f t="shared" si="113"/>
        <v>0</v>
      </c>
      <c r="J175" s="280">
        <f t="shared" si="114"/>
        <v>0</v>
      </c>
    </row>
  </sheetData>
  <mergeCells count="27">
    <mergeCell ref="FV1:GC1"/>
    <mergeCell ref="B143:D143"/>
    <mergeCell ref="E143:G143"/>
    <mergeCell ref="AD143:AF143"/>
    <mergeCell ref="AG143:AI143"/>
    <mergeCell ref="AV143:AX143"/>
    <mergeCell ref="AY143:BA143"/>
    <mergeCell ref="BO143:BQ143"/>
    <mergeCell ref="CJ143:CL143"/>
    <mergeCell ref="CX143:CZ143"/>
    <mergeCell ref="EJ143:EL143"/>
    <mergeCell ref="ER143:ET143"/>
    <mergeCell ref="EU143:EW143"/>
    <mergeCell ref="FC143:FE143"/>
    <mergeCell ref="FF143:FH143"/>
    <mergeCell ref="FW143:FY143"/>
    <mergeCell ref="HQ143:HS143"/>
    <mergeCell ref="HT143:HV143"/>
    <mergeCell ref="BR143:BT143"/>
    <mergeCell ref="CG143:CI143"/>
    <mergeCell ref="DR143:DT143"/>
    <mergeCell ref="EG143:EI143"/>
    <mergeCell ref="DA143:DC143"/>
    <mergeCell ref="DO143:DQ143"/>
    <mergeCell ref="FZ143:GB143"/>
    <mergeCell ref="GO143:GQ143"/>
    <mergeCell ref="GR143:GT143"/>
  </mergeCells>
  <phoneticPr fontId="53" type="noConversion"/>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175"/>
  <sheetViews>
    <sheetView topLeftCell="A148" workbookViewId="0">
      <selection activeCell="F176" sqref="F176"/>
    </sheetView>
  </sheetViews>
  <sheetFormatPr defaultRowHeight="12.75" x14ac:dyDescent="0.2"/>
  <cols>
    <col min="1" max="1" width="41.5703125" style="89" customWidth="1"/>
    <col min="2" max="2" width="18.28515625" style="89" customWidth="1"/>
    <col min="3" max="3" width="14.140625" style="89" customWidth="1"/>
    <col min="4" max="4" width="9.42578125" style="89" customWidth="1"/>
    <col min="5" max="5" width="14.5703125" style="89" customWidth="1"/>
    <col min="6" max="6" width="13.28515625" style="89" customWidth="1"/>
    <col min="7" max="7" width="10.42578125" style="89" customWidth="1"/>
    <col min="8" max="8" width="14" style="89" customWidth="1"/>
    <col min="9" max="9" width="11.140625" style="89" customWidth="1"/>
    <col min="10" max="10" width="12.85546875" style="89" customWidth="1"/>
    <col min="11" max="11" width="13.5703125" style="89" customWidth="1"/>
    <col min="12" max="12" width="9.140625" style="89"/>
    <col min="13" max="13" width="19.7109375" style="89" customWidth="1"/>
    <col min="14" max="14" width="9.140625" style="89"/>
    <col min="15" max="15" width="10.7109375" style="89" customWidth="1"/>
    <col min="16" max="16" width="9.140625" style="89"/>
    <col min="17" max="17" width="11.85546875" style="89" customWidth="1"/>
    <col min="18" max="18" width="9.140625" style="89"/>
    <col min="19" max="19" width="11.85546875" style="89" customWidth="1"/>
    <col min="20" max="20" width="9.140625" style="89"/>
    <col min="21" max="21" width="10.5703125" style="89" customWidth="1"/>
    <col min="22" max="23" width="9.140625" style="89"/>
    <col min="24" max="24" width="10.85546875" style="89" customWidth="1"/>
    <col min="25" max="25" width="9.140625" style="89"/>
    <col min="26" max="26" width="11.140625" style="89" customWidth="1"/>
    <col min="27" max="27" width="9.140625" style="244"/>
    <col min="28" max="28" width="9.140625" style="89"/>
    <col min="29" max="29" width="10.42578125" style="89" customWidth="1"/>
    <col min="30" max="30" width="9.140625" style="89"/>
    <col min="31" max="31" width="11.7109375" style="89" customWidth="1"/>
    <col min="32" max="32" width="9.140625" style="89"/>
    <col min="33" max="33" width="11.5703125" style="89" customWidth="1"/>
    <col min="34" max="34" width="9.140625" style="89"/>
    <col min="35" max="35" width="11" style="89" customWidth="1"/>
    <col min="36" max="36" width="9.140625" style="89"/>
    <col min="37" max="37" width="10.42578125" style="89" customWidth="1"/>
    <col min="38" max="38" width="9.140625" style="89"/>
    <col min="39" max="39" width="10.5703125" style="89" customWidth="1"/>
    <col min="40" max="40" width="10.28515625" style="89" customWidth="1"/>
    <col min="41" max="44" width="10.85546875" style="89" customWidth="1"/>
    <col min="45" max="45" width="10.85546875" style="244" customWidth="1"/>
    <col min="46" max="63" width="10.85546875" style="89" customWidth="1"/>
    <col min="64" max="64" width="10.85546875" style="244" customWidth="1"/>
    <col min="65" max="81" width="10.85546875" style="89" customWidth="1"/>
    <col min="82" max="82" width="10.85546875" style="244" customWidth="1"/>
    <col min="83" max="99" width="10.85546875" style="89" customWidth="1"/>
    <col min="100" max="100" width="10.85546875" style="244" customWidth="1"/>
    <col min="101" max="101" width="11" style="89" customWidth="1"/>
    <col min="102" max="102" width="10.7109375" style="89" customWidth="1"/>
    <col min="103" max="103" width="9.140625" style="89"/>
    <col min="104" max="104" width="11.28515625" style="89" customWidth="1"/>
    <col min="105" max="105" width="9.140625" style="89"/>
    <col min="106" max="106" width="10.5703125" style="89" customWidth="1"/>
    <col min="107" max="107" width="9.140625" style="89"/>
    <col min="108" max="108" width="11.28515625" style="89" customWidth="1"/>
    <col min="109" max="116" width="9.140625" style="89"/>
    <col min="117" max="117" width="9.140625" style="244"/>
    <col min="118" max="134" width="9.140625" style="89"/>
    <col min="135" max="135" width="9.140625" style="256"/>
    <col min="136" max="136" width="13.85546875" style="89" customWidth="1"/>
    <col min="137" max="145" width="9.140625" style="89"/>
    <col min="146" max="146" width="9.140625" style="256"/>
    <col min="147" max="156" width="9.140625" style="89"/>
    <col min="157" max="157" width="9.140625" style="256"/>
    <col min="158" max="176" width="9.140625" style="89"/>
    <col min="177" max="177" width="9.140625" style="256"/>
    <col min="178" max="178" width="13.5703125" style="89" customWidth="1"/>
    <col min="179" max="187" width="9.140625" style="89"/>
    <col min="188" max="188" width="16" style="89" customWidth="1"/>
    <col min="189" max="193" width="9.140625" style="89"/>
    <col min="194" max="194" width="9.140625" style="244"/>
    <col min="195" max="16384" width="9.140625" style="89"/>
  </cols>
  <sheetData>
    <row r="1" spans="1:213" ht="26.25" customHeight="1" x14ac:dyDescent="0.2">
      <c r="A1" s="127" t="s">
        <v>896</v>
      </c>
      <c r="AC1" s="127" t="s">
        <v>911</v>
      </c>
      <c r="AU1" s="127" t="s">
        <v>887</v>
      </c>
      <c r="BN1" s="127" t="s">
        <v>888</v>
      </c>
      <c r="CF1" s="127" t="s">
        <v>889</v>
      </c>
      <c r="CW1" s="127" t="s">
        <v>890</v>
      </c>
      <c r="DN1" s="127" t="s">
        <v>282</v>
      </c>
      <c r="EF1" s="127" t="s">
        <v>891</v>
      </c>
      <c r="EQ1" s="155" t="s">
        <v>92</v>
      </c>
      <c r="FV1" s="640" t="s">
        <v>894</v>
      </c>
      <c r="FW1" s="640"/>
      <c r="FX1" s="640"/>
      <c r="FY1" s="640"/>
      <c r="FZ1" s="640"/>
      <c r="GA1" s="640"/>
      <c r="GB1" s="640"/>
      <c r="GC1" s="640"/>
      <c r="GM1" s="127" t="s">
        <v>856</v>
      </c>
    </row>
    <row r="2" spans="1:213" x14ac:dyDescent="0.2">
      <c r="B2" s="155" t="s">
        <v>573</v>
      </c>
      <c r="C2" s="155" t="s">
        <v>560</v>
      </c>
      <c r="D2" s="128"/>
      <c r="E2" s="118"/>
      <c r="F2" s="118"/>
      <c r="G2" s="128"/>
      <c r="H2" s="128"/>
      <c r="I2" s="128"/>
      <c r="J2" s="129"/>
      <c r="EG2" s="155" t="s">
        <v>573</v>
      </c>
      <c r="EH2" s="155" t="s">
        <v>560</v>
      </c>
      <c r="EJ2" s="155" t="s">
        <v>47</v>
      </c>
      <c r="EK2" s="155" t="s">
        <v>614</v>
      </c>
      <c r="ER2" s="155" t="s">
        <v>573</v>
      </c>
      <c r="ES2" s="155" t="s">
        <v>560</v>
      </c>
      <c r="EU2" s="155" t="s">
        <v>47</v>
      </c>
      <c r="EV2" s="155" t="s">
        <v>614</v>
      </c>
      <c r="GN2" s="155" t="s">
        <v>573</v>
      </c>
      <c r="GO2" s="155" t="s">
        <v>560</v>
      </c>
    </row>
    <row r="3" spans="1:213" x14ac:dyDescent="0.2">
      <c r="A3" s="155" t="s">
        <v>68</v>
      </c>
      <c r="B3" s="89">
        <f>'Verwerken Verwarming en Tapwate'!J4</f>
        <v>0</v>
      </c>
      <c r="C3" s="89">
        <f>'Verwerken Verwarming en Tapwate'!O4</f>
        <v>1</v>
      </c>
      <c r="EG3" s="89">
        <f>'Verwerken Verwarming en Tapwate'!AB4</f>
        <v>0</v>
      </c>
      <c r="EH3" s="89">
        <f>C3</f>
        <v>1</v>
      </c>
      <c r="EJ3" s="89">
        <f>'Verwerken Verwarming en Tapwate'!AK4</f>
        <v>0</v>
      </c>
      <c r="EK3" s="89">
        <f>IF(OR('Verwerken Verwarming en Tapwate'!B4=2,'Verwerken Verwarming en Tapwate'!E4=2),IF('Verwerken Verwarming en Tapwate'!AK4&lt;'Verwerken Verwarming en Tapwate'!AP4+1,'Verwerken Verwarming en Tapwate'!AK4*0.6,'Verwerken Verwarming en Tapwate'!AP4*0.6),0)</f>
        <v>0</v>
      </c>
      <c r="ER3" s="89">
        <f>B3</f>
        <v>0</v>
      </c>
      <c r="ES3" s="89">
        <f>'Verwerken Verwarming en Tapwate'!AF4</f>
        <v>1</v>
      </c>
      <c r="ET3" s="155" t="s">
        <v>623</v>
      </c>
      <c r="EU3" s="89">
        <f>'Verwerken Verwarming en Tapwate'!AR4</f>
        <v>0</v>
      </c>
      <c r="EV3" s="89">
        <f>0.6*EU3</f>
        <v>0</v>
      </c>
      <c r="GN3" s="89">
        <f>EG3</f>
        <v>0</v>
      </c>
      <c r="GO3" s="89">
        <f>ES3</f>
        <v>1</v>
      </c>
    </row>
    <row r="4" spans="1:213" x14ac:dyDescent="0.2">
      <c r="A4" s="128"/>
      <c r="ET4" s="155" t="s">
        <v>892</v>
      </c>
      <c r="EU4" s="89">
        <f>'Verwerken Verwarming en Tapwate'!AS4</f>
        <v>0</v>
      </c>
      <c r="EV4" s="89">
        <v>0</v>
      </c>
    </row>
    <row r="5" spans="1:213" x14ac:dyDescent="0.2">
      <c r="A5" s="128"/>
    </row>
    <row r="6" spans="1:213" x14ac:dyDescent="0.2">
      <c r="A6" s="128"/>
      <c r="B6" s="170"/>
      <c r="C6" s="170"/>
      <c r="D6" s="170"/>
      <c r="E6" s="170"/>
      <c r="F6" s="170"/>
      <c r="G6" s="170"/>
      <c r="H6" s="8"/>
      <c r="I6" s="235"/>
      <c r="J6" s="236"/>
    </row>
    <row r="7" spans="1:213" x14ac:dyDescent="0.2">
      <c r="A7" s="155" t="s">
        <v>725</v>
      </c>
      <c r="B7" s="232"/>
      <c r="C7" s="233"/>
      <c r="D7" s="232"/>
      <c r="E7" s="232"/>
      <c r="F7" s="233"/>
      <c r="G7" s="232"/>
      <c r="H7" s="234"/>
      <c r="I7" s="235"/>
      <c r="J7" s="236"/>
      <c r="GA7" s="155" t="s">
        <v>47</v>
      </c>
      <c r="GD7" s="155" t="s">
        <v>614</v>
      </c>
      <c r="GG7" s="155" t="s">
        <v>912</v>
      </c>
      <c r="GJ7" s="89" t="s">
        <v>727</v>
      </c>
    </row>
    <row r="8" spans="1:213" x14ac:dyDescent="0.2">
      <c r="A8" s="155" t="s">
        <v>68</v>
      </c>
      <c r="GA8" s="286" t="s">
        <v>648</v>
      </c>
      <c r="GB8" s="286" t="s">
        <v>322</v>
      </c>
      <c r="GC8" s="286" t="s">
        <v>649</v>
      </c>
      <c r="GD8" s="286" t="s">
        <v>648</v>
      </c>
      <c r="GE8" s="286" t="s">
        <v>322</v>
      </c>
      <c r="GF8" s="286" t="s">
        <v>649</v>
      </c>
      <c r="GG8" s="286" t="s">
        <v>653</v>
      </c>
      <c r="GH8" s="286" t="s">
        <v>655</v>
      </c>
      <c r="GI8" s="286" t="s">
        <v>765</v>
      </c>
      <c r="GJ8" s="339" t="s">
        <v>653</v>
      </c>
    </row>
    <row r="9" spans="1:213" x14ac:dyDescent="0.2">
      <c r="FZ9" s="89">
        <f>IF('Verwerken verlichting'!B5=3,1,0)</f>
        <v>0</v>
      </c>
      <c r="GA9" s="89">
        <f>$FZ9*'Verwerken verlichting'!BX5</f>
        <v>0</v>
      </c>
      <c r="GB9" s="89">
        <f>$FZ9*'Verwerken verlichting'!BY5</f>
        <v>0</v>
      </c>
      <c r="GC9" s="89">
        <f>$FZ9*'Verwerken verlichting'!BZ5</f>
        <v>0</v>
      </c>
      <c r="GD9" s="89">
        <f>$FZ9*'Verwerken verlichting'!CA5</f>
        <v>0</v>
      </c>
      <c r="GE9" s="89">
        <f>$FZ9*'Verwerken verlichting'!CB5</f>
        <v>0</v>
      </c>
      <c r="GF9" s="89">
        <f>$FZ9*'Verwerken verlichting'!CC5</f>
        <v>0</v>
      </c>
      <c r="GG9" s="89">
        <f>FZ9*'Invoer verlichting'!N4</f>
        <v>0</v>
      </c>
      <c r="GH9" s="89">
        <f>FZ9*'Verwerken verlichting'!AH5</f>
        <v>0</v>
      </c>
      <c r="GI9" s="89">
        <f>FZ9*'Verwerken verlichting'!AG5</f>
        <v>0</v>
      </c>
      <c r="GJ9" s="89">
        <f>FZ9*'Verwerken verlichting'!CE5</f>
        <v>0</v>
      </c>
    </row>
    <row r="10" spans="1:213" x14ac:dyDescent="0.2">
      <c r="A10" s="127" t="s">
        <v>893</v>
      </c>
      <c r="FB10" s="127" t="s">
        <v>893</v>
      </c>
      <c r="FZ10" s="89">
        <f>IF('Verwerken verlichting'!B6=3,1,0)</f>
        <v>0</v>
      </c>
      <c r="GA10" s="89">
        <f>$FZ10*'Verwerken verlichting'!BX6</f>
        <v>0</v>
      </c>
      <c r="GB10" s="89">
        <f>$FZ10*'Verwerken verlichting'!BY6</f>
        <v>0</v>
      </c>
      <c r="GC10" s="89">
        <f>$FZ10*'Verwerken verlichting'!BZ6</f>
        <v>0</v>
      </c>
      <c r="GD10" s="89">
        <f>$FZ10*'Verwerken verlichting'!CA6</f>
        <v>0</v>
      </c>
      <c r="GE10" s="89">
        <f>$FZ10*'Verwerken verlichting'!CB6</f>
        <v>0</v>
      </c>
      <c r="GF10" s="89">
        <f>$FZ10*'Verwerken verlichting'!CC6</f>
        <v>0</v>
      </c>
      <c r="GG10" s="89">
        <f>FZ10*'Invoer verlichting'!N5</f>
        <v>0</v>
      </c>
      <c r="GH10" s="89">
        <f>FZ10*'Verwerken verlichting'!AH6</f>
        <v>0</v>
      </c>
      <c r="GI10" s="89">
        <f>FZ10*'Verwerken verlichting'!AG6</f>
        <v>0</v>
      </c>
      <c r="GJ10" s="89">
        <f>FZ10*'Verwerken verlichting'!CE6</f>
        <v>0</v>
      </c>
    </row>
    <row r="11" spans="1:213" x14ac:dyDescent="0.2">
      <c r="B11" s="157" t="s">
        <v>472</v>
      </c>
      <c r="C11" s="185" t="s">
        <v>502</v>
      </c>
      <c r="D11" s="185" t="s">
        <v>503</v>
      </c>
      <c r="E11" s="185" t="s">
        <v>504</v>
      </c>
      <c r="F11" s="125" t="s">
        <v>450</v>
      </c>
      <c r="G11" s="125"/>
      <c r="H11" s="125" t="s">
        <v>452</v>
      </c>
      <c r="I11" s="125" t="s">
        <v>453</v>
      </c>
      <c r="J11" s="125" t="s">
        <v>398</v>
      </c>
      <c r="K11" s="125" t="s">
        <v>399</v>
      </c>
      <c r="L11" s="125" t="s">
        <v>400</v>
      </c>
      <c r="M11" s="125" t="s">
        <v>401</v>
      </c>
      <c r="N11" s="125" t="s">
        <v>402</v>
      </c>
      <c r="O11" s="125" t="s">
        <v>454</v>
      </c>
      <c r="P11" s="125" t="s">
        <v>455</v>
      </c>
      <c r="Q11" s="125" t="s">
        <v>456</v>
      </c>
      <c r="R11" s="125" t="s">
        <v>457</v>
      </c>
      <c r="S11" s="125" t="s">
        <v>458</v>
      </c>
      <c r="FC11" s="157" t="s">
        <v>472</v>
      </c>
      <c r="FD11" s="185" t="s">
        <v>502</v>
      </c>
      <c r="FE11" s="185" t="s">
        <v>503</v>
      </c>
      <c r="FF11" s="185" t="s">
        <v>504</v>
      </c>
      <c r="FG11" s="125" t="s">
        <v>450</v>
      </c>
      <c r="FH11" s="125"/>
      <c r="FI11" s="125" t="s">
        <v>452</v>
      </c>
      <c r="FJ11" s="125" t="s">
        <v>453</v>
      </c>
      <c r="FK11" s="125" t="s">
        <v>398</v>
      </c>
      <c r="FL11" s="125" t="s">
        <v>399</v>
      </c>
      <c r="FM11" s="125" t="s">
        <v>400</v>
      </c>
      <c r="FN11" s="125" t="s">
        <v>401</v>
      </c>
      <c r="FO11" s="125" t="s">
        <v>402</v>
      </c>
      <c r="FP11" s="125" t="s">
        <v>454</v>
      </c>
      <c r="FQ11" s="125" t="s">
        <v>455</v>
      </c>
      <c r="FR11" s="125" t="s">
        <v>456</v>
      </c>
      <c r="FS11" s="125" t="s">
        <v>457</v>
      </c>
      <c r="FT11" s="125" t="s">
        <v>458</v>
      </c>
      <c r="FZ11" s="89">
        <f>IF('Verwerken verlichting'!B7=3,1,0)</f>
        <v>0</v>
      </c>
      <c r="GA11" s="89">
        <f>$FZ11*'Verwerken verlichting'!BX7</f>
        <v>0</v>
      </c>
      <c r="GB11" s="89">
        <f>$FZ11*'Verwerken verlichting'!BY7</f>
        <v>0</v>
      </c>
      <c r="GC11" s="89">
        <f>$FZ11*'Verwerken verlichting'!BZ7</f>
        <v>0</v>
      </c>
      <c r="GD11" s="89">
        <f>$FZ11*'Verwerken verlichting'!CA7</f>
        <v>0</v>
      </c>
      <c r="GE11" s="89">
        <f>$FZ11*'Verwerken verlichting'!CB7</f>
        <v>0</v>
      </c>
      <c r="GF11" s="89">
        <f>$FZ11*'Verwerken verlichting'!CC7</f>
        <v>0</v>
      </c>
      <c r="GG11" s="89">
        <f>FZ11*'Invoer verlichting'!N6</f>
        <v>0</v>
      </c>
      <c r="GH11" s="89">
        <f>FZ11*'Verwerken verlichting'!AH7</f>
        <v>0</v>
      </c>
      <c r="GI11" s="89">
        <f>FZ11*'Verwerken verlichting'!AG7</f>
        <v>0</v>
      </c>
      <c r="GJ11" s="89">
        <f>FZ11*'Verwerken verlichting'!CE7</f>
        <v>0</v>
      </c>
      <c r="GN11" s="157" t="s">
        <v>472</v>
      </c>
      <c r="GO11" s="185" t="s">
        <v>502</v>
      </c>
      <c r="GP11" s="185" t="s">
        <v>503</v>
      </c>
      <c r="GQ11" s="185" t="s">
        <v>504</v>
      </c>
      <c r="GR11" s="125" t="s">
        <v>450</v>
      </c>
      <c r="GS11" s="125"/>
      <c r="GT11" s="125" t="s">
        <v>452</v>
      </c>
      <c r="GU11" s="125" t="s">
        <v>453</v>
      </c>
      <c r="GV11" s="125" t="s">
        <v>398</v>
      </c>
      <c r="GW11" s="125" t="s">
        <v>399</v>
      </c>
      <c r="GX11" s="125" t="s">
        <v>400</v>
      </c>
      <c r="GY11" s="125" t="s">
        <v>401</v>
      </c>
      <c r="GZ11" s="125" t="s">
        <v>402</v>
      </c>
      <c r="HA11" s="125" t="s">
        <v>454</v>
      </c>
      <c r="HB11" s="125" t="s">
        <v>455</v>
      </c>
      <c r="HC11" s="125" t="s">
        <v>456</v>
      </c>
      <c r="HD11" s="125" t="s">
        <v>457</v>
      </c>
      <c r="HE11" s="125" t="s">
        <v>458</v>
      </c>
    </row>
    <row r="12" spans="1:213" x14ac:dyDescent="0.2">
      <c r="B12" s="7">
        <f>'Verwerken ventilatie'!P20</f>
        <v>0</v>
      </c>
      <c r="C12" s="7">
        <f>'Verwerken ventilatie'!E26*'Fitten energieverbruik'!C20/'Fitten energieverbruik'!B20</f>
        <v>0</v>
      </c>
      <c r="D12" s="7">
        <f>'Verwerken ventilatie'!D43</f>
        <v>0</v>
      </c>
      <c r="E12" s="7">
        <f>B12+C12+D12</f>
        <v>0</v>
      </c>
      <c r="F12" s="89">
        <v>19</v>
      </c>
      <c r="H12" s="89">
        <f>$E$12*($F$12-Klimaatdata!B7)*2.63</f>
        <v>0</v>
      </c>
      <c r="I12" s="89">
        <f>$E$12*($F$12-Klimaatdata!B8)*2.63</f>
        <v>0</v>
      </c>
      <c r="J12" s="89">
        <f>$E$12*($F$12-Klimaatdata!B9)*2.63</f>
        <v>0</v>
      </c>
      <c r="K12" s="89">
        <f>$E$12*($F$12-Klimaatdata!B10)*2.63</f>
        <v>0</v>
      </c>
      <c r="L12" s="89">
        <f>$E$12*($F$12-Klimaatdata!B11)*2.63</f>
        <v>0</v>
      </c>
      <c r="M12" s="89">
        <f>$E$12*($F$12-Klimaatdata!B12)*2.63</f>
        <v>0</v>
      </c>
      <c r="N12" s="89">
        <f>$E$12*($F$12-Klimaatdata!B13)*2.63</f>
        <v>0</v>
      </c>
      <c r="O12" s="89">
        <f>$E$12*($F$12-Klimaatdata!B14)*2.63</f>
        <v>0</v>
      </c>
      <c r="P12" s="89">
        <f>$E$12*($F$12-Klimaatdata!B15)*2.63</f>
        <v>0</v>
      </c>
      <c r="Q12" s="89">
        <f>$E$12*($F$12-Klimaatdata!B16)*2.63</f>
        <v>0</v>
      </c>
      <c r="R12" s="89">
        <f>$E$12*($F$12-Klimaatdata!B17)*2.63</f>
        <v>0</v>
      </c>
      <c r="S12" s="89">
        <f>$E$12*($F$12-Klimaatdata!B18)*2.63</f>
        <v>0</v>
      </c>
      <c r="FC12" s="7">
        <f>IF('Verwerken ventilatie'!AY20=0,B12,'Verwerken ventilatie'!AY20)</f>
        <v>0</v>
      </c>
      <c r="FD12" s="7">
        <f>IF('Verwerken ventilatie'!AW20=0,C12,'Verwerken ventilatie'!AN25*'Fitten energieverbruik'!C20/'Fitten energieverbruik'!B20)</f>
        <v>0</v>
      </c>
      <c r="FE12" s="7">
        <f>IF('Verwerken ventilatie'!AY20=0,D12,'Verwerken ventilatie'!AM43)</f>
        <v>0</v>
      </c>
      <c r="FF12" s="7">
        <f>FC12+FD12+FE12</f>
        <v>0</v>
      </c>
      <c r="FG12" s="89">
        <v>19</v>
      </c>
      <c r="FI12" s="89">
        <f>$FF$12*($FG$12-Klimaatdata!B7)*2.63</f>
        <v>0</v>
      </c>
      <c r="FJ12" s="89">
        <f>$FF$12*($FG$12-Klimaatdata!B8)*2.63</f>
        <v>0</v>
      </c>
      <c r="FK12" s="89">
        <f>$FF$12*($FG$12-Klimaatdata!B9)*2.63</f>
        <v>0</v>
      </c>
      <c r="FL12" s="89">
        <f>$FF$12*($FG$12-Klimaatdata!B10)*2.63</f>
        <v>0</v>
      </c>
      <c r="FM12" s="89">
        <f>$FF$12*($FG$12-Klimaatdata!B11)*2.63</f>
        <v>0</v>
      </c>
      <c r="FN12" s="89">
        <f>$FF$12*($FG$12-Klimaatdata!B12)*2.63</f>
        <v>0</v>
      </c>
      <c r="FO12" s="89">
        <f>$FF$12*($FG$12-Klimaatdata!B13)*2.63</f>
        <v>0</v>
      </c>
      <c r="FP12" s="89">
        <f>$FF$12*($FG$12-Klimaatdata!B14)*2.63</f>
        <v>0</v>
      </c>
      <c r="FQ12" s="89">
        <f>$FF$12*($FG$12-Klimaatdata!B15)*2.63</f>
        <v>0</v>
      </c>
      <c r="FR12" s="89">
        <f>$FF$12*($FG$12-Klimaatdata!B16)*2.63</f>
        <v>0</v>
      </c>
      <c r="FS12" s="89">
        <f>$FF$12*($FG$12-Klimaatdata!B17)*2.63</f>
        <v>0</v>
      </c>
      <c r="FT12" s="89">
        <f>$FF$12*($FG$12-Klimaatdata!B18)*2.63</f>
        <v>0</v>
      </c>
      <c r="FZ12" s="89">
        <f>IF('Verwerken verlichting'!B8=3,1,0)</f>
        <v>0</v>
      </c>
      <c r="GA12" s="89">
        <f>$FZ12*'Verwerken verlichting'!BX8</f>
        <v>0</v>
      </c>
      <c r="GB12" s="89">
        <f>$FZ12*'Verwerken verlichting'!BY8</f>
        <v>0</v>
      </c>
      <c r="GC12" s="89">
        <f>$FZ12*'Verwerken verlichting'!BZ8</f>
        <v>0</v>
      </c>
      <c r="GD12" s="89">
        <f>$FZ12*'Verwerken verlichting'!CA8</f>
        <v>0</v>
      </c>
      <c r="GE12" s="89">
        <f>$FZ12*'Verwerken verlichting'!CB8</f>
        <v>0</v>
      </c>
      <c r="GF12" s="89">
        <f>$FZ12*'Verwerken verlichting'!CC8</f>
        <v>0</v>
      </c>
      <c r="GG12" s="89">
        <f>FZ12*'Invoer verlichting'!N7</f>
        <v>0</v>
      </c>
      <c r="GH12" s="89">
        <f>FZ12*'Verwerken verlichting'!AH8</f>
        <v>0</v>
      </c>
      <c r="GI12" s="89">
        <f>FZ12*'Verwerken verlichting'!AG8</f>
        <v>0</v>
      </c>
      <c r="GJ12" s="89">
        <f>FZ12*'Verwerken verlichting'!CE8</f>
        <v>0</v>
      </c>
      <c r="GN12" s="89">
        <f>FC12</f>
        <v>0</v>
      </c>
      <c r="GO12" s="89">
        <f t="shared" ref="GO12:HE12" si="0">FD12</f>
        <v>0</v>
      </c>
      <c r="GP12" s="89">
        <f t="shared" si="0"/>
        <v>0</v>
      </c>
      <c r="GQ12" s="89">
        <f t="shared" si="0"/>
        <v>0</v>
      </c>
      <c r="GR12" s="89">
        <f t="shared" si="0"/>
        <v>19</v>
      </c>
      <c r="GT12" s="89">
        <f t="shared" si="0"/>
        <v>0</v>
      </c>
      <c r="GU12" s="89">
        <f t="shared" si="0"/>
        <v>0</v>
      </c>
      <c r="GV12" s="89">
        <f t="shared" si="0"/>
        <v>0</v>
      </c>
      <c r="GW12" s="89">
        <f t="shared" si="0"/>
        <v>0</v>
      </c>
      <c r="GX12" s="89">
        <f t="shared" si="0"/>
        <v>0</v>
      </c>
      <c r="GY12" s="89">
        <f t="shared" si="0"/>
        <v>0</v>
      </c>
      <c r="GZ12" s="89">
        <f t="shared" si="0"/>
        <v>0</v>
      </c>
      <c r="HA12" s="89">
        <f t="shared" si="0"/>
        <v>0</v>
      </c>
      <c r="HB12" s="89">
        <f t="shared" si="0"/>
        <v>0</v>
      </c>
      <c r="HC12" s="89">
        <f t="shared" si="0"/>
        <v>0</v>
      </c>
      <c r="HD12" s="89">
        <f t="shared" si="0"/>
        <v>0</v>
      </c>
      <c r="HE12" s="89">
        <f t="shared" si="0"/>
        <v>0</v>
      </c>
    </row>
    <row r="13" spans="1:213" x14ac:dyDescent="0.2">
      <c r="A13" s="131"/>
      <c r="FZ13" s="89">
        <f>IF('Verwerken verlichting'!B9=3,1,0)</f>
        <v>0</v>
      </c>
      <c r="GA13" s="89">
        <f>$FZ13*'Verwerken verlichting'!BX9</f>
        <v>0</v>
      </c>
      <c r="GB13" s="89">
        <f>$FZ13*'Verwerken verlichting'!BY9</f>
        <v>0</v>
      </c>
      <c r="GC13" s="89">
        <f>$FZ13*'Verwerken verlichting'!BZ9</f>
        <v>0</v>
      </c>
      <c r="GD13" s="89">
        <f>$FZ13*'Verwerken verlichting'!CA9</f>
        <v>0</v>
      </c>
      <c r="GE13" s="89">
        <f>$FZ13*'Verwerken verlichting'!CB9</f>
        <v>0</v>
      </c>
      <c r="GF13" s="89">
        <f>$FZ13*'Verwerken verlichting'!CC9</f>
        <v>0</v>
      </c>
      <c r="GG13" s="89">
        <f>FZ13*'Invoer verlichting'!N8</f>
        <v>0</v>
      </c>
      <c r="GH13" s="89">
        <f>FZ13*'Verwerken verlichting'!AH9</f>
        <v>0</v>
      </c>
      <c r="GI13" s="89">
        <f>FZ13*'Verwerken verlichting'!AG9</f>
        <v>0</v>
      </c>
      <c r="GJ13" s="89">
        <f>FZ13*'Verwerken verlichting'!CE9</f>
        <v>0</v>
      </c>
    </row>
    <row r="14" spans="1:213" x14ac:dyDescent="0.2">
      <c r="A14" s="131"/>
      <c r="FZ14" s="89">
        <f>IF('Verwerken verlichting'!B10=3,1,0)</f>
        <v>0</v>
      </c>
      <c r="GA14" s="89">
        <f>$FZ14*'Verwerken verlichting'!BX10</f>
        <v>0</v>
      </c>
      <c r="GB14" s="89">
        <f>$FZ14*'Verwerken verlichting'!BY10</f>
        <v>0</v>
      </c>
      <c r="GC14" s="89">
        <f>$FZ14*'Verwerken verlichting'!BZ10</f>
        <v>0</v>
      </c>
      <c r="GD14" s="89">
        <f>$FZ14*'Verwerken verlichting'!CA10</f>
        <v>0</v>
      </c>
      <c r="GE14" s="89">
        <f>$FZ14*'Verwerken verlichting'!CB10</f>
        <v>0</v>
      </c>
      <c r="GF14" s="89">
        <f>$FZ14*'Verwerken verlichting'!CC10</f>
        <v>0</v>
      </c>
      <c r="GG14" s="89">
        <f>FZ14*'Invoer verlichting'!N9</f>
        <v>0</v>
      </c>
      <c r="GH14" s="89">
        <f>FZ14*'Verwerken verlichting'!AH10</f>
        <v>0</v>
      </c>
      <c r="GI14" s="89">
        <f>FZ14*'Verwerken verlichting'!AG10</f>
        <v>0</v>
      </c>
      <c r="GJ14" s="89">
        <f>FZ14*'Verwerken verlichting'!CE10</f>
        <v>0</v>
      </c>
    </row>
    <row r="15" spans="1:213" x14ac:dyDescent="0.2">
      <c r="A15" s="132" t="s">
        <v>897</v>
      </c>
      <c r="FD15" s="155" t="s">
        <v>47</v>
      </c>
      <c r="FE15" s="155" t="s">
        <v>614</v>
      </c>
      <c r="FZ15" s="89">
        <f>IF('Verwerken verlichting'!B11=3,1,0)</f>
        <v>0</v>
      </c>
      <c r="GA15" s="89">
        <f>$FZ15*'Verwerken verlichting'!BX11</f>
        <v>0</v>
      </c>
      <c r="GB15" s="89">
        <f>$FZ15*'Verwerken verlichting'!BY11</f>
        <v>0</v>
      </c>
      <c r="GC15" s="89">
        <f>$FZ15*'Verwerken verlichting'!BZ11</f>
        <v>0</v>
      </c>
      <c r="GD15" s="89">
        <f>$FZ15*'Verwerken verlichting'!CA11</f>
        <v>0</v>
      </c>
      <c r="GE15" s="89">
        <f>$FZ15*'Verwerken verlichting'!CB11</f>
        <v>0</v>
      </c>
      <c r="GF15" s="89">
        <f>$FZ15*'Verwerken verlichting'!CC11</f>
        <v>0</v>
      </c>
      <c r="GG15" s="89">
        <f>FZ15*'Invoer verlichting'!N10</f>
        <v>0</v>
      </c>
      <c r="GH15" s="89">
        <f>FZ15*'Verwerken verlichting'!AH11</f>
        <v>0</v>
      </c>
      <c r="GI15" s="89">
        <f>FZ15*'Verwerken verlichting'!AG11</f>
        <v>0</v>
      </c>
      <c r="GJ15" s="89">
        <f>FZ15*'Verwerken verlichting'!CE11</f>
        <v>0</v>
      </c>
    </row>
    <row r="16" spans="1:213" x14ac:dyDescent="0.2">
      <c r="A16" s="132"/>
      <c r="FC16" s="89">
        <f>IF('Verwerken ventilatie'!AJ8=3,1,0)</f>
        <v>0</v>
      </c>
      <c r="FD16" s="89">
        <f>FC16*'Verwerken ventilatie'!BT8</f>
        <v>0</v>
      </c>
      <c r="FE16" s="89">
        <f>FC16*'Verwerken ventilatie'!BU8</f>
        <v>0</v>
      </c>
      <c r="FZ16" s="89">
        <f>IF('Verwerken verlichting'!B12=3,1,0)</f>
        <v>0</v>
      </c>
      <c r="GA16" s="89">
        <f>$FZ16*'Verwerken verlichting'!BX12</f>
        <v>0</v>
      </c>
      <c r="GB16" s="89">
        <f>$FZ16*'Verwerken verlichting'!BY12</f>
        <v>0</v>
      </c>
      <c r="GC16" s="89">
        <f>$FZ16*'Verwerken verlichting'!BZ12</f>
        <v>0</v>
      </c>
      <c r="GD16" s="89">
        <f>$FZ16*'Verwerken verlichting'!CA12</f>
        <v>0</v>
      </c>
      <c r="GE16" s="89">
        <f>$FZ16*'Verwerken verlichting'!CB12</f>
        <v>0</v>
      </c>
      <c r="GF16" s="89">
        <f>$FZ16*'Verwerken verlichting'!CC12</f>
        <v>0</v>
      </c>
      <c r="GG16" s="89">
        <f>FZ16*'Invoer verlichting'!N11</f>
        <v>0</v>
      </c>
      <c r="GH16" s="89">
        <f>FZ16*'Verwerken verlichting'!AH12</f>
        <v>0</v>
      </c>
      <c r="GI16" s="89">
        <f>FZ16*'Verwerken verlichting'!AG12</f>
        <v>0</v>
      </c>
      <c r="GJ16" s="89">
        <f>FZ16*'Verwerken verlichting'!CE12</f>
        <v>0</v>
      </c>
    </row>
    <row r="17" spans="1:221" x14ac:dyDescent="0.2">
      <c r="B17" s="127" t="s">
        <v>886</v>
      </c>
      <c r="O17" s="127" t="s">
        <v>135</v>
      </c>
      <c r="AD17" s="127" t="s">
        <v>886</v>
      </c>
      <c r="AV17" s="127" t="s">
        <v>886</v>
      </c>
      <c r="BO17" s="127" t="s">
        <v>886</v>
      </c>
      <c r="CG17" s="127" t="s">
        <v>886</v>
      </c>
      <c r="CW17" s="127" t="s">
        <v>135</v>
      </c>
      <c r="FC17" s="89">
        <f>IF('Verwerken ventilatie'!AJ9=3,1,0)</f>
        <v>0</v>
      </c>
      <c r="FD17" s="89">
        <f>FC17*'Verwerken ventilatie'!BT9</f>
        <v>0</v>
      </c>
      <c r="FE17" s="89">
        <f>FC17*'Verwerken ventilatie'!BU9</f>
        <v>0</v>
      </c>
      <c r="FZ17" s="89">
        <f>IF('Verwerken verlichting'!B13=3,1,0)</f>
        <v>0</v>
      </c>
      <c r="GA17" s="89">
        <f>$FZ17*'Verwerken verlichting'!BX13</f>
        <v>0</v>
      </c>
      <c r="GB17" s="89">
        <f>$FZ17*'Verwerken verlichting'!BY13</f>
        <v>0</v>
      </c>
      <c r="GC17" s="89">
        <f>$FZ17*'Verwerken verlichting'!BZ13</f>
        <v>0</v>
      </c>
      <c r="GD17" s="89">
        <f>$FZ17*'Verwerken verlichting'!CA13</f>
        <v>0</v>
      </c>
      <c r="GE17" s="89">
        <f>$FZ17*'Verwerken verlichting'!CB13</f>
        <v>0</v>
      </c>
      <c r="GF17" s="89">
        <f>$FZ17*'Verwerken verlichting'!CC13</f>
        <v>0</v>
      </c>
      <c r="GG17" s="89">
        <f>FZ17*'Invoer verlichting'!N12</f>
        <v>0</v>
      </c>
      <c r="GH17" s="89">
        <f>FZ17*'Verwerken verlichting'!AH13</f>
        <v>0</v>
      </c>
      <c r="GI17" s="89">
        <f>FZ17*'Verwerken verlichting'!AG13</f>
        <v>0</v>
      </c>
      <c r="GJ17" s="89">
        <f>FZ17*'Verwerken verlichting'!CE13</f>
        <v>0</v>
      </c>
      <c r="GO17" s="127" t="s">
        <v>886</v>
      </c>
      <c r="HB17" s="127" t="s">
        <v>135</v>
      </c>
    </row>
    <row r="18" spans="1:221" ht="12" customHeight="1" x14ac:dyDescent="0.2">
      <c r="A18" s="155" t="s">
        <v>68</v>
      </c>
      <c r="B18" s="125" t="s">
        <v>452</v>
      </c>
      <c r="C18" s="125" t="s">
        <v>453</v>
      </c>
      <c r="D18" s="125" t="s">
        <v>398</v>
      </c>
      <c r="E18" s="125" t="s">
        <v>399</v>
      </c>
      <c r="F18" s="125" t="s">
        <v>400</v>
      </c>
      <c r="G18" s="125" t="s">
        <v>401</v>
      </c>
      <c r="H18" s="125" t="s">
        <v>402</v>
      </c>
      <c r="I18" s="125" t="s">
        <v>454</v>
      </c>
      <c r="J18" s="125" t="s">
        <v>455</v>
      </c>
      <c r="K18" s="125" t="s">
        <v>456</v>
      </c>
      <c r="L18" s="125" t="s">
        <v>457</v>
      </c>
      <c r="M18" s="125" t="s">
        <v>458</v>
      </c>
      <c r="O18" s="125" t="s">
        <v>452</v>
      </c>
      <c r="P18" s="125" t="s">
        <v>453</v>
      </c>
      <c r="Q18" s="125" t="s">
        <v>398</v>
      </c>
      <c r="R18" s="125" t="s">
        <v>399</v>
      </c>
      <c r="S18" s="125" t="s">
        <v>400</v>
      </c>
      <c r="T18" s="125" t="s">
        <v>401</v>
      </c>
      <c r="U18" s="125" t="s">
        <v>402</v>
      </c>
      <c r="V18" s="125" t="s">
        <v>454</v>
      </c>
      <c r="W18" s="125" t="s">
        <v>455</v>
      </c>
      <c r="X18" s="125" t="s">
        <v>456</v>
      </c>
      <c r="Y18" s="125" t="s">
        <v>457</v>
      </c>
      <c r="Z18" s="125" t="s">
        <v>458</v>
      </c>
      <c r="AB18" s="125" t="s">
        <v>612</v>
      </c>
      <c r="AC18" s="155" t="s">
        <v>68</v>
      </c>
      <c r="AD18" s="125" t="s">
        <v>452</v>
      </c>
      <c r="AE18" s="125" t="s">
        <v>453</v>
      </c>
      <c r="AF18" s="125" t="s">
        <v>398</v>
      </c>
      <c r="AG18" s="125" t="s">
        <v>399</v>
      </c>
      <c r="AH18" s="125" t="s">
        <v>400</v>
      </c>
      <c r="AI18" s="125" t="s">
        <v>401</v>
      </c>
      <c r="AJ18" s="125" t="s">
        <v>402</v>
      </c>
      <c r="AK18" s="125" t="s">
        <v>454</v>
      </c>
      <c r="AL18" s="125" t="s">
        <v>455</v>
      </c>
      <c r="AM18" s="125" t="s">
        <v>456</v>
      </c>
      <c r="AN18" s="125" t="s">
        <v>457</v>
      </c>
      <c r="AO18" s="125" t="s">
        <v>458</v>
      </c>
      <c r="AP18" s="125" t="s">
        <v>757</v>
      </c>
      <c r="AQ18" s="125" t="s">
        <v>47</v>
      </c>
      <c r="AR18" s="125" t="s">
        <v>614</v>
      </c>
      <c r="AS18" s="245"/>
      <c r="AT18" s="125" t="s">
        <v>612</v>
      </c>
      <c r="AU18" s="155" t="s">
        <v>68</v>
      </c>
      <c r="AV18" s="125" t="s">
        <v>452</v>
      </c>
      <c r="AW18" s="125" t="s">
        <v>453</v>
      </c>
      <c r="AX18" s="125" t="s">
        <v>398</v>
      </c>
      <c r="AY18" s="125" t="s">
        <v>399</v>
      </c>
      <c r="AZ18" s="125" t="s">
        <v>400</v>
      </c>
      <c r="BA18" s="125" t="s">
        <v>401</v>
      </c>
      <c r="BB18" s="125" t="s">
        <v>402</v>
      </c>
      <c r="BC18" s="125" t="s">
        <v>454</v>
      </c>
      <c r="BD18" s="125" t="s">
        <v>455</v>
      </c>
      <c r="BE18" s="125" t="s">
        <v>456</v>
      </c>
      <c r="BF18" s="125" t="s">
        <v>457</v>
      </c>
      <c r="BG18" s="125" t="s">
        <v>458</v>
      </c>
      <c r="BH18" s="125" t="s">
        <v>757</v>
      </c>
      <c r="BI18" s="125" t="s">
        <v>47</v>
      </c>
      <c r="BJ18" s="125" t="s">
        <v>614</v>
      </c>
      <c r="BK18" s="125"/>
      <c r="BM18" s="125" t="s">
        <v>228</v>
      </c>
      <c r="BN18" s="155" t="s">
        <v>68</v>
      </c>
      <c r="BO18" s="125" t="s">
        <v>452</v>
      </c>
      <c r="BP18" s="125" t="s">
        <v>453</v>
      </c>
      <c r="BQ18" s="125" t="s">
        <v>398</v>
      </c>
      <c r="BR18" s="125" t="s">
        <v>399</v>
      </c>
      <c r="BS18" s="125" t="s">
        <v>400</v>
      </c>
      <c r="BT18" s="125" t="s">
        <v>401</v>
      </c>
      <c r="BU18" s="125" t="s">
        <v>402</v>
      </c>
      <c r="BV18" s="125" t="s">
        <v>454</v>
      </c>
      <c r="BW18" s="125" t="s">
        <v>455</v>
      </c>
      <c r="BX18" s="125" t="s">
        <v>456</v>
      </c>
      <c r="BY18" s="125" t="s">
        <v>457</v>
      </c>
      <c r="BZ18" s="125" t="s">
        <v>458</v>
      </c>
      <c r="CA18" s="125" t="s">
        <v>757</v>
      </c>
      <c r="CB18" s="125" t="s">
        <v>47</v>
      </c>
      <c r="CC18" s="125"/>
      <c r="CD18" s="245"/>
      <c r="CE18" s="125" t="s">
        <v>226</v>
      </c>
      <c r="CF18" s="155" t="s">
        <v>68</v>
      </c>
      <c r="CG18" s="125" t="s">
        <v>452</v>
      </c>
      <c r="CH18" s="125" t="s">
        <v>453</v>
      </c>
      <c r="CI18" s="125" t="s">
        <v>398</v>
      </c>
      <c r="CJ18" s="125" t="s">
        <v>399</v>
      </c>
      <c r="CK18" s="125" t="s">
        <v>400</v>
      </c>
      <c r="CL18" s="125" t="s">
        <v>401</v>
      </c>
      <c r="CM18" s="125" t="s">
        <v>402</v>
      </c>
      <c r="CN18" s="125" t="s">
        <v>454</v>
      </c>
      <c r="CO18" s="125" t="s">
        <v>455</v>
      </c>
      <c r="CP18" s="125" t="s">
        <v>456</v>
      </c>
      <c r="CQ18" s="125" t="s">
        <v>457</v>
      </c>
      <c r="CR18" s="125" t="s">
        <v>458</v>
      </c>
      <c r="CS18" s="125" t="s">
        <v>757</v>
      </c>
      <c r="CT18" s="125" t="s">
        <v>47</v>
      </c>
      <c r="CU18" s="125" t="s">
        <v>626</v>
      </c>
      <c r="CW18" s="125" t="s">
        <v>452</v>
      </c>
      <c r="CX18" s="125" t="s">
        <v>453</v>
      </c>
      <c r="CY18" s="125" t="s">
        <v>398</v>
      </c>
      <c r="CZ18" s="125" t="s">
        <v>399</v>
      </c>
      <c r="DA18" s="125" t="s">
        <v>400</v>
      </c>
      <c r="DB18" s="125" t="s">
        <v>401</v>
      </c>
      <c r="DC18" s="125" t="s">
        <v>402</v>
      </c>
      <c r="DD18" s="125" t="s">
        <v>454</v>
      </c>
      <c r="DE18" s="125" t="s">
        <v>455</v>
      </c>
      <c r="DF18" s="125" t="s">
        <v>456</v>
      </c>
      <c r="DG18" s="125" t="s">
        <v>457</v>
      </c>
      <c r="DH18" s="125" t="s">
        <v>458</v>
      </c>
      <c r="DI18" s="125" t="s">
        <v>757</v>
      </c>
      <c r="DJ18" s="125" t="s">
        <v>47</v>
      </c>
      <c r="DK18" s="125" t="s">
        <v>614</v>
      </c>
      <c r="DL18" s="125"/>
      <c r="FC18" s="89">
        <f>IF('Verwerken ventilatie'!AJ10=3,1,0)</f>
        <v>0</v>
      </c>
      <c r="FD18" s="89">
        <f>FC18*'Verwerken ventilatie'!BT10</f>
        <v>0</v>
      </c>
      <c r="FE18" s="89">
        <f>FC18*'Verwerken ventilatie'!BU10</f>
        <v>0</v>
      </c>
      <c r="FZ18" s="89">
        <f>IF('Verwerken verlichting'!B14=3,1,0)</f>
        <v>0</v>
      </c>
      <c r="GA18" s="89">
        <f>$FZ18*'Verwerken verlichting'!BX14</f>
        <v>0</v>
      </c>
      <c r="GB18" s="89">
        <f>$FZ18*'Verwerken verlichting'!BY14</f>
        <v>0</v>
      </c>
      <c r="GC18" s="89">
        <f>$FZ18*'Verwerken verlichting'!BZ14</f>
        <v>0</v>
      </c>
      <c r="GD18" s="89">
        <f>$FZ18*'Verwerken verlichting'!CA14</f>
        <v>0</v>
      </c>
      <c r="GE18" s="89">
        <f>$FZ18*'Verwerken verlichting'!CB14</f>
        <v>0</v>
      </c>
      <c r="GF18" s="89">
        <f>$FZ18*'Verwerken verlichting'!CC14</f>
        <v>0</v>
      </c>
      <c r="GG18" s="89">
        <f>FZ18*'Invoer verlichting'!N13</f>
        <v>0</v>
      </c>
      <c r="GH18" s="89">
        <f>FZ18*'Verwerken verlichting'!AH14</f>
        <v>0</v>
      </c>
      <c r="GI18" s="89">
        <f>FZ18*'Verwerken verlichting'!AG14</f>
        <v>0</v>
      </c>
      <c r="GJ18" s="89">
        <f>FZ18*'Verwerken verlichting'!CE14</f>
        <v>0</v>
      </c>
      <c r="GM18" s="125" t="s">
        <v>722</v>
      </c>
      <c r="GN18" s="155" t="s">
        <v>67</v>
      </c>
      <c r="GO18" s="125" t="s">
        <v>452</v>
      </c>
      <c r="GP18" s="125" t="s">
        <v>453</v>
      </c>
      <c r="GQ18" s="125" t="s">
        <v>398</v>
      </c>
      <c r="GR18" s="125" t="s">
        <v>399</v>
      </c>
      <c r="GS18" s="125" t="s">
        <v>400</v>
      </c>
      <c r="GT18" s="125" t="s">
        <v>401</v>
      </c>
      <c r="GU18" s="125" t="s">
        <v>402</v>
      </c>
      <c r="GV18" s="125" t="s">
        <v>454</v>
      </c>
      <c r="GW18" s="125" t="s">
        <v>455</v>
      </c>
      <c r="GX18" s="125" t="s">
        <v>456</v>
      </c>
      <c r="GY18" s="125" t="s">
        <v>457</v>
      </c>
      <c r="GZ18" s="125" t="s">
        <v>458</v>
      </c>
      <c r="HB18" s="125" t="s">
        <v>452</v>
      </c>
      <c r="HC18" s="125" t="s">
        <v>453</v>
      </c>
      <c r="HD18" s="125" t="s">
        <v>398</v>
      </c>
      <c r="HE18" s="125" t="s">
        <v>399</v>
      </c>
      <c r="HF18" s="125" t="s">
        <v>400</v>
      </c>
      <c r="HG18" s="125" t="s">
        <v>401</v>
      </c>
      <c r="HH18" s="125" t="s">
        <v>402</v>
      </c>
      <c r="HI18" s="125" t="s">
        <v>454</v>
      </c>
      <c r="HJ18" s="125" t="s">
        <v>455</v>
      </c>
      <c r="HK18" s="125" t="s">
        <v>456</v>
      </c>
      <c r="HL18" s="125" t="s">
        <v>457</v>
      </c>
      <c r="HM18" s="125" t="s">
        <v>458</v>
      </c>
    </row>
    <row r="19" spans="1:221" x14ac:dyDescent="0.2">
      <c r="A19" s="130">
        <f>IF('Verwerking Bouwdelen'!A3=3,1,0)</f>
        <v>0</v>
      </c>
      <c r="B19" s="208">
        <f>$A19*'Verwerking Bouwdelen'!T3</f>
        <v>0</v>
      </c>
      <c r="C19" s="208">
        <f>$A19*'Verwerking Bouwdelen'!U3</f>
        <v>0</v>
      </c>
      <c r="D19" s="208">
        <f>$A19*'Verwerking Bouwdelen'!V3</f>
        <v>0</v>
      </c>
      <c r="E19" s="208">
        <f>$A19*'Verwerking Bouwdelen'!W3</f>
        <v>0</v>
      </c>
      <c r="F19" s="208">
        <f>$A19*'Verwerking Bouwdelen'!X3</f>
        <v>0</v>
      </c>
      <c r="G19" s="208">
        <f>$A19*'Verwerking Bouwdelen'!Y3</f>
        <v>0</v>
      </c>
      <c r="H19" s="208">
        <f>$A19*'Verwerking Bouwdelen'!Z3</f>
        <v>0</v>
      </c>
      <c r="I19" s="208">
        <f>$A19*'Verwerking Bouwdelen'!AA3</f>
        <v>0</v>
      </c>
      <c r="J19" s="208">
        <f>$A19*'Verwerking Bouwdelen'!AB3</f>
        <v>0</v>
      </c>
      <c r="K19" s="208">
        <f>$A19*'Verwerking Bouwdelen'!AC3</f>
        <v>0</v>
      </c>
      <c r="L19" s="208">
        <f>$A19*'Verwerking Bouwdelen'!AD3</f>
        <v>0</v>
      </c>
      <c r="M19" s="208">
        <f>$A19*'Verwerking Bouwdelen'!AE3</f>
        <v>0</v>
      </c>
      <c r="O19" s="209">
        <f>$A19*'Verwerking Bouwdelen'!AU3</f>
        <v>0</v>
      </c>
      <c r="P19" s="210">
        <f>$A19*'Verwerking Bouwdelen'!AV3</f>
        <v>0</v>
      </c>
      <c r="Q19" s="210">
        <f>$A19*'Verwerking Bouwdelen'!AW3</f>
        <v>0</v>
      </c>
      <c r="R19" s="210">
        <f>$A19*'Verwerking Bouwdelen'!AX3</f>
        <v>0</v>
      </c>
      <c r="S19" s="210">
        <f>$A19*'Verwerking Bouwdelen'!AY3</f>
        <v>0</v>
      </c>
      <c r="T19" s="210">
        <f>$A19*'Verwerking Bouwdelen'!AZ3</f>
        <v>0</v>
      </c>
      <c r="U19" s="210">
        <f>$A19*'Verwerking Bouwdelen'!BA3</f>
        <v>0</v>
      </c>
      <c r="V19" s="210">
        <f>$A19*'Verwerking Bouwdelen'!BB3</f>
        <v>0</v>
      </c>
      <c r="W19" s="210">
        <f>$A19*'Verwerking Bouwdelen'!BC3</f>
        <v>0</v>
      </c>
      <c r="X19" s="210">
        <f>$A19*'Verwerking Bouwdelen'!BD3</f>
        <v>0</v>
      </c>
      <c r="Y19" s="210">
        <f>$A19*'Verwerking Bouwdelen'!BE3</f>
        <v>0</v>
      </c>
      <c r="Z19" s="211">
        <f>$A19*'Verwerking Bouwdelen'!BF3</f>
        <v>0</v>
      </c>
      <c r="AA19" s="245"/>
      <c r="AB19" s="125">
        <f>IF(OR('Verwerking Bouwdelen'!C3=3,'Verwerking Bouwdelen'!C3=6),1,0)</f>
        <v>0</v>
      </c>
      <c r="AC19" s="130">
        <f>IF('Verwerking Bouwdelen'!A3=3,1,0)</f>
        <v>0</v>
      </c>
      <c r="AD19" s="208">
        <f>IF($AB19=1,$AC19*'Verwerking Bouwdelen'!DL3,$AC19*'Verwerking Bouwdelen'!T3)</f>
        <v>0</v>
      </c>
      <c r="AE19" s="208">
        <f>IF($AB19=1,$AC19*'Verwerking Bouwdelen'!DM3,$AC19*'Verwerking Bouwdelen'!U3)</f>
        <v>0</v>
      </c>
      <c r="AF19" s="208">
        <f>IF($AB19=1,$AC19*'Verwerking Bouwdelen'!DN3,$AC19*'Verwerking Bouwdelen'!V3)</f>
        <v>0</v>
      </c>
      <c r="AG19" s="208">
        <f>IF($AB19=1,$AC19*'Verwerking Bouwdelen'!DO3,$AC19*'Verwerking Bouwdelen'!W3)</f>
        <v>0</v>
      </c>
      <c r="AH19" s="208">
        <f>IF($AB19=1,$AC19*'Verwerking Bouwdelen'!DP3,$AC19*'Verwerking Bouwdelen'!X3)</f>
        <v>0</v>
      </c>
      <c r="AI19" s="208">
        <f>IF($AB19=1,$AC19*'Verwerking Bouwdelen'!DQ3,$AC19*'Verwerking Bouwdelen'!Y3)</f>
        <v>0</v>
      </c>
      <c r="AJ19" s="208">
        <f>IF($AB19=1,$AC19*'Verwerking Bouwdelen'!DR3,$AC19*'Verwerking Bouwdelen'!Z3)</f>
        <v>0</v>
      </c>
      <c r="AK19" s="208">
        <f>IF($AB19=1,$AC19*'Verwerking Bouwdelen'!DS3,$AC19*'Verwerking Bouwdelen'!AA3)</f>
        <v>0</v>
      </c>
      <c r="AL19" s="208">
        <f>IF($AB19=1,$AC19*'Verwerking Bouwdelen'!DT3,$AC19*'Verwerking Bouwdelen'!AB3)</f>
        <v>0</v>
      </c>
      <c r="AM19" s="208">
        <f>IF($AB19=1,$AC19*'Verwerking Bouwdelen'!DU3,$AC19*'Verwerking Bouwdelen'!AC3)</f>
        <v>0</v>
      </c>
      <c r="AN19" s="208">
        <f>IF($AB19=1,$AC19*'Verwerking Bouwdelen'!DV3,$AC19*'Verwerking Bouwdelen'!AD3)</f>
        <v>0</v>
      </c>
      <c r="AO19" s="208">
        <f>IF($AB19=1,$AC19*'Verwerking Bouwdelen'!DW3,$AC19*'Verwerking Bouwdelen'!AE3)</f>
        <v>0</v>
      </c>
      <c r="AP19" s="10">
        <f>IF(AD19=B19,0,'Verwerking Bouwdelen'!D3*AB19*AC19)</f>
        <v>0</v>
      </c>
      <c r="AQ19" s="10">
        <f>AB19*AC19*'Verwerking Bouwdelen'!$GH$3</f>
        <v>0</v>
      </c>
      <c r="AR19" s="10"/>
      <c r="AS19" s="248"/>
      <c r="AT19" s="125">
        <f>IF('Verwerking Bouwdelen'!C3=4,1,0)</f>
        <v>0</v>
      </c>
      <c r="AU19" s="130">
        <f>IF('Verwerking Bouwdelen'!A3=3,1,0)</f>
        <v>0</v>
      </c>
      <c r="AV19" s="208">
        <f>IF($AT19=1,$AU19*'Verwerking Bouwdelen'!DL3,$AU19*'Verwerking Bouwdelen'!T3)</f>
        <v>0</v>
      </c>
      <c r="AW19" s="208">
        <f>IF($AT19=1,$AU19*'Verwerking Bouwdelen'!DM3,$AU19*'Verwerking Bouwdelen'!U3)</f>
        <v>0</v>
      </c>
      <c r="AX19" s="208">
        <f>IF($AT19=1,$AU19*'Verwerking Bouwdelen'!DN3,$AU19*'Verwerking Bouwdelen'!V3)</f>
        <v>0</v>
      </c>
      <c r="AY19" s="208">
        <f>IF($AT19=1,$AU19*'Verwerking Bouwdelen'!DO3,$AU19*'Verwerking Bouwdelen'!W3)</f>
        <v>0</v>
      </c>
      <c r="AZ19" s="208">
        <f>IF($AT19=1,$AU19*'Verwerking Bouwdelen'!DP3,$AU19*'Verwerking Bouwdelen'!X3)</f>
        <v>0</v>
      </c>
      <c r="BA19" s="208">
        <f>IF($AT19=1,$AU19*'Verwerking Bouwdelen'!DQ3,$AU19*'Verwerking Bouwdelen'!Y3)</f>
        <v>0</v>
      </c>
      <c r="BB19" s="208">
        <f>IF($AT19=1,$AU19*'Verwerking Bouwdelen'!DR3,$AU19*'Verwerking Bouwdelen'!Z3)</f>
        <v>0</v>
      </c>
      <c r="BC19" s="208">
        <f>IF($AT19=1,$AU19*'Verwerking Bouwdelen'!DS3,$AU19*'Verwerking Bouwdelen'!AA3)</f>
        <v>0</v>
      </c>
      <c r="BD19" s="208">
        <f>IF($AT19=1,$AU19*'Verwerking Bouwdelen'!DT3,$AU19*'Verwerking Bouwdelen'!AB3)</f>
        <v>0</v>
      </c>
      <c r="BE19" s="208">
        <f>IF($AT19=1,$AU19*'Verwerking Bouwdelen'!DU3,$AU19*'Verwerking Bouwdelen'!AC3)</f>
        <v>0</v>
      </c>
      <c r="BF19" s="208">
        <f>IF($AT19=1,$AU19*'Verwerking Bouwdelen'!DV3,$AU19*'Verwerking Bouwdelen'!AD3)</f>
        <v>0</v>
      </c>
      <c r="BG19" s="208">
        <f>IF($AT19=1,$AU19*'Verwerking Bouwdelen'!DW3,$AU19*'Verwerking Bouwdelen'!AE3)</f>
        <v>0</v>
      </c>
      <c r="BH19" s="10">
        <f>IF(AV19=B19,0,'Verwerking Bouwdelen'!D3*AT19*AU19)</f>
        <v>0</v>
      </c>
      <c r="BI19" s="10">
        <f>AT19*AU19*'Verwerking Bouwdelen'!GH3</f>
        <v>0</v>
      </c>
      <c r="BJ19" s="10"/>
      <c r="BK19" s="10"/>
      <c r="BM19" s="125">
        <f>IF('Verwerking Bouwdelen'!C3=5,1,0)</f>
        <v>0</v>
      </c>
      <c r="BN19" s="130">
        <f>IF('Verwerking Bouwdelen'!A3=3,1,0)</f>
        <v>0</v>
      </c>
      <c r="BO19" s="208">
        <f>IF($BM19=1,$BN19*'Verwerking Bouwdelen'!DL3,$BN19*'Verwerking Bouwdelen'!T3)</f>
        <v>0</v>
      </c>
      <c r="BP19" s="208">
        <f>IF($BM19=1,$BN19*'Verwerking Bouwdelen'!DM3,$BN19*'Verwerking Bouwdelen'!U3)</f>
        <v>0</v>
      </c>
      <c r="BQ19" s="208">
        <f>IF($BM19=1,$BN19*'Verwerking Bouwdelen'!DN3,$BN19*'Verwerking Bouwdelen'!V3)</f>
        <v>0</v>
      </c>
      <c r="BR19" s="208">
        <f>IF($BM19=1,$BN19*'Verwerking Bouwdelen'!DO3,$BN19*'Verwerking Bouwdelen'!W3)</f>
        <v>0</v>
      </c>
      <c r="BS19" s="208">
        <f>IF($BM19=1,$BN19*'Verwerking Bouwdelen'!DP3,$BN19*'Verwerking Bouwdelen'!X3)</f>
        <v>0</v>
      </c>
      <c r="BT19" s="208">
        <f>IF($BM19=1,$BN19*'Verwerking Bouwdelen'!DQ3,$BN19*'Verwerking Bouwdelen'!Y3)</f>
        <v>0</v>
      </c>
      <c r="BU19" s="208">
        <f>IF($BM19=1,$BN19*'Verwerking Bouwdelen'!DR3,$BN19*'Verwerking Bouwdelen'!Z3)</f>
        <v>0</v>
      </c>
      <c r="BV19" s="208">
        <f>IF($BM19=1,$BN19*'Verwerking Bouwdelen'!DS3,$BN19*'Verwerking Bouwdelen'!AA3)</f>
        <v>0</v>
      </c>
      <c r="BW19" s="208">
        <f>IF($BM19=1,$BN19*'Verwerking Bouwdelen'!DT3,$BN19*'Verwerking Bouwdelen'!AB3)</f>
        <v>0</v>
      </c>
      <c r="BX19" s="208">
        <f>IF($BM19=1,$BN19*'Verwerking Bouwdelen'!DU3,$BN19*'Verwerking Bouwdelen'!AC3)</f>
        <v>0</v>
      </c>
      <c r="BY19" s="208">
        <f>IF($BM19=1,$BN19*'Verwerking Bouwdelen'!DV3,$BN19*'Verwerking Bouwdelen'!AD3)</f>
        <v>0</v>
      </c>
      <c r="BZ19" s="208">
        <f>IF($BM19=1,$BN19*'Verwerking Bouwdelen'!DW3,$BN19*'Verwerking Bouwdelen'!AE3)</f>
        <v>0</v>
      </c>
      <c r="CA19" s="10">
        <f>IF(BO19=$B19,0,'Verwerking Bouwdelen'!$D3*BM19*BN19)</f>
        <v>0</v>
      </c>
      <c r="CB19" s="10">
        <f>BM19*BN19*'Verwerking Bouwdelen'!GH3</f>
        <v>0</v>
      </c>
      <c r="CC19" s="10"/>
      <c r="CD19" s="248"/>
      <c r="CE19" s="125">
        <f>IF('Verwerking Bouwdelen'!C3=2,1,0)</f>
        <v>0</v>
      </c>
      <c r="CF19" s="130">
        <f>IF('Verwerking Bouwdelen'!A3=3,1,0)</f>
        <v>0</v>
      </c>
      <c r="CG19" s="208">
        <f>IF($CE19=1,$CF19*'Verwerking Bouwdelen'!DL3,$CF19*'Verwerking Bouwdelen'!T3)</f>
        <v>0</v>
      </c>
      <c r="CH19" s="208">
        <f>IF($CE19=1,$CF19*'Verwerking Bouwdelen'!DM3,$CF19*'Verwerking Bouwdelen'!U3)</f>
        <v>0</v>
      </c>
      <c r="CI19" s="208">
        <f>IF($CE19=1,$CF19*'Verwerking Bouwdelen'!DN3,$CF19*'Verwerking Bouwdelen'!V3)</f>
        <v>0</v>
      </c>
      <c r="CJ19" s="208">
        <f>IF($CE19=1,$CF19*'Verwerking Bouwdelen'!DO3,$CF19*'Verwerking Bouwdelen'!W3)</f>
        <v>0</v>
      </c>
      <c r="CK19" s="208">
        <f>IF($CE19=1,$CF19*'Verwerking Bouwdelen'!DP3,$CF19*'Verwerking Bouwdelen'!X3)</f>
        <v>0</v>
      </c>
      <c r="CL19" s="208">
        <f>IF($CE19=1,$CF19*'Verwerking Bouwdelen'!DQ3,$CF19*'Verwerking Bouwdelen'!Y3)</f>
        <v>0</v>
      </c>
      <c r="CM19" s="208">
        <f>IF($CE19=1,$CF19*'Verwerking Bouwdelen'!DR3,$CF19*'Verwerking Bouwdelen'!Z3)</f>
        <v>0</v>
      </c>
      <c r="CN19" s="208">
        <f>IF($CE19=1,$CF19*'Verwerking Bouwdelen'!DS3,$CF19*'Verwerking Bouwdelen'!AA3)</f>
        <v>0</v>
      </c>
      <c r="CO19" s="208">
        <f>IF($CE19=1,$CF19*'Verwerking Bouwdelen'!DT3,$CF19*'Verwerking Bouwdelen'!AB3)</f>
        <v>0</v>
      </c>
      <c r="CP19" s="208">
        <f>IF($CE19=1,$CF19*'Verwerking Bouwdelen'!DU3,$CF19*'Verwerking Bouwdelen'!AC3)</f>
        <v>0</v>
      </c>
      <c r="CQ19" s="208">
        <f>IF($CE19=1,$CF19*'Verwerking Bouwdelen'!DV3,$CF19*'Verwerking Bouwdelen'!AD3)</f>
        <v>0</v>
      </c>
      <c r="CR19" s="208">
        <f>IF($CE19=1,$CF19*'Verwerking Bouwdelen'!DW3,$CF19*'Verwerking Bouwdelen'!AE3)</f>
        <v>0</v>
      </c>
      <c r="CS19" s="10">
        <f>IF(CG19=$B19,0,('Verwerking Bouwdelen'!$D3-'Verwerking Bouwdelen'!G3)*CE19*CF19)</f>
        <v>0</v>
      </c>
      <c r="CT19" s="260">
        <f>CE19*CF19*'Verwerking Bouwdelen'!GH3</f>
        <v>0</v>
      </c>
      <c r="CU19" s="260">
        <f>CE19*CF19*'Verwerking Bouwdelen'!GI3</f>
        <v>0</v>
      </c>
      <c r="CW19" s="209">
        <f>$AC19*'Verwerking Bouwdelen'!EE3</f>
        <v>0</v>
      </c>
      <c r="CX19" s="209">
        <f>$AC19*'Verwerking Bouwdelen'!EF3</f>
        <v>0</v>
      </c>
      <c r="CY19" s="209">
        <f>$AC19*'Verwerking Bouwdelen'!EG3</f>
        <v>0</v>
      </c>
      <c r="CZ19" s="209">
        <f>$AC19*'Verwerking Bouwdelen'!EH3</f>
        <v>0</v>
      </c>
      <c r="DA19" s="209">
        <f>$AC19*'Verwerking Bouwdelen'!EI3</f>
        <v>0</v>
      </c>
      <c r="DB19" s="209">
        <f>$AC19*'Verwerking Bouwdelen'!EJ3</f>
        <v>0</v>
      </c>
      <c r="DC19" s="209">
        <f>$AC19*'Verwerking Bouwdelen'!EK3</f>
        <v>0</v>
      </c>
      <c r="DD19" s="209">
        <f>$AC19*'Verwerking Bouwdelen'!EL3</f>
        <v>0</v>
      </c>
      <c r="DE19" s="209">
        <f>$AC19*'Verwerking Bouwdelen'!EM3</f>
        <v>0</v>
      </c>
      <c r="DF19" s="209">
        <f>$AC19*'Verwerking Bouwdelen'!EN3</f>
        <v>0</v>
      </c>
      <c r="DG19" s="209">
        <f>$AC19*'Verwerking Bouwdelen'!EO3</f>
        <v>0</v>
      </c>
      <c r="DH19" s="209">
        <f>$AC19*'Verwerking Bouwdelen'!EP3</f>
        <v>0</v>
      </c>
      <c r="DI19" s="10">
        <f>IF(CW19=$O19,0,'Verwerking Bouwdelen'!G3)</f>
        <v>0</v>
      </c>
      <c r="DJ19" s="259">
        <f>'Verwerking Bouwdelen'!GK3*CF19</f>
        <v>0</v>
      </c>
      <c r="DK19" s="259">
        <f>'Verwerking Bouwdelen'!GL3*CF19</f>
        <v>0</v>
      </c>
      <c r="DL19" s="125"/>
      <c r="DM19" s="245"/>
      <c r="FC19" s="89">
        <f>IF('Verwerken ventilatie'!AJ11=3,1,0)</f>
        <v>0</v>
      </c>
      <c r="FD19" s="89">
        <f>FC19*'Verwerken ventilatie'!BT11</f>
        <v>0</v>
      </c>
      <c r="FE19" s="89">
        <f>FC19*'Verwerken ventilatie'!BU11</f>
        <v>0</v>
      </c>
      <c r="FZ19" s="89">
        <f>IF('Verwerken verlichting'!B15=3,1,0)</f>
        <v>0</v>
      </c>
      <c r="GA19" s="89">
        <f>$FZ19*'Verwerken verlichting'!BX15</f>
        <v>0</v>
      </c>
      <c r="GB19" s="89">
        <f>$FZ19*'Verwerken verlichting'!BY15</f>
        <v>0</v>
      </c>
      <c r="GC19" s="89">
        <f>$FZ19*'Verwerken verlichting'!BZ15</f>
        <v>0</v>
      </c>
      <c r="GD19" s="89">
        <f>$FZ19*'Verwerken verlichting'!CA15</f>
        <v>0</v>
      </c>
      <c r="GE19" s="89">
        <f>$FZ19*'Verwerken verlichting'!CB15</f>
        <v>0</v>
      </c>
      <c r="GF19" s="89">
        <f>$FZ19*'Verwerken verlichting'!CC15</f>
        <v>0</v>
      </c>
      <c r="GG19" s="89">
        <f>FZ19*'Invoer verlichting'!N14</f>
        <v>0</v>
      </c>
      <c r="GH19" s="89">
        <f>FZ19*'Verwerken verlichting'!AH15</f>
        <v>0</v>
      </c>
      <c r="GI19" s="89">
        <f>FZ19*'Verwerken verlichting'!AG15</f>
        <v>0</v>
      </c>
      <c r="GJ19" s="89">
        <f>FZ19*'Verwerken verlichting'!CE15</f>
        <v>0</v>
      </c>
      <c r="GM19" s="89">
        <f>AB19+AT19+BM19+CE19</f>
        <v>0</v>
      </c>
      <c r="GN19" s="89">
        <f>A19</f>
        <v>0</v>
      </c>
      <c r="GO19" s="208">
        <f>IF($GN19=1,$GN19*$GM19*'Verwerking Bouwdelen'!DL3,$GN19*$GM19*'Verwerking Bouwdelen'!T3)</f>
        <v>0</v>
      </c>
      <c r="GP19" s="208">
        <f>IF($GN19=1,$GN19*$GM19*'Verwerking Bouwdelen'!DM3,$GN19*$GM19*'Verwerking Bouwdelen'!U3)</f>
        <v>0</v>
      </c>
      <c r="GQ19" s="208">
        <f>IF($GN19=1,$GN19*$GM19*'Verwerking Bouwdelen'!DN3,$GN19*$GM19*'Verwerking Bouwdelen'!V3)</f>
        <v>0</v>
      </c>
      <c r="GR19" s="208">
        <f>IF($GN19=1,$GN19*$GM19*'Verwerking Bouwdelen'!DO3,$GN19*$GM19*'Verwerking Bouwdelen'!W3)</f>
        <v>0</v>
      </c>
      <c r="GS19" s="208">
        <f>IF($GN19=1,$GN19*$GM19*'Verwerking Bouwdelen'!DP3,$GN19*$GM19*'Verwerking Bouwdelen'!X3)</f>
        <v>0</v>
      </c>
      <c r="GT19" s="208">
        <f>IF($GN19=1,$GN19*$GM19*'Verwerking Bouwdelen'!DQ3,$GN19*$GM19*'Verwerking Bouwdelen'!Y3)</f>
        <v>0</v>
      </c>
      <c r="GU19" s="208">
        <f>IF($GN19=1,$GN19*$GM19*'Verwerking Bouwdelen'!DR3,$GN19*$GM19*'Verwerking Bouwdelen'!Z3)</f>
        <v>0</v>
      </c>
      <c r="GV19" s="208">
        <f>IF($GN19=1,$GN19*$GM19*'Verwerking Bouwdelen'!DS3,$GN19*$GM19*'Verwerking Bouwdelen'!AA3)</f>
        <v>0</v>
      </c>
      <c r="GW19" s="208">
        <f>IF($GN19=1,$GN19*$GM19*'Verwerking Bouwdelen'!DT3,$GN19*$GM19*'Verwerking Bouwdelen'!AB3)</f>
        <v>0</v>
      </c>
      <c r="GX19" s="208">
        <f>IF($GN19=1,$GN19*$GM19*'Verwerking Bouwdelen'!DU3,$GN19*$GM19*'Verwerking Bouwdelen'!AC3)</f>
        <v>0</v>
      </c>
      <c r="GY19" s="208">
        <f>IF($GN19=1,$GN19*$GM19*'Verwerking Bouwdelen'!DV3,$GN19*$GM19*'Verwerking Bouwdelen'!AD3)</f>
        <v>0</v>
      </c>
      <c r="GZ19" s="208">
        <f>IF($GN19=1,$GN19*$GM19*'Verwerking Bouwdelen'!DW3,$GN19*$GM19*'Verwerking Bouwdelen'!AE3)</f>
        <v>0</v>
      </c>
      <c r="HB19" s="89">
        <f t="shared" ref="HB19:HB39" si="1">CW19</f>
        <v>0</v>
      </c>
      <c r="HC19" s="89">
        <f t="shared" ref="HC19:HC39" si="2">CX19</f>
        <v>0</v>
      </c>
      <c r="HD19" s="89">
        <f t="shared" ref="HD19:HD39" si="3">CY19</f>
        <v>0</v>
      </c>
      <c r="HE19" s="89">
        <f t="shared" ref="HE19:HE39" si="4">CZ19</f>
        <v>0</v>
      </c>
      <c r="HF19" s="89">
        <f t="shared" ref="HF19:HF39" si="5">DA19</f>
        <v>0</v>
      </c>
      <c r="HG19" s="89">
        <f t="shared" ref="HG19:HG39" si="6">DB19</f>
        <v>0</v>
      </c>
      <c r="HH19" s="89">
        <f t="shared" ref="HH19:HH39" si="7">DC19</f>
        <v>0</v>
      </c>
      <c r="HI19" s="89">
        <f t="shared" ref="HI19:HI39" si="8">DD19</f>
        <v>0</v>
      </c>
      <c r="HJ19" s="89">
        <f t="shared" ref="HJ19:HJ39" si="9">DE19</f>
        <v>0</v>
      </c>
      <c r="HK19" s="89">
        <f t="shared" ref="HK19:HK39" si="10">DF19</f>
        <v>0</v>
      </c>
      <c r="HL19" s="89">
        <f t="shared" ref="HL19:HL39" si="11">DG19</f>
        <v>0</v>
      </c>
      <c r="HM19" s="89">
        <f t="shared" ref="HM19:HM39" si="12">DH19</f>
        <v>0</v>
      </c>
    </row>
    <row r="20" spans="1:221" x14ac:dyDescent="0.2">
      <c r="A20" s="130">
        <f>IF('Verwerking Bouwdelen'!A4=3,1,0)</f>
        <v>0</v>
      </c>
      <c r="B20" s="208">
        <f>$A20*'Verwerking Bouwdelen'!T4</f>
        <v>0</v>
      </c>
      <c r="C20" s="208">
        <f>$A20*'Verwerking Bouwdelen'!U4</f>
        <v>0</v>
      </c>
      <c r="D20" s="208">
        <f>$A20*'Verwerking Bouwdelen'!V4</f>
        <v>0</v>
      </c>
      <c r="E20" s="208">
        <f>$A20*'Verwerking Bouwdelen'!W4</f>
        <v>0</v>
      </c>
      <c r="F20" s="208">
        <f>$A20*'Verwerking Bouwdelen'!X4</f>
        <v>0</v>
      </c>
      <c r="G20" s="208">
        <f>$A20*'Verwerking Bouwdelen'!Y4</f>
        <v>0</v>
      </c>
      <c r="H20" s="208">
        <f>$A20*'Verwerking Bouwdelen'!Z4</f>
        <v>0</v>
      </c>
      <c r="I20" s="208">
        <f>$A20*'Verwerking Bouwdelen'!AA4</f>
        <v>0</v>
      </c>
      <c r="J20" s="208">
        <f>$A20*'Verwerking Bouwdelen'!AB4</f>
        <v>0</v>
      </c>
      <c r="K20" s="208">
        <f>$A20*'Verwerking Bouwdelen'!AC4</f>
        <v>0</v>
      </c>
      <c r="L20" s="208">
        <f>$A20*'Verwerking Bouwdelen'!AD4</f>
        <v>0</v>
      </c>
      <c r="M20" s="208">
        <f>$A20*'Verwerking Bouwdelen'!AE4</f>
        <v>0</v>
      </c>
      <c r="O20" s="114">
        <f>$A20*'Verwerking Bouwdelen'!AU4</f>
        <v>0</v>
      </c>
      <c r="P20" s="125">
        <f>$A20*'Verwerking Bouwdelen'!AV4</f>
        <v>0</v>
      </c>
      <c r="Q20" s="125">
        <f>$A20*'Verwerking Bouwdelen'!AW4</f>
        <v>0</v>
      </c>
      <c r="R20" s="125">
        <f>$A20*'Verwerking Bouwdelen'!AX4</f>
        <v>0</v>
      </c>
      <c r="S20" s="125">
        <f>$A20*'Verwerking Bouwdelen'!AY4</f>
        <v>0</v>
      </c>
      <c r="T20" s="125">
        <f>$A20*'Verwerking Bouwdelen'!AZ4</f>
        <v>0</v>
      </c>
      <c r="U20" s="125">
        <f>$A20*'Verwerking Bouwdelen'!BA4</f>
        <v>0</v>
      </c>
      <c r="V20" s="125">
        <f>$A20*'Verwerking Bouwdelen'!BB4</f>
        <v>0</v>
      </c>
      <c r="W20" s="125">
        <f>$A20*'Verwerking Bouwdelen'!BC4</f>
        <v>0</v>
      </c>
      <c r="X20" s="125">
        <f>$A20*'Verwerking Bouwdelen'!BD4</f>
        <v>0</v>
      </c>
      <c r="Y20" s="125">
        <f>$A20*'Verwerking Bouwdelen'!BE4</f>
        <v>0</v>
      </c>
      <c r="Z20" s="195">
        <f>$A20*'Verwerking Bouwdelen'!BF4</f>
        <v>0</v>
      </c>
      <c r="AB20" s="125">
        <f>IF(OR('Verwerking Bouwdelen'!C4=3,'Verwerking Bouwdelen'!C4=6),1,0)</f>
        <v>0</v>
      </c>
      <c r="AC20" s="130">
        <f>IF('Verwerking Bouwdelen'!A4=3,1,0)</f>
        <v>0</v>
      </c>
      <c r="AD20" s="208">
        <f>IF($AB20=1,$AC20*'Verwerking Bouwdelen'!DL4,$AC20*'Verwerking Bouwdelen'!T4)</f>
        <v>0</v>
      </c>
      <c r="AE20" s="208">
        <f>IF($AB20=1,$AC20*'Verwerking Bouwdelen'!DM4,$AC20*'Verwerking Bouwdelen'!U4)</f>
        <v>0</v>
      </c>
      <c r="AF20" s="208">
        <f>IF($AB20=1,$AC20*'Verwerking Bouwdelen'!DN4,$AC20*'Verwerking Bouwdelen'!V4)</f>
        <v>0</v>
      </c>
      <c r="AG20" s="208">
        <f>IF($AB20=1,$AC20*'Verwerking Bouwdelen'!DO4,$AC20*'Verwerking Bouwdelen'!W4)</f>
        <v>0</v>
      </c>
      <c r="AH20" s="208">
        <f>IF($AB20=1,$AC20*'Verwerking Bouwdelen'!DP4,$AC20*'Verwerking Bouwdelen'!X4)</f>
        <v>0</v>
      </c>
      <c r="AI20" s="208">
        <f>IF($AB20=1,$AC20*'Verwerking Bouwdelen'!DQ4,$AC20*'Verwerking Bouwdelen'!Y4)</f>
        <v>0</v>
      </c>
      <c r="AJ20" s="208">
        <f>IF($AB20=1,$AC20*'Verwerking Bouwdelen'!DR4,$AC20*'Verwerking Bouwdelen'!Z4)</f>
        <v>0</v>
      </c>
      <c r="AK20" s="208">
        <f>IF($AB20=1,$AC20*'Verwerking Bouwdelen'!DS4,$AC20*'Verwerking Bouwdelen'!AA4)</f>
        <v>0</v>
      </c>
      <c r="AL20" s="208">
        <f>IF($AB20=1,$AC20*'Verwerking Bouwdelen'!DT4,$AC20*'Verwerking Bouwdelen'!AB4)</f>
        <v>0</v>
      </c>
      <c r="AM20" s="208">
        <f>IF($AB20=1,$AC20*'Verwerking Bouwdelen'!DU4,$AC20*'Verwerking Bouwdelen'!AC4)</f>
        <v>0</v>
      </c>
      <c r="AN20" s="208">
        <f>IF($AB20=1,$AC20*'Verwerking Bouwdelen'!DV4,$AC20*'Verwerking Bouwdelen'!AD4)</f>
        <v>0</v>
      </c>
      <c r="AO20" s="208">
        <f>IF($AB20=1,$AC20*'Verwerking Bouwdelen'!DW4,$AC20*'Verwerking Bouwdelen'!AE4)</f>
        <v>0</v>
      </c>
      <c r="AP20" s="10">
        <f>IF(AD20=B20,0,'Verwerking Bouwdelen'!D4*AB20*AC20)</f>
        <v>0</v>
      </c>
      <c r="AQ20" s="10">
        <f>AB20*AC20*'Verwerking Bouwdelen'!GH4</f>
        <v>0</v>
      </c>
      <c r="AR20" s="10"/>
      <c r="AS20" s="248"/>
      <c r="AT20" s="125">
        <f>IF('Verwerking Bouwdelen'!C4=4,1,0)</f>
        <v>0</v>
      </c>
      <c r="AU20" s="130">
        <f>IF('Verwerking Bouwdelen'!A4=3,1,0)</f>
        <v>0</v>
      </c>
      <c r="AV20" s="208">
        <f>IF($AT20=1,$AU20*'Verwerking Bouwdelen'!DL4,$AU20*'Verwerking Bouwdelen'!T4)</f>
        <v>0</v>
      </c>
      <c r="AW20" s="208">
        <f>IF($AT20=1,$AU20*'Verwerking Bouwdelen'!DM4,$AU20*'Verwerking Bouwdelen'!U4)</f>
        <v>0</v>
      </c>
      <c r="AX20" s="208">
        <f>IF($AT20=1,$AU20*'Verwerking Bouwdelen'!DN4,$AU20*'Verwerking Bouwdelen'!V4)</f>
        <v>0</v>
      </c>
      <c r="AY20" s="208">
        <f>IF($AT20=1,$AU20*'Verwerking Bouwdelen'!DO4,$AU20*'Verwerking Bouwdelen'!W4)</f>
        <v>0</v>
      </c>
      <c r="AZ20" s="208">
        <f>IF($AT20=1,$AU20*'Verwerking Bouwdelen'!DP4,$AU20*'Verwerking Bouwdelen'!X4)</f>
        <v>0</v>
      </c>
      <c r="BA20" s="208">
        <f>IF($AT20=1,$AU20*'Verwerking Bouwdelen'!DQ4,$AU20*'Verwerking Bouwdelen'!Y4)</f>
        <v>0</v>
      </c>
      <c r="BB20" s="208">
        <f>IF($AT20=1,$AU20*'Verwerking Bouwdelen'!DR4,$AU20*'Verwerking Bouwdelen'!Z4)</f>
        <v>0</v>
      </c>
      <c r="BC20" s="208">
        <f>IF($AT20=1,$AU20*'Verwerking Bouwdelen'!DS4,$AU20*'Verwerking Bouwdelen'!AA4)</f>
        <v>0</v>
      </c>
      <c r="BD20" s="208">
        <f>IF($AT20=1,$AU20*'Verwerking Bouwdelen'!DT4,$AU20*'Verwerking Bouwdelen'!AB4)</f>
        <v>0</v>
      </c>
      <c r="BE20" s="208">
        <f>IF($AT20=1,$AU20*'Verwerking Bouwdelen'!DU4,$AU20*'Verwerking Bouwdelen'!AC4)</f>
        <v>0</v>
      </c>
      <c r="BF20" s="208">
        <f>IF($AT20=1,$AU20*'Verwerking Bouwdelen'!DV4,$AU20*'Verwerking Bouwdelen'!AD4)</f>
        <v>0</v>
      </c>
      <c r="BG20" s="208">
        <f>IF($AT20=1,$AU20*'Verwerking Bouwdelen'!DW4,$AU20*'Verwerking Bouwdelen'!AE4)</f>
        <v>0</v>
      </c>
      <c r="BH20" s="10">
        <f>IF(AV20=B20,0,'Verwerking Bouwdelen'!D4*AT20*AU20)</f>
        <v>0</v>
      </c>
      <c r="BI20" s="10">
        <f>AT20*AU20*'Verwerking Bouwdelen'!GH4</f>
        <v>0</v>
      </c>
      <c r="BJ20" s="10"/>
      <c r="BK20" s="10"/>
      <c r="BM20" s="125">
        <f>IF('Verwerking Bouwdelen'!C4=5,1,0)</f>
        <v>0</v>
      </c>
      <c r="BN20" s="130">
        <f>IF('Verwerking Bouwdelen'!A4=3,1,0)</f>
        <v>0</v>
      </c>
      <c r="BO20" s="208">
        <f>IF($BM20=1,$BN20*'Verwerking Bouwdelen'!DL4,$BN20*'Verwerking Bouwdelen'!T4)</f>
        <v>0</v>
      </c>
      <c r="BP20" s="208">
        <f>IF($BM20=1,$BN20*'Verwerking Bouwdelen'!DM4,$BN20*'Verwerking Bouwdelen'!U4)</f>
        <v>0</v>
      </c>
      <c r="BQ20" s="208">
        <f>IF($BM20=1,$BN20*'Verwerking Bouwdelen'!DN4,$BN20*'Verwerking Bouwdelen'!V4)</f>
        <v>0</v>
      </c>
      <c r="BR20" s="208">
        <f>IF($BM20=1,$BN20*'Verwerking Bouwdelen'!DO4,$BN20*'Verwerking Bouwdelen'!W4)</f>
        <v>0</v>
      </c>
      <c r="BS20" s="208">
        <f>IF($BM20=1,$BN20*'Verwerking Bouwdelen'!DP4,$BN20*'Verwerking Bouwdelen'!X4)</f>
        <v>0</v>
      </c>
      <c r="BT20" s="208">
        <f>IF($BM20=1,$BN20*'Verwerking Bouwdelen'!DQ4,$BN20*'Verwerking Bouwdelen'!Y4)</f>
        <v>0</v>
      </c>
      <c r="BU20" s="208">
        <f>IF($BM20=1,$BN20*'Verwerking Bouwdelen'!DR4,$BN20*'Verwerking Bouwdelen'!Z4)</f>
        <v>0</v>
      </c>
      <c r="BV20" s="208">
        <f>IF($BM20=1,$BN20*'Verwerking Bouwdelen'!DS4,$BN20*'Verwerking Bouwdelen'!AA4)</f>
        <v>0</v>
      </c>
      <c r="BW20" s="208">
        <f>IF($BM20=1,$BN20*'Verwerking Bouwdelen'!DT4,$BN20*'Verwerking Bouwdelen'!AB4)</f>
        <v>0</v>
      </c>
      <c r="BX20" s="208">
        <f>IF($BM20=1,$BN20*'Verwerking Bouwdelen'!DU4,$BN20*'Verwerking Bouwdelen'!AC4)</f>
        <v>0</v>
      </c>
      <c r="BY20" s="208">
        <f>IF($BM20=1,$BN20*'Verwerking Bouwdelen'!DV4,$BN20*'Verwerking Bouwdelen'!AD4)</f>
        <v>0</v>
      </c>
      <c r="BZ20" s="208">
        <f>IF($BM20=1,$BN20*'Verwerking Bouwdelen'!DW4,$BN20*'Verwerking Bouwdelen'!AE4)</f>
        <v>0</v>
      </c>
      <c r="CA20" s="10">
        <f>IF(BO20=$B20,0,'Verwerking Bouwdelen'!$D4*BM20*BN20)</f>
        <v>0</v>
      </c>
      <c r="CB20" s="10">
        <f>BM20*BN20*'Verwerking Bouwdelen'!GH4</f>
        <v>0</v>
      </c>
      <c r="CC20" s="10"/>
      <c r="CD20" s="248"/>
      <c r="CE20" s="125">
        <f>IF('Verwerking Bouwdelen'!C4=2,1,0)</f>
        <v>0</v>
      </c>
      <c r="CF20" s="130">
        <f>IF('Verwerking Bouwdelen'!A4=3,1,0)</f>
        <v>0</v>
      </c>
      <c r="CG20" s="208">
        <f>IF($CE20=1,$CF20*'Verwerking Bouwdelen'!DL4,$CF20*'Verwerking Bouwdelen'!T4)</f>
        <v>0</v>
      </c>
      <c r="CH20" s="208">
        <f>IF($CE20=1,$CF20*'Verwerking Bouwdelen'!DM4,$CF20*'Verwerking Bouwdelen'!U4)</f>
        <v>0</v>
      </c>
      <c r="CI20" s="208">
        <f>IF($CE20=1,$CF20*'Verwerking Bouwdelen'!DN4,$CF20*'Verwerking Bouwdelen'!V4)</f>
        <v>0</v>
      </c>
      <c r="CJ20" s="208">
        <f>IF($CE20=1,$CF20*'Verwerking Bouwdelen'!DO4,$CF20*'Verwerking Bouwdelen'!W4)</f>
        <v>0</v>
      </c>
      <c r="CK20" s="208">
        <f>IF($CE20=1,$CF20*'Verwerking Bouwdelen'!DP4,$CF20*'Verwerking Bouwdelen'!X4)</f>
        <v>0</v>
      </c>
      <c r="CL20" s="208">
        <f>IF($CE20=1,$CF20*'Verwerking Bouwdelen'!DQ4,$CF20*'Verwerking Bouwdelen'!Y4)</f>
        <v>0</v>
      </c>
      <c r="CM20" s="208">
        <f>IF($CE20=1,$CF20*'Verwerking Bouwdelen'!DR4,$CF20*'Verwerking Bouwdelen'!Z4)</f>
        <v>0</v>
      </c>
      <c r="CN20" s="208">
        <f>IF($CE20=1,$CF20*'Verwerking Bouwdelen'!DS4,$CF20*'Verwerking Bouwdelen'!AA4)</f>
        <v>0</v>
      </c>
      <c r="CO20" s="208">
        <f>IF($CE20=1,$CF20*'Verwerking Bouwdelen'!DT4,$CF20*'Verwerking Bouwdelen'!AB4)</f>
        <v>0</v>
      </c>
      <c r="CP20" s="208">
        <f>IF($CE20=1,$CF20*'Verwerking Bouwdelen'!DU4,$CF20*'Verwerking Bouwdelen'!AC4)</f>
        <v>0</v>
      </c>
      <c r="CQ20" s="208">
        <f>IF($CE20=1,$CF20*'Verwerking Bouwdelen'!DV4,$CF20*'Verwerking Bouwdelen'!AD4)</f>
        <v>0</v>
      </c>
      <c r="CR20" s="208">
        <f>IF($CE20=1,$CF20*'Verwerking Bouwdelen'!DW4,$CF20*'Verwerking Bouwdelen'!AE4)</f>
        <v>0</v>
      </c>
      <c r="CS20" s="10">
        <f>IF(CG20=$B20,0,('Verwerking Bouwdelen'!$D4-'Verwerking Bouwdelen'!G4)*CE20*CF20)</f>
        <v>0</v>
      </c>
      <c r="CT20" s="260">
        <f>CE20*CF20*'Verwerking Bouwdelen'!GH4</f>
        <v>0</v>
      </c>
      <c r="CU20" s="261">
        <f>CE20*CF20*'Verwerking Bouwdelen'!GI4</f>
        <v>0</v>
      </c>
      <c r="CW20" s="209">
        <f>$AC20*'Verwerking Bouwdelen'!EE4</f>
        <v>0</v>
      </c>
      <c r="CX20" s="209">
        <f>$AC20*'Verwerking Bouwdelen'!EF4</f>
        <v>0</v>
      </c>
      <c r="CY20" s="209">
        <f>$AC20*'Verwerking Bouwdelen'!EG4</f>
        <v>0</v>
      </c>
      <c r="CZ20" s="209">
        <f>$AC20*'Verwerking Bouwdelen'!EH4</f>
        <v>0</v>
      </c>
      <c r="DA20" s="209">
        <f>$AC20*'Verwerking Bouwdelen'!EI4</f>
        <v>0</v>
      </c>
      <c r="DB20" s="209">
        <f>$AC20*'Verwerking Bouwdelen'!EJ4</f>
        <v>0</v>
      </c>
      <c r="DC20" s="209">
        <f>$AC20*'Verwerking Bouwdelen'!EK4</f>
        <v>0</v>
      </c>
      <c r="DD20" s="209">
        <f>$AC20*'Verwerking Bouwdelen'!EL4</f>
        <v>0</v>
      </c>
      <c r="DE20" s="209">
        <f>$AC20*'Verwerking Bouwdelen'!EM4</f>
        <v>0</v>
      </c>
      <c r="DF20" s="209">
        <f>$AC20*'Verwerking Bouwdelen'!EN4</f>
        <v>0</v>
      </c>
      <c r="DG20" s="209">
        <f>$AC20*'Verwerking Bouwdelen'!EO4</f>
        <v>0</v>
      </c>
      <c r="DH20" s="209">
        <f>$AC20*'Verwerking Bouwdelen'!EP4</f>
        <v>0</v>
      </c>
      <c r="DI20" s="10">
        <f>IF(CW20=$O20,0,'Verwerking Bouwdelen'!G4)</f>
        <v>0</v>
      </c>
      <c r="DJ20" s="259">
        <f>'Verwerking Bouwdelen'!GK4*CF20</f>
        <v>0</v>
      </c>
      <c r="DK20" s="259">
        <f>'Verwerking Bouwdelen'!GL4*CF20</f>
        <v>0</v>
      </c>
      <c r="DL20" s="125"/>
      <c r="FC20" s="89">
        <f>IF('Verwerken ventilatie'!AJ12=3,1,0)</f>
        <v>0</v>
      </c>
      <c r="FD20" s="89">
        <f>FC20*'Verwerken ventilatie'!BT12</f>
        <v>0</v>
      </c>
      <c r="FE20" s="89">
        <f>FC20*'Verwerken ventilatie'!BU12</f>
        <v>0</v>
      </c>
      <c r="FZ20" s="89">
        <f>IF('Verwerken verlichting'!B16=3,1,0)</f>
        <v>0</v>
      </c>
      <c r="GA20" s="89">
        <f>$FZ20*'Verwerken verlichting'!BX16</f>
        <v>0</v>
      </c>
      <c r="GB20" s="89">
        <f>$FZ20*'Verwerken verlichting'!BY16</f>
        <v>0</v>
      </c>
      <c r="GC20" s="89">
        <f>$FZ20*'Verwerken verlichting'!BZ16</f>
        <v>0</v>
      </c>
      <c r="GD20" s="89">
        <f>$FZ20*'Verwerken verlichting'!CA16</f>
        <v>0</v>
      </c>
      <c r="GE20" s="89">
        <f>$FZ20*'Verwerken verlichting'!CB16</f>
        <v>0</v>
      </c>
      <c r="GF20" s="89">
        <f>$FZ20*'Verwerken verlichting'!CC16</f>
        <v>0</v>
      </c>
      <c r="GG20" s="89">
        <f>FZ20*'Invoer verlichting'!N15</f>
        <v>0</v>
      </c>
      <c r="GH20" s="89">
        <f>FZ20*'Verwerken verlichting'!AH16</f>
        <v>0</v>
      </c>
      <c r="GI20" s="89">
        <f>FZ20*'Verwerken verlichting'!AG16</f>
        <v>0</v>
      </c>
      <c r="GJ20" s="89">
        <f>FZ20*'Verwerken verlichting'!CE16</f>
        <v>0</v>
      </c>
      <c r="GM20" s="89">
        <f t="shared" ref="GM20:GM60" si="13">AB20+AT20+BM20+CE20</f>
        <v>0</v>
      </c>
      <c r="GN20" s="89">
        <f t="shared" ref="GN20:GN60" si="14">A20</f>
        <v>0</v>
      </c>
      <c r="GO20" s="208">
        <f>IF($GN20=1,$GN20*$GM20*'Verwerking Bouwdelen'!DL4,$GN20*$GM20*'Verwerking Bouwdelen'!T4)</f>
        <v>0</v>
      </c>
      <c r="GP20" s="208">
        <f>IF($GN20=1,$GN20*$GM20*'Verwerking Bouwdelen'!DM4,$GN20*$GM20*'Verwerking Bouwdelen'!U4)</f>
        <v>0</v>
      </c>
      <c r="GQ20" s="208">
        <f>IF($GN20=1,$GN20*$GM20*'Verwerking Bouwdelen'!DN4,$GN20*$GM20*'Verwerking Bouwdelen'!V4)</f>
        <v>0</v>
      </c>
      <c r="GR20" s="208">
        <f>IF($GN20=1,$GN20*$GM20*'Verwerking Bouwdelen'!DO4,$GN20*$GM20*'Verwerking Bouwdelen'!W4)</f>
        <v>0</v>
      </c>
      <c r="GS20" s="208">
        <f>IF($GN20=1,$GN20*$GM20*'Verwerking Bouwdelen'!DP4,$GN20*$GM20*'Verwerking Bouwdelen'!X4)</f>
        <v>0</v>
      </c>
      <c r="GT20" s="208">
        <f>IF($GN20=1,$GN20*$GM20*'Verwerking Bouwdelen'!DQ4,$GN20*$GM20*'Verwerking Bouwdelen'!Y4)</f>
        <v>0</v>
      </c>
      <c r="GU20" s="208">
        <f>IF($GN20=1,$GN20*$GM20*'Verwerking Bouwdelen'!DR4,$GN20*$GM20*'Verwerking Bouwdelen'!Z4)</f>
        <v>0</v>
      </c>
      <c r="GV20" s="208">
        <f>IF($GN20=1,$GN20*$GM20*'Verwerking Bouwdelen'!DS4,$GN20*$GM20*'Verwerking Bouwdelen'!AA4)</f>
        <v>0</v>
      </c>
      <c r="GW20" s="208">
        <f>IF($GN20=1,$GN20*$GM20*'Verwerking Bouwdelen'!DT4,$GN20*$GM20*'Verwerking Bouwdelen'!AB4)</f>
        <v>0</v>
      </c>
      <c r="GX20" s="208">
        <f>IF($GN20=1,$GN20*$GM20*'Verwerking Bouwdelen'!DU4,$GN20*$GM20*'Verwerking Bouwdelen'!AC4)</f>
        <v>0</v>
      </c>
      <c r="GY20" s="208">
        <f>IF($GN20=1,$GN20*$GM20*'Verwerking Bouwdelen'!DV4,$GN20*$GM20*'Verwerking Bouwdelen'!AD4)</f>
        <v>0</v>
      </c>
      <c r="GZ20" s="208">
        <f>IF($GN20=1,$GN20*$GM20*'Verwerking Bouwdelen'!DW4,$GN20*$GM20*'Verwerking Bouwdelen'!AE4)</f>
        <v>0</v>
      </c>
      <c r="HB20" s="89">
        <f t="shared" si="1"/>
        <v>0</v>
      </c>
      <c r="HC20" s="89">
        <f t="shared" si="2"/>
        <v>0</v>
      </c>
      <c r="HD20" s="89">
        <f t="shared" si="3"/>
        <v>0</v>
      </c>
      <c r="HE20" s="89">
        <f t="shared" si="4"/>
        <v>0</v>
      </c>
      <c r="HF20" s="89">
        <f t="shared" si="5"/>
        <v>0</v>
      </c>
      <c r="HG20" s="89">
        <f t="shared" si="6"/>
        <v>0</v>
      </c>
      <c r="HH20" s="89">
        <f t="shared" si="7"/>
        <v>0</v>
      </c>
      <c r="HI20" s="89">
        <f t="shared" si="8"/>
        <v>0</v>
      </c>
      <c r="HJ20" s="89">
        <f t="shared" si="9"/>
        <v>0</v>
      </c>
      <c r="HK20" s="89">
        <f t="shared" si="10"/>
        <v>0</v>
      </c>
      <c r="HL20" s="89">
        <f t="shared" si="11"/>
        <v>0</v>
      </c>
      <c r="HM20" s="89">
        <f t="shared" si="12"/>
        <v>0</v>
      </c>
    </row>
    <row r="21" spans="1:221" x14ac:dyDescent="0.2">
      <c r="A21" s="130">
        <f>IF('Verwerking Bouwdelen'!A5=3,1,0)</f>
        <v>0</v>
      </c>
      <c r="B21" s="208">
        <f>$A21*'Verwerking Bouwdelen'!T5</f>
        <v>0</v>
      </c>
      <c r="C21" s="208">
        <f>$A21*'Verwerking Bouwdelen'!U5</f>
        <v>0</v>
      </c>
      <c r="D21" s="208">
        <f>$A21*'Verwerking Bouwdelen'!V5</f>
        <v>0</v>
      </c>
      <c r="E21" s="208">
        <f>$A21*'Verwerking Bouwdelen'!W5</f>
        <v>0</v>
      </c>
      <c r="F21" s="208">
        <f>$A21*'Verwerking Bouwdelen'!X5</f>
        <v>0</v>
      </c>
      <c r="G21" s="208">
        <f>$A21*'Verwerking Bouwdelen'!Y5</f>
        <v>0</v>
      </c>
      <c r="H21" s="208">
        <f>$A21*'Verwerking Bouwdelen'!Z5</f>
        <v>0</v>
      </c>
      <c r="I21" s="208">
        <f>$A21*'Verwerking Bouwdelen'!AA5</f>
        <v>0</v>
      </c>
      <c r="J21" s="208">
        <f>$A21*'Verwerking Bouwdelen'!AB5</f>
        <v>0</v>
      </c>
      <c r="K21" s="208">
        <f>$A21*'Verwerking Bouwdelen'!AC5</f>
        <v>0</v>
      </c>
      <c r="L21" s="208">
        <f>$A21*'Verwerking Bouwdelen'!AD5</f>
        <v>0</v>
      </c>
      <c r="M21" s="208">
        <f>$A21*'Verwerking Bouwdelen'!AE5</f>
        <v>0</v>
      </c>
      <c r="O21" s="114">
        <f>$A21*'Verwerking Bouwdelen'!AU5</f>
        <v>0</v>
      </c>
      <c r="P21" s="125">
        <f>$A21*'Verwerking Bouwdelen'!AV5</f>
        <v>0</v>
      </c>
      <c r="Q21" s="125">
        <f>$A21*'Verwerking Bouwdelen'!AW5</f>
        <v>0</v>
      </c>
      <c r="R21" s="125">
        <f>$A21*'Verwerking Bouwdelen'!AX5</f>
        <v>0</v>
      </c>
      <c r="S21" s="125">
        <f>$A21*'Verwerking Bouwdelen'!AY5</f>
        <v>0</v>
      </c>
      <c r="T21" s="125">
        <f>$A21*'Verwerking Bouwdelen'!AZ5</f>
        <v>0</v>
      </c>
      <c r="U21" s="125">
        <f>$A21*'Verwerking Bouwdelen'!BA5</f>
        <v>0</v>
      </c>
      <c r="V21" s="125">
        <f>$A21*'Verwerking Bouwdelen'!BB5</f>
        <v>0</v>
      </c>
      <c r="W21" s="125">
        <f>$A21*'Verwerking Bouwdelen'!BC5</f>
        <v>0</v>
      </c>
      <c r="X21" s="125">
        <f>$A21*'Verwerking Bouwdelen'!BD5</f>
        <v>0</v>
      </c>
      <c r="Y21" s="125">
        <f>$A21*'Verwerking Bouwdelen'!BE5</f>
        <v>0</v>
      </c>
      <c r="Z21" s="195">
        <f>$A21*'Verwerking Bouwdelen'!BF5</f>
        <v>0</v>
      </c>
      <c r="AB21" s="125">
        <f>IF(OR('Verwerking Bouwdelen'!C5=3,'Verwerking Bouwdelen'!C5=6),1,0)</f>
        <v>0</v>
      </c>
      <c r="AC21" s="130">
        <f>IF('Verwerking Bouwdelen'!A5=3,1,0)</f>
        <v>0</v>
      </c>
      <c r="AD21" s="208">
        <f>IF($AB21=1,$AC21*'Verwerking Bouwdelen'!DL5,$AC21*'Verwerking Bouwdelen'!T5)</f>
        <v>0</v>
      </c>
      <c r="AE21" s="208">
        <f>IF($AB21=1,$AC21*'Verwerking Bouwdelen'!DM5,$AC21*'Verwerking Bouwdelen'!U5)</f>
        <v>0</v>
      </c>
      <c r="AF21" s="208">
        <f>IF($AB21=1,$AC21*'Verwerking Bouwdelen'!DN5,$AC21*'Verwerking Bouwdelen'!V5)</f>
        <v>0</v>
      </c>
      <c r="AG21" s="208">
        <f>IF($AB21=1,$AC21*'Verwerking Bouwdelen'!DO5,$AC21*'Verwerking Bouwdelen'!W5)</f>
        <v>0</v>
      </c>
      <c r="AH21" s="208">
        <f>IF($AB21=1,$AC21*'Verwerking Bouwdelen'!DP5,$AC21*'Verwerking Bouwdelen'!X5)</f>
        <v>0</v>
      </c>
      <c r="AI21" s="208">
        <f>IF($AB21=1,$AC21*'Verwerking Bouwdelen'!DQ5,$AC21*'Verwerking Bouwdelen'!Y5)</f>
        <v>0</v>
      </c>
      <c r="AJ21" s="208">
        <f>IF($AB21=1,$AC21*'Verwerking Bouwdelen'!DR5,$AC21*'Verwerking Bouwdelen'!Z5)</f>
        <v>0</v>
      </c>
      <c r="AK21" s="208">
        <f>IF($AB21=1,$AC21*'Verwerking Bouwdelen'!DS5,$AC21*'Verwerking Bouwdelen'!AA5)</f>
        <v>0</v>
      </c>
      <c r="AL21" s="208">
        <f>IF($AB21=1,$AC21*'Verwerking Bouwdelen'!DT5,$AC21*'Verwerking Bouwdelen'!AB5)</f>
        <v>0</v>
      </c>
      <c r="AM21" s="208">
        <f>IF($AB21=1,$AC21*'Verwerking Bouwdelen'!DU5,$AC21*'Verwerking Bouwdelen'!AC5)</f>
        <v>0</v>
      </c>
      <c r="AN21" s="208">
        <f>IF($AB21=1,$AC21*'Verwerking Bouwdelen'!DV5,$AC21*'Verwerking Bouwdelen'!AD5)</f>
        <v>0</v>
      </c>
      <c r="AO21" s="208">
        <f>IF($AB21=1,$AC21*'Verwerking Bouwdelen'!DW5,$AC21*'Verwerking Bouwdelen'!AE5)</f>
        <v>0</v>
      </c>
      <c r="AP21" s="10">
        <f>IF(AD21=B21,0,'Verwerking Bouwdelen'!D5*AB21*AC21)</f>
        <v>0</v>
      </c>
      <c r="AQ21" s="10">
        <f>AB21*AC21*'Verwerking Bouwdelen'!GH5</f>
        <v>0</v>
      </c>
      <c r="AR21" s="10"/>
      <c r="AS21" s="248"/>
      <c r="AT21" s="125">
        <f>IF('Verwerking Bouwdelen'!C5=4,1,0)</f>
        <v>0</v>
      </c>
      <c r="AU21" s="130">
        <f>IF('Verwerking Bouwdelen'!A5=3,1,0)</f>
        <v>0</v>
      </c>
      <c r="AV21" s="208">
        <f>IF($AT21=1,$AU21*'Verwerking Bouwdelen'!DL5,$AU21*'Verwerking Bouwdelen'!T5)</f>
        <v>0</v>
      </c>
      <c r="AW21" s="208">
        <f>IF($AT21=1,$AU21*'Verwerking Bouwdelen'!DM5,$AU21*'Verwerking Bouwdelen'!U5)</f>
        <v>0</v>
      </c>
      <c r="AX21" s="208">
        <f>IF($AT21=1,$AU21*'Verwerking Bouwdelen'!DN5,$AU21*'Verwerking Bouwdelen'!V5)</f>
        <v>0</v>
      </c>
      <c r="AY21" s="208">
        <f>IF($AT21=1,$AU21*'Verwerking Bouwdelen'!DO5,$AU21*'Verwerking Bouwdelen'!W5)</f>
        <v>0</v>
      </c>
      <c r="AZ21" s="208">
        <f>IF($AT21=1,$AU21*'Verwerking Bouwdelen'!DP5,$AU21*'Verwerking Bouwdelen'!X5)</f>
        <v>0</v>
      </c>
      <c r="BA21" s="208">
        <f>IF($AT21=1,$AU21*'Verwerking Bouwdelen'!DQ5,$AU21*'Verwerking Bouwdelen'!Y5)</f>
        <v>0</v>
      </c>
      <c r="BB21" s="208">
        <f>IF($AT21=1,$AU21*'Verwerking Bouwdelen'!DR5,$AU21*'Verwerking Bouwdelen'!Z5)</f>
        <v>0</v>
      </c>
      <c r="BC21" s="208">
        <f>IF($AT21=1,$AU21*'Verwerking Bouwdelen'!DS5,$AU21*'Verwerking Bouwdelen'!AA5)</f>
        <v>0</v>
      </c>
      <c r="BD21" s="208">
        <f>IF($AT21=1,$AU21*'Verwerking Bouwdelen'!DT5,$AU21*'Verwerking Bouwdelen'!AB5)</f>
        <v>0</v>
      </c>
      <c r="BE21" s="208">
        <f>IF($AT21=1,$AU21*'Verwerking Bouwdelen'!DU5,$AU21*'Verwerking Bouwdelen'!AC5)</f>
        <v>0</v>
      </c>
      <c r="BF21" s="208">
        <f>IF($AT21=1,$AU21*'Verwerking Bouwdelen'!DV5,$AU21*'Verwerking Bouwdelen'!AD5)</f>
        <v>0</v>
      </c>
      <c r="BG21" s="208">
        <f>IF($AT21=1,$AU21*'Verwerking Bouwdelen'!DW5,$AU21*'Verwerking Bouwdelen'!AE5)</f>
        <v>0</v>
      </c>
      <c r="BH21" s="10">
        <f>IF(AV21=B21,0,'Verwerking Bouwdelen'!D5*AT21*AU21)</f>
        <v>0</v>
      </c>
      <c r="BI21" s="10">
        <f>AT21*AU21*'Verwerking Bouwdelen'!GH5</f>
        <v>0</v>
      </c>
      <c r="BJ21" s="10"/>
      <c r="BK21" s="10"/>
      <c r="BM21" s="125">
        <f>IF('Verwerking Bouwdelen'!C5=5,1,0)</f>
        <v>0</v>
      </c>
      <c r="BN21" s="130">
        <f>IF('Verwerking Bouwdelen'!A5=3,1,0)</f>
        <v>0</v>
      </c>
      <c r="BO21" s="208">
        <f>IF($BM21=1,$BN21*'Verwerking Bouwdelen'!DL5,$BN21*'Verwerking Bouwdelen'!T5)</f>
        <v>0</v>
      </c>
      <c r="BP21" s="208">
        <f>IF($BM21=1,$BN21*'Verwerking Bouwdelen'!DM5,$BN21*'Verwerking Bouwdelen'!U5)</f>
        <v>0</v>
      </c>
      <c r="BQ21" s="208">
        <f>IF($BM21=1,$BN21*'Verwerking Bouwdelen'!DN5,$BN21*'Verwerking Bouwdelen'!V5)</f>
        <v>0</v>
      </c>
      <c r="BR21" s="208">
        <f>IF($BM21=1,$BN21*'Verwerking Bouwdelen'!DO5,$BN21*'Verwerking Bouwdelen'!W5)</f>
        <v>0</v>
      </c>
      <c r="BS21" s="208">
        <f>IF($BM21=1,$BN21*'Verwerking Bouwdelen'!DP5,$BN21*'Verwerking Bouwdelen'!X5)</f>
        <v>0</v>
      </c>
      <c r="BT21" s="208">
        <f>IF($BM21=1,$BN21*'Verwerking Bouwdelen'!DQ5,$BN21*'Verwerking Bouwdelen'!Y5)</f>
        <v>0</v>
      </c>
      <c r="BU21" s="208">
        <f>IF($BM21=1,$BN21*'Verwerking Bouwdelen'!DR5,$BN21*'Verwerking Bouwdelen'!Z5)</f>
        <v>0</v>
      </c>
      <c r="BV21" s="208">
        <f>IF($BM21=1,$BN21*'Verwerking Bouwdelen'!DS5,$BN21*'Verwerking Bouwdelen'!AA5)</f>
        <v>0</v>
      </c>
      <c r="BW21" s="208">
        <f>IF($BM21=1,$BN21*'Verwerking Bouwdelen'!DT5,$BN21*'Verwerking Bouwdelen'!AB5)</f>
        <v>0</v>
      </c>
      <c r="BX21" s="208">
        <f>IF($BM21=1,$BN21*'Verwerking Bouwdelen'!DU5,$BN21*'Verwerking Bouwdelen'!AC5)</f>
        <v>0</v>
      </c>
      <c r="BY21" s="208">
        <f>IF($BM21=1,$BN21*'Verwerking Bouwdelen'!DV5,$BN21*'Verwerking Bouwdelen'!AD5)</f>
        <v>0</v>
      </c>
      <c r="BZ21" s="208">
        <f>IF($BM21=1,$BN21*'Verwerking Bouwdelen'!DW5,$BN21*'Verwerking Bouwdelen'!AE5)</f>
        <v>0</v>
      </c>
      <c r="CA21" s="10">
        <f>IF(BO21=$B21,0,'Verwerking Bouwdelen'!$D5*BM21*BN21)</f>
        <v>0</v>
      </c>
      <c r="CB21" s="10">
        <f>BM21*BN21*'Verwerking Bouwdelen'!GH5</f>
        <v>0</v>
      </c>
      <c r="CC21" s="10"/>
      <c r="CD21" s="248"/>
      <c r="CE21" s="125">
        <f>IF('Verwerking Bouwdelen'!C5=2,1,0)</f>
        <v>0</v>
      </c>
      <c r="CF21" s="130">
        <f>IF('Verwerking Bouwdelen'!A5=3,1,0)</f>
        <v>0</v>
      </c>
      <c r="CG21" s="208">
        <f>IF($CE21=1,$CF21*'Verwerking Bouwdelen'!DL5,$CF21*'Verwerking Bouwdelen'!T5)</f>
        <v>0</v>
      </c>
      <c r="CH21" s="208">
        <f>IF($CE21=1,$CF21*'Verwerking Bouwdelen'!DM5,$CF21*'Verwerking Bouwdelen'!U5)</f>
        <v>0</v>
      </c>
      <c r="CI21" s="208">
        <f>IF($CE21=1,$CF21*'Verwerking Bouwdelen'!DN5,$CF21*'Verwerking Bouwdelen'!V5)</f>
        <v>0</v>
      </c>
      <c r="CJ21" s="208">
        <f>IF($CE21=1,$CF21*'Verwerking Bouwdelen'!DO5,$CF21*'Verwerking Bouwdelen'!W5)</f>
        <v>0</v>
      </c>
      <c r="CK21" s="208">
        <f>IF($CE21=1,$CF21*'Verwerking Bouwdelen'!DP5,$CF21*'Verwerking Bouwdelen'!X5)</f>
        <v>0</v>
      </c>
      <c r="CL21" s="208">
        <f>IF($CE21=1,$CF21*'Verwerking Bouwdelen'!DQ5,$CF21*'Verwerking Bouwdelen'!Y5)</f>
        <v>0</v>
      </c>
      <c r="CM21" s="208">
        <f>IF($CE21=1,$CF21*'Verwerking Bouwdelen'!DR5,$CF21*'Verwerking Bouwdelen'!Z5)</f>
        <v>0</v>
      </c>
      <c r="CN21" s="208">
        <f>IF($CE21=1,$CF21*'Verwerking Bouwdelen'!DS5,$CF21*'Verwerking Bouwdelen'!AA5)</f>
        <v>0</v>
      </c>
      <c r="CO21" s="208">
        <f>IF($CE21=1,$CF21*'Verwerking Bouwdelen'!DT5,$CF21*'Verwerking Bouwdelen'!AB5)</f>
        <v>0</v>
      </c>
      <c r="CP21" s="208">
        <f>IF($CE21=1,$CF21*'Verwerking Bouwdelen'!DU5,$CF21*'Verwerking Bouwdelen'!AC5)</f>
        <v>0</v>
      </c>
      <c r="CQ21" s="208">
        <f>IF($CE21=1,$CF21*'Verwerking Bouwdelen'!DV5,$CF21*'Verwerking Bouwdelen'!AD5)</f>
        <v>0</v>
      </c>
      <c r="CR21" s="208">
        <f>IF($CE21=1,$CF21*'Verwerking Bouwdelen'!DW5,$CF21*'Verwerking Bouwdelen'!AE5)</f>
        <v>0</v>
      </c>
      <c r="CS21" s="10">
        <f>IF(CG21=$B21,0,('Verwerking Bouwdelen'!$D5-'Verwerking Bouwdelen'!G5)*CE21*CF21)</f>
        <v>0</v>
      </c>
      <c r="CT21" s="260">
        <f>CE21*CF21*'Verwerking Bouwdelen'!GH5</f>
        <v>0</v>
      </c>
      <c r="CU21" s="261">
        <f>CE21*CF21*'Verwerking Bouwdelen'!GI5</f>
        <v>0</v>
      </c>
      <c r="CW21" s="209">
        <f>$AC21*'Verwerking Bouwdelen'!EE5</f>
        <v>0</v>
      </c>
      <c r="CX21" s="209">
        <f>$AC21*'Verwerking Bouwdelen'!EF5</f>
        <v>0</v>
      </c>
      <c r="CY21" s="209">
        <f>$AC21*'Verwerking Bouwdelen'!EG5</f>
        <v>0</v>
      </c>
      <c r="CZ21" s="209">
        <f>$AC21*'Verwerking Bouwdelen'!EH5</f>
        <v>0</v>
      </c>
      <c r="DA21" s="209">
        <f>$AC21*'Verwerking Bouwdelen'!EI5</f>
        <v>0</v>
      </c>
      <c r="DB21" s="209">
        <f>$AC21*'Verwerking Bouwdelen'!EJ5</f>
        <v>0</v>
      </c>
      <c r="DC21" s="209">
        <f>$AC21*'Verwerking Bouwdelen'!EK5</f>
        <v>0</v>
      </c>
      <c r="DD21" s="209">
        <f>$AC21*'Verwerking Bouwdelen'!EL5</f>
        <v>0</v>
      </c>
      <c r="DE21" s="209">
        <f>$AC21*'Verwerking Bouwdelen'!EM5</f>
        <v>0</v>
      </c>
      <c r="DF21" s="209">
        <f>$AC21*'Verwerking Bouwdelen'!EN5</f>
        <v>0</v>
      </c>
      <c r="DG21" s="209">
        <f>$AC21*'Verwerking Bouwdelen'!EO5</f>
        <v>0</v>
      </c>
      <c r="DH21" s="209">
        <f>$AC21*'Verwerking Bouwdelen'!EP5</f>
        <v>0</v>
      </c>
      <c r="DI21" s="10">
        <f>IF(CW21=$O21,0,'Verwerking Bouwdelen'!G5)</f>
        <v>0</v>
      </c>
      <c r="DJ21" s="259">
        <f>'Verwerking Bouwdelen'!GK5*CF21</f>
        <v>0</v>
      </c>
      <c r="DK21" s="259">
        <f>'Verwerking Bouwdelen'!GL5*CF21</f>
        <v>0</v>
      </c>
      <c r="DL21" s="125"/>
      <c r="FC21" s="89">
        <f>IF('Verwerken ventilatie'!AJ13=3,1,0)</f>
        <v>0</v>
      </c>
      <c r="FD21" s="89">
        <f>FC21*'Verwerken ventilatie'!BT13</f>
        <v>0</v>
      </c>
      <c r="FE21" s="89">
        <f>FC21*'Verwerken ventilatie'!BU13</f>
        <v>0</v>
      </c>
      <c r="FZ21" s="89">
        <f>IF('Verwerken verlichting'!B17=3,1,0)</f>
        <v>0</v>
      </c>
      <c r="GA21" s="89">
        <f>$FZ21*'Verwerken verlichting'!BX17</f>
        <v>0</v>
      </c>
      <c r="GB21" s="89">
        <f>$FZ21*'Verwerken verlichting'!BY17</f>
        <v>0</v>
      </c>
      <c r="GC21" s="89">
        <f>$FZ21*'Verwerken verlichting'!BZ17</f>
        <v>0</v>
      </c>
      <c r="GD21" s="89">
        <f>$FZ21*'Verwerken verlichting'!CA17</f>
        <v>0</v>
      </c>
      <c r="GE21" s="89">
        <f>$FZ21*'Verwerken verlichting'!CB17</f>
        <v>0</v>
      </c>
      <c r="GF21" s="89">
        <f>$FZ21*'Verwerken verlichting'!CC17</f>
        <v>0</v>
      </c>
      <c r="GG21" s="89">
        <f>FZ21*'Invoer verlichting'!N16</f>
        <v>0</v>
      </c>
      <c r="GH21" s="89">
        <f>FZ21*'Verwerken verlichting'!AH17</f>
        <v>0</v>
      </c>
      <c r="GI21" s="89">
        <f>FZ21*'Verwerken verlichting'!AG17</f>
        <v>0</v>
      </c>
      <c r="GJ21" s="89">
        <f>FZ21*'Verwerken verlichting'!CE17</f>
        <v>0</v>
      </c>
      <c r="GM21" s="89">
        <f t="shared" si="13"/>
        <v>0</v>
      </c>
      <c r="GN21" s="89">
        <f t="shared" si="14"/>
        <v>0</v>
      </c>
      <c r="GO21" s="208">
        <f>IF($GN21=1,$GN21*$GM21*'Verwerking Bouwdelen'!DL5,$GN21*$GM21*'Verwerking Bouwdelen'!T5)</f>
        <v>0</v>
      </c>
      <c r="GP21" s="208">
        <f>IF($GN21=1,$GN21*$GM21*'Verwerking Bouwdelen'!DM5,$GN21*$GM21*'Verwerking Bouwdelen'!U5)</f>
        <v>0</v>
      </c>
      <c r="GQ21" s="208">
        <f>IF($GN21=1,$GN21*$GM21*'Verwerking Bouwdelen'!DN5,$GN21*$GM21*'Verwerking Bouwdelen'!V5)</f>
        <v>0</v>
      </c>
      <c r="GR21" s="208">
        <f>IF($GN21=1,$GN21*$GM21*'Verwerking Bouwdelen'!DO5,$GN21*$GM21*'Verwerking Bouwdelen'!W5)</f>
        <v>0</v>
      </c>
      <c r="GS21" s="208">
        <f>IF($GN21=1,$GN21*$GM21*'Verwerking Bouwdelen'!DP5,$GN21*$GM21*'Verwerking Bouwdelen'!X5)</f>
        <v>0</v>
      </c>
      <c r="GT21" s="208">
        <f>IF($GN21=1,$GN21*$GM21*'Verwerking Bouwdelen'!DQ5,$GN21*$GM21*'Verwerking Bouwdelen'!Y5)</f>
        <v>0</v>
      </c>
      <c r="GU21" s="208">
        <f>IF($GN21=1,$GN21*$GM21*'Verwerking Bouwdelen'!DR5,$GN21*$GM21*'Verwerking Bouwdelen'!Z5)</f>
        <v>0</v>
      </c>
      <c r="GV21" s="208">
        <f>IF($GN21=1,$GN21*$GM21*'Verwerking Bouwdelen'!DS5,$GN21*$GM21*'Verwerking Bouwdelen'!AA5)</f>
        <v>0</v>
      </c>
      <c r="GW21" s="208">
        <f>IF($GN21=1,$GN21*$GM21*'Verwerking Bouwdelen'!DT5,$GN21*$GM21*'Verwerking Bouwdelen'!AB5)</f>
        <v>0</v>
      </c>
      <c r="GX21" s="208">
        <f>IF($GN21=1,$GN21*$GM21*'Verwerking Bouwdelen'!DU5,$GN21*$GM21*'Verwerking Bouwdelen'!AC5)</f>
        <v>0</v>
      </c>
      <c r="GY21" s="208">
        <f>IF($GN21=1,$GN21*$GM21*'Verwerking Bouwdelen'!DV5,$GN21*$GM21*'Verwerking Bouwdelen'!AD5)</f>
        <v>0</v>
      </c>
      <c r="GZ21" s="208">
        <f>IF($GN21=1,$GN21*$GM21*'Verwerking Bouwdelen'!DW5,$GN21*$GM21*'Verwerking Bouwdelen'!AE5)</f>
        <v>0</v>
      </c>
      <c r="HB21" s="89">
        <f t="shared" si="1"/>
        <v>0</v>
      </c>
      <c r="HC21" s="89">
        <f t="shared" si="2"/>
        <v>0</v>
      </c>
      <c r="HD21" s="89">
        <f t="shared" si="3"/>
        <v>0</v>
      </c>
      <c r="HE21" s="89">
        <f t="shared" si="4"/>
        <v>0</v>
      </c>
      <c r="HF21" s="89">
        <f t="shared" si="5"/>
        <v>0</v>
      </c>
      <c r="HG21" s="89">
        <f t="shared" si="6"/>
        <v>0</v>
      </c>
      <c r="HH21" s="89">
        <f t="shared" si="7"/>
        <v>0</v>
      </c>
      <c r="HI21" s="89">
        <f t="shared" si="8"/>
        <v>0</v>
      </c>
      <c r="HJ21" s="89">
        <f t="shared" si="9"/>
        <v>0</v>
      </c>
      <c r="HK21" s="89">
        <f t="shared" si="10"/>
        <v>0</v>
      </c>
      <c r="HL21" s="89">
        <f t="shared" si="11"/>
        <v>0</v>
      </c>
      <c r="HM21" s="89">
        <f t="shared" si="12"/>
        <v>0</v>
      </c>
    </row>
    <row r="22" spans="1:221" x14ac:dyDescent="0.2">
      <c r="A22" s="130">
        <f>IF('Verwerking Bouwdelen'!A6=3,1,0)</f>
        <v>0</v>
      </c>
      <c r="B22" s="208">
        <f>$A22*'Verwerking Bouwdelen'!T6</f>
        <v>0</v>
      </c>
      <c r="C22" s="208">
        <f>$A22*'Verwerking Bouwdelen'!U6</f>
        <v>0</v>
      </c>
      <c r="D22" s="208">
        <f>$A22*'Verwerking Bouwdelen'!V6</f>
        <v>0</v>
      </c>
      <c r="E22" s="208">
        <f>$A22*'Verwerking Bouwdelen'!W6</f>
        <v>0</v>
      </c>
      <c r="F22" s="208">
        <f>$A22*'Verwerking Bouwdelen'!X6</f>
        <v>0</v>
      </c>
      <c r="G22" s="208">
        <f>$A22*'Verwerking Bouwdelen'!Y6</f>
        <v>0</v>
      </c>
      <c r="H22" s="208">
        <f>$A22*'Verwerking Bouwdelen'!Z6</f>
        <v>0</v>
      </c>
      <c r="I22" s="208">
        <f>$A22*'Verwerking Bouwdelen'!AA6</f>
        <v>0</v>
      </c>
      <c r="J22" s="208">
        <f>$A22*'Verwerking Bouwdelen'!AB6</f>
        <v>0</v>
      </c>
      <c r="K22" s="208">
        <f>$A22*'Verwerking Bouwdelen'!AC6</f>
        <v>0</v>
      </c>
      <c r="L22" s="208">
        <f>$A22*'Verwerking Bouwdelen'!AD6</f>
        <v>0</v>
      </c>
      <c r="M22" s="208">
        <f>$A22*'Verwerking Bouwdelen'!AE6</f>
        <v>0</v>
      </c>
      <c r="O22" s="114">
        <f>$A22*'Verwerking Bouwdelen'!AU6</f>
        <v>0</v>
      </c>
      <c r="P22" s="125">
        <f>$A22*'Verwerking Bouwdelen'!AV6</f>
        <v>0</v>
      </c>
      <c r="Q22" s="125">
        <f>$A22*'Verwerking Bouwdelen'!AW6</f>
        <v>0</v>
      </c>
      <c r="R22" s="125">
        <f>$A22*'Verwerking Bouwdelen'!AX6</f>
        <v>0</v>
      </c>
      <c r="S22" s="125">
        <f>$A22*'Verwerking Bouwdelen'!AY6</f>
        <v>0</v>
      </c>
      <c r="T22" s="125">
        <f>$A22*'Verwerking Bouwdelen'!AZ6</f>
        <v>0</v>
      </c>
      <c r="U22" s="125">
        <f>$A22*'Verwerking Bouwdelen'!BA6</f>
        <v>0</v>
      </c>
      <c r="V22" s="125">
        <f>$A22*'Verwerking Bouwdelen'!BB6</f>
        <v>0</v>
      </c>
      <c r="W22" s="125">
        <f>$A22*'Verwerking Bouwdelen'!BC6</f>
        <v>0</v>
      </c>
      <c r="X22" s="125">
        <f>$A22*'Verwerking Bouwdelen'!BD6</f>
        <v>0</v>
      </c>
      <c r="Y22" s="125">
        <f>$A22*'Verwerking Bouwdelen'!BE6</f>
        <v>0</v>
      </c>
      <c r="Z22" s="195">
        <f>$A22*'Verwerking Bouwdelen'!BF6</f>
        <v>0</v>
      </c>
      <c r="AB22" s="125">
        <f>IF(OR('Verwerking Bouwdelen'!C6=3,'Verwerking Bouwdelen'!C6=6),1,0)</f>
        <v>0</v>
      </c>
      <c r="AC22" s="130">
        <f>IF('Verwerking Bouwdelen'!A6=3,1,0)</f>
        <v>0</v>
      </c>
      <c r="AD22" s="208">
        <f>IF($AB22=1,$AC22*'Verwerking Bouwdelen'!DL6,$AC22*'Verwerking Bouwdelen'!T6)</f>
        <v>0</v>
      </c>
      <c r="AE22" s="208">
        <f>IF($AB22=1,$AC22*'Verwerking Bouwdelen'!DM6,$AC22*'Verwerking Bouwdelen'!U6)</f>
        <v>0</v>
      </c>
      <c r="AF22" s="208">
        <f>IF($AB22=1,$AC22*'Verwerking Bouwdelen'!DN6,$AC22*'Verwerking Bouwdelen'!V6)</f>
        <v>0</v>
      </c>
      <c r="AG22" s="208">
        <f>IF($AB22=1,$AC22*'Verwerking Bouwdelen'!DO6,$AC22*'Verwerking Bouwdelen'!W6)</f>
        <v>0</v>
      </c>
      <c r="AH22" s="208">
        <f>IF($AB22=1,$AC22*'Verwerking Bouwdelen'!DP6,$AC22*'Verwerking Bouwdelen'!X6)</f>
        <v>0</v>
      </c>
      <c r="AI22" s="208">
        <f>IF($AB22=1,$AC22*'Verwerking Bouwdelen'!DQ6,$AC22*'Verwerking Bouwdelen'!Y6)</f>
        <v>0</v>
      </c>
      <c r="AJ22" s="208">
        <f>IF($AB22=1,$AC22*'Verwerking Bouwdelen'!DR6,$AC22*'Verwerking Bouwdelen'!Z6)</f>
        <v>0</v>
      </c>
      <c r="AK22" s="208">
        <f>IF($AB22=1,$AC22*'Verwerking Bouwdelen'!DS6,$AC22*'Verwerking Bouwdelen'!AA6)</f>
        <v>0</v>
      </c>
      <c r="AL22" s="208">
        <f>IF($AB22=1,$AC22*'Verwerking Bouwdelen'!DT6,$AC22*'Verwerking Bouwdelen'!AB6)</f>
        <v>0</v>
      </c>
      <c r="AM22" s="208">
        <f>IF($AB22=1,$AC22*'Verwerking Bouwdelen'!DU6,$AC22*'Verwerking Bouwdelen'!AC6)</f>
        <v>0</v>
      </c>
      <c r="AN22" s="208">
        <f>IF($AB22=1,$AC22*'Verwerking Bouwdelen'!DV6,$AC22*'Verwerking Bouwdelen'!AD6)</f>
        <v>0</v>
      </c>
      <c r="AO22" s="208">
        <f>IF($AB22=1,$AC22*'Verwerking Bouwdelen'!DW6,$AC22*'Verwerking Bouwdelen'!AE6)</f>
        <v>0</v>
      </c>
      <c r="AP22" s="10">
        <f>IF(AD22=B22,0,'Verwerking Bouwdelen'!D6*AB22*AC22)</f>
        <v>0</v>
      </c>
      <c r="AQ22" s="10">
        <f>AB22*AC22*'Verwerking Bouwdelen'!GH6</f>
        <v>0</v>
      </c>
      <c r="AR22" s="10"/>
      <c r="AS22" s="248"/>
      <c r="AT22" s="125">
        <f>IF('Verwerking Bouwdelen'!C6=4,1,0)</f>
        <v>0</v>
      </c>
      <c r="AU22" s="130">
        <f>IF('Verwerking Bouwdelen'!A6=3,1,0)</f>
        <v>0</v>
      </c>
      <c r="AV22" s="208">
        <f>IF($AT22=1,$AU22*'Verwerking Bouwdelen'!DL6,$AU22*'Verwerking Bouwdelen'!T6)</f>
        <v>0</v>
      </c>
      <c r="AW22" s="208">
        <f>IF($AT22=1,$AU22*'Verwerking Bouwdelen'!DM6,$AU22*'Verwerking Bouwdelen'!U6)</f>
        <v>0</v>
      </c>
      <c r="AX22" s="208">
        <f>IF($AT22=1,$AU22*'Verwerking Bouwdelen'!DN6,$AU22*'Verwerking Bouwdelen'!V6)</f>
        <v>0</v>
      </c>
      <c r="AY22" s="208">
        <f>IF($AT22=1,$AU22*'Verwerking Bouwdelen'!DO6,$AU22*'Verwerking Bouwdelen'!W6)</f>
        <v>0</v>
      </c>
      <c r="AZ22" s="208">
        <f>IF($AT22=1,$AU22*'Verwerking Bouwdelen'!DP6,$AU22*'Verwerking Bouwdelen'!X6)</f>
        <v>0</v>
      </c>
      <c r="BA22" s="208">
        <f>IF($AT22=1,$AU22*'Verwerking Bouwdelen'!DQ6,$AU22*'Verwerking Bouwdelen'!Y6)</f>
        <v>0</v>
      </c>
      <c r="BB22" s="208">
        <f>IF($AT22=1,$AU22*'Verwerking Bouwdelen'!DR6,$AU22*'Verwerking Bouwdelen'!Z6)</f>
        <v>0</v>
      </c>
      <c r="BC22" s="208">
        <f>IF($AT22=1,$AU22*'Verwerking Bouwdelen'!DS6,$AU22*'Verwerking Bouwdelen'!AA6)</f>
        <v>0</v>
      </c>
      <c r="BD22" s="208">
        <f>IF($AT22=1,$AU22*'Verwerking Bouwdelen'!DT6,$AU22*'Verwerking Bouwdelen'!AB6)</f>
        <v>0</v>
      </c>
      <c r="BE22" s="208">
        <f>IF($AT22=1,$AU22*'Verwerking Bouwdelen'!DU6,$AU22*'Verwerking Bouwdelen'!AC6)</f>
        <v>0</v>
      </c>
      <c r="BF22" s="208">
        <f>IF($AT22=1,$AU22*'Verwerking Bouwdelen'!DV6,$AU22*'Verwerking Bouwdelen'!AD6)</f>
        <v>0</v>
      </c>
      <c r="BG22" s="208">
        <f>IF($AT22=1,$AU22*'Verwerking Bouwdelen'!DW6,$AU22*'Verwerking Bouwdelen'!AE6)</f>
        <v>0</v>
      </c>
      <c r="BH22" s="10">
        <f>IF(AV22=B22,0,'Verwerking Bouwdelen'!D6*AT22*AU22)</f>
        <v>0</v>
      </c>
      <c r="BI22" s="10">
        <f>AT22*AU22*'Verwerking Bouwdelen'!GH6</f>
        <v>0</v>
      </c>
      <c r="BJ22" s="10"/>
      <c r="BK22" s="10"/>
      <c r="BM22" s="125">
        <f>IF('Verwerking Bouwdelen'!C6=5,1,0)</f>
        <v>0</v>
      </c>
      <c r="BN22" s="130">
        <f>IF('Verwerking Bouwdelen'!A6=3,1,0)</f>
        <v>0</v>
      </c>
      <c r="BO22" s="208">
        <f>IF($BM22=1,$BN22*'Verwerking Bouwdelen'!DL6,$BN22*'Verwerking Bouwdelen'!T6)</f>
        <v>0</v>
      </c>
      <c r="BP22" s="208">
        <f>IF($BM22=1,$BN22*'Verwerking Bouwdelen'!DM6,$BN22*'Verwerking Bouwdelen'!U6)</f>
        <v>0</v>
      </c>
      <c r="BQ22" s="208">
        <f>IF($BM22=1,$BN22*'Verwerking Bouwdelen'!DN6,$BN22*'Verwerking Bouwdelen'!V6)</f>
        <v>0</v>
      </c>
      <c r="BR22" s="208">
        <f>IF($BM22=1,$BN22*'Verwerking Bouwdelen'!DO6,$BN22*'Verwerking Bouwdelen'!W6)</f>
        <v>0</v>
      </c>
      <c r="BS22" s="208">
        <f>IF($BM22=1,$BN22*'Verwerking Bouwdelen'!DP6,$BN22*'Verwerking Bouwdelen'!X6)</f>
        <v>0</v>
      </c>
      <c r="BT22" s="208">
        <f>IF($BM22=1,$BN22*'Verwerking Bouwdelen'!DQ6,$BN22*'Verwerking Bouwdelen'!Y6)</f>
        <v>0</v>
      </c>
      <c r="BU22" s="208">
        <f>IF($BM22=1,$BN22*'Verwerking Bouwdelen'!DR6,$BN22*'Verwerking Bouwdelen'!Z6)</f>
        <v>0</v>
      </c>
      <c r="BV22" s="208">
        <f>IF($BM22=1,$BN22*'Verwerking Bouwdelen'!DS6,$BN22*'Verwerking Bouwdelen'!AA6)</f>
        <v>0</v>
      </c>
      <c r="BW22" s="208">
        <f>IF($BM22=1,$BN22*'Verwerking Bouwdelen'!DT6,$BN22*'Verwerking Bouwdelen'!AB6)</f>
        <v>0</v>
      </c>
      <c r="BX22" s="208">
        <f>IF($BM22=1,$BN22*'Verwerking Bouwdelen'!DU6,$BN22*'Verwerking Bouwdelen'!AC6)</f>
        <v>0</v>
      </c>
      <c r="BY22" s="208">
        <f>IF($BM22=1,$BN22*'Verwerking Bouwdelen'!DV6,$BN22*'Verwerking Bouwdelen'!AD6)</f>
        <v>0</v>
      </c>
      <c r="BZ22" s="208">
        <f>IF($BM22=1,$BN22*'Verwerking Bouwdelen'!DW6,$BN22*'Verwerking Bouwdelen'!AE6)</f>
        <v>0</v>
      </c>
      <c r="CA22" s="10">
        <f>IF(BO22=$B22,0,'Verwerking Bouwdelen'!$D6*BM22*BN22)</f>
        <v>0</v>
      </c>
      <c r="CB22" s="10">
        <f>BM22*BN22*'Verwerking Bouwdelen'!GH6</f>
        <v>0</v>
      </c>
      <c r="CC22" s="10"/>
      <c r="CD22" s="248"/>
      <c r="CE22" s="125">
        <f>IF('Verwerking Bouwdelen'!C6=2,1,0)</f>
        <v>0</v>
      </c>
      <c r="CF22" s="130">
        <f>IF('Verwerking Bouwdelen'!A6=3,1,0)</f>
        <v>0</v>
      </c>
      <c r="CG22" s="208">
        <f>IF($CE22=1,$CF22*'Verwerking Bouwdelen'!DL6,$CF22*'Verwerking Bouwdelen'!T6)</f>
        <v>0</v>
      </c>
      <c r="CH22" s="208">
        <f>IF($CE22=1,$CF22*'Verwerking Bouwdelen'!DM6,$CF22*'Verwerking Bouwdelen'!U6)</f>
        <v>0</v>
      </c>
      <c r="CI22" s="208">
        <f>IF($CE22=1,$CF22*'Verwerking Bouwdelen'!DN6,$CF22*'Verwerking Bouwdelen'!V6)</f>
        <v>0</v>
      </c>
      <c r="CJ22" s="208">
        <f>IF($CE22=1,$CF22*'Verwerking Bouwdelen'!DO6,$CF22*'Verwerking Bouwdelen'!W6)</f>
        <v>0</v>
      </c>
      <c r="CK22" s="208">
        <f>IF($CE22=1,$CF22*'Verwerking Bouwdelen'!DP6,$CF22*'Verwerking Bouwdelen'!X6)</f>
        <v>0</v>
      </c>
      <c r="CL22" s="208">
        <f>IF($CE22=1,$CF22*'Verwerking Bouwdelen'!DQ6,$CF22*'Verwerking Bouwdelen'!Y6)</f>
        <v>0</v>
      </c>
      <c r="CM22" s="208">
        <f>IF($CE22=1,$CF22*'Verwerking Bouwdelen'!DR6,$CF22*'Verwerking Bouwdelen'!Z6)</f>
        <v>0</v>
      </c>
      <c r="CN22" s="208">
        <f>IF($CE22=1,$CF22*'Verwerking Bouwdelen'!DS6,$CF22*'Verwerking Bouwdelen'!AA6)</f>
        <v>0</v>
      </c>
      <c r="CO22" s="208">
        <f>IF($CE22=1,$CF22*'Verwerking Bouwdelen'!DT6,$CF22*'Verwerking Bouwdelen'!AB6)</f>
        <v>0</v>
      </c>
      <c r="CP22" s="208">
        <f>IF($CE22=1,$CF22*'Verwerking Bouwdelen'!DU6,$CF22*'Verwerking Bouwdelen'!AC6)</f>
        <v>0</v>
      </c>
      <c r="CQ22" s="208">
        <f>IF($CE22=1,$CF22*'Verwerking Bouwdelen'!DV6,$CF22*'Verwerking Bouwdelen'!AD6)</f>
        <v>0</v>
      </c>
      <c r="CR22" s="208">
        <f>IF($CE22=1,$CF22*'Verwerking Bouwdelen'!DW6,$CF22*'Verwerking Bouwdelen'!AE6)</f>
        <v>0</v>
      </c>
      <c r="CS22" s="10">
        <f>IF(CG22=$B22,0,('Verwerking Bouwdelen'!$D6-'Verwerking Bouwdelen'!G6)*CE22*CF22)</f>
        <v>0</v>
      </c>
      <c r="CT22" s="260">
        <f>CE22*CF22*'Verwerking Bouwdelen'!GH6</f>
        <v>0</v>
      </c>
      <c r="CU22" s="261">
        <f>CE22*CF22*'Verwerking Bouwdelen'!GI6</f>
        <v>0</v>
      </c>
      <c r="CW22" s="209">
        <f>$AC22*'Verwerking Bouwdelen'!EE6</f>
        <v>0</v>
      </c>
      <c r="CX22" s="209">
        <f>$AC22*'Verwerking Bouwdelen'!EF6</f>
        <v>0</v>
      </c>
      <c r="CY22" s="209">
        <f>$AC22*'Verwerking Bouwdelen'!EG6</f>
        <v>0</v>
      </c>
      <c r="CZ22" s="209">
        <f>$AC22*'Verwerking Bouwdelen'!EH6</f>
        <v>0</v>
      </c>
      <c r="DA22" s="209">
        <f>$AC22*'Verwerking Bouwdelen'!EI6</f>
        <v>0</v>
      </c>
      <c r="DB22" s="209">
        <f>$AC22*'Verwerking Bouwdelen'!EJ6</f>
        <v>0</v>
      </c>
      <c r="DC22" s="209">
        <f>$AC22*'Verwerking Bouwdelen'!EK6</f>
        <v>0</v>
      </c>
      <c r="DD22" s="209">
        <f>$AC22*'Verwerking Bouwdelen'!EL6</f>
        <v>0</v>
      </c>
      <c r="DE22" s="209">
        <f>$AC22*'Verwerking Bouwdelen'!EM6</f>
        <v>0</v>
      </c>
      <c r="DF22" s="209">
        <f>$AC22*'Verwerking Bouwdelen'!EN6</f>
        <v>0</v>
      </c>
      <c r="DG22" s="209">
        <f>$AC22*'Verwerking Bouwdelen'!EO6</f>
        <v>0</v>
      </c>
      <c r="DH22" s="209">
        <f>$AC22*'Verwerking Bouwdelen'!EP6</f>
        <v>0</v>
      </c>
      <c r="DI22" s="10">
        <f>IF(CW22=$O22,0,'Verwerking Bouwdelen'!G6)</f>
        <v>0</v>
      </c>
      <c r="DJ22" s="259">
        <f>'Verwerking Bouwdelen'!GK6*CF22</f>
        <v>0</v>
      </c>
      <c r="DK22" s="259">
        <f>'Verwerking Bouwdelen'!GL6*CF22</f>
        <v>0</v>
      </c>
      <c r="DL22" s="125"/>
      <c r="FC22" s="89">
        <f>IF('Verwerken ventilatie'!AJ14=3,1,0)</f>
        <v>0</v>
      </c>
      <c r="FD22" s="89">
        <f>FC22*'Verwerken ventilatie'!BT14</f>
        <v>0</v>
      </c>
      <c r="FE22" s="89">
        <f>FC22*'Verwerken ventilatie'!BU14</f>
        <v>0</v>
      </c>
      <c r="FZ22" s="89">
        <f>IF('Verwerken verlichting'!B18=3,1,0)</f>
        <v>0</v>
      </c>
      <c r="GA22" s="89">
        <f>$FZ22*'Verwerken verlichting'!BX18</f>
        <v>0</v>
      </c>
      <c r="GB22" s="89">
        <f>$FZ22*'Verwerken verlichting'!BY18</f>
        <v>0</v>
      </c>
      <c r="GC22" s="89">
        <f>$FZ22*'Verwerken verlichting'!BZ18</f>
        <v>0</v>
      </c>
      <c r="GD22" s="89">
        <f>$FZ22*'Verwerken verlichting'!CA18</f>
        <v>0</v>
      </c>
      <c r="GE22" s="89">
        <f>$FZ22*'Verwerken verlichting'!CB18</f>
        <v>0</v>
      </c>
      <c r="GF22" s="89">
        <f>$FZ22*'Verwerken verlichting'!CC18</f>
        <v>0</v>
      </c>
      <c r="GG22" s="89">
        <f>FZ22*'Invoer verlichting'!N17</f>
        <v>0</v>
      </c>
      <c r="GH22" s="89">
        <f>FZ22*'Verwerken verlichting'!AH18</f>
        <v>0</v>
      </c>
      <c r="GI22" s="89">
        <f>FZ22*'Verwerken verlichting'!AG18</f>
        <v>0</v>
      </c>
      <c r="GJ22" s="89">
        <f>FZ22*'Verwerken verlichting'!CE18</f>
        <v>0</v>
      </c>
      <c r="GM22" s="89">
        <f t="shared" si="13"/>
        <v>0</v>
      </c>
      <c r="GN22" s="89">
        <f t="shared" si="14"/>
        <v>0</v>
      </c>
      <c r="GO22" s="208">
        <f>IF($GN22=1,$GN22*$GM22*'Verwerking Bouwdelen'!DL6,$GN22*$GM22*'Verwerking Bouwdelen'!T6)</f>
        <v>0</v>
      </c>
      <c r="GP22" s="208">
        <f>IF($GN22=1,$GN22*$GM22*'Verwerking Bouwdelen'!DM6,$GN22*$GM22*'Verwerking Bouwdelen'!U6)</f>
        <v>0</v>
      </c>
      <c r="GQ22" s="208">
        <f>IF($GN22=1,$GN22*$GM22*'Verwerking Bouwdelen'!DN6,$GN22*$GM22*'Verwerking Bouwdelen'!V6)</f>
        <v>0</v>
      </c>
      <c r="GR22" s="208">
        <f>IF($GN22=1,$GN22*$GM22*'Verwerking Bouwdelen'!DO6,$GN22*$GM22*'Verwerking Bouwdelen'!W6)</f>
        <v>0</v>
      </c>
      <c r="GS22" s="208">
        <f>IF($GN22=1,$GN22*$GM22*'Verwerking Bouwdelen'!DP6,$GN22*$GM22*'Verwerking Bouwdelen'!X6)</f>
        <v>0</v>
      </c>
      <c r="GT22" s="208">
        <f>IF($GN22=1,$GN22*$GM22*'Verwerking Bouwdelen'!DQ6,$GN22*$GM22*'Verwerking Bouwdelen'!Y6)</f>
        <v>0</v>
      </c>
      <c r="GU22" s="208">
        <f>IF($GN22=1,$GN22*$GM22*'Verwerking Bouwdelen'!DR6,$GN22*$GM22*'Verwerking Bouwdelen'!Z6)</f>
        <v>0</v>
      </c>
      <c r="GV22" s="208">
        <f>IF($GN22=1,$GN22*$GM22*'Verwerking Bouwdelen'!DS6,$GN22*$GM22*'Verwerking Bouwdelen'!AA6)</f>
        <v>0</v>
      </c>
      <c r="GW22" s="208">
        <f>IF($GN22=1,$GN22*$GM22*'Verwerking Bouwdelen'!DT6,$GN22*$GM22*'Verwerking Bouwdelen'!AB6)</f>
        <v>0</v>
      </c>
      <c r="GX22" s="208">
        <f>IF($GN22=1,$GN22*$GM22*'Verwerking Bouwdelen'!DU6,$GN22*$GM22*'Verwerking Bouwdelen'!AC6)</f>
        <v>0</v>
      </c>
      <c r="GY22" s="208">
        <f>IF($GN22=1,$GN22*$GM22*'Verwerking Bouwdelen'!DV6,$GN22*$GM22*'Verwerking Bouwdelen'!AD6)</f>
        <v>0</v>
      </c>
      <c r="GZ22" s="208">
        <f>IF($GN22=1,$GN22*$GM22*'Verwerking Bouwdelen'!DW6,$GN22*$GM22*'Verwerking Bouwdelen'!AE6)</f>
        <v>0</v>
      </c>
      <c r="HB22" s="89">
        <f t="shared" si="1"/>
        <v>0</v>
      </c>
      <c r="HC22" s="89">
        <f t="shared" si="2"/>
        <v>0</v>
      </c>
      <c r="HD22" s="89">
        <f t="shared" si="3"/>
        <v>0</v>
      </c>
      <c r="HE22" s="89">
        <f t="shared" si="4"/>
        <v>0</v>
      </c>
      <c r="HF22" s="89">
        <f t="shared" si="5"/>
        <v>0</v>
      </c>
      <c r="HG22" s="89">
        <f t="shared" si="6"/>
        <v>0</v>
      </c>
      <c r="HH22" s="89">
        <f t="shared" si="7"/>
        <v>0</v>
      </c>
      <c r="HI22" s="89">
        <f t="shared" si="8"/>
        <v>0</v>
      </c>
      <c r="HJ22" s="89">
        <f t="shared" si="9"/>
        <v>0</v>
      </c>
      <c r="HK22" s="89">
        <f t="shared" si="10"/>
        <v>0</v>
      </c>
      <c r="HL22" s="89">
        <f t="shared" si="11"/>
        <v>0</v>
      </c>
      <c r="HM22" s="89">
        <f t="shared" si="12"/>
        <v>0</v>
      </c>
    </row>
    <row r="23" spans="1:221" x14ac:dyDescent="0.2">
      <c r="A23" s="130">
        <f>IF('Verwerking Bouwdelen'!A7=3,1,0)</f>
        <v>0</v>
      </c>
      <c r="B23" s="208">
        <f>$A23*'Verwerking Bouwdelen'!T7</f>
        <v>0</v>
      </c>
      <c r="C23" s="208">
        <f>$A23*'Verwerking Bouwdelen'!U7</f>
        <v>0</v>
      </c>
      <c r="D23" s="208">
        <f>$A23*'Verwerking Bouwdelen'!V7</f>
        <v>0</v>
      </c>
      <c r="E23" s="208">
        <f>$A23*'Verwerking Bouwdelen'!W7</f>
        <v>0</v>
      </c>
      <c r="F23" s="208">
        <f>$A23*'Verwerking Bouwdelen'!X7</f>
        <v>0</v>
      </c>
      <c r="G23" s="208">
        <f>$A23*'Verwerking Bouwdelen'!Y7</f>
        <v>0</v>
      </c>
      <c r="H23" s="208">
        <f>$A23*'Verwerking Bouwdelen'!Z7</f>
        <v>0</v>
      </c>
      <c r="I23" s="208">
        <f>$A23*'Verwerking Bouwdelen'!AA7</f>
        <v>0</v>
      </c>
      <c r="J23" s="208">
        <f>$A23*'Verwerking Bouwdelen'!AB7</f>
        <v>0</v>
      </c>
      <c r="K23" s="208">
        <f>$A23*'Verwerking Bouwdelen'!AC7</f>
        <v>0</v>
      </c>
      <c r="L23" s="208">
        <f>$A23*'Verwerking Bouwdelen'!AD7</f>
        <v>0</v>
      </c>
      <c r="M23" s="208">
        <f>$A23*'Verwerking Bouwdelen'!AE7</f>
        <v>0</v>
      </c>
      <c r="O23" s="114">
        <f>$A23*'Verwerking Bouwdelen'!AU7</f>
        <v>0</v>
      </c>
      <c r="P23" s="125">
        <f>$A23*'Verwerking Bouwdelen'!AV7</f>
        <v>0</v>
      </c>
      <c r="Q23" s="125">
        <f>$A23*'Verwerking Bouwdelen'!AW7</f>
        <v>0</v>
      </c>
      <c r="R23" s="125">
        <f>$A23*'Verwerking Bouwdelen'!AX7</f>
        <v>0</v>
      </c>
      <c r="S23" s="125">
        <f>$A23*'Verwerking Bouwdelen'!AY7</f>
        <v>0</v>
      </c>
      <c r="T23" s="125">
        <f>$A23*'Verwerking Bouwdelen'!AZ7</f>
        <v>0</v>
      </c>
      <c r="U23" s="125">
        <f>$A23*'Verwerking Bouwdelen'!BA7</f>
        <v>0</v>
      </c>
      <c r="V23" s="125">
        <f>$A23*'Verwerking Bouwdelen'!BB7</f>
        <v>0</v>
      </c>
      <c r="W23" s="125">
        <f>$A23*'Verwerking Bouwdelen'!BC7</f>
        <v>0</v>
      </c>
      <c r="X23" s="125">
        <f>$A23*'Verwerking Bouwdelen'!BD7</f>
        <v>0</v>
      </c>
      <c r="Y23" s="125">
        <f>$A23*'Verwerking Bouwdelen'!BE7</f>
        <v>0</v>
      </c>
      <c r="Z23" s="195">
        <f>$A23*'Verwerking Bouwdelen'!BF7</f>
        <v>0</v>
      </c>
      <c r="AB23" s="125">
        <f>IF(OR('Verwerking Bouwdelen'!C7=3,'Verwerking Bouwdelen'!C7=6),1,0)</f>
        <v>0</v>
      </c>
      <c r="AC23" s="130">
        <f>IF('Verwerking Bouwdelen'!A7=3,1,0)</f>
        <v>0</v>
      </c>
      <c r="AD23" s="208">
        <f>IF($AB23=1,$AC23*'Verwerking Bouwdelen'!DL7,$AC23*'Verwerking Bouwdelen'!T7)</f>
        <v>0</v>
      </c>
      <c r="AE23" s="208">
        <f>IF($AB23=1,$AC23*'Verwerking Bouwdelen'!DM7,$AC23*'Verwerking Bouwdelen'!U7)</f>
        <v>0</v>
      </c>
      <c r="AF23" s="208">
        <f>IF($AB23=1,$AC23*'Verwerking Bouwdelen'!DN7,$AC23*'Verwerking Bouwdelen'!V7)</f>
        <v>0</v>
      </c>
      <c r="AG23" s="208">
        <f>IF($AB23=1,$AC23*'Verwerking Bouwdelen'!DO7,$AC23*'Verwerking Bouwdelen'!W7)</f>
        <v>0</v>
      </c>
      <c r="AH23" s="208">
        <f>IF($AB23=1,$AC23*'Verwerking Bouwdelen'!DP7,$AC23*'Verwerking Bouwdelen'!X7)</f>
        <v>0</v>
      </c>
      <c r="AI23" s="208">
        <f>IF($AB23=1,$AC23*'Verwerking Bouwdelen'!DQ7,$AC23*'Verwerking Bouwdelen'!Y7)</f>
        <v>0</v>
      </c>
      <c r="AJ23" s="208">
        <f>IF($AB23=1,$AC23*'Verwerking Bouwdelen'!DR7,$AC23*'Verwerking Bouwdelen'!Z7)</f>
        <v>0</v>
      </c>
      <c r="AK23" s="208">
        <f>IF($AB23=1,$AC23*'Verwerking Bouwdelen'!DS7,$AC23*'Verwerking Bouwdelen'!AA7)</f>
        <v>0</v>
      </c>
      <c r="AL23" s="208">
        <f>IF($AB23=1,$AC23*'Verwerking Bouwdelen'!DT7,$AC23*'Verwerking Bouwdelen'!AB7)</f>
        <v>0</v>
      </c>
      <c r="AM23" s="208">
        <f>IF($AB23=1,$AC23*'Verwerking Bouwdelen'!DU7,$AC23*'Verwerking Bouwdelen'!AC7)</f>
        <v>0</v>
      </c>
      <c r="AN23" s="208">
        <f>IF($AB23=1,$AC23*'Verwerking Bouwdelen'!DV7,$AC23*'Verwerking Bouwdelen'!AD7)</f>
        <v>0</v>
      </c>
      <c r="AO23" s="208">
        <f>IF($AB23=1,$AC23*'Verwerking Bouwdelen'!DW7,$AC23*'Verwerking Bouwdelen'!AE7)</f>
        <v>0</v>
      </c>
      <c r="AP23" s="10">
        <f>IF(AD23=B23,0,'Verwerking Bouwdelen'!D7*AB23*AC23)</f>
        <v>0</v>
      </c>
      <c r="AQ23" s="10">
        <f>AB23*AC23*'Verwerking Bouwdelen'!GH7</f>
        <v>0</v>
      </c>
      <c r="AR23" s="10"/>
      <c r="AS23" s="248"/>
      <c r="AT23" s="125">
        <f>IF('Verwerking Bouwdelen'!C7=4,1,0)</f>
        <v>0</v>
      </c>
      <c r="AU23" s="130">
        <f>IF('Verwerking Bouwdelen'!A7=3,1,0)</f>
        <v>0</v>
      </c>
      <c r="AV23" s="208">
        <f>IF($AT23=1,$AU23*'Verwerking Bouwdelen'!DL7,$AU23*'Verwerking Bouwdelen'!T7)</f>
        <v>0</v>
      </c>
      <c r="AW23" s="208">
        <f>IF($AT23=1,$AU23*'Verwerking Bouwdelen'!DM7,$AU23*'Verwerking Bouwdelen'!U7)</f>
        <v>0</v>
      </c>
      <c r="AX23" s="208">
        <f>IF($AT23=1,$AU23*'Verwerking Bouwdelen'!DN7,$AU23*'Verwerking Bouwdelen'!V7)</f>
        <v>0</v>
      </c>
      <c r="AY23" s="208">
        <f>IF($AT23=1,$AU23*'Verwerking Bouwdelen'!DO7,$AU23*'Verwerking Bouwdelen'!W7)</f>
        <v>0</v>
      </c>
      <c r="AZ23" s="208">
        <f>IF($AT23=1,$AU23*'Verwerking Bouwdelen'!DP7,$AU23*'Verwerking Bouwdelen'!X7)</f>
        <v>0</v>
      </c>
      <c r="BA23" s="208">
        <f>IF($AT23=1,$AU23*'Verwerking Bouwdelen'!DQ7,$AU23*'Verwerking Bouwdelen'!Y7)</f>
        <v>0</v>
      </c>
      <c r="BB23" s="208">
        <f>IF($AT23=1,$AU23*'Verwerking Bouwdelen'!DR7,$AU23*'Verwerking Bouwdelen'!Z7)</f>
        <v>0</v>
      </c>
      <c r="BC23" s="208">
        <f>IF($AT23=1,$AU23*'Verwerking Bouwdelen'!DS7,$AU23*'Verwerking Bouwdelen'!AA7)</f>
        <v>0</v>
      </c>
      <c r="BD23" s="208">
        <f>IF($AT23=1,$AU23*'Verwerking Bouwdelen'!DT7,$AU23*'Verwerking Bouwdelen'!AB7)</f>
        <v>0</v>
      </c>
      <c r="BE23" s="208">
        <f>IF($AT23=1,$AU23*'Verwerking Bouwdelen'!DU7,$AU23*'Verwerking Bouwdelen'!AC7)</f>
        <v>0</v>
      </c>
      <c r="BF23" s="208">
        <f>IF($AT23=1,$AU23*'Verwerking Bouwdelen'!DV7,$AU23*'Verwerking Bouwdelen'!AD7)</f>
        <v>0</v>
      </c>
      <c r="BG23" s="208">
        <f>IF($AT23=1,$AU23*'Verwerking Bouwdelen'!DW7,$AU23*'Verwerking Bouwdelen'!AE7)</f>
        <v>0</v>
      </c>
      <c r="BH23" s="10">
        <f>IF(AV23=B23,0,'Verwerking Bouwdelen'!D7*AT23*AU23)</f>
        <v>0</v>
      </c>
      <c r="BI23" s="10">
        <f>AT23*AU23*'Verwerking Bouwdelen'!GH7</f>
        <v>0</v>
      </c>
      <c r="BJ23" s="10"/>
      <c r="BK23" s="10"/>
      <c r="BM23" s="125">
        <f>IF('Verwerking Bouwdelen'!C7=5,1,0)</f>
        <v>0</v>
      </c>
      <c r="BN23" s="130">
        <f>IF('Verwerking Bouwdelen'!A7=3,1,0)</f>
        <v>0</v>
      </c>
      <c r="BO23" s="208">
        <f>IF($BM23=1,$BN23*'Verwerking Bouwdelen'!DL7,$BN23*'Verwerking Bouwdelen'!T7)</f>
        <v>0</v>
      </c>
      <c r="BP23" s="208">
        <f>IF($BM23=1,$BN23*'Verwerking Bouwdelen'!DM7,$BN23*'Verwerking Bouwdelen'!U7)</f>
        <v>0</v>
      </c>
      <c r="BQ23" s="208">
        <f>IF($BM23=1,$BN23*'Verwerking Bouwdelen'!DN7,$BN23*'Verwerking Bouwdelen'!V7)</f>
        <v>0</v>
      </c>
      <c r="BR23" s="208">
        <f>IF($BM23=1,$BN23*'Verwerking Bouwdelen'!DO7,$BN23*'Verwerking Bouwdelen'!W7)</f>
        <v>0</v>
      </c>
      <c r="BS23" s="208">
        <f>IF($BM23=1,$BN23*'Verwerking Bouwdelen'!DP7,$BN23*'Verwerking Bouwdelen'!X7)</f>
        <v>0</v>
      </c>
      <c r="BT23" s="208">
        <f>IF($BM23=1,$BN23*'Verwerking Bouwdelen'!DQ7,$BN23*'Verwerking Bouwdelen'!Y7)</f>
        <v>0</v>
      </c>
      <c r="BU23" s="208">
        <f>IF($BM23=1,$BN23*'Verwerking Bouwdelen'!DR7,$BN23*'Verwerking Bouwdelen'!Z7)</f>
        <v>0</v>
      </c>
      <c r="BV23" s="208">
        <f>IF($BM23=1,$BN23*'Verwerking Bouwdelen'!DS7,$BN23*'Verwerking Bouwdelen'!AA7)</f>
        <v>0</v>
      </c>
      <c r="BW23" s="208">
        <f>IF($BM23=1,$BN23*'Verwerking Bouwdelen'!DT7,$BN23*'Verwerking Bouwdelen'!AB7)</f>
        <v>0</v>
      </c>
      <c r="BX23" s="208">
        <f>IF($BM23=1,$BN23*'Verwerking Bouwdelen'!DU7,$BN23*'Verwerking Bouwdelen'!AC7)</f>
        <v>0</v>
      </c>
      <c r="BY23" s="208">
        <f>IF($BM23=1,$BN23*'Verwerking Bouwdelen'!DV7,$BN23*'Verwerking Bouwdelen'!AD7)</f>
        <v>0</v>
      </c>
      <c r="BZ23" s="208">
        <f>IF($BM23=1,$BN23*'Verwerking Bouwdelen'!DW7,$BN23*'Verwerking Bouwdelen'!AE7)</f>
        <v>0</v>
      </c>
      <c r="CA23" s="10">
        <f>IF(BO23=$B23,0,'Verwerking Bouwdelen'!$D7*BM23*BN23)</f>
        <v>0</v>
      </c>
      <c r="CB23" s="10">
        <f>BM23*BN23*'Verwerking Bouwdelen'!GH7</f>
        <v>0</v>
      </c>
      <c r="CC23" s="10"/>
      <c r="CD23" s="248"/>
      <c r="CE23" s="125">
        <f>IF('Verwerking Bouwdelen'!C7=2,1,0)</f>
        <v>0</v>
      </c>
      <c r="CF23" s="130">
        <f>IF('Verwerking Bouwdelen'!A7=3,1,0)</f>
        <v>0</v>
      </c>
      <c r="CG23" s="208">
        <f>IF($CE23=1,$CF23*'Verwerking Bouwdelen'!DL7,$CF23*'Verwerking Bouwdelen'!T7)</f>
        <v>0</v>
      </c>
      <c r="CH23" s="208">
        <f>IF($CE23=1,$CF23*'Verwerking Bouwdelen'!DM7,$CF23*'Verwerking Bouwdelen'!U7)</f>
        <v>0</v>
      </c>
      <c r="CI23" s="208">
        <f>IF($CE23=1,$CF23*'Verwerking Bouwdelen'!DN7,$CF23*'Verwerking Bouwdelen'!V7)</f>
        <v>0</v>
      </c>
      <c r="CJ23" s="208">
        <f>IF($CE23=1,$CF23*'Verwerking Bouwdelen'!DO7,$CF23*'Verwerking Bouwdelen'!W7)</f>
        <v>0</v>
      </c>
      <c r="CK23" s="208">
        <f>IF($CE23=1,$CF23*'Verwerking Bouwdelen'!DP7,$CF23*'Verwerking Bouwdelen'!X7)</f>
        <v>0</v>
      </c>
      <c r="CL23" s="208">
        <f>IF($CE23=1,$CF23*'Verwerking Bouwdelen'!DQ7,$CF23*'Verwerking Bouwdelen'!Y7)</f>
        <v>0</v>
      </c>
      <c r="CM23" s="208">
        <f>IF($CE23=1,$CF23*'Verwerking Bouwdelen'!DR7,$CF23*'Verwerking Bouwdelen'!Z7)</f>
        <v>0</v>
      </c>
      <c r="CN23" s="208">
        <f>IF($CE23=1,$CF23*'Verwerking Bouwdelen'!DS7,$CF23*'Verwerking Bouwdelen'!AA7)</f>
        <v>0</v>
      </c>
      <c r="CO23" s="208">
        <f>IF($CE23=1,$CF23*'Verwerking Bouwdelen'!DT7,$CF23*'Verwerking Bouwdelen'!AB7)</f>
        <v>0</v>
      </c>
      <c r="CP23" s="208">
        <f>IF($CE23=1,$CF23*'Verwerking Bouwdelen'!DU7,$CF23*'Verwerking Bouwdelen'!AC7)</f>
        <v>0</v>
      </c>
      <c r="CQ23" s="208">
        <f>IF($CE23=1,$CF23*'Verwerking Bouwdelen'!DV7,$CF23*'Verwerking Bouwdelen'!AD7)</f>
        <v>0</v>
      </c>
      <c r="CR23" s="208">
        <f>IF($CE23=1,$CF23*'Verwerking Bouwdelen'!DW7,$CF23*'Verwerking Bouwdelen'!AE7)</f>
        <v>0</v>
      </c>
      <c r="CS23" s="10">
        <f>IF(CG23=$B23,0,('Verwerking Bouwdelen'!$D7-'Verwerking Bouwdelen'!G7)*CE23*CF23)</f>
        <v>0</v>
      </c>
      <c r="CT23" s="260">
        <f>CE23*CF23*'Verwerking Bouwdelen'!GH7</f>
        <v>0</v>
      </c>
      <c r="CU23" s="261">
        <f>CE23*CF23*'Verwerking Bouwdelen'!GI7</f>
        <v>0</v>
      </c>
      <c r="CW23" s="209">
        <f>$AC23*'Verwerking Bouwdelen'!EE7</f>
        <v>0</v>
      </c>
      <c r="CX23" s="209">
        <f>$AC23*'Verwerking Bouwdelen'!EF7</f>
        <v>0</v>
      </c>
      <c r="CY23" s="209">
        <f>$AC23*'Verwerking Bouwdelen'!EG7</f>
        <v>0</v>
      </c>
      <c r="CZ23" s="209">
        <f>$AC23*'Verwerking Bouwdelen'!EH7</f>
        <v>0</v>
      </c>
      <c r="DA23" s="209">
        <f>$AC23*'Verwerking Bouwdelen'!EI7</f>
        <v>0</v>
      </c>
      <c r="DB23" s="209">
        <f>$AC23*'Verwerking Bouwdelen'!EJ7</f>
        <v>0</v>
      </c>
      <c r="DC23" s="209">
        <f>$AC23*'Verwerking Bouwdelen'!EK7</f>
        <v>0</v>
      </c>
      <c r="DD23" s="209">
        <f>$AC23*'Verwerking Bouwdelen'!EL7</f>
        <v>0</v>
      </c>
      <c r="DE23" s="209">
        <f>$AC23*'Verwerking Bouwdelen'!EM7</f>
        <v>0</v>
      </c>
      <c r="DF23" s="209">
        <f>$AC23*'Verwerking Bouwdelen'!EN7</f>
        <v>0</v>
      </c>
      <c r="DG23" s="209">
        <f>$AC23*'Verwerking Bouwdelen'!EO7</f>
        <v>0</v>
      </c>
      <c r="DH23" s="209">
        <f>$AC23*'Verwerking Bouwdelen'!EP7</f>
        <v>0</v>
      </c>
      <c r="DI23" s="10">
        <f>IF(CW23=$O23,0,'Verwerking Bouwdelen'!G7)</f>
        <v>0</v>
      </c>
      <c r="DJ23" s="259">
        <f>'Verwerking Bouwdelen'!GK7*CF23</f>
        <v>0</v>
      </c>
      <c r="DK23" s="259">
        <f>'Verwerking Bouwdelen'!GL7*CF23</f>
        <v>0</v>
      </c>
      <c r="DL23" s="125"/>
      <c r="FC23" s="89">
        <f>IF('Verwerken ventilatie'!AJ15=3,1,0)</f>
        <v>0</v>
      </c>
      <c r="FD23" s="89">
        <f>FC23*'Verwerken ventilatie'!BT15</f>
        <v>0</v>
      </c>
      <c r="FE23" s="89">
        <f>FC23*'Verwerken ventilatie'!BU15</f>
        <v>0</v>
      </c>
      <c r="FZ23" s="89">
        <f>IF('Verwerken verlichting'!B19=3,1,0)</f>
        <v>0</v>
      </c>
      <c r="GA23" s="89">
        <f>$FZ23*'Verwerken verlichting'!BX19</f>
        <v>0</v>
      </c>
      <c r="GB23" s="89">
        <f>$FZ23*'Verwerken verlichting'!BY19</f>
        <v>0</v>
      </c>
      <c r="GC23" s="89">
        <f>$FZ23*'Verwerken verlichting'!BZ19</f>
        <v>0</v>
      </c>
      <c r="GD23" s="89">
        <f>$FZ23*'Verwerken verlichting'!CA19</f>
        <v>0</v>
      </c>
      <c r="GE23" s="89">
        <f>$FZ23*'Verwerken verlichting'!CB19</f>
        <v>0</v>
      </c>
      <c r="GF23" s="89">
        <f>$FZ23*'Verwerken verlichting'!CC19</f>
        <v>0</v>
      </c>
      <c r="GG23" s="89">
        <f>FZ23*'Invoer verlichting'!N18</f>
        <v>0</v>
      </c>
      <c r="GH23" s="89">
        <f>FZ23*'Verwerken verlichting'!AH19</f>
        <v>0</v>
      </c>
      <c r="GI23" s="89">
        <f>FZ23*'Verwerken verlichting'!AG19</f>
        <v>0</v>
      </c>
      <c r="GJ23" s="89">
        <f>FZ23*'Verwerken verlichting'!CE19</f>
        <v>0</v>
      </c>
      <c r="GM23" s="89">
        <f t="shared" si="13"/>
        <v>0</v>
      </c>
      <c r="GN23" s="89">
        <f t="shared" si="14"/>
        <v>0</v>
      </c>
      <c r="GO23" s="208">
        <f>IF($GN23=1,$GN23*$GM23*'Verwerking Bouwdelen'!DL7,$GN23*$GM23*'Verwerking Bouwdelen'!T7)</f>
        <v>0</v>
      </c>
      <c r="GP23" s="208">
        <f>IF($GN23=1,$GN23*$GM23*'Verwerking Bouwdelen'!DM7,$GN23*$GM23*'Verwerking Bouwdelen'!U7)</f>
        <v>0</v>
      </c>
      <c r="GQ23" s="208">
        <f>IF($GN23=1,$GN23*$GM23*'Verwerking Bouwdelen'!DN7,$GN23*$GM23*'Verwerking Bouwdelen'!V7)</f>
        <v>0</v>
      </c>
      <c r="GR23" s="208">
        <f>IF($GN23=1,$GN23*$GM23*'Verwerking Bouwdelen'!DO7,$GN23*$GM23*'Verwerking Bouwdelen'!W7)</f>
        <v>0</v>
      </c>
      <c r="GS23" s="208">
        <f>IF($GN23=1,$GN23*$GM23*'Verwerking Bouwdelen'!DP7,$GN23*$GM23*'Verwerking Bouwdelen'!X7)</f>
        <v>0</v>
      </c>
      <c r="GT23" s="208">
        <f>IF($GN23=1,$GN23*$GM23*'Verwerking Bouwdelen'!DQ7,$GN23*$GM23*'Verwerking Bouwdelen'!Y7)</f>
        <v>0</v>
      </c>
      <c r="GU23" s="208">
        <f>IF($GN23=1,$GN23*$GM23*'Verwerking Bouwdelen'!DR7,$GN23*$GM23*'Verwerking Bouwdelen'!Z7)</f>
        <v>0</v>
      </c>
      <c r="GV23" s="208">
        <f>IF($GN23=1,$GN23*$GM23*'Verwerking Bouwdelen'!DS7,$GN23*$GM23*'Verwerking Bouwdelen'!AA7)</f>
        <v>0</v>
      </c>
      <c r="GW23" s="208">
        <f>IF($GN23=1,$GN23*$GM23*'Verwerking Bouwdelen'!DT7,$GN23*$GM23*'Verwerking Bouwdelen'!AB7)</f>
        <v>0</v>
      </c>
      <c r="GX23" s="208">
        <f>IF($GN23=1,$GN23*$GM23*'Verwerking Bouwdelen'!DU7,$GN23*$GM23*'Verwerking Bouwdelen'!AC7)</f>
        <v>0</v>
      </c>
      <c r="GY23" s="208">
        <f>IF($GN23=1,$GN23*$GM23*'Verwerking Bouwdelen'!DV7,$GN23*$GM23*'Verwerking Bouwdelen'!AD7)</f>
        <v>0</v>
      </c>
      <c r="GZ23" s="208">
        <f>IF($GN23=1,$GN23*$GM23*'Verwerking Bouwdelen'!DW7,$GN23*$GM23*'Verwerking Bouwdelen'!AE7)</f>
        <v>0</v>
      </c>
      <c r="HB23" s="89">
        <f t="shared" si="1"/>
        <v>0</v>
      </c>
      <c r="HC23" s="89">
        <f t="shared" si="2"/>
        <v>0</v>
      </c>
      <c r="HD23" s="89">
        <f t="shared" si="3"/>
        <v>0</v>
      </c>
      <c r="HE23" s="89">
        <f t="shared" si="4"/>
        <v>0</v>
      </c>
      <c r="HF23" s="89">
        <f t="shared" si="5"/>
        <v>0</v>
      </c>
      <c r="HG23" s="89">
        <f t="shared" si="6"/>
        <v>0</v>
      </c>
      <c r="HH23" s="89">
        <f t="shared" si="7"/>
        <v>0</v>
      </c>
      <c r="HI23" s="89">
        <f t="shared" si="8"/>
        <v>0</v>
      </c>
      <c r="HJ23" s="89">
        <f t="shared" si="9"/>
        <v>0</v>
      </c>
      <c r="HK23" s="89">
        <f t="shared" si="10"/>
        <v>0</v>
      </c>
      <c r="HL23" s="89">
        <f t="shared" si="11"/>
        <v>0</v>
      </c>
      <c r="HM23" s="89">
        <f t="shared" si="12"/>
        <v>0</v>
      </c>
    </row>
    <row r="24" spans="1:221" x14ac:dyDescent="0.2">
      <c r="A24" s="130">
        <f>IF('Verwerking Bouwdelen'!A8=3,1,0)</f>
        <v>0</v>
      </c>
      <c r="B24" s="208">
        <f>$A24*'Verwerking Bouwdelen'!T8</f>
        <v>0</v>
      </c>
      <c r="C24" s="208">
        <f>$A24*'Verwerking Bouwdelen'!U8</f>
        <v>0</v>
      </c>
      <c r="D24" s="208">
        <f>$A24*'Verwerking Bouwdelen'!V8</f>
        <v>0</v>
      </c>
      <c r="E24" s="208">
        <f>$A24*'Verwerking Bouwdelen'!W8</f>
        <v>0</v>
      </c>
      <c r="F24" s="208">
        <f>$A24*'Verwerking Bouwdelen'!X8</f>
        <v>0</v>
      </c>
      <c r="G24" s="208">
        <f>$A24*'Verwerking Bouwdelen'!Y8</f>
        <v>0</v>
      </c>
      <c r="H24" s="208">
        <f>$A24*'Verwerking Bouwdelen'!Z8</f>
        <v>0</v>
      </c>
      <c r="I24" s="208">
        <f>$A24*'Verwerking Bouwdelen'!AA8</f>
        <v>0</v>
      </c>
      <c r="J24" s="208">
        <f>$A24*'Verwerking Bouwdelen'!AB8</f>
        <v>0</v>
      </c>
      <c r="K24" s="208">
        <f>$A24*'Verwerking Bouwdelen'!AC8</f>
        <v>0</v>
      </c>
      <c r="L24" s="208">
        <f>$A24*'Verwerking Bouwdelen'!AD8</f>
        <v>0</v>
      </c>
      <c r="M24" s="208">
        <f>$A24*'Verwerking Bouwdelen'!AE8</f>
        <v>0</v>
      </c>
      <c r="O24" s="114">
        <f>$A24*'Verwerking Bouwdelen'!AU8</f>
        <v>0</v>
      </c>
      <c r="P24" s="125">
        <f>$A24*'Verwerking Bouwdelen'!AV8</f>
        <v>0</v>
      </c>
      <c r="Q24" s="125">
        <f>$A24*'Verwerking Bouwdelen'!AW8</f>
        <v>0</v>
      </c>
      <c r="R24" s="125">
        <f>$A24*'Verwerking Bouwdelen'!AX8</f>
        <v>0</v>
      </c>
      <c r="S24" s="125">
        <f>$A24*'Verwerking Bouwdelen'!AY8</f>
        <v>0</v>
      </c>
      <c r="T24" s="125">
        <f>$A24*'Verwerking Bouwdelen'!AZ8</f>
        <v>0</v>
      </c>
      <c r="U24" s="125">
        <f>$A24*'Verwerking Bouwdelen'!BA8</f>
        <v>0</v>
      </c>
      <c r="V24" s="125">
        <f>$A24*'Verwerking Bouwdelen'!BB8</f>
        <v>0</v>
      </c>
      <c r="W24" s="125">
        <f>$A24*'Verwerking Bouwdelen'!BC8</f>
        <v>0</v>
      </c>
      <c r="X24" s="125">
        <f>$A24*'Verwerking Bouwdelen'!BD8</f>
        <v>0</v>
      </c>
      <c r="Y24" s="125">
        <f>$A24*'Verwerking Bouwdelen'!BE8</f>
        <v>0</v>
      </c>
      <c r="Z24" s="195">
        <f>$A24*'Verwerking Bouwdelen'!BF8</f>
        <v>0</v>
      </c>
      <c r="AB24" s="125">
        <f>IF(OR('Verwerking Bouwdelen'!C8=3,'Verwerking Bouwdelen'!C8=6),1,0)</f>
        <v>0</v>
      </c>
      <c r="AC24" s="130">
        <f>IF('Verwerking Bouwdelen'!A8=3,1,0)</f>
        <v>0</v>
      </c>
      <c r="AD24" s="208">
        <f>IF($AB24=1,$AC24*'Verwerking Bouwdelen'!DL8,$AC24*'Verwerking Bouwdelen'!T8)</f>
        <v>0</v>
      </c>
      <c r="AE24" s="208">
        <f>IF($AB24=1,$AC24*'Verwerking Bouwdelen'!DM8,$AC24*'Verwerking Bouwdelen'!U8)</f>
        <v>0</v>
      </c>
      <c r="AF24" s="208">
        <f>IF($AB24=1,$AC24*'Verwerking Bouwdelen'!DN8,$AC24*'Verwerking Bouwdelen'!V8)</f>
        <v>0</v>
      </c>
      <c r="AG24" s="208">
        <f>IF($AB24=1,$AC24*'Verwerking Bouwdelen'!DO8,$AC24*'Verwerking Bouwdelen'!W8)</f>
        <v>0</v>
      </c>
      <c r="AH24" s="208">
        <f>IF($AB24=1,$AC24*'Verwerking Bouwdelen'!DP8,$AC24*'Verwerking Bouwdelen'!X8)</f>
        <v>0</v>
      </c>
      <c r="AI24" s="208">
        <f>IF($AB24=1,$AC24*'Verwerking Bouwdelen'!DQ8,$AC24*'Verwerking Bouwdelen'!Y8)</f>
        <v>0</v>
      </c>
      <c r="AJ24" s="208">
        <f>IF($AB24=1,$AC24*'Verwerking Bouwdelen'!DR8,$AC24*'Verwerking Bouwdelen'!Z8)</f>
        <v>0</v>
      </c>
      <c r="AK24" s="208">
        <f>IF($AB24=1,$AC24*'Verwerking Bouwdelen'!DS8,$AC24*'Verwerking Bouwdelen'!AA8)</f>
        <v>0</v>
      </c>
      <c r="AL24" s="208">
        <f>IF($AB24=1,$AC24*'Verwerking Bouwdelen'!DT8,$AC24*'Verwerking Bouwdelen'!AB8)</f>
        <v>0</v>
      </c>
      <c r="AM24" s="208">
        <f>IF($AB24=1,$AC24*'Verwerking Bouwdelen'!DU8,$AC24*'Verwerking Bouwdelen'!AC8)</f>
        <v>0</v>
      </c>
      <c r="AN24" s="208">
        <f>IF($AB24=1,$AC24*'Verwerking Bouwdelen'!DV8,$AC24*'Verwerking Bouwdelen'!AD8)</f>
        <v>0</v>
      </c>
      <c r="AO24" s="208">
        <f>IF($AB24=1,$AC24*'Verwerking Bouwdelen'!DW8,$AC24*'Verwerking Bouwdelen'!AE8)</f>
        <v>0</v>
      </c>
      <c r="AP24" s="10">
        <f>IF(AD24=B24,0,'Verwerking Bouwdelen'!D8*AB24*AC24)</f>
        <v>0</v>
      </c>
      <c r="AQ24" s="10">
        <f>AB24*AC24*'Verwerking Bouwdelen'!GH8</f>
        <v>0</v>
      </c>
      <c r="AR24" s="10"/>
      <c r="AS24" s="248"/>
      <c r="AT24" s="125">
        <f>IF('Verwerking Bouwdelen'!C8=4,1,0)</f>
        <v>0</v>
      </c>
      <c r="AU24" s="130">
        <f>IF('Verwerking Bouwdelen'!A8=3,1,0)</f>
        <v>0</v>
      </c>
      <c r="AV24" s="208">
        <f>IF($AT24=1,$AU24*'Verwerking Bouwdelen'!DL8,$AU24*'Verwerking Bouwdelen'!T8)</f>
        <v>0</v>
      </c>
      <c r="AW24" s="208">
        <f>IF($AT24=1,$AU24*'Verwerking Bouwdelen'!DM8,$AU24*'Verwerking Bouwdelen'!U8)</f>
        <v>0</v>
      </c>
      <c r="AX24" s="208">
        <f>IF($AT24=1,$AU24*'Verwerking Bouwdelen'!DN8,$AU24*'Verwerking Bouwdelen'!V8)</f>
        <v>0</v>
      </c>
      <c r="AY24" s="208">
        <f>IF($AT24=1,$AU24*'Verwerking Bouwdelen'!DO8,$AU24*'Verwerking Bouwdelen'!W8)</f>
        <v>0</v>
      </c>
      <c r="AZ24" s="208">
        <f>IF($AT24=1,$AU24*'Verwerking Bouwdelen'!DP8,$AU24*'Verwerking Bouwdelen'!X8)</f>
        <v>0</v>
      </c>
      <c r="BA24" s="208">
        <f>IF($AT24=1,$AU24*'Verwerking Bouwdelen'!DQ8,$AU24*'Verwerking Bouwdelen'!Y8)</f>
        <v>0</v>
      </c>
      <c r="BB24" s="208">
        <f>IF($AT24=1,$AU24*'Verwerking Bouwdelen'!DR8,$AU24*'Verwerking Bouwdelen'!Z8)</f>
        <v>0</v>
      </c>
      <c r="BC24" s="208">
        <f>IF($AT24=1,$AU24*'Verwerking Bouwdelen'!DS8,$AU24*'Verwerking Bouwdelen'!AA8)</f>
        <v>0</v>
      </c>
      <c r="BD24" s="208">
        <f>IF($AT24=1,$AU24*'Verwerking Bouwdelen'!DT8,$AU24*'Verwerking Bouwdelen'!AB8)</f>
        <v>0</v>
      </c>
      <c r="BE24" s="208">
        <f>IF($AT24=1,$AU24*'Verwerking Bouwdelen'!DU8,$AU24*'Verwerking Bouwdelen'!AC8)</f>
        <v>0</v>
      </c>
      <c r="BF24" s="208">
        <f>IF($AT24=1,$AU24*'Verwerking Bouwdelen'!DV8,$AU24*'Verwerking Bouwdelen'!AD8)</f>
        <v>0</v>
      </c>
      <c r="BG24" s="208">
        <f>IF($AT24=1,$AU24*'Verwerking Bouwdelen'!DW8,$AU24*'Verwerking Bouwdelen'!AE8)</f>
        <v>0</v>
      </c>
      <c r="BH24" s="10">
        <f>IF(AV24=B24,0,'Verwerking Bouwdelen'!D8*AT24*AU24)</f>
        <v>0</v>
      </c>
      <c r="BI24" s="10">
        <f>AT24*AU24*'Verwerking Bouwdelen'!GH8</f>
        <v>0</v>
      </c>
      <c r="BJ24" s="10"/>
      <c r="BK24" s="10"/>
      <c r="BM24" s="125">
        <f>IF('Verwerking Bouwdelen'!C8=5,1,0)</f>
        <v>0</v>
      </c>
      <c r="BN24" s="130">
        <f>IF('Verwerking Bouwdelen'!A8=3,1,0)</f>
        <v>0</v>
      </c>
      <c r="BO24" s="208">
        <f>IF($BM24=1,$BN24*'Verwerking Bouwdelen'!DL8,$BN24*'Verwerking Bouwdelen'!T8)</f>
        <v>0</v>
      </c>
      <c r="BP24" s="208">
        <f>IF($BM24=1,$BN24*'Verwerking Bouwdelen'!DM8,$BN24*'Verwerking Bouwdelen'!U8)</f>
        <v>0</v>
      </c>
      <c r="BQ24" s="208">
        <f>IF($BM24=1,$BN24*'Verwerking Bouwdelen'!DN8,$BN24*'Verwerking Bouwdelen'!V8)</f>
        <v>0</v>
      </c>
      <c r="BR24" s="208">
        <f>IF($BM24=1,$BN24*'Verwerking Bouwdelen'!DO8,$BN24*'Verwerking Bouwdelen'!W8)</f>
        <v>0</v>
      </c>
      <c r="BS24" s="208">
        <f>IF($BM24=1,$BN24*'Verwerking Bouwdelen'!DP8,$BN24*'Verwerking Bouwdelen'!X8)</f>
        <v>0</v>
      </c>
      <c r="BT24" s="208">
        <f>IF($BM24=1,$BN24*'Verwerking Bouwdelen'!DQ8,$BN24*'Verwerking Bouwdelen'!Y8)</f>
        <v>0</v>
      </c>
      <c r="BU24" s="208">
        <f>IF($BM24=1,$BN24*'Verwerking Bouwdelen'!DR8,$BN24*'Verwerking Bouwdelen'!Z8)</f>
        <v>0</v>
      </c>
      <c r="BV24" s="208">
        <f>IF($BM24=1,$BN24*'Verwerking Bouwdelen'!DS8,$BN24*'Verwerking Bouwdelen'!AA8)</f>
        <v>0</v>
      </c>
      <c r="BW24" s="208">
        <f>IF($BM24=1,$BN24*'Verwerking Bouwdelen'!DT8,$BN24*'Verwerking Bouwdelen'!AB8)</f>
        <v>0</v>
      </c>
      <c r="BX24" s="208">
        <f>IF($BM24=1,$BN24*'Verwerking Bouwdelen'!DU8,$BN24*'Verwerking Bouwdelen'!AC8)</f>
        <v>0</v>
      </c>
      <c r="BY24" s="208">
        <f>IF($BM24=1,$BN24*'Verwerking Bouwdelen'!DV8,$BN24*'Verwerking Bouwdelen'!AD8)</f>
        <v>0</v>
      </c>
      <c r="BZ24" s="208">
        <f>IF($BM24=1,$BN24*'Verwerking Bouwdelen'!DW8,$BN24*'Verwerking Bouwdelen'!AE8)</f>
        <v>0</v>
      </c>
      <c r="CA24" s="10">
        <f>IF(BO24=$B24,0,'Verwerking Bouwdelen'!$D8*BM24*BN24)</f>
        <v>0</v>
      </c>
      <c r="CB24" s="10">
        <f>BM24*BN24*'Verwerking Bouwdelen'!GH8</f>
        <v>0</v>
      </c>
      <c r="CC24" s="10"/>
      <c r="CD24" s="248"/>
      <c r="CE24" s="125">
        <f>IF('Verwerking Bouwdelen'!C8=2,1,0)</f>
        <v>0</v>
      </c>
      <c r="CF24" s="130">
        <f>IF('Verwerking Bouwdelen'!A8=3,1,0)</f>
        <v>0</v>
      </c>
      <c r="CG24" s="208">
        <f>IF($CE24=1,$CF24*'Verwerking Bouwdelen'!DL8,$CF24*'Verwerking Bouwdelen'!T8)</f>
        <v>0</v>
      </c>
      <c r="CH24" s="208">
        <f>IF($CE24=1,$CF24*'Verwerking Bouwdelen'!DM8,$CF24*'Verwerking Bouwdelen'!U8)</f>
        <v>0</v>
      </c>
      <c r="CI24" s="208">
        <f>IF($CE24=1,$CF24*'Verwerking Bouwdelen'!DN8,$CF24*'Verwerking Bouwdelen'!V8)</f>
        <v>0</v>
      </c>
      <c r="CJ24" s="208">
        <f>IF($CE24=1,$CF24*'Verwerking Bouwdelen'!DO8,$CF24*'Verwerking Bouwdelen'!W8)</f>
        <v>0</v>
      </c>
      <c r="CK24" s="208">
        <f>IF($CE24=1,$CF24*'Verwerking Bouwdelen'!DP8,$CF24*'Verwerking Bouwdelen'!X8)</f>
        <v>0</v>
      </c>
      <c r="CL24" s="208">
        <f>IF($CE24=1,$CF24*'Verwerking Bouwdelen'!DQ8,$CF24*'Verwerking Bouwdelen'!Y8)</f>
        <v>0</v>
      </c>
      <c r="CM24" s="208">
        <f>IF($CE24=1,$CF24*'Verwerking Bouwdelen'!DR8,$CF24*'Verwerking Bouwdelen'!Z8)</f>
        <v>0</v>
      </c>
      <c r="CN24" s="208">
        <f>IF($CE24=1,$CF24*'Verwerking Bouwdelen'!DS8,$CF24*'Verwerking Bouwdelen'!AA8)</f>
        <v>0</v>
      </c>
      <c r="CO24" s="208">
        <f>IF($CE24=1,$CF24*'Verwerking Bouwdelen'!DT8,$CF24*'Verwerking Bouwdelen'!AB8)</f>
        <v>0</v>
      </c>
      <c r="CP24" s="208">
        <f>IF($CE24=1,$CF24*'Verwerking Bouwdelen'!DU8,$CF24*'Verwerking Bouwdelen'!AC8)</f>
        <v>0</v>
      </c>
      <c r="CQ24" s="208">
        <f>IF($CE24=1,$CF24*'Verwerking Bouwdelen'!DV8,$CF24*'Verwerking Bouwdelen'!AD8)</f>
        <v>0</v>
      </c>
      <c r="CR24" s="208">
        <f>IF($CE24=1,$CF24*'Verwerking Bouwdelen'!DW8,$CF24*'Verwerking Bouwdelen'!AE8)</f>
        <v>0</v>
      </c>
      <c r="CS24" s="10">
        <f>IF(CG24=$B24,0,('Verwerking Bouwdelen'!$D8-'Verwerking Bouwdelen'!G8)*CE24*CF24)</f>
        <v>0</v>
      </c>
      <c r="CT24" s="260">
        <f>CE24*CF24*'Verwerking Bouwdelen'!GH8</f>
        <v>0</v>
      </c>
      <c r="CU24" s="261">
        <f>CE24*CF24*'Verwerking Bouwdelen'!GI8</f>
        <v>0</v>
      </c>
      <c r="CW24" s="209">
        <f>$AC24*'Verwerking Bouwdelen'!EE8</f>
        <v>0</v>
      </c>
      <c r="CX24" s="209">
        <f>$AC24*'Verwerking Bouwdelen'!EF8</f>
        <v>0</v>
      </c>
      <c r="CY24" s="209">
        <f>$AC24*'Verwerking Bouwdelen'!EG8</f>
        <v>0</v>
      </c>
      <c r="CZ24" s="209">
        <f>$AC24*'Verwerking Bouwdelen'!EH8</f>
        <v>0</v>
      </c>
      <c r="DA24" s="209">
        <f>$AC24*'Verwerking Bouwdelen'!EI8</f>
        <v>0</v>
      </c>
      <c r="DB24" s="209">
        <f>$AC24*'Verwerking Bouwdelen'!EJ8</f>
        <v>0</v>
      </c>
      <c r="DC24" s="209">
        <f>$AC24*'Verwerking Bouwdelen'!EK8</f>
        <v>0</v>
      </c>
      <c r="DD24" s="209">
        <f>$AC24*'Verwerking Bouwdelen'!EL8</f>
        <v>0</v>
      </c>
      <c r="DE24" s="209">
        <f>$AC24*'Verwerking Bouwdelen'!EM8</f>
        <v>0</v>
      </c>
      <c r="DF24" s="209">
        <f>$AC24*'Verwerking Bouwdelen'!EN8</f>
        <v>0</v>
      </c>
      <c r="DG24" s="209">
        <f>$AC24*'Verwerking Bouwdelen'!EO8</f>
        <v>0</v>
      </c>
      <c r="DH24" s="209">
        <f>$AC24*'Verwerking Bouwdelen'!EP8</f>
        <v>0</v>
      </c>
      <c r="DI24" s="10">
        <f>IF(CW24=$O24,0,'Verwerking Bouwdelen'!G8)</f>
        <v>0</v>
      </c>
      <c r="DJ24" s="259">
        <f>'Verwerking Bouwdelen'!GK8*CF24</f>
        <v>0</v>
      </c>
      <c r="DK24" s="259">
        <f>'Verwerking Bouwdelen'!GL8*CF24</f>
        <v>0</v>
      </c>
      <c r="DL24" s="125"/>
      <c r="FC24" s="89">
        <f>IF('Verwerken ventilatie'!AJ16=3,1,0)</f>
        <v>0</v>
      </c>
      <c r="FD24" s="89">
        <f>FC24*'Verwerken ventilatie'!BT16</f>
        <v>0</v>
      </c>
      <c r="FE24" s="89">
        <f>FC24*'Verwerken ventilatie'!BU16</f>
        <v>0</v>
      </c>
      <c r="FZ24" s="89">
        <f>IF('Verwerken verlichting'!B20=3,1,0)</f>
        <v>0</v>
      </c>
      <c r="GA24" s="89">
        <f>$FZ24*'Verwerken verlichting'!BX20</f>
        <v>0</v>
      </c>
      <c r="GB24" s="89">
        <f>$FZ24*'Verwerken verlichting'!BY20</f>
        <v>0</v>
      </c>
      <c r="GC24" s="89">
        <f>$FZ24*'Verwerken verlichting'!BZ20</f>
        <v>0</v>
      </c>
      <c r="GD24" s="89">
        <f>$FZ24*'Verwerken verlichting'!CA20</f>
        <v>0</v>
      </c>
      <c r="GE24" s="89">
        <f>$FZ24*'Verwerken verlichting'!CB20</f>
        <v>0</v>
      </c>
      <c r="GF24" s="89">
        <f>$FZ24*'Verwerken verlichting'!CC20</f>
        <v>0</v>
      </c>
      <c r="GG24" s="89">
        <f>FZ24*'Invoer verlichting'!N19</f>
        <v>0</v>
      </c>
      <c r="GH24" s="89">
        <f>FZ24*'Verwerken verlichting'!AH20</f>
        <v>0</v>
      </c>
      <c r="GI24" s="89">
        <f>FZ24*'Verwerken verlichting'!AG20</f>
        <v>0</v>
      </c>
      <c r="GJ24" s="89">
        <f>FZ24*'Verwerken verlichting'!CE20</f>
        <v>0</v>
      </c>
      <c r="GM24" s="89">
        <f t="shared" si="13"/>
        <v>0</v>
      </c>
      <c r="GN24" s="89">
        <f t="shared" si="14"/>
        <v>0</v>
      </c>
      <c r="GO24" s="208">
        <f>IF($GN24=1,$GN24*$GM24*'Verwerking Bouwdelen'!DL8,$GN24*$GM24*'Verwerking Bouwdelen'!T8)</f>
        <v>0</v>
      </c>
      <c r="GP24" s="208">
        <f>IF($GN24=1,$GN24*$GM24*'Verwerking Bouwdelen'!DM8,$GN24*$GM24*'Verwerking Bouwdelen'!U8)</f>
        <v>0</v>
      </c>
      <c r="GQ24" s="208">
        <f>IF($GN24=1,$GN24*$GM24*'Verwerking Bouwdelen'!DN8,$GN24*$GM24*'Verwerking Bouwdelen'!V8)</f>
        <v>0</v>
      </c>
      <c r="GR24" s="208">
        <f>IF($GN24=1,$GN24*$GM24*'Verwerking Bouwdelen'!DO8,$GN24*$GM24*'Verwerking Bouwdelen'!W8)</f>
        <v>0</v>
      </c>
      <c r="GS24" s="208">
        <f>IF($GN24=1,$GN24*$GM24*'Verwerking Bouwdelen'!DP8,$GN24*$GM24*'Verwerking Bouwdelen'!X8)</f>
        <v>0</v>
      </c>
      <c r="GT24" s="208">
        <f>IF($GN24=1,$GN24*$GM24*'Verwerking Bouwdelen'!DQ8,$GN24*$GM24*'Verwerking Bouwdelen'!Y8)</f>
        <v>0</v>
      </c>
      <c r="GU24" s="208">
        <f>IF($GN24=1,$GN24*$GM24*'Verwerking Bouwdelen'!DR8,$GN24*$GM24*'Verwerking Bouwdelen'!Z8)</f>
        <v>0</v>
      </c>
      <c r="GV24" s="208">
        <f>IF($GN24=1,$GN24*$GM24*'Verwerking Bouwdelen'!DS8,$GN24*$GM24*'Verwerking Bouwdelen'!AA8)</f>
        <v>0</v>
      </c>
      <c r="GW24" s="208">
        <f>IF($GN24=1,$GN24*$GM24*'Verwerking Bouwdelen'!DT8,$GN24*$GM24*'Verwerking Bouwdelen'!AB8)</f>
        <v>0</v>
      </c>
      <c r="GX24" s="208">
        <f>IF($GN24=1,$GN24*$GM24*'Verwerking Bouwdelen'!DU8,$GN24*$GM24*'Verwerking Bouwdelen'!AC8)</f>
        <v>0</v>
      </c>
      <c r="GY24" s="208">
        <f>IF($GN24=1,$GN24*$GM24*'Verwerking Bouwdelen'!DV8,$GN24*$GM24*'Verwerking Bouwdelen'!AD8)</f>
        <v>0</v>
      </c>
      <c r="GZ24" s="208">
        <f>IF($GN24=1,$GN24*$GM24*'Verwerking Bouwdelen'!DW8,$GN24*$GM24*'Verwerking Bouwdelen'!AE8)</f>
        <v>0</v>
      </c>
      <c r="HB24" s="89">
        <f t="shared" si="1"/>
        <v>0</v>
      </c>
      <c r="HC24" s="89">
        <f t="shared" si="2"/>
        <v>0</v>
      </c>
      <c r="HD24" s="89">
        <f t="shared" si="3"/>
        <v>0</v>
      </c>
      <c r="HE24" s="89">
        <f t="shared" si="4"/>
        <v>0</v>
      </c>
      <c r="HF24" s="89">
        <f t="shared" si="5"/>
        <v>0</v>
      </c>
      <c r="HG24" s="89">
        <f t="shared" si="6"/>
        <v>0</v>
      </c>
      <c r="HH24" s="89">
        <f t="shared" si="7"/>
        <v>0</v>
      </c>
      <c r="HI24" s="89">
        <f t="shared" si="8"/>
        <v>0</v>
      </c>
      <c r="HJ24" s="89">
        <f t="shared" si="9"/>
        <v>0</v>
      </c>
      <c r="HK24" s="89">
        <f t="shared" si="10"/>
        <v>0</v>
      </c>
      <c r="HL24" s="89">
        <f t="shared" si="11"/>
        <v>0</v>
      </c>
      <c r="HM24" s="89">
        <f t="shared" si="12"/>
        <v>0</v>
      </c>
    </row>
    <row r="25" spans="1:221" x14ac:dyDescent="0.2">
      <c r="A25" s="130">
        <f>IF('Verwerking Bouwdelen'!A9=3,1,0)</f>
        <v>0</v>
      </c>
      <c r="B25" s="208">
        <f>$A25*'Verwerking Bouwdelen'!T9</f>
        <v>0</v>
      </c>
      <c r="C25" s="208">
        <f>$A25*'Verwerking Bouwdelen'!U9</f>
        <v>0</v>
      </c>
      <c r="D25" s="208">
        <f>$A25*'Verwerking Bouwdelen'!V9</f>
        <v>0</v>
      </c>
      <c r="E25" s="208">
        <f>$A25*'Verwerking Bouwdelen'!W9</f>
        <v>0</v>
      </c>
      <c r="F25" s="208">
        <f>$A25*'Verwerking Bouwdelen'!X9</f>
        <v>0</v>
      </c>
      <c r="G25" s="208">
        <f>$A25*'Verwerking Bouwdelen'!Y9</f>
        <v>0</v>
      </c>
      <c r="H25" s="208">
        <f>$A25*'Verwerking Bouwdelen'!Z9</f>
        <v>0</v>
      </c>
      <c r="I25" s="208">
        <f>$A25*'Verwerking Bouwdelen'!AA9</f>
        <v>0</v>
      </c>
      <c r="J25" s="208">
        <f>$A25*'Verwerking Bouwdelen'!AB9</f>
        <v>0</v>
      </c>
      <c r="K25" s="208">
        <f>$A25*'Verwerking Bouwdelen'!AC9</f>
        <v>0</v>
      </c>
      <c r="L25" s="208">
        <f>$A25*'Verwerking Bouwdelen'!AD9</f>
        <v>0</v>
      </c>
      <c r="M25" s="208">
        <f>$A25*'Verwerking Bouwdelen'!AE9</f>
        <v>0</v>
      </c>
      <c r="O25" s="114">
        <f>$A25*'Verwerking Bouwdelen'!AU9</f>
        <v>0</v>
      </c>
      <c r="P25" s="125">
        <f>$A25*'Verwerking Bouwdelen'!AV9</f>
        <v>0</v>
      </c>
      <c r="Q25" s="125">
        <f>$A25*'Verwerking Bouwdelen'!AW9</f>
        <v>0</v>
      </c>
      <c r="R25" s="125">
        <f>$A25*'Verwerking Bouwdelen'!AX9</f>
        <v>0</v>
      </c>
      <c r="S25" s="125">
        <f>$A25*'Verwerking Bouwdelen'!AY9</f>
        <v>0</v>
      </c>
      <c r="T25" s="125">
        <f>$A25*'Verwerking Bouwdelen'!AZ9</f>
        <v>0</v>
      </c>
      <c r="U25" s="125">
        <f>$A25*'Verwerking Bouwdelen'!BA9</f>
        <v>0</v>
      </c>
      <c r="V25" s="125">
        <f>$A25*'Verwerking Bouwdelen'!BB9</f>
        <v>0</v>
      </c>
      <c r="W25" s="125">
        <f>$A25*'Verwerking Bouwdelen'!BC9</f>
        <v>0</v>
      </c>
      <c r="X25" s="125">
        <f>$A25*'Verwerking Bouwdelen'!BD9</f>
        <v>0</v>
      </c>
      <c r="Y25" s="125">
        <f>$A25*'Verwerking Bouwdelen'!BE9</f>
        <v>0</v>
      </c>
      <c r="Z25" s="195">
        <f>$A25*'Verwerking Bouwdelen'!BF9</f>
        <v>0</v>
      </c>
      <c r="AB25" s="125">
        <f>IF(OR('Verwerking Bouwdelen'!C9=3,'Verwerking Bouwdelen'!C9=6),1,0)</f>
        <v>0</v>
      </c>
      <c r="AC25" s="130">
        <f>IF('Verwerking Bouwdelen'!A9=3,1,0)</f>
        <v>0</v>
      </c>
      <c r="AD25" s="208">
        <f>IF($AB25=1,$AC25*'Verwerking Bouwdelen'!DL9,$AC25*'Verwerking Bouwdelen'!T9)</f>
        <v>0</v>
      </c>
      <c r="AE25" s="208">
        <f>IF($AB25=1,$AC25*'Verwerking Bouwdelen'!DM9,$AC25*'Verwerking Bouwdelen'!U9)</f>
        <v>0</v>
      </c>
      <c r="AF25" s="208">
        <f>IF($AB25=1,$AC25*'Verwerking Bouwdelen'!DN9,$AC25*'Verwerking Bouwdelen'!V9)</f>
        <v>0</v>
      </c>
      <c r="AG25" s="208">
        <f>IF($AB25=1,$AC25*'Verwerking Bouwdelen'!DO9,$AC25*'Verwerking Bouwdelen'!W9)</f>
        <v>0</v>
      </c>
      <c r="AH25" s="208">
        <f>IF($AB25=1,$AC25*'Verwerking Bouwdelen'!DP9,$AC25*'Verwerking Bouwdelen'!X9)</f>
        <v>0</v>
      </c>
      <c r="AI25" s="208">
        <f>IF($AB25=1,$AC25*'Verwerking Bouwdelen'!DQ9,$AC25*'Verwerking Bouwdelen'!Y9)</f>
        <v>0</v>
      </c>
      <c r="AJ25" s="208">
        <f>IF($AB25=1,$AC25*'Verwerking Bouwdelen'!DR9,$AC25*'Verwerking Bouwdelen'!Z9)</f>
        <v>0</v>
      </c>
      <c r="AK25" s="208">
        <f>IF($AB25=1,$AC25*'Verwerking Bouwdelen'!DS9,$AC25*'Verwerking Bouwdelen'!AA9)</f>
        <v>0</v>
      </c>
      <c r="AL25" s="208">
        <f>IF($AB25=1,$AC25*'Verwerking Bouwdelen'!DT9,$AC25*'Verwerking Bouwdelen'!AB9)</f>
        <v>0</v>
      </c>
      <c r="AM25" s="208">
        <f>IF($AB25=1,$AC25*'Verwerking Bouwdelen'!DU9,$AC25*'Verwerking Bouwdelen'!AC9)</f>
        <v>0</v>
      </c>
      <c r="AN25" s="208">
        <f>IF($AB25=1,$AC25*'Verwerking Bouwdelen'!DV9,$AC25*'Verwerking Bouwdelen'!AD9)</f>
        <v>0</v>
      </c>
      <c r="AO25" s="208">
        <f>IF($AB25=1,$AC25*'Verwerking Bouwdelen'!DW9,$AC25*'Verwerking Bouwdelen'!AE9)</f>
        <v>0</v>
      </c>
      <c r="AP25" s="10">
        <f>IF(AD25=B25,0,'Verwerking Bouwdelen'!D9*AB25*AC25)</f>
        <v>0</v>
      </c>
      <c r="AQ25" s="10">
        <f>AB25*AC25*'Verwerking Bouwdelen'!GH9</f>
        <v>0</v>
      </c>
      <c r="AR25" s="10"/>
      <c r="AS25" s="248"/>
      <c r="AT25" s="125">
        <f>IF('Verwerking Bouwdelen'!C9=4,1,0)</f>
        <v>0</v>
      </c>
      <c r="AU25" s="130">
        <f>IF('Verwerking Bouwdelen'!A9=3,1,0)</f>
        <v>0</v>
      </c>
      <c r="AV25" s="208">
        <f>IF($AT25=1,$AU25*'Verwerking Bouwdelen'!DL9,$AU25*'Verwerking Bouwdelen'!T9)</f>
        <v>0</v>
      </c>
      <c r="AW25" s="208">
        <f>IF($AT25=1,$AU25*'Verwerking Bouwdelen'!DM9,$AU25*'Verwerking Bouwdelen'!U9)</f>
        <v>0</v>
      </c>
      <c r="AX25" s="208">
        <f>IF($AT25=1,$AU25*'Verwerking Bouwdelen'!DN9,$AU25*'Verwerking Bouwdelen'!V9)</f>
        <v>0</v>
      </c>
      <c r="AY25" s="208">
        <f>IF($AT25=1,$AU25*'Verwerking Bouwdelen'!DO9,$AU25*'Verwerking Bouwdelen'!W9)</f>
        <v>0</v>
      </c>
      <c r="AZ25" s="208">
        <f>IF($AT25=1,$AU25*'Verwerking Bouwdelen'!DP9,$AU25*'Verwerking Bouwdelen'!X9)</f>
        <v>0</v>
      </c>
      <c r="BA25" s="208">
        <f>IF($AT25=1,$AU25*'Verwerking Bouwdelen'!DQ9,$AU25*'Verwerking Bouwdelen'!Y9)</f>
        <v>0</v>
      </c>
      <c r="BB25" s="208">
        <f>IF($AT25=1,$AU25*'Verwerking Bouwdelen'!DR9,$AU25*'Verwerking Bouwdelen'!Z9)</f>
        <v>0</v>
      </c>
      <c r="BC25" s="208">
        <f>IF($AT25=1,$AU25*'Verwerking Bouwdelen'!DS9,$AU25*'Verwerking Bouwdelen'!AA9)</f>
        <v>0</v>
      </c>
      <c r="BD25" s="208">
        <f>IF($AT25=1,$AU25*'Verwerking Bouwdelen'!DT9,$AU25*'Verwerking Bouwdelen'!AB9)</f>
        <v>0</v>
      </c>
      <c r="BE25" s="208">
        <f>IF($AT25=1,$AU25*'Verwerking Bouwdelen'!DU9,$AU25*'Verwerking Bouwdelen'!AC9)</f>
        <v>0</v>
      </c>
      <c r="BF25" s="208">
        <f>IF($AT25=1,$AU25*'Verwerking Bouwdelen'!DV9,$AU25*'Verwerking Bouwdelen'!AD9)</f>
        <v>0</v>
      </c>
      <c r="BG25" s="208">
        <f>IF($AT25=1,$AU25*'Verwerking Bouwdelen'!DW9,$AU25*'Verwerking Bouwdelen'!AE9)</f>
        <v>0</v>
      </c>
      <c r="BH25" s="10">
        <f>IF(AV25=B25,0,'Verwerking Bouwdelen'!D9*AT25*AU25)</f>
        <v>0</v>
      </c>
      <c r="BI25" s="10">
        <f>AT25*AU25*'Verwerking Bouwdelen'!GH9</f>
        <v>0</v>
      </c>
      <c r="BJ25" s="10"/>
      <c r="BK25" s="10"/>
      <c r="BM25" s="125">
        <f>IF('Verwerking Bouwdelen'!C9=5,1,0)</f>
        <v>0</v>
      </c>
      <c r="BN25" s="130">
        <f>IF('Verwerking Bouwdelen'!A9=3,1,0)</f>
        <v>0</v>
      </c>
      <c r="BO25" s="208">
        <f>IF($BM25=1,$BN25*'Verwerking Bouwdelen'!DL9,$BN25*'Verwerking Bouwdelen'!T9)</f>
        <v>0</v>
      </c>
      <c r="BP25" s="208">
        <f>IF($BM25=1,$BN25*'Verwerking Bouwdelen'!DM9,$BN25*'Verwerking Bouwdelen'!U9)</f>
        <v>0</v>
      </c>
      <c r="BQ25" s="208">
        <f>IF($BM25=1,$BN25*'Verwerking Bouwdelen'!DN9,$BN25*'Verwerking Bouwdelen'!V9)</f>
        <v>0</v>
      </c>
      <c r="BR25" s="208">
        <f>IF($BM25=1,$BN25*'Verwerking Bouwdelen'!DO9,$BN25*'Verwerking Bouwdelen'!W9)</f>
        <v>0</v>
      </c>
      <c r="BS25" s="208">
        <f>IF($BM25=1,$BN25*'Verwerking Bouwdelen'!DP9,$BN25*'Verwerking Bouwdelen'!X9)</f>
        <v>0</v>
      </c>
      <c r="BT25" s="208">
        <f>IF($BM25=1,$BN25*'Verwerking Bouwdelen'!DQ9,$BN25*'Verwerking Bouwdelen'!Y9)</f>
        <v>0</v>
      </c>
      <c r="BU25" s="208">
        <f>IF($BM25=1,$BN25*'Verwerking Bouwdelen'!DR9,$BN25*'Verwerking Bouwdelen'!Z9)</f>
        <v>0</v>
      </c>
      <c r="BV25" s="208">
        <f>IF($BM25=1,$BN25*'Verwerking Bouwdelen'!DS9,$BN25*'Verwerking Bouwdelen'!AA9)</f>
        <v>0</v>
      </c>
      <c r="BW25" s="208">
        <f>IF($BM25=1,$BN25*'Verwerking Bouwdelen'!DT9,$BN25*'Verwerking Bouwdelen'!AB9)</f>
        <v>0</v>
      </c>
      <c r="BX25" s="208">
        <f>IF($BM25=1,$BN25*'Verwerking Bouwdelen'!DU9,$BN25*'Verwerking Bouwdelen'!AC9)</f>
        <v>0</v>
      </c>
      <c r="BY25" s="208">
        <f>IF($BM25=1,$BN25*'Verwerking Bouwdelen'!DV9,$BN25*'Verwerking Bouwdelen'!AD9)</f>
        <v>0</v>
      </c>
      <c r="BZ25" s="208">
        <f>IF($BM25=1,$BN25*'Verwerking Bouwdelen'!DW9,$BN25*'Verwerking Bouwdelen'!AE9)</f>
        <v>0</v>
      </c>
      <c r="CA25" s="10">
        <f>IF(BO25=$B25,0,'Verwerking Bouwdelen'!$D9*BM25*BN25)</f>
        <v>0</v>
      </c>
      <c r="CB25" s="10">
        <f>BM25*BN25*'Verwerking Bouwdelen'!GH9</f>
        <v>0</v>
      </c>
      <c r="CC25" s="10"/>
      <c r="CD25" s="248"/>
      <c r="CE25" s="125">
        <f>IF('Verwerking Bouwdelen'!C9=2,1,0)</f>
        <v>0</v>
      </c>
      <c r="CF25" s="130">
        <f>IF('Verwerking Bouwdelen'!A9=3,1,0)</f>
        <v>0</v>
      </c>
      <c r="CG25" s="208">
        <f>IF($CE25=1,$CF25*'Verwerking Bouwdelen'!DL9,$CF25*'Verwerking Bouwdelen'!T9)</f>
        <v>0</v>
      </c>
      <c r="CH25" s="208">
        <f>IF($CE25=1,$CF25*'Verwerking Bouwdelen'!DM9,$CF25*'Verwerking Bouwdelen'!U9)</f>
        <v>0</v>
      </c>
      <c r="CI25" s="208">
        <f>IF($CE25=1,$CF25*'Verwerking Bouwdelen'!DN9,$CF25*'Verwerking Bouwdelen'!V9)</f>
        <v>0</v>
      </c>
      <c r="CJ25" s="208">
        <f>IF($CE25=1,$CF25*'Verwerking Bouwdelen'!DO9,$CF25*'Verwerking Bouwdelen'!W9)</f>
        <v>0</v>
      </c>
      <c r="CK25" s="208">
        <f>IF($CE25=1,$CF25*'Verwerking Bouwdelen'!DP9,$CF25*'Verwerking Bouwdelen'!X9)</f>
        <v>0</v>
      </c>
      <c r="CL25" s="208">
        <f>IF($CE25=1,$CF25*'Verwerking Bouwdelen'!DQ9,$CF25*'Verwerking Bouwdelen'!Y9)</f>
        <v>0</v>
      </c>
      <c r="CM25" s="208">
        <f>IF($CE25=1,$CF25*'Verwerking Bouwdelen'!DR9,$CF25*'Verwerking Bouwdelen'!Z9)</f>
        <v>0</v>
      </c>
      <c r="CN25" s="208">
        <f>IF($CE25=1,$CF25*'Verwerking Bouwdelen'!DS9,$CF25*'Verwerking Bouwdelen'!AA9)</f>
        <v>0</v>
      </c>
      <c r="CO25" s="208">
        <f>IF($CE25=1,$CF25*'Verwerking Bouwdelen'!DT9,$CF25*'Verwerking Bouwdelen'!AB9)</f>
        <v>0</v>
      </c>
      <c r="CP25" s="208">
        <f>IF($CE25=1,$CF25*'Verwerking Bouwdelen'!DU9,$CF25*'Verwerking Bouwdelen'!AC9)</f>
        <v>0</v>
      </c>
      <c r="CQ25" s="208">
        <f>IF($CE25=1,$CF25*'Verwerking Bouwdelen'!DV9,$CF25*'Verwerking Bouwdelen'!AD9)</f>
        <v>0</v>
      </c>
      <c r="CR25" s="208">
        <f>IF($CE25=1,$CF25*'Verwerking Bouwdelen'!DW9,$CF25*'Verwerking Bouwdelen'!AE9)</f>
        <v>0</v>
      </c>
      <c r="CS25" s="10">
        <f>IF(CG25=$B25,0,('Verwerking Bouwdelen'!$D9-'Verwerking Bouwdelen'!G9)*CE25*CF25)</f>
        <v>0</v>
      </c>
      <c r="CT25" s="260">
        <f>CE25*CF25*'Verwerking Bouwdelen'!GH9</f>
        <v>0</v>
      </c>
      <c r="CU25" s="261">
        <f>CE25*CF25*'Verwerking Bouwdelen'!GI9</f>
        <v>0</v>
      </c>
      <c r="CW25" s="209">
        <f>$AC25*'Verwerking Bouwdelen'!EE9</f>
        <v>0</v>
      </c>
      <c r="CX25" s="209">
        <f>$AC25*'Verwerking Bouwdelen'!EF9</f>
        <v>0</v>
      </c>
      <c r="CY25" s="209">
        <f>$AC25*'Verwerking Bouwdelen'!EG9</f>
        <v>0</v>
      </c>
      <c r="CZ25" s="209">
        <f>$AC25*'Verwerking Bouwdelen'!EH9</f>
        <v>0</v>
      </c>
      <c r="DA25" s="209">
        <f>$AC25*'Verwerking Bouwdelen'!EI9</f>
        <v>0</v>
      </c>
      <c r="DB25" s="209">
        <f>$AC25*'Verwerking Bouwdelen'!EJ9</f>
        <v>0</v>
      </c>
      <c r="DC25" s="209">
        <f>$AC25*'Verwerking Bouwdelen'!EK9</f>
        <v>0</v>
      </c>
      <c r="DD25" s="209">
        <f>$AC25*'Verwerking Bouwdelen'!EL9</f>
        <v>0</v>
      </c>
      <c r="DE25" s="209">
        <f>$AC25*'Verwerking Bouwdelen'!EM9</f>
        <v>0</v>
      </c>
      <c r="DF25" s="209">
        <f>$AC25*'Verwerking Bouwdelen'!EN9</f>
        <v>0</v>
      </c>
      <c r="DG25" s="209">
        <f>$AC25*'Verwerking Bouwdelen'!EO9</f>
        <v>0</v>
      </c>
      <c r="DH25" s="209">
        <f>$AC25*'Verwerking Bouwdelen'!EP9</f>
        <v>0</v>
      </c>
      <c r="DI25" s="10">
        <f>IF(CW25=$O25,0,'Verwerking Bouwdelen'!G9)</f>
        <v>0</v>
      </c>
      <c r="DJ25" s="259">
        <f>'Verwerking Bouwdelen'!GK9*CF25</f>
        <v>0</v>
      </c>
      <c r="DK25" s="259">
        <f>'Verwerking Bouwdelen'!GL9*CF25</f>
        <v>0</v>
      </c>
      <c r="DL25" s="125"/>
      <c r="FC25" s="89">
        <f>IF('Verwerken ventilatie'!AJ17=3,1,0)</f>
        <v>0</v>
      </c>
      <c r="FD25" s="89">
        <f>FC25*'Verwerken ventilatie'!BT17</f>
        <v>0</v>
      </c>
      <c r="FE25" s="89">
        <f>FC25*'Verwerken ventilatie'!BU17</f>
        <v>0</v>
      </c>
      <c r="FZ25" s="89">
        <f>IF('Verwerken verlichting'!B21=3,1,0)</f>
        <v>0</v>
      </c>
      <c r="GA25" s="89">
        <f>$FZ25*'Verwerken verlichting'!BX21</f>
        <v>0</v>
      </c>
      <c r="GB25" s="89">
        <f>$FZ25*'Verwerken verlichting'!BY21</f>
        <v>0</v>
      </c>
      <c r="GC25" s="89">
        <f>$FZ25*'Verwerken verlichting'!BZ21</f>
        <v>0</v>
      </c>
      <c r="GD25" s="89">
        <f>$FZ25*'Verwerken verlichting'!CA21</f>
        <v>0</v>
      </c>
      <c r="GE25" s="89">
        <f>$FZ25*'Verwerken verlichting'!CB21</f>
        <v>0</v>
      </c>
      <c r="GF25" s="89">
        <f>$FZ25*'Verwerken verlichting'!CC21</f>
        <v>0</v>
      </c>
      <c r="GG25" s="89">
        <f>FZ25*'Invoer verlichting'!N20</f>
        <v>0</v>
      </c>
      <c r="GH25" s="89">
        <f>FZ25*'Verwerken verlichting'!AH21</f>
        <v>0</v>
      </c>
      <c r="GI25" s="89">
        <f>FZ25*'Verwerken verlichting'!AG21</f>
        <v>0</v>
      </c>
      <c r="GJ25" s="89">
        <f>FZ25*'Verwerken verlichting'!CE21</f>
        <v>0</v>
      </c>
      <c r="GM25" s="89">
        <f t="shared" si="13"/>
        <v>0</v>
      </c>
      <c r="GN25" s="89">
        <f t="shared" si="14"/>
        <v>0</v>
      </c>
      <c r="GO25" s="208">
        <f>IF($GN25=1,$GN25*$GM25*'Verwerking Bouwdelen'!DL9,$GN25*$GM25*'Verwerking Bouwdelen'!T9)</f>
        <v>0</v>
      </c>
      <c r="GP25" s="208">
        <f>IF($GN25=1,$GN25*$GM25*'Verwerking Bouwdelen'!DM9,$GN25*$GM25*'Verwerking Bouwdelen'!U9)</f>
        <v>0</v>
      </c>
      <c r="GQ25" s="208">
        <f>IF($GN25=1,$GN25*$GM25*'Verwerking Bouwdelen'!DN9,$GN25*$GM25*'Verwerking Bouwdelen'!V9)</f>
        <v>0</v>
      </c>
      <c r="GR25" s="208">
        <f>IF($GN25=1,$GN25*$GM25*'Verwerking Bouwdelen'!DO9,$GN25*$GM25*'Verwerking Bouwdelen'!W9)</f>
        <v>0</v>
      </c>
      <c r="GS25" s="208">
        <f>IF($GN25=1,$GN25*$GM25*'Verwerking Bouwdelen'!DP9,$GN25*$GM25*'Verwerking Bouwdelen'!X9)</f>
        <v>0</v>
      </c>
      <c r="GT25" s="208">
        <f>IF($GN25=1,$GN25*$GM25*'Verwerking Bouwdelen'!DQ9,$GN25*$GM25*'Verwerking Bouwdelen'!Y9)</f>
        <v>0</v>
      </c>
      <c r="GU25" s="208">
        <f>IF($GN25=1,$GN25*$GM25*'Verwerking Bouwdelen'!DR9,$GN25*$GM25*'Verwerking Bouwdelen'!Z9)</f>
        <v>0</v>
      </c>
      <c r="GV25" s="208">
        <f>IF($GN25=1,$GN25*$GM25*'Verwerking Bouwdelen'!DS9,$GN25*$GM25*'Verwerking Bouwdelen'!AA9)</f>
        <v>0</v>
      </c>
      <c r="GW25" s="208">
        <f>IF($GN25=1,$GN25*$GM25*'Verwerking Bouwdelen'!DT9,$GN25*$GM25*'Verwerking Bouwdelen'!AB9)</f>
        <v>0</v>
      </c>
      <c r="GX25" s="208">
        <f>IF($GN25=1,$GN25*$GM25*'Verwerking Bouwdelen'!DU9,$GN25*$GM25*'Verwerking Bouwdelen'!AC9)</f>
        <v>0</v>
      </c>
      <c r="GY25" s="208">
        <f>IF($GN25=1,$GN25*$GM25*'Verwerking Bouwdelen'!DV9,$GN25*$GM25*'Verwerking Bouwdelen'!AD9)</f>
        <v>0</v>
      </c>
      <c r="GZ25" s="208">
        <f>IF($GN25=1,$GN25*$GM25*'Verwerking Bouwdelen'!DW9,$GN25*$GM25*'Verwerking Bouwdelen'!AE9)</f>
        <v>0</v>
      </c>
      <c r="HB25" s="89">
        <f t="shared" si="1"/>
        <v>0</v>
      </c>
      <c r="HC25" s="89">
        <f t="shared" si="2"/>
        <v>0</v>
      </c>
      <c r="HD25" s="89">
        <f t="shared" si="3"/>
        <v>0</v>
      </c>
      <c r="HE25" s="89">
        <f t="shared" si="4"/>
        <v>0</v>
      </c>
      <c r="HF25" s="89">
        <f t="shared" si="5"/>
        <v>0</v>
      </c>
      <c r="HG25" s="89">
        <f t="shared" si="6"/>
        <v>0</v>
      </c>
      <c r="HH25" s="89">
        <f t="shared" si="7"/>
        <v>0</v>
      </c>
      <c r="HI25" s="89">
        <f t="shared" si="8"/>
        <v>0</v>
      </c>
      <c r="HJ25" s="89">
        <f t="shared" si="9"/>
        <v>0</v>
      </c>
      <c r="HK25" s="89">
        <f t="shared" si="10"/>
        <v>0</v>
      </c>
      <c r="HL25" s="89">
        <f t="shared" si="11"/>
        <v>0</v>
      </c>
      <c r="HM25" s="89">
        <f t="shared" si="12"/>
        <v>0</v>
      </c>
    </row>
    <row r="26" spans="1:221" x14ac:dyDescent="0.2">
      <c r="A26" s="130">
        <f>IF('Verwerking Bouwdelen'!A10=3,1,0)</f>
        <v>0</v>
      </c>
      <c r="B26" s="208">
        <f>$A26*'Verwerking Bouwdelen'!T10</f>
        <v>0</v>
      </c>
      <c r="C26" s="208">
        <f>$A26*'Verwerking Bouwdelen'!U10</f>
        <v>0</v>
      </c>
      <c r="D26" s="208">
        <f>$A26*'Verwerking Bouwdelen'!V10</f>
        <v>0</v>
      </c>
      <c r="E26" s="208">
        <f>$A26*'Verwerking Bouwdelen'!W10</f>
        <v>0</v>
      </c>
      <c r="F26" s="208">
        <f>$A26*'Verwerking Bouwdelen'!X10</f>
        <v>0</v>
      </c>
      <c r="G26" s="208">
        <f>$A26*'Verwerking Bouwdelen'!Y10</f>
        <v>0</v>
      </c>
      <c r="H26" s="208">
        <f>$A26*'Verwerking Bouwdelen'!Z10</f>
        <v>0</v>
      </c>
      <c r="I26" s="208">
        <f>$A26*'Verwerking Bouwdelen'!AA10</f>
        <v>0</v>
      </c>
      <c r="J26" s="208">
        <f>$A26*'Verwerking Bouwdelen'!AB10</f>
        <v>0</v>
      </c>
      <c r="K26" s="208">
        <f>$A26*'Verwerking Bouwdelen'!AC10</f>
        <v>0</v>
      </c>
      <c r="L26" s="208">
        <f>$A26*'Verwerking Bouwdelen'!AD10</f>
        <v>0</v>
      </c>
      <c r="M26" s="208">
        <f>$A26*'Verwerking Bouwdelen'!AE10</f>
        <v>0</v>
      </c>
      <c r="O26" s="114">
        <f>$A26*'Verwerking Bouwdelen'!AU10</f>
        <v>0</v>
      </c>
      <c r="P26" s="125">
        <f>$A26*'Verwerking Bouwdelen'!AV10</f>
        <v>0</v>
      </c>
      <c r="Q26" s="125">
        <f>$A26*'Verwerking Bouwdelen'!AW10</f>
        <v>0</v>
      </c>
      <c r="R26" s="125">
        <f>$A26*'Verwerking Bouwdelen'!AX10</f>
        <v>0</v>
      </c>
      <c r="S26" s="125">
        <f>$A26*'Verwerking Bouwdelen'!AY10</f>
        <v>0</v>
      </c>
      <c r="T26" s="125">
        <f>$A26*'Verwerking Bouwdelen'!AZ10</f>
        <v>0</v>
      </c>
      <c r="U26" s="125">
        <f>$A26*'Verwerking Bouwdelen'!BA10</f>
        <v>0</v>
      </c>
      <c r="V26" s="125">
        <f>$A26*'Verwerking Bouwdelen'!BB10</f>
        <v>0</v>
      </c>
      <c r="W26" s="125">
        <f>$A26*'Verwerking Bouwdelen'!BC10</f>
        <v>0</v>
      </c>
      <c r="X26" s="125">
        <f>$A26*'Verwerking Bouwdelen'!BD10</f>
        <v>0</v>
      </c>
      <c r="Y26" s="125">
        <f>$A26*'Verwerking Bouwdelen'!BE10</f>
        <v>0</v>
      </c>
      <c r="Z26" s="195">
        <f>$A26*'Verwerking Bouwdelen'!BF10</f>
        <v>0</v>
      </c>
      <c r="AB26" s="125">
        <f>IF(OR('Verwerking Bouwdelen'!C10=3,'Verwerking Bouwdelen'!C10=6),1,0)</f>
        <v>0</v>
      </c>
      <c r="AC26" s="130">
        <f>IF('Verwerking Bouwdelen'!A10=3,1,0)</f>
        <v>0</v>
      </c>
      <c r="AD26" s="208">
        <f>IF($AB26=1,$AC26*'Verwerking Bouwdelen'!DL10,$AC26*'Verwerking Bouwdelen'!T10)</f>
        <v>0</v>
      </c>
      <c r="AE26" s="208">
        <f>IF($AB26=1,$AC26*'Verwerking Bouwdelen'!DM10,$AC26*'Verwerking Bouwdelen'!U10)</f>
        <v>0</v>
      </c>
      <c r="AF26" s="208">
        <f>IF($AB26=1,$AC26*'Verwerking Bouwdelen'!DN10,$AC26*'Verwerking Bouwdelen'!V10)</f>
        <v>0</v>
      </c>
      <c r="AG26" s="208">
        <f>IF($AB26=1,$AC26*'Verwerking Bouwdelen'!DO10,$AC26*'Verwerking Bouwdelen'!W10)</f>
        <v>0</v>
      </c>
      <c r="AH26" s="208">
        <f>IF($AB26=1,$AC26*'Verwerking Bouwdelen'!DP10,$AC26*'Verwerking Bouwdelen'!X10)</f>
        <v>0</v>
      </c>
      <c r="AI26" s="208">
        <f>IF($AB26=1,$AC26*'Verwerking Bouwdelen'!DQ10,$AC26*'Verwerking Bouwdelen'!Y10)</f>
        <v>0</v>
      </c>
      <c r="AJ26" s="208">
        <f>IF($AB26=1,$AC26*'Verwerking Bouwdelen'!DR10,$AC26*'Verwerking Bouwdelen'!Z10)</f>
        <v>0</v>
      </c>
      <c r="AK26" s="208">
        <f>IF($AB26=1,$AC26*'Verwerking Bouwdelen'!DS10,$AC26*'Verwerking Bouwdelen'!AA10)</f>
        <v>0</v>
      </c>
      <c r="AL26" s="208">
        <f>IF($AB26=1,$AC26*'Verwerking Bouwdelen'!DT10,$AC26*'Verwerking Bouwdelen'!AB10)</f>
        <v>0</v>
      </c>
      <c r="AM26" s="208">
        <f>IF($AB26=1,$AC26*'Verwerking Bouwdelen'!DU10,$AC26*'Verwerking Bouwdelen'!AC10)</f>
        <v>0</v>
      </c>
      <c r="AN26" s="208">
        <f>IF($AB26=1,$AC26*'Verwerking Bouwdelen'!DV10,$AC26*'Verwerking Bouwdelen'!AD10)</f>
        <v>0</v>
      </c>
      <c r="AO26" s="208">
        <f>IF($AB26=1,$AC26*'Verwerking Bouwdelen'!DW10,$AC26*'Verwerking Bouwdelen'!AE10)</f>
        <v>0</v>
      </c>
      <c r="AP26" s="10">
        <f>IF(AD26=B26,0,'Verwerking Bouwdelen'!D10*AB26*AC26)</f>
        <v>0</v>
      </c>
      <c r="AQ26" s="10">
        <f>AB26*AC26*'Verwerking Bouwdelen'!GH10</f>
        <v>0</v>
      </c>
      <c r="AR26" s="10"/>
      <c r="AS26" s="248"/>
      <c r="AT26" s="125">
        <f>IF('Verwerking Bouwdelen'!C10=4,1,0)</f>
        <v>0</v>
      </c>
      <c r="AU26" s="130">
        <f>IF('Verwerking Bouwdelen'!A10=3,1,0)</f>
        <v>0</v>
      </c>
      <c r="AV26" s="208">
        <f>IF($AT26=1,$AU26*'Verwerking Bouwdelen'!DL10,$AU26*'Verwerking Bouwdelen'!T10)</f>
        <v>0</v>
      </c>
      <c r="AW26" s="208">
        <f>IF($AT26=1,$AU26*'Verwerking Bouwdelen'!DM10,$AU26*'Verwerking Bouwdelen'!U10)</f>
        <v>0</v>
      </c>
      <c r="AX26" s="208">
        <f>IF($AT26=1,$AU26*'Verwerking Bouwdelen'!DN10,$AU26*'Verwerking Bouwdelen'!V10)</f>
        <v>0</v>
      </c>
      <c r="AY26" s="208">
        <f>IF($AT26=1,$AU26*'Verwerking Bouwdelen'!DO10,$AU26*'Verwerking Bouwdelen'!W10)</f>
        <v>0</v>
      </c>
      <c r="AZ26" s="208">
        <f>IF($AT26=1,$AU26*'Verwerking Bouwdelen'!DP10,$AU26*'Verwerking Bouwdelen'!X10)</f>
        <v>0</v>
      </c>
      <c r="BA26" s="208">
        <f>IF($AT26=1,$AU26*'Verwerking Bouwdelen'!DQ10,$AU26*'Verwerking Bouwdelen'!Y10)</f>
        <v>0</v>
      </c>
      <c r="BB26" s="208">
        <f>IF($AT26=1,$AU26*'Verwerking Bouwdelen'!DR10,$AU26*'Verwerking Bouwdelen'!Z10)</f>
        <v>0</v>
      </c>
      <c r="BC26" s="208">
        <f>IF($AT26=1,$AU26*'Verwerking Bouwdelen'!DS10,$AU26*'Verwerking Bouwdelen'!AA10)</f>
        <v>0</v>
      </c>
      <c r="BD26" s="208">
        <f>IF($AT26=1,$AU26*'Verwerking Bouwdelen'!DT10,$AU26*'Verwerking Bouwdelen'!AB10)</f>
        <v>0</v>
      </c>
      <c r="BE26" s="208">
        <f>IF($AT26=1,$AU26*'Verwerking Bouwdelen'!DU10,$AU26*'Verwerking Bouwdelen'!AC10)</f>
        <v>0</v>
      </c>
      <c r="BF26" s="208">
        <f>IF($AT26=1,$AU26*'Verwerking Bouwdelen'!DV10,$AU26*'Verwerking Bouwdelen'!AD10)</f>
        <v>0</v>
      </c>
      <c r="BG26" s="208">
        <f>IF($AT26=1,$AU26*'Verwerking Bouwdelen'!DW10,$AU26*'Verwerking Bouwdelen'!AE10)</f>
        <v>0</v>
      </c>
      <c r="BH26" s="10">
        <f>IF(AV26=B26,0,'Verwerking Bouwdelen'!D10*AT26*AU26)</f>
        <v>0</v>
      </c>
      <c r="BI26" s="10">
        <f>AT26*AU26*'Verwerking Bouwdelen'!GH10</f>
        <v>0</v>
      </c>
      <c r="BJ26" s="10"/>
      <c r="BK26" s="10"/>
      <c r="BM26" s="125">
        <f>IF('Verwerking Bouwdelen'!C10=5,1,0)</f>
        <v>0</v>
      </c>
      <c r="BN26" s="130">
        <f>IF('Verwerking Bouwdelen'!A10=3,1,0)</f>
        <v>0</v>
      </c>
      <c r="BO26" s="208">
        <f>IF($BM26=1,$BN26*'Verwerking Bouwdelen'!DL10,$BN26*'Verwerking Bouwdelen'!T10)</f>
        <v>0</v>
      </c>
      <c r="BP26" s="208">
        <f>IF($BM26=1,$BN26*'Verwerking Bouwdelen'!DM10,$BN26*'Verwerking Bouwdelen'!U10)</f>
        <v>0</v>
      </c>
      <c r="BQ26" s="208">
        <f>IF($BM26=1,$BN26*'Verwerking Bouwdelen'!DN10,$BN26*'Verwerking Bouwdelen'!V10)</f>
        <v>0</v>
      </c>
      <c r="BR26" s="208">
        <f>IF($BM26=1,$BN26*'Verwerking Bouwdelen'!DO10,$BN26*'Verwerking Bouwdelen'!W10)</f>
        <v>0</v>
      </c>
      <c r="BS26" s="208">
        <f>IF($BM26=1,$BN26*'Verwerking Bouwdelen'!DP10,$BN26*'Verwerking Bouwdelen'!X10)</f>
        <v>0</v>
      </c>
      <c r="BT26" s="208">
        <f>IF($BM26=1,$BN26*'Verwerking Bouwdelen'!DQ10,$BN26*'Verwerking Bouwdelen'!Y10)</f>
        <v>0</v>
      </c>
      <c r="BU26" s="208">
        <f>IF($BM26=1,$BN26*'Verwerking Bouwdelen'!DR10,$BN26*'Verwerking Bouwdelen'!Z10)</f>
        <v>0</v>
      </c>
      <c r="BV26" s="208">
        <f>IF($BM26=1,$BN26*'Verwerking Bouwdelen'!DS10,$BN26*'Verwerking Bouwdelen'!AA10)</f>
        <v>0</v>
      </c>
      <c r="BW26" s="208">
        <f>IF($BM26=1,$BN26*'Verwerking Bouwdelen'!DT10,$BN26*'Verwerking Bouwdelen'!AB10)</f>
        <v>0</v>
      </c>
      <c r="BX26" s="208">
        <f>IF($BM26=1,$BN26*'Verwerking Bouwdelen'!DU10,$BN26*'Verwerking Bouwdelen'!AC10)</f>
        <v>0</v>
      </c>
      <c r="BY26" s="208">
        <f>IF($BM26=1,$BN26*'Verwerking Bouwdelen'!DV10,$BN26*'Verwerking Bouwdelen'!AD10)</f>
        <v>0</v>
      </c>
      <c r="BZ26" s="208">
        <f>IF($BM26=1,$BN26*'Verwerking Bouwdelen'!DW10,$BN26*'Verwerking Bouwdelen'!AE10)</f>
        <v>0</v>
      </c>
      <c r="CA26" s="10">
        <f>IF(BO26=$B26,0,'Verwerking Bouwdelen'!$D10*BM26*BN26)</f>
        <v>0</v>
      </c>
      <c r="CB26" s="10">
        <f>BM26*BN26*'Verwerking Bouwdelen'!GH10</f>
        <v>0</v>
      </c>
      <c r="CC26" s="10"/>
      <c r="CD26" s="248"/>
      <c r="CE26" s="125">
        <f>IF('Verwerking Bouwdelen'!C10=2,1,0)</f>
        <v>0</v>
      </c>
      <c r="CF26" s="130">
        <f>IF('Verwerking Bouwdelen'!A10=3,1,0)</f>
        <v>0</v>
      </c>
      <c r="CG26" s="208">
        <f>IF($CE26=1,$CF26*'Verwerking Bouwdelen'!DL10,$CF26*'Verwerking Bouwdelen'!T10)</f>
        <v>0</v>
      </c>
      <c r="CH26" s="208">
        <f>IF($CE26=1,$CF26*'Verwerking Bouwdelen'!DM10,$CF26*'Verwerking Bouwdelen'!U10)</f>
        <v>0</v>
      </c>
      <c r="CI26" s="208">
        <f>IF($CE26=1,$CF26*'Verwerking Bouwdelen'!DN10,$CF26*'Verwerking Bouwdelen'!V10)</f>
        <v>0</v>
      </c>
      <c r="CJ26" s="208">
        <f>IF($CE26=1,$CF26*'Verwerking Bouwdelen'!DO10,$CF26*'Verwerking Bouwdelen'!W10)</f>
        <v>0</v>
      </c>
      <c r="CK26" s="208">
        <f>IF($CE26=1,$CF26*'Verwerking Bouwdelen'!DP10,$CF26*'Verwerking Bouwdelen'!X10)</f>
        <v>0</v>
      </c>
      <c r="CL26" s="208">
        <f>IF($CE26=1,$CF26*'Verwerking Bouwdelen'!DQ10,$CF26*'Verwerking Bouwdelen'!Y10)</f>
        <v>0</v>
      </c>
      <c r="CM26" s="208">
        <f>IF($CE26=1,$CF26*'Verwerking Bouwdelen'!DR10,$CF26*'Verwerking Bouwdelen'!Z10)</f>
        <v>0</v>
      </c>
      <c r="CN26" s="208">
        <f>IF($CE26=1,$CF26*'Verwerking Bouwdelen'!DS10,$CF26*'Verwerking Bouwdelen'!AA10)</f>
        <v>0</v>
      </c>
      <c r="CO26" s="208">
        <f>IF($CE26=1,$CF26*'Verwerking Bouwdelen'!DT10,$CF26*'Verwerking Bouwdelen'!AB10)</f>
        <v>0</v>
      </c>
      <c r="CP26" s="208">
        <f>IF($CE26=1,$CF26*'Verwerking Bouwdelen'!DU10,$CF26*'Verwerking Bouwdelen'!AC10)</f>
        <v>0</v>
      </c>
      <c r="CQ26" s="208">
        <f>IF($CE26=1,$CF26*'Verwerking Bouwdelen'!DV10,$CF26*'Verwerking Bouwdelen'!AD10)</f>
        <v>0</v>
      </c>
      <c r="CR26" s="208">
        <f>IF($CE26=1,$CF26*'Verwerking Bouwdelen'!DW10,$CF26*'Verwerking Bouwdelen'!AE10)</f>
        <v>0</v>
      </c>
      <c r="CS26" s="10">
        <f>IF(CG26=$B26,0,('Verwerking Bouwdelen'!$D10-'Verwerking Bouwdelen'!G10)*CE26*CF26)</f>
        <v>0</v>
      </c>
      <c r="CT26" s="260">
        <f>CE26*CF26*'Verwerking Bouwdelen'!GH10</f>
        <v>0</v>
      </c>
      <c r="CU26" s="261">
        <f>CE26*CF26*'Verwerking Bouwdelen'!GI10</f>
        <v>0</v>
      </c>
      <c r="CW26" s="209">
        <f>$AC26*'Verwerking Bouwdelen'!EE10</f>
        <v>0</v>
      </c>
      <c r="CX26" s="209">
        <f>$AC26*'Verwerking Bouwdelen'!EF10</f>
        <v>0</v>
      </c>
      <c r="CY26" s="209">
        <f>$AC26*'Verwerking Bouwdelen'!EG10</f>
        <v>0</v>
      </c>
      <c r="CZ26" s="209">
        <f>$AC26*'Verwerking Bouwdelen'!EH10</f>
        <v>0</v>
      </c>
      <c r="DA26" s="209">
        <f>$AC26*'Verwerking Bouwdelen'!EI10</f>
        <v>0</v>
      </c>
      <c r="DB26" s="209">
        <f>$AC26*'Verwerking Bouwdelen'!EJ10</f>
        <v>0</v>
      </c>
      <c r="DC26" s="209">
        <f>$AC26*'Verwerking Bouwdelen'!EK10</f>
        <v>0</v>
      </c>
      <c r="DD26" s="209">
        <f>$AC26*'Verwerking Bouwdelen'!EL10</f>
        <v>0</v>
      </c>
      <c r="DE26" s="209">
        <f>$AC26*'Verwerking Bouwdelen'!EM10</f>
        <v>0</v>
      </c>
      <c r="DF26" s="209">
        <f>$AC26*'Verwerking Bouwdelen'!EN10</f>
        <v>0</v>
      </c>
      <c r="DG26" s="209">
        <f>$AC26*'Verwerking Bouwdelen'!EO10</f>
        <v>0</v>
      </c>
      <c r="DH26" s="209">
        <f>$AC26*'Verwerking Bouwdelen'!EP10</f>
        <v>0</v>
      </c>
      <c r="DI26" s="10">
        <f>IF(CW26=$O26,0,'Verwerking Bouwdelen'!G10)</f>
        <v>0</v>
      </c>
      <c r="DJ26" s="259">
        <f>'Verwerking Bouwdelen'!GK10*CF26</f>
        <v>0</v>
      </c>
      <c r="DK26" s="259">
        <f>'Verwerking Bouwdelen'!GL10*CF26</f>
        <v>0</v>
      </c>
      <c r="DL26" s="125"/>
      <c r="FC26" s="89">
        <f>IF('Verwerken ventilatie'!AJ18=3,1,0)</f>
        <v>0</v>
      </c>
      <c r="FD26" s="89">
        <f>FC26*'Verwerken ventilatie'!BT18</f>
        <v>0</v>
      </c>
      <c r="FE26" s="89">
        <f>FC26*'Verwerken ventilatie'!BU18</f>
        <v>0</v>
      </c>
      <c r="FZ26" s="89">
        <f>IF('Verwerken verlichting'!B22=3,1,0)</f>
        <v>0</v>
      </c>
      <c r="GA26" s="89">
        <f>$FZ26*'Verwerken verlichting'!BX22</f>
        <v>0</v>
      </c>
      <c r="GB26" s="89">
        <f>$FZ26*'Verwerken verlichting'!BY22</f>
        <v>0</v>
      </c>
      <c r="GC26" s="89">
        <f>$FZ26*'Verwerken verlichting'!BZ22</f>
        <v>0</v>
      </c>
      <c r="GD26" s="89">
        <f>$FZ26*'Verwerken verlichting'!CA22</f>
        <v>0</v>
      </c>
      <c r="GE26" s="89">
        <f>$FZ26*'Verwerken verlichting'!CB22</f>
        <v>0</v>
      </c>
      <c r="GF26" s="89">
        <f>$FZ26*'Verwerken verlichting'!CC22</f>
        <v>0</v>
      </c>
      <c r="GG26" s="89">
        <f>FZ26*'Invoer verlichting'!N21</f>
        <v>0</v>
      </c>
      <c r="GH26" s="89">
        <f>FZ26*'Verwerken verlichting'!AH22</f>
        <v>0</v>
      </c>
      <c r="GI26" s="89">
        <f>FZ26*'Verwerken verlichting'!AG22</f>
        <v>0</v>
      </c>
      <c r="GJ26" s="89">
        <f>FZ26*'Verwerken verlichting'!CE22</f>
        <v>0</v>
      </c>
      <c r="GM26" s="89">
        <f t="shared" si="13"/>
        <v>0</v>
      </c>
      <c r="GN26" s="89">
        <f t="shared" si="14"/>
        <v>0</v>
      </c>
      <c r="GO26" s="208">
        <f>IF($GN26=1,$GN26*$GM26*'Verwerking Bouwdelen'!DL10,$GN26*$GM26*'Verwerking Bouwdelen'!T10)</f>
        <v>0</v>
      </c>
      <c r="GP26" s="208">
        <f>IF($GN26=1,$GN26*$GM26*'Verwerking Bouwdelen'!DM10,$GN26*$GM26*'Verwerking Bouwdelen'!U10)</f>
        <v>0</v>
      </c>
      <c r="GQ26" s="208">
        <f>IF($GN26=1,$GN26*$GM26*'Verwerking Bouwdelen'!DN10,$GN26*$GM26*'Verwerking Bouwdelen'!V10)</f>
        <v>0</v>
      </c>
      <c r="GR26" s="208">
        <f>IF($GN26=1,$GN26*$GM26*'Verwerking Bouwdelen'!DO10,$GN26*$GM26*'Verwerking Bouwdelen'!W10)</f>
        <v>0</v>
      </c>
      <c r="GS26" s="208">
        <f>IF($GN26=1,$GN26*$GM26*'Verwerking Bouwdelen'!DP10,$GN26*$GM26*'Verwerking Bouwdelen'!X10)</f>
        <v>0</v>
      </c>
      <c r="GT26" s="208">
        <f>IF($GN26=1,$GN26*$GM26*'Verwerking Bouwdelen'!DQ10,$GN26*$GM26*'Verwerking Bouwdelen'!Y10)</f>
        <v>0</v>
      </c>
      <c r="GU26" s="208">
        <f>IF($GN26=1,$GN26*$GM26*'Verwerking Bouwdelen'!DR10,$GN26*$GM26*'Verwerking Bouwdelen'!Z10)</f>
        <v>0</v>
      </c>
      <c r="GV26" s="208">
        <f>IF($GN26=1,$GN26*$GM26*'Verwerking Bouwdelen'!DS10,$GN26*$GM26*'Verwerking Bouwdelen'!AA10)</f>
        <v>0</v>
      </c>
      <c r="GW26" s="208">
        <f>IF($GN26=1,$GN26*$GM26*'Verwerking Bouwdelen'!DT10,$GN26*$GM26*'Verwerking Bouwdelen'!AB10)</f>
        <v>0</v>
      </c>
      <c r="GX26" s="208">
        <f>IF($GN26=1,$GN26*$GM26*'Verwerking Bouwdelen'!DU10,$GN26*$GM26*'Verwerking Bouwdelen'!AC10)</f>
        <v>0</v>
      </c>
      <c r="GY26" s="208">
        <f>IF($GN26=1,$GN26*$GM26*'Verwerking Bouwdelen'!DV10,$GN26*$GM26*'Verwerking Bouwdelen'!AD10)</f>
        <v>0</v>
      </c>
      <c r="GZ26" s="208">
        <f>IF($GN26=1,$GN26*$GM26*'Verwerking Bouwdelen'!DW10,$GN26*$GM26*'Verwerking Bouwdelen'!AE10)</f>
        <v>0</v>
      </c>
      <c r="HB26" s="89">
        <f t="shared" si="1"/>
        <v>0</v>
      </c>
      <c r="HC26" s="89">
        <f t="shared" si="2"/>
        <v>0</v>
      </c>
      <c r="HD26" s="89">
        <f t="shared" si="3"/>
        <v>0</v>
      </c>
      <c r="HE26" s="89">
        <f t="shared" si="4"/>
        <v>0</v>
      </c>
      <c r="HF26" s="89">
        <f t="shared" si="5"/>
        <v>0</v>
      </c>
      <c r="HG26" s="89">
        <f t="shared" si="6"/>
        <v>0</v>
      </c>
      <c r="HH26" s="89">
        <f t="shared" si="7"/>
        <v>0</v>
      </c>
      <c r="HI26" s="89">
        <f t="shared" si="8"/>
        <v>0</v>
      </c>
      <c r="HJ26" s="89">
        <f t="shared" si="9"/>
        <v>0</v>
      </c>
      <c r="HK26" s="89">
        <f t="shared" si="10"/>
        <v>0</v>
      </c>
      <c r="HL26" s="89">
        <f t="shared" si="11"/>
        <v>0</v>
      </c>
      <c r="HM26" s="89">
        <f t="shared" si="12"/>
        <v>0</v>
      </c>
    </row>
    <row r="27" spans="1:221" x14ac:dyDescent="0.2">
      <c r="A27" s="130">
        <f>IF('Verwerking Bouwdelen'!A11=3,1,0)</f>
        <v>0</v>
      </c>
      <c r="B27" s="208">
        <f>$A27*'Verwerking Bouwdelen'!T11</f>
        <v>0</v>
      </c>
      <c r="C27" s="208">
        <f>$A27*'Verwerking Bouwdelen'!U11</f>
        <v>0</v>
      </c>
      <c r="D27" s="208">
        <f>$A27*'Verwerking Bouwdelen'!V11</f>
        <v>0</v>
      </c>
      <c r="E27" s="208">
        <f>$A27*'Verwerking Bouwdelen'!W11</f>
        <v>0</v>
      </c>
      <c r="F27" s="208">
        <f>$A27*'Verwerking Bouwdelen'!X11</f>
        <v>0</v>
      </c>
      <c r="G27" s="208">
        <f>$A27*'Verwerking Bouwdelen'!Y11</f>
        <v>0</v>
      </c>
      <c r="H27" s="208">
        <f>$A27*'Verwerking Bouwdelen'!Z11</f>
        <v>0</v>
      </c>
      <c r="I27" s="208">
        <f>$A27*'Verwerking Bouwdelen'!AA11</f>
        <v>0</v>
      </c>
      <c r="J27" s="208">
        <f>$A27*'Verwerking Bouwdelen'!AB11</f>
        <v>0</v>
      </c>
      <c r="K27" s="208">
        <f>$A27*'Verwerking Bouwdelen'!AC11</f>
        <v>0</v>
      </c>
      <c r="L27" s="208">
        <f>$A27*'Verwerking Bouwdelen'!AD11</f>
        <v>0</v>
      </c>
      <c r="M27" s="208">
        <f>$A27*'Verwerking Bouwdelen'!AE11</f>
        <v>0</v>
      </c>
      <c r="O27" s="114">
        <f>$A27*'Verwerking Bouwdelen'!AU11</f>
        <v>0</v>
      </c>
      <c r="P27" s="125">
        <f>$A27*'Verwerking Bouwdelen'!AV11</f>
        <v>0</v>
      </c>
      <c r="Q27" s="125">
        <f>$A27*'Verwerking Bouwdelen'!AW11</f>
        <v>0</v>
      </c>
      <c r="R27" s="125">
        <f>$A27*'Verwerking Bouwdelen'!AX11</f>
        <v>0</v>
      </c>
      <c r="S27" s="125">
        <f>$A27*'Verwerking Bouwdelen'!AY11</f>
        <v>0</v>
      </c>
      <c r="T27" s="125">
        <f>$A27*'Verwerking Bouwdelen'!AZ11</f>
        <v>0</v>
      </c>
      <c r="U27" s="125">
        <f>$A27*'Verwerking Bouwdelen'!BA11</f>
        <v>0</v>
      </c>
      <c r="V27" s="125">
        <f>$A27*'Verwerking Bouwdelen'!BB11</f>
        <v>0</v>
      </c>
      <c r="W27" s="125">
        <f>$A27*'Verwerking Bouwdelen'!BC11</f>
        <v>0</v>
      </c>
      <c r="X27" s="125">
        <f>$A27*'Verwerking Bouwdelen'!BD11</f>
        <v>0</v>
      </c>
      <c r="Y27" s="125">
        <f>$A27*'Verwerking Bouwdelen'!BE11</f>
        <v>0</v>
      </c>
      <c r="Z27" s="195">
        <f>$A27*'Verwerking Bouwdelen'!BF11</f>
        <v>0</v>
      </c>
      <c r="AB27" s="125">
        <f>IF(OR('Verwerking Bouwdelen'!C11=3,'Verwerking Bouwdelen'!C11=6),1,0)</f>
        <v>0</v>
      </c>
      <c r="AC27" s="130">
        <f>IF('Verwerking Bouwdelen'!A11=3,1,0)</f>
        <v>0</v>
      </c>
      <c r="AD27" s="208">
        <f>IF($AB27=1,$AC27*'Verwerking Bouwdelen'!DL11,$AC27*'Verwerking Bouwdelen'!T11)</f>
        <v>0</v>
      </c>
      <c r="AE27" s="208">
        <f>IF($AB27=1,$AC27*'Verwerking Bouwdelen'!DM11,$AC27*'Verwerking Bouwdelen'!U11)</f>
        <v>0</v>
      </c>
      <c r="AF27" s="208">
        <f>IF($AB27=1,$AC27*'Verwerking Bouwdelen'!DN11,$AC27*'Verwerking Bouwdelen'!V11)</f>
        <v>0</v>
      </c>
      <c r="AG27" s="208">
        <f>IF($AB27=1,$AC27*'Verwerking Bouwdelen'!DO11,$AC27*'Verwerking Bouwdelen'!W11)</f>
        <v>0</v>
      </c>
      <c r="AH27" s="208">
        <f>IF($AB27=1,$AC27*'Verwerking Bouwdelen'!DP11,$AC27*'Verwerking Bouwdelen'!X11)</f>
        <v>0</v>
      </c>
      <c r="AI27" s="208">
        <f>IF($AB27=1,$AC27*'Verwerking Bouwdelen'!DQ11,$AC27*'Verwerking Bouwdelen'!Y11)</f>
        <v>0</v>
      </c>
      <c r="AJ27" s="208">
        <f>IF($AB27=1,$AC27*'Verwerking Bouwdelen'!DR11,$AC27*'Verwerking Bouwdelen'!Z11)</f>
        <v>0</v>
      </c>
      <c r="AK27" s="208">
        <f>IF($AB27=1,$AC27*'Verwerking Bouwdelen'!DS11,$AC27*'Verwerking Bouwdelen'!AA11)</f>
        <v>0</v>
      </c>
      <c r="AL27" s="208">
        <f>IF($AB27=1,$AC27*'Verwerking Bouwdelen'!DT11,$AC27*'Verwerking Bouwdelen'!AB11)</f>
        <v>0</v>
      </c>
      <c r="AM27" s="208">
        <f>IF($AB27=1,$AC27*'Verwerking Bouwdelen'!DU11,$AC27*'Verwerking Bouwdelen'!AC11)</f>
        <v>0</v>
      </c>
      <c r="AN27" s="208">
        <f>IF($AB27=1,$AC27*'Verwerking Bouwdelen'!DV11,$AC27*'Verwerking Bouwdelen'!AD11)</f>
        <v>0</v>
      </c>
      <c r="AO27" s="208">
        <f>IF($AB27=1,$AC27*'Verwerking Bouwdelen'!DW11,$AC27*'Verwerking Bouwdelen'!AE11)</f>
        <v>0</v>
      </c>
      <c r="AP27" s="10">
        <f>IF(AD27=B27,0,'Verwerking Bouwdelen'!D11*AB27*AC27)</f>
        <v>0</v>
      </c>
      <c r="AQ27" s="10">
        <f>AB27*AC27*'Verwerking Bouwdelen'!GH11</f>
        <v>0</v>
      </c>
      <c r="AR27" s="10"/>
      <c r="AS27" s="248"/>
      <c r="AT27" s="125">
        <f>IF('Verwerking Bouwdelen'!C11=4,1,0)</f>
        <v>0</v>
      </c>
      <c r="AU27" s="130">
        <f>IF('Verwerking Bouwdelen'!A11=3,1,0)</f>
        <v>0</v>
      </c>
      <c r="AV27" s="208">
        <f>IF($AT27=1,$AU27*'Verwerking Bouwdelen'!DL11,$AU27*'Verwerking Bouwdelen'!T11)</f>
        <v>0</v>
      </c>
      <c r="AW27" s="208">
        <f>IF($AT27=1,$AU27*'Verwerking Bouwdelen'!DM11,$AU27*'Verwerking Bouwdelen'!U11)</f>
        <v>0</v>
      </c>
      <c r="AX27" s="208">
        <f>IF($AT27=1,$AU27*'Verwerking Bouwdelen'!DN11,$AU27*'Verwerking Bouwdelen'!V11)</f>
        <v>0</v>
      </c>
      <c r="AY27" s="208">
        <f>IF($AT27=1,$AU27*'Verwerking Bouwdelen'!DO11,$AU27*'Verwerking Bouwdelen'!W11)</f>
        <v>0</v>
      </c>
      <c r="AZ27" s="208">
        <f>IF($AT27=1,$AU27*'Verwerking Bouwdelen'!DP11,$AU27*'Verwerking Bouwdelen'!X11)</f>
        <v>0</v>
      </c>
      <c r="BA27" s="208">
        <f>IF($AT27=1,$AU27*'Verwerking Bouwdelen'!DQ11,$AU27*'Verwerking Bouwdelen'!Y11)</f>
        <v>0</v>
      </c>
      <c r="BB27" s="208">
        <f>IF($AT27=1,$AU27*'Verwerking Bouwdelen'!DR11,$AU27*'Verwerking Bouwdelen'!Z11)</f>
        <v>0</v>
      </c>
      <c r="BC27" s="208">
        <f>IF($AT27=1,$AU27*'Verwerking Bouwdelen'!DS11,$AU27*'Verwerking Bouwdelen'!AA11)</f>
        <v>0</v>
      </c>
      <c r="BD27" s="208">
        <f>IF($AT27=1,$AU27*'Verwerking Bouwdelen'!DT11,$AU27*'Verwerking Bouwdelen'!AB11)</f>
        <v>0</v>
      </c>
      <c r="BE27" s="208">
        <f>IF($AT27=1,$AU27*'Verwerking Bouwdelen'!DU11,$AU27*'Verwerking Bouwdelen'!AC11)</f>
        <v>0</v>
      </c>
      <c r="BF27" s="208">
        <f>IF($AT27=1,$AU27*'Verwerking Bouwdelen'!DV11,$AU27*'Verwerking Bouwdelen'!AD11)</f>
        <v>0</v>
      </c>
      <c r="BG27" s="208">
        <f>IF($AT27=1,$AU27*'Verwerking Bouwdelen'!DW11,$AU27*'Verwerking Bouwdelen'!AE11)</f>
        <v>0</v>
      </c>
      <c r="BH27" s="10">
        <f>IF(AV27=B27,0,'Verwerking Bouwdelen'!D11*AT27*AU27)</f>
        <v>0</v>
      </c>
      <c r="BI27" s="10">
        <f>AT27*AU27*'Verwerking Bouwdelen'!GH11</f>
        <v>0</v>
      </c>
      <c r="BJ27" s="10"/>
      <c r="BK27" s="10"/>
      <c r="BM27" s="125">
        <f>IF('Verwerking Bouwdelen'!C11=5,1,0)</f>
        <v>0</v>
      </c>
      <c r="BN27" s="130">
        <f>IF('Verwerking Bouwdelen'!A11=3,1,0)</f>
        <v>0</v>
      </c>
      <c r="BO27" s="208">
        <f>IF($BM27=1,$BN27*'Verwerking Bouwdelen'!DL11,$BN27*'Verwerking Bouwdelen'!T11)</f>
        <v>0</v>
      </c>
      <c r="BP27" s="208">
        <f>IF($BM27=1,$BN27*'Verwerking Bouwdelen'!DM11,$BN27*'Verwerking Bouwdelen'!U11)</f>
        <v>0</v>
      </c>
      <c r="BQ27" s="208">
        <f>IF($BM27=1,$BN27*'Verwerking Bouwdelen'!DN11,$BN27*'Verwerking Bouwdelen'!V11)</f>
        <v>0</v>
      </c>
      <c r="BR27" s="208">
        <f>IF($BM27=1,$BN27*'Verwerking Bouwdelen'!DO11,$BN27*'Verwerking Bouwdelen'!W11)</f>
        <v>0</v>
      </c>
      <c r="BS27" s="208">
        <f>IF($BM27=1,$BN27*'Verwerking Bouwdelen'!DP11,$BN27*'Verwerking Bouwdelen'!X11)</f>
        <v>0</v>
      </c>
      <c r="BT27" s="208">
        <f>IF($BM27=1,$BN27*'Verwerking Bouwdelen'!DQ11,$BN27*'Verwerking Bouwdelen'!Y11)</f>
        <v>0</v>
      </c>
      <c r="BU27" s="208">
        <f>IF($BM27=1,$BN27*'Verwerking Bouwdelen'!DR11,$BN27*'Verwerking Bouwdelen'!Z11)</f>
        <v>0</v>
      </c>
      <c r="BV27" s="208">
        <f>IF($BM27=1,$BN27*'Verwerking Bouwdelen'!DS11,$BN27*'Verwerking Bouwdelen'!AA11)</f>
        <v>0</v>
      </c>
      <c r="BW27" s="208">
        <f>IF($BM27=1,$BN27*'Verwerking Bouwdelen'!DT11,$BN27*'Verwerking Bouwdelen'!AB11)</f>
        <v>0</v>
      </c>
      <c r="BX27" s="208">
        <f>IF($BM27=1,$BN27*'Verwerking Bouwdelen'!DU11,$BN27*'Verwerking Bouwdelen'!AC11)</f>
        <v>0</v>
      </c>
      <c r="BY27" s="208">
        <f>IF($BM27=1,$BN27*'Verwerking Bouwdelen'!DV11,$BN27*'Verwerking Bouwdelen'!AD11)</f>
        <v>0</v>
      </c>
      <c r="BZ27" s="208">
        <f>IF($BM27=1,$BN27*'Verwerking Bouwdelen'!DW11,$BN27*'Verwerking Bouwdelen'!AE11)</f>
        <v>0</v>
      </c>
      <c r="CA27" s="10">
        <f>IF(BO27=$B27,0,'Verwerking Bouwdelen'!$D11*BM27*BN27)</f>
        <v>0</v>
      </c>
      <c r="CB27" s="10">
        <f>BM27*BN27*'Verwerking Bouwdelen'!GH11</f>
        <v>0</v>
      </c>
      <c r="CC27" s="10"/>
      <c r="CD27" s="248"/>
      <c r="CE27" s="125">
        <f>IF('Verwerking Bouwdelen'!C11=2,1,0)</f>
        <v>0</v>
      </c>
      <c r="CF27" s="130">
        <f>IF('Verwerking Bouwdelen'!A11=3,1,0)</f>
        <v>0</v>
      </c>
      <c r="CG27" s="208">
        <f>IF($CE27=1,$CF27*'Verwerking Bouwdelen'!DL11,$CF27*'Verwerking Bouwdelen'!T11)</f>
        <v>0</v>
      </c>
      <c r="CH27" s="208">
        <f>IF($CE27=1,$CF27*'Verwerking Bouwdelen'!DM11,$CF27*'Verwerking Bouwdelen'!U11)</f>
        <v>0</v>
      </c>
      <c r="CI27" s="208">
        <f>IF($CE27=1,$CF27*'Verwerking Bouwdelen'!DN11,$CF27*'Verwerking Bouwdelen'!V11)</f>
        <v>0</v>
      </c>
      <c r="CJ27" s="208">
        <f>IF($CE27=1,$CF27*'Verwerking Bouwdelen'!DO11,$CF27*'Verwerking Bouwdelen'!W11)</f>
        <v>0</v>
      </c>
      <c r="CK27" s="208">
        <f>IF($CE27=1,$CF27*'Verwerking Bouwdelen'!DP11,$CF27*'Verwerking Bouwdelen'!X11)</f>
        <v>0</v>
      </c>
      <c r="CL27" s="208">
        <f>IF($CE27=1,$CF27*'Verwerking Bouwdelen'!DQ11,$CF27*'Verwerking Bouwdelen'!Y11)</f>
        <v>0</v>
      </c>
      <c r="CM27" s="208">
        <f>IF($CE27=1,$CF27*'Verwerking Bouwdelen'!DR11,$CF27*'Verwerking Bouwdelen'!Z11)</f>
        <v>0</v>
      </c>
      <c r="CN27" s="208">
        <f>IF($CE27=1,$CF27*'Verwerking Bouwdelen'!DS11,$CF27*'Verwerking Bouwdelen'!AA11)</f>
        <v>0</v>
      </c>
      <c r="CO27" s="208">
        <f>IF($CE27=1,$CF27*'Verwerking Bouwdelen'!DT11,$CF27*'Verwerking Bouwdelen'!AB11)</f>
        <v>0</v>
      </c>
      <c r="CP27" s="208">
        <f>IF($CE27=1,$CF27*'Verwerking Bouwdelen'!DU11,$CF27*'Verwerking Bouwdelen'!AC11)</f>
        <v>0</v>
      </c>
      <c r="CQ27" s="208">
        <f>IF($CE27=1,$CF27*'Verwerking Bouwdelen'!DV11,$CF27*'Verwerking Bouwdelen'!AD11)</f>
        <v>0</v>
      </c>
      <c r="CR27" s="208">
        <f>IF($CE27=1,$CF27*'Verwerking Bouwdelen'!DW11,$CF27*'Verwerking Bouwdelen'!AE11)</f>
        <v>0</v>
      </c>
      <c r="CS27" s="10">
        <f>IF(CG27=$B27,0,('Verwerking Bouwdelen'!$D11-'Verwerking Bouwdelen'!G11)*CE27*CF27)</f>
        <v>0</v>
      </c>
      <c r="CT27" s="260">
        <f>CE27*CF27*'Verwerking Bouwdelen'!GH11</f>
        <v>0</v>
      </c>
      <c r="CU27" s="261">
        <f>CE27*CF27*'Verwerking Bouwdelen'!GI11</f>
        <v>0</v>
      </c>
      <c r="CW27" s="209">
        <f>$AC27*'Verwerking Bouwdelen'!EE11</f>
        <v>0</v>
      </c>
      <c r="CX27" s="209">
        <f>$AC27*'Verwerking Bouwdelen'!EF11</f>
        <v>0</v>
      </c>
      <c r="CY27" s="209">
        <f>$AC27*'Verwerking Bouwdelen'!EG11</f>
        <v>0</v>
      </c>
      <c r="CZ27" s="209">
        <f>$AC27*'Verwerking Bouwdelen'!EH11</f>
        <v>0</v>
      </c>
      <c r="DA27" s="209">
        <f>$AC27*'Verwerking Bouwdelen'!EI11</f>
        <v>0</v>
      </c>
      <c r="DB27" s="209">
        <f>$AC27*'Verwerking Bouwdelen'!EJ11</f>
        <v>0</v>
      </c>
      <c r="DC27" s="209">
        <f>$AC27*'Verwerking Bouwdelen'!EK11</f>
        <v>0</v>
      </c>
      <c r="DD27" s="209">
        <f>$AC27*'Verwerking Bouwdelen'!EL11</f>
        <v>0</v>
      </c>
      <c r="DE27" s="209">
        <f>$AC27*'Verwerking Bouwdelen'!EM11</f>
        <v>0</v>
      </c>
      <c r="DF27" s="209">
        <f>$AC27*'Verwerking Bouwdelen'!EN11</f>
        <v>0</v>
      </c>
      <c r="DG27" s="209">
        <f>$AC27*'Verwerking Bouwdelen'!EO11</f>
        <v>0</v>
      </c>
      <c r="DH27" s="209">
        <f>$AC27*'Verwerking Bouwdelen'!EP11</f>
        <v>0</v>
      </c>
      <c r="DI27" s="10">
        <f>IF(CW27=$O27,0,'Verwerking Bouwdelen'!G11)</f>
        <v>0</v>
      </c>
      <c r="DJ27" s="259">
        <f>'Verwerking Bouwdelen'!GK11*CF27</f>
        <v>0</v>
      </c>
      <c r="DK27" s="259">
        <f>'Verwerking Bouwdelen'!GL11*CF27</f>
        <v>0</v>
      </c>
      <c r="DL27" s="125"/>
      <c r="FC27" s="89">
        <f>IF('Verwerken ventilatie'!AJ19=3,1,0)</f>
        <v>0</v>
      </c>
      <c r="FD27" s="89">
        <f>FC27*'Verwerken ventilatie'!BT19</f>
        <v>0</v>
      </c>
      <c r="FE27" s="89">
        <f>FC27*'Verwerken ventilatie'!BU19</f>
        <v>0</v>
      </c>
      <c r="FZ27" s="89">
        <f>IF('Verwerken verlichting'!B23=3,1,0)</f>
        <v>0</v>
      </c>
      <c r="GA27" s="89">
        <f>$FZ27*'Verwerken verlichting'!BX23</f>
        <v>0</v>
      </c>
      <c r="GB27" s="89">
        <f>$FZ27*'Verwerken verlichting'!BY23</f>
        <v>0</v>
      </c>
      <c r="GC27" s="89">
        <f>$FZ27*'Verwerken verlichting'!BZ23</f>
        <v>0</v>
      </c>
      <c r="GD27" s="89">
        <f>$FZ27*'Verwerken verlichting'!CA23</f>
        <v>0</v>
      </c>
      <c r="GE27" s="89">
        <f>$FZ27*'Verwerken verlichting'!CB23</f>
        <v>0</v>
      </c>
      <c r="GF27" s="89">
        <f>$FZ27*'Verwerken verlichting'!CC23</f>
        <v>0</v>
      </c>
      <c r="GG27" s="89">
        <f>FZ27*'Invoer verlichting'!N22</f>
        <v>0</v>
      </c>
      <c r="GH27" s="89">
        <f>FZ27*'Verwerken verlichting'!AH23</f>
        <v>0</v>
      </c>
      <c r="GI27" s="89">
        <f>FZ27*'Verwerken verlichting'!AG23</f>
        <v>0</v>
      </c>
      <c r="GJ27" s="89">
        <f>FZ27*'Verwerken verlichting'!CE23</f>
        <v>0</v>
      </c>
      <c r="GM27" s="89">
        <f t="shared" si="13"/>
        <v>0</v>
      </c>
      <c r="GN27" s="89">
        <f t="shared" si="14"/>
        <v>0</v>
      </c>
      <c r="GO27" s="208">
        <f>IF($GN27=1,$GN27*$GM27*'Verwerking Bouwdelen'!DL11,$GN27*$GM27*'Verwerking Bouwdelen'!T11)</f>
        <v>0</v>
      </c>
      <c r="GP27" s="208">
        <f>IF($GN27=1,$GN27*$GM27*'Verwerking Bouwdelen'!DM11,$GN27*$GM27*'Verwerking Bouwdelen'!U11)</f>
        <v>0</v>
      </c>
      <c r="GQ27" s="208">
        <f>IF($GN27=1,$GN27*$GM27*'Verwerking Bouwdelen'!DN11,$GN27*$GM27*'Verwerking Bouwdelen'!V11)</f>
        <v>0</v>
      </c>
      <c r="GR27" s="208">
        <f>IF($GN27=1,$GN27*$GM27*'Verwerking Bouwdelen'!DO11,$GN27*$GM27*'Verwerking Bouwdelen'!W11)</f>
        <v>0</v>
      </c>
      <c r="GS27" s="208">
        <f>IF($GN27=1,$GN27*$GM27*'Verwerking Bouwdelen'!DP11,$GN27*$GM27*'Verwerking Bouwdelen'!X11)</f>
        <v>0</v>
      </c>
      <c r="GT27" s="208">
        <f>IF($GN27=1,$GN27*$GM27*'Verwerking Bouwdelen'!DQ11,$GN27*$GM27*'Verwerking Bouwdelen'!Y11)</f>
        <v>0</v>
      </c>
      <c r="GU27" s="208">
        <f>IF($GN27=1,$GN27*$GM27*'Verwerking Bouwdelen'!DR11,$GN27*$GM27*'Verwerking Bouwdelen'!Z11)</f>
        <v>0</v>
      </c>
      <c r="GV27" s="208">
        <f>IF($GN27=1,$GN27*$GM27*'Verwerking Bouwdelen'!DS11,$GN27*$GM27*'Verwerking Bouwdelen'!AA11)</f>
        <v>0</v>
      </c>
      <c r="GW27" s="208">
        <f>IF($GN27=1,$GN27*$GM27*'Verwerking Bouwdelen'!DT11,$GN27*$GM27*'Verwerking Bouwdelen'!AB11)</f>
        <v>0</v>
      </c>
      <c r="GX27" s="208">
        <f>IF($GN27=1,$GN27*$GM27*'Verwerking Bouwdelen'!DU11,$GN27*$GM27*'Verwerking Bouwdelen'!AC11)</f>
        <v>0</v>
      </c>
      <c r="GY27" s="208">
        <f>IF($GN27=1,$GN27*$GM27*'Verwerking Bouwdelen'!DV11,$GN27*$GM27*'Verwerking Bouwdelen'!AD11)</f>
        <v>0</v>
      </c>
      <c r="GZ27" s="208">
        <f>IF($GN27=1,$GN27*$GM27*'Verwerking Bouwdelen'!DW11,$GN27*$GM27*'Verwerking Bouwdelen'!AE11)</f>
        <v>0</v>
      </c>
      <c r="HB27" s="89">
        <f t="shared" si="1"/>
        <v>0</v>
      </c>
      <c r="HC27" s="89">
        <f t="shared" si="2"/>
        <v>0</v>
      </c>
      <c r="HD27" s="89">
        <f t="shared" si="3"/>
        <v>0</v>
      </c>
      <c r="HE27" s="89">
        <f t="shared" si="4"/>
        <v>0</v>
      </c>
      <c r="HF27" s="89">
        <f t="shared" si="5"/>
        <v>0</v>
      </c>
      <c r="HG27" s="89">
        <f t="shared" si="6"/>
        <v>0</v>
      </c>
      <c r="HH27" s="89">
        <f t="shared" si="7"/>
        <v>0</v>
      </c>
      <c r="HI27" s="89">
        <f t="shared" si="8"/>
        <v>0</v>
      </c>
      <c r="HJ27" s="89">
        <f t="shared" si="9"/>
        <v>0</v>
      </c>
      <c r="HK27" s="89">
        <f t="shared" si="10"/>
        <v>0</v>
      </c>
      <c r="HL27" s="89">
        <f t="shared" si="11"/>
        <v>0</v>
      </c>
      <c r="HM27" s="89">
        <f t="shared" si="12"/>
        <v>0</v>
      </c>
    </row>
    <row r="28" spans="1:221" x14ac:dyDescent="0.2">
      <c r="A28" s="130">
        <f>IF('Verwerking Bouwdelen'!A12=3,1,0)</f>
        <v>0</v>
      </c>
      <c r="B28" s="208">
        <f>$A28*'Verwerking Bouwdelen'!T12</f>
        <v>0</v>
      </c>
      <c r="C28" s="208">
        <f>$A28*'Verwerking Bouwdelen'!U12</f>
        <v>0</v>
      </c>
      <c r="D28" s="208">
        <f>$A28*'Verwerking Bouwdelen'!V12</f>
        <v>0</v>
      </c>
      <c r="E28" s="208">
        <f>$A28*'Verwerking Bouwdelen'!W12</f>
        <v>0</v>
      </c>
      <c r="F28" s="208">
        <f>$A28*'Verwerking Bouwdelen'!X12</f>
        <v>0</v>
      </c>
      <c r="G28" s="208">
        <f>$A28*'Verwerking Bouwdelen'!Y12</f>
        <v>0</v>
      </c>
      <c r="H28" s="208">
        <f>$A28*'Verwerking Bouwdelen'!Z12</f>
        <v>0</v>
      </c>
      <c r="I28" s="208">
        <f>$A28*'Verwerking Bouwdelen'!AA12</f>
        <v>0</v>
      </c>
      <c r="J28" s="208">
        <f>$A28*'Verwerking Bouwdelen'!AB12</f>
        <v>0</v>
      </c>
      <c r="K28" s="208">
        <f>$A28*'Verwerking Bouwdelen'!AC12</f>
        <v>0</v>
      </c>
      <c r="L28" s="208">
        <f>$A28*'Verwerking Bouwdelen'!AD12</f>
        <v>0</v>
      </c>
      <c r="M28" s="208">
        <f>$A28*'Verwerking Bouwdelen'!AE12</f>
        <v>0</v>
      </c>
      <c r="O28" s="114">
        <f>$A28*'Verwerking Bouwdelen'!AU12</f>
        <v>0</v>
      </c>
      <c r="P28" s="125">
        <f>$A28*'Verwerking Bouwdelen'!AV12</f>
        <v>0</v>
      </c>
      <c r="Q28" s="125">
        <f>$A28*'Verwerking Bouwdelen'!AW12</f>
        <v>0</v>
      </c>
      <c r="R28" s="125">
        <f>$A28*'Verwerking Bouwdelen'!AX12</f>
        <v>0</v>
      </c>
      <c r="S28" s="125">
        <f>$A28*'Verwerking Bouwdelen'!AY12</f>
        <v>0</v>
      </c>
      <c r="T28" s="125">
        <f>$A28*'Verwerking Bouwdelen'!AZ12</f>
        <v>0</v>
      </c>
      <c r="U28" s="125">
        <f>$A28*'Verwerking Bouwdelen'!BA12</f>
        <v>0</v>
      </c>
      <c r="V28" s="125">
        <f>$A28*'Verwerking Bouwdelen'!BB12</f>
        <v>0</v>
      </c>
      <c r="W28" s="125">
        <f>$A28*'Verwerking Bouwdelen'!BC12</f>
        <v>0</v>
      </c>
      <c r="X28" s="125">
        <f>$A28*'Verwerking Bouwdelen'!BD12</f>
        <v>0</v>
      </c>
      <c r="Y28" s="125">
        <f>$A28*'Verwerking Bouwdelen'!BE12</f>
        <v>0</v>
      </c>
      <c r="Z28" s="195">
        <f>$A28*'Verwerking Bouwdelen'!BF12</f>
        <v>0</v>
      </c>
      <c r="AB28" s="125">
        <f>IF(OR('Verwerking Bouwdelen'!C12=3,'Verwerking Bouwdelen'!C12=6),1,0)</f>
        <v>0</v>
      </c>
      <c r="AC28" s="130">
        <f>IF('Verwerking Bouwdelen'!A12=3,1,0)</f>
        <v>0</v>
      </c>
      <c r="AD28" s="208">
        <f>IF($AB28=1,$AC28*'Verwerking Bouwdelen'!DL12,$AC28*'Verwerking Bouwdelen'!T12)</f>
        <v>0</v>
      </c>
      <c r="AE28" s="208">
        <f>IF($AB28=1,$AC28*'Verwerking Bouwdelen'!DM12,$AC28*'Verwerking Bouwdelen'!U12)</f>
        <v>0</v>
      </c>
      <c r="AF28" s="208">
        <f>IF($AB28=1,$AC28*'Verwerking Bouwdelen'!DN12,$AC28*'Verwerking Bouwdelen'!V12)</f>
        <v>0</v>
      </c>
      <c r="AG28" s="208">
        <f>IF($AB28=1,$AC28*'Verwerking Bouwdelen'!DO12,$AC28*'Verwerking Bouwdelen'!W12)</f>
        <v>0</v>
      </c>
      <c r="AH28" s="208">
        <f>IF($AB28=1,$AC28*'Verwerking Bouwdelen'!DP12,$AC28*'Verwerking Bouwdelen'!X12)</f>
        <v>0</v>
      </c>
      <c r="AI28" s="208">
        <f>IF($AB28=1,$AC28*'Verwerking Bouwdelen'!DQ12,$AC28*'Verwerking Bouwdelen'!Y12)</f>
        <v>0</v>
      </c>
      <c r="AJ28" s="208">
        <f>IF($AB28=1,$AC28*'Verwerking Bouwdelen'!DR12,$AC28*'Verwerking Bouwdelen'!Z12)</f>
        <v>0</v>
      </c>
      <c r="AK28" s="208">
        <f>IF($AB28=1,$AC28*'Verwerking Bouwdelen'!DS12,$AC28*'Verwerking Bouwdelen'!AA12)</f>
        <v>0</v>
      </c>
      <c r="AL28" s="208">
        <f>IF($AB28=1,$AC28*'Verwerking Bouwdelen'!DT12,$AC28*'Verwerking Bouwdelen'!AB12)</f>
        <v>0</v>
      </c>
      <c r="AM28" s="208">
        <f>IF($AB28=1,$AC28*'Verwerking Bouwdelen'!DU12,$AC28*'Verwerking Bouwdelen'!AC12)</f>
        <v>0</v>
      </c>
      <c r="AN28" s="208">
        <f>IF($AB28=1,$AC28*'Verwerking Bouwdelen'!DV12,$AC28*'Verwerking Bouwdelen'!AD12)</f>
        <v>0</v>
      </c>
      <c r="AO28" s="208">
        <f>IF($AB28=1,$AC28*'Verwerking Bouwdelen'!DW12,$AC28*'Verwerking Bouwdelen'!AE12)</f>
        <v>0</v>
      </c>
      <c r="AP28" s="10">
        <f>IF(AD28=B28,0,'Verwerking Bouwdelen'!D12*AB28*AC28)</f>
        <v>0</v>
      </c>
      <c r="AQ28" s="10">
        <f>AB28*AC28*'Verwerking Bouwdelen'!GH12</f>
        <v>0</v>
      </c>
      <c r="AR28" s="10"/>
      <c r="AS28" s="248"/>
      <c r="AT28" s="125">
        <f>IF('Verwerking Bouwdelen'!C12=4,1,0)</f>
        <v>0</v>
      </c>
      <c r="AU28" s="130">
        <f>IF('Verwerking Bouwdelen'!A12=3,1,0)</f>
        <v>0</v>
      </c>
      <c r="AV28" s="208">
        <f>IF($AT28=1,$AU28*'Verwerking Bouwdelen'!DL12,$AU28*'Verwerking Bouwdelen'!T12)</f>
        <v>0</v>
      </c>
      <c r="AW28" s="208">
        <f>IF($AT28=1,$AU28*'Verwerking Bouwdelen'!DM12,$AU28*'Verwerking Bouwdelen'!U12)</f>
        <v>0</v>
      </c>
      <c r="AX28" s="208">
        <f>IF($AT28=1,$AU28*'Verwerking Bouwdelen'!DN12,$AU28*'Verwerking Bouwdelen'!V12)</f>
        <v>0</v>
      </c>
      <c r="AY28" s="208">
        <f>IF($AT28=1,$AU28*'Verwerking Bouwdelen'!DO12,$AU28*'Verwerking Bouwdelen'!W12)</f>
        <v>0</v>
      </c>
      <c r="AZ28" s="208">
        <f>IF($AT28=1,$AU28*'Verwerking Bouwdelen'!DP12,$AU28*'Verwerking Bouwdelen'!X12)</f>
        <v>0</v>
      </c>
      <c r="BA28" s="208">
        <f>IF($AT28=1,$AU28*'Verwerking Bouwdelen'!DQ12,$AU28*'Verwerking Bouwdelen'!Y12)</f>
        <v>0</v>
      </c>
      <c r="BB28" s="208">
        <f>IF($AT28=1,$AU28*'Verwerking Bouwdelen'!DR12,$AU28*'Verwerking Bouwdelen'!Z12)</f>
        <v>0</v>
      </c>
      <c r="BC28" s="208">
        <f>IF($AT28=1,$AU28*'Verwerking Bouwdelen'!DS12,$AU28*'Verwerking Bouwdelen'!AA12)</f>
        <v>0</v>
      </c>
      <c r="BD28" s="208">
        <f>IF($AT28=1,$AU28*'Verwerking Bouwdelen'!DT12,$AU28*'Verwerking Bouwdelen'!AB12)</f>
        <v>0</v>
      </c>
      <c r="BE28" s="208">
        <f>IF($AT28=1,$AU28*'Verwerking Bouwdelen'!DU12,$AU28*'Verwerking Bouwdelen'!AC12)</f>
        <v>0</v>
      </c>
      <c r="BF28" s="208">
        <f>IF($AT28=1,$AU28*'Verwerking Bouwdelen'!DV12,$AU28*'Verwerking Bouwdelen'!AD12)</f>
        <v>0</v>
      </c>
      <c r="BG28" s="208">
        <f>IF($AT28=1,$AU28*'Verwerking Bouwdelen'!DW12,$AU28*'Verwerking Bouwdelen'!AE12)</f>
        <v>0</v>
      </c>
      <c r="BH28" s="10">
        <f>IF(AV28=B28,0,'Verwerking Bouwdelen'!D12*AT28*AU28)</f>
        <v>0</v>
      </c>
      <c r="BI28" s="10">
        <f>AT28*AU28*'Verwerking Bouwdelen'!GH12</f>
        <v>0</v>
      </c>
      <c r="BJ28" s="10"/>
      <c r="BK28" s="10"/>
      <c r="BM28" s="125">
        <f>IF('Verwerking Bouwdelen'!C12=5,1,0)</f>
        <v>0</v>
      </c>
      <c r="BN28" s="130">
        <f>IF('Verwerking Bouwdelen'!A12=3,1,0)</f>
        <v>0</v>
      </c>
      <c r="BO28" s="208">
        <f>IF($BM28=1,$BN28*'Verwerking Bouwdelen'!DL12,$BN28*'Verwerking Bouwdelen'!T12)</f>
        <v>0</v>
      </c>
      <c r="BP28" s="208">
        <f>IF($BM28=1,$BN28*'Verwerking Bouwdelen'!DM12,$BN28*'Verwerking Bouwdelen'!U12)</f>
        <v>0</v>
      </c>
      <c r="BQ28" s="208">
        <f>IF($BM28=1,$BN28*'Verwerking Bouwdelen'!DN12,$BN28*'Verwerking Bouwdelen'!V12)</f>
        <v>0</v>
      </c>
      <c r="BR28" s="208">
        <f>IF($BM28=1,$BN28*'Verwerking Bouwdelen'!DO12,$BN28*'Verwerking Bouwdelen'!W12)</f>
        <v>0</v>
      </c>
      <c r="BS28" s="208">
        <f>IF($BM28=1,$BN28*'Verwerking Bouwdelen'!DP12,$BN28*'Verwerking Bouwdelen'!X12)</f>
        <v>0</v>
      </c>
      <c r="BT28" s="208">
        <f>IF($BM28=1,$BN28*'Verwerking Bouwdelen'!DQ12,$BN28*'Verwerking Bouwdelen'!Y12)</f>
        <v>0</v>
      </c>
      <c r="BU28" s="208">
        <f>IF($BM28=1,$BN28*'Verwerking Bouwdelen'!DR12,$BN28*'Verwerking Bouwdelen'!Z12)</f>
        <v>0</v>
      </c>
      <c r="BV28" s="208">
        <f>IF($BM28=1,$BN28*'Verwerking Bouwdelen'!DS12,$BN28*'Verwerking Bouwdelen'!AA12)</f>
        <v>0</v>
      </c>
      <c r="BW28" s="208">
        <f>IF($BM28=1,$BN28*'Verwerking Bouwdelen'!DT12,$BN28*'Verwerking Bouwdelen'!AB12)</f>
        <v>0</v>
      </c>
      <c r="BX28" s="208">
        <f>IF($BM28=1,$BN28*'Verwerking Bouwdelen'!DU12,$BN28*'Verwerking Bouwdelen'!AC12)</f>
        <v>0</v>
      </c>
      <c r="BY28" s="208">
        <f>IF($BM28=1,$BN28*'Verwerking Bouwdelen'!DV12,$BN28*'Verwerking Bouwdelen'!AD12)</f>
        <v>0</v>
      </c>
      <c r="BZ28" s="208">
        <f>IF($BM28=1,$BN28*'Verwerking Bouwdelen'!DW12,$BN28*'Verwerking Bouwdelen'!AE12)</f>
        <v>0</v>
      </c>
      <c r="CA28" s="10">
        <f>IF(BO28=$B28,0,'Verwerking Bouwdelen'!$D12*BM28*BN28)</f>
        <v>0</v>
      </c>
      <c r="CB28" s="10">
        <f>BM28*BN28*'Verwerking Bouwdelen'!GH12</f>
        <v>0</v>
      </c>
      <c r="CC28" s="10"/>
      <c r="CD28" s="248"/>
      <c r="CE28" s="125">
        <f>IF('Verwerking Bouwdelen'!C12=2,1,0)</f>
        <v>0</v>
      </c>
      <c r="CF28" s="130">
        <f>IF('Verwerking Bouwdelen'!A12=3,1,0)</f>
        <v>0</v>
      </c>
      <c r="CG28" s="208">
        <f>IF($CE28=1,$CF28*'Verwerking Bouwdelen'!DL12,$CF28*'Verwerking Bouwdelen'!T12)</f>
        <v>0</v>
      </c>
      <c r="CH28" s="208">
        <f>IF($CE28=1,$CF28*'Verwerking Bouwdelen'!DM12,$CF28*'Verwerking Bouwdelen'!U12)</f>
        <v>0</v>
      </c>
      <c r="CI28" s="208">
        <f>IF($CE28=1,$CF28*'Verwerking Bouwdelen'!DN12,$CF28*'Verwerking Bouwdelen'!V12)</f>
        <v>0</v>
      </c>
      <c r="CJ28" s="208">
        <f>IF($CE28=1,$CF28*'Verwerking Bouwdelen'!DO12,$CF28*'Verwerking Bouwdelen'!W12)</f>
        <v>0</v>
      </c>
      <c r="CK28" s="208">
        <f>IF($CE28=1,$CF28*'Verwerking Bouwdelen'!DP12,$CF28*'Verwerking Bouwdelen'!X12)</f>
        <v>0</v>
      </c>
      <c r="CL28" s="208">
        <f>IF($CE28=1,$CF28*'Verwerking Bouwdelen'!DQ12,$CF28*'Verwerking Bouwdelen'!Y12)</f>
        <v>0</v>
      </c>
      <c r="CM28" s="208">
        <f>IF($CE28=1,$CF28*'Verwerking Bouwdelen'!DR12,$CF28*'Verwerking Bouwdelen'!Z12)</f>
        <v>0</v>
      </c>
      <c r="CN28" s="208">
        <f>IF($CE28=1,$CF28*'Verwerking Bouwdelen'!DS12,$CF28*'Verwerking Bouwdelen'!AA12)</f>
        <v>0</v>
      </c>
      <c r="CO28" s="208">
        <f>IF($CE28=1,$CF28*'Verwerking Bouwdelen'!DT12,$CF28*'Verwerking Bouwdelen'!AB12)</f>
        <v>0</v>
      </c>
      <c r="CP28" s="208">
        <f>IF($CE28=1,$CF28*'Verwerking Bouwdelen'!DU12,$CF28*'Verwerking Bouwdelen'!AC12)</f>
        <v>0</v>
      </c>
      <c r="CQ28" s="208">
        <f>IF($CE28=1,$CF28*'Verwerking Bouwdelen'!DV12,$CF28*'Verwerking Bouwdelen'!AD12)</f>
        <v>0</v>
      </c>
      <c r="CR28" s="208">
        <f>IF($CE28=1,$CF28*'Verwerking Bouwdelen'!DW12,$CF28*'Verwerking Bouwdelen'!AE12)</f>
        <v>0</v>
      </c>
      <c r="CS28" s="10">
        <f>IF(CG28=$B28,0,('Verwerking Bouwdelen'!$D12-'Verwerking Bouwdelen'!G12)*CE28*CF28)</f>
        <v>0</v>
      </c>
      <c r="CT28" s="260">
        <f>CE28*CF28*'Verwerking Bouwdelen'!GH12</f>
        <v>0</v>
      </c>
      <c r="CU28" s="261">
        <f>CE28*CF28*'Verwerking Bouwdelen'!GI12</f>
        <v>0</v>
      </c>
      <c r="CW28" s="209">
        <f>$AC28*'Verwerking Bouwdelen'!EE12</f>
        <v>0</v>
      </c>
      <c r="CX28" s="209">
        <f>$AC28*'Verwerking Bouwdelen'!EF12</f>
        <v>0</v>
      </c>
      <c r="CY28" s="209">
        <f>$AC28*'Verwerking Bouwdelen'!EG12</f>
        <v>0</v>
      </c>
      <c r="CZ28" s="209">
        <f>$AC28*'Verwerking Bouwdelen'!EH12</f>
        <v>0</v>
      </c>
      <c r="DA28" s="209">
        <f>$AC28*'Verwerking Bouwdelen'!EI12</f>
        <v>0</v>
      </c>
      <c r="DB28" s="209">
        <f>$AC28*'Verwerking Bouwdelen'!EJ12</f>
        <v>0</v>
      </c>
      <c r="DC28" s="209">
        <f>$AC28*'Verwerking Bouwdelen'!EK12</f>
        <v>0</v>
      </c>
      <c r="DD28" s="209">
        <f>$AC28*'Verwerking Bouwdelen'!EL12</f>
        <v>0</v>
      </c>
      <c r="DE28" s="209">
        <f>$AC28*'Verwerking Bouwdelen'!EM12</f>
        <v>0</v>
      </c>
      <c r="DF28" s="209">
        <f>$AC28*'Verwerking Bouwdelen'!EN12</f>
        <v>0</v>
      </c>
      <c r="DG28" s="209">
        <f>$AC28*'Verwerking Bouwdelen'!EO12</f>
        <v>0</v>
      </c>
      <c r="DH28" s="209">
        <f>$AC28*'Verwerking Bouwdelen'!EP12</f>
        <v>0</v>
      </c>
      <c r="DI28" s="10">
        <f>IF(CW28=$O28,0,'Verwerking Bouwdelen'!G12)</f>
        <v>0</v>
      </c>
      <c r="DJ28" s="259">
        <f>'Verwerking Bouwdelen'!GK12*CF28</f>
        <v>0</v>
      </c>
      <c r="DK28" s="259">
        <f>'Verwerking Bouwdelen'!GL12*CF28</f>
        <v>0</v>
      </c>
      <c r="DL28" s="125"/>
      <c r="FD28" s="89">
        <f>SUM(FD16:FD27)</f>
        <v>0</v>
      </c>
      <c r="FE28" s="155">
        <f>SUM(FE16:FE27)</f>
        <v>0</v>
      </c>
      <c r="FZ28" s="89">
        <f>IF('Verwerken verlichting'!B24=3,1,0)</f>
        <v>0</v>
      </c>
      <c r="GA28" s="89">
        <f>$FZ28*'Verwerken verlichting'!BX24</f>
        <v>0</v>
      </c>
      <c r="GB28" s="89">
        <f>$FZ28*'Verwerken verlichting'!BY24</f>
        <v>0</v>
      </c>
      <c r="GC28" s="89">
        <f>$FZ28*'Verwerken verlichting'!BZ24</f>
        <v>0</v>
      </c>
      <c r="GD28" s="89">
        <f>$FZ28*'Verwerken verlichting'!CA24</f>
        <v>0</v>
      </c>
      <c r="GE28" s="89">
        <f>$FZ28*'Verwerken verlichting'!CB24</f>
        <v>0</v>
      </c>
      <c r="GF28" s="89">
        <f>$FZ28*'Verwerken verlichting'!CC24</f>
        <v>0</v>
      </c>
      <c r="GG28" s="89">
        <f>FZ28*'Invoer verlichting'!N23</f>
        <v>0</v>
      </c>
      <c r="GH28" s="89">
        <f>FZ28*'Verwerken verlichting'!AH24</f>
        <v>0</v>
      </c>
      <c r="GI28" s="89">
        <f>FZ28*'Verwerken verlichting'!AG24</f>
        <v>0</v>
      </c>
      <c r="GJ28" s="89">
        <f>FZ28*'Verwerken verlichting'!CE24</f>
        <v>0</v>
      </c>
      <c r="GM28" s="89">
        <f t="shared" si="13"/>
        <v>0</v>
      </c>
      <c r="GN28" s="89">
        <f t="shared" si="14"/>
        <v>0</v>
      </c>
      <c r="GO28" s="208">
        <f>IF($GN28=1,$GN28*$GM28*'Verwerking Bouwdelen'!DL12,$GN28*$GM28*'Verwerking Bouwdelen'!T12)</f>
        <v>0</v>
      </c>
      <c r="GP28" s="208">
        <f>IF($GN28=1,$GN28*$GM28*'Verwerking Bouwdelen'!DM12,$GN28*$GM28*'Verwerking Bouwdelen'!U12)</f>
        <v>0</v>
      </c>
      <c r="GQ28" s="208">
        <f>IF($GN28=1,$GN28*$GM28*'Verwerking Bouwdelen'!DN12,$GN28*$GM28*'Verwerking Bouwdelen'!V12)</f>
        <v>0</v>
      </c>
      <c r="GR28" s="208">
        <f>IF($GN28=1,$GN28*$GM28*'Verwerking Bouwdelen'!DO12,$GN28*$GM28*'Verwerking Bouwdelen'!W12)</f>
        <v>0</v>
      </c>
      <c r="GS28" s="208">
        <f>IF($GN28=1,$GN28*$GM28*'Verwerking Bouwdelen'!DP12,$GN28*$GM28*'Verwerking Bouwdelen'!X12)</f>
        <v>0</v>
      </c>
      <c r="GT28" s="208">
        <f>IF($GN28=1,$GN28*$GM28*'Verwerking Bouwdelen'!DQ12,$GN28*$GM28*'Verwerking Bouwdelen'!Y12)</f>
        <v>0</v>
      </c>
      <c r="GU28" s="208">
        <f>IF($GN28=1,$GN28*$GM28*'Verwerking Bouwdelen'!DR12,$GN28*$GM28*'Verwerking Bouwdelen'!Z12)</f>
        <v>0</v>
      </c>
      <c r="GV28" s="208">
        <f>IF($GN28=1,$GN28*$GM28*'Verwerking Bouwdelen'!DS12,$GN28*$GM28*'Verwerking Bouwdelen'!AA12)</f>
        <v>0</v>
      </c>
      <c r="GW28" s="208">
        <f>IF($GN28=1,$GN28*$GM28*'Verwerking Bouwdelen'!DT12,$GN28*$GM28*'Verwerking Bouwdelen'!AB12)</f>
        <v>0</v>
      </c>
      <c r="GX28" s="208">
        <f>IF($GN28=1,$GN28*$GM28*'Verwerking Bouwdelen'!DU12,$GN28*$GM28*'Verwerking Bouwdelen'!AC12)</f>
        <v>0</v>
      </c>
      <c r="GY28" s="208">
        <f>IF($GN28=1,$GN28*$GM28*'Verwerking Bouwdelen'!DV12,$GN28*$GM28*'Verwerking Bouwdelen'!AD12)</f>
        <v>0</v>
      </c>
      <c r="GZ28" s="208">
        <f>IF($GN28=1,$GN28*$GM28*'Verwerking Bouwdelen'!DW12,$GN28*$GM28*'Verwerking Bouwdelen'!AE12)</f>
        <v>0</v>
      </c>
      <c r="HB28" s="89">
        <f t="shared" si="1"/>
        <v>0</v>
      </c>
      <c r="HC28" s="89">
        <f t="shared" si="2"/>
        <v>0</v>
      </c>
      <c r="HD28" s="89">
        <f t="shared" si="3"/>
        <v>0</v>
      </c>
      <c r="HE28" s="89">
        <f t="shared" si="4"/>
        <v>0</v>
      </c>
      <c r="HF28" s="89">
        <f t="shared" si="5"/>
        <v>0</v>
      </c>
      <c r="HG28" s="89">
        <f t="shared" si="6"/>
        <v>0</v>
      </c>
      <c r="HH28" s="89">
        <f t="shared" si="7"/>
        <v>0</v>
      </c>
      <c r="HI28" s="89">
        <f t="shared" si="8"/>
        <v>0</v>
      </c>
      <c r="HJ28" s="89">
        <f t="shared" si="9"/>
        <v>0</v>
      </c>
      <c r="HK28" s="89">
        <f t="shared" si="10"/>
        <v>0</v>
      </c>
      <c r="HL28" s="89">
        <f t="shared" si="11"/>
        <v>0</v>
      </c>
      <c r="HM28" s="89">
        <f t="shared" si="12"/>
        <v>0</v>
      </c>
    </row>
    <row r="29" spans="1:221" x14ac:dyDescent="0.2">
      <c r="A29" s="130">
        <f>IF('Verwerking Bouwdelen'!A13=3,1,0)</f>
        <v>0</v>
      </c>
      <c r="B29" s="208">
        <f>$A29*'Verwerking Bouwdelen'!T13</f>
        <v>0</v>
      </c>
      <c r="C29" s="208">
        <f>$A29*'Verwerking Bouwdelen'!U13</f>
        <v>0</v>
      </c>
      <c r="D29" s="208">
        <f>$A29*'Verwerking Bouwdelen'!V13</f>
        <v>0</v>
      </c>
      <c r="E29" s="208">
        <f>$A29*'Verwerking Bouwdelen'!W13</f>
        <v>0</v>
      </c>
      <c r="F29" s="208">
        <f>$A29*'Verwerking Bouwdelen'!X13</f>
        <v>0</v>
      </c>
      <c r="G29" s="208">
        <f>$A29*'Verwerking Bouwdelen'!Y13</f>
        <v>0</v>
      </c>
      <c r="H29" s="208">
        <f>$A29*'Verwerking Bouwdelen'!Z13</f>
        <v>0</v>
      </c>
      <c r="I29" s="208">
        <f>$A29*'Verwerking Bouwdelen'!AA13</f>
        <v>0</v>
      </c>
      <c r="J29" s="208">
        <f>$A29*'Verwerking Bouwdelen'!AB13</f>
        <v>0</v>
      </c>
      <c r="K29" s="208">
        <f>$A29*'Verwerking Bouwdelen'!AC13</f>
        <v>0</v>
      </c>
      <c r="L29" s="208">
        <f>$A29*'Verwerking Bouwdelen'!AD13</f>
        <v>0</v>
      </c>
      <c r="M29" s="208">
        <f>$A29*'Verwerking Bouwdelen'!AE13</f>
        <v>0</v>
      </c>
      <c r="O29" s="114">
        <f>$A29*'Verwerking Bouwdelen'!AU13</f>
        <v>0</v>
      </c>
      <c r="P29" s="125">
        <f>$A29*'Verwerking Bouwdelen'!AV13</f>
        <v>0</v>
      </c>
      <c r="Q29" s="125">
        <f>$A29*'Verwerking Bouwdelen'!AW13</f>
        <v>0</v>
      </c>
      <c r="R29" s="125">
        <f>$A29*'Verwerking Bouwdelen'!AX13</f>
        <v>0</v>
      </c>
      <c r="S29" s="125">
        <f>$A29*'Verwerking Bouwdelen'!AY13</f>
        <v>0</v>
      </c>
      <c r="T29" s="125">
        <f>$A29*'Verwerking Bouwdelen'!AZ13</f>
        <v>0</v>
      </c>
      <c r="U29" s="125">
        <f>$A29*'Verwerking Bouwdelen'!BA13</f>
        <v>0</v>
      </c>
      <c r="V29" s="125">
        <f>$A29*'Verwerking Bouwdelen'!BB13</f>
        <v>0</v>
      </c>
      <c r="W29" s="125">
        <f>$A29*'Verwerking Bouwdelen'!BC13</f>
        <v>0</v>
      </c>
      <c r="X29" s="125">
        <f>$A29*'Verwerking Bouwdelen'!BD13</f>
        <v>0</v>
      </c>
      <c r="Y29" s="125">
        <f>$A29*'Verwerking Bouwdelen'!BE13</f>
        <v>0</v>
      </c>
      <c r="Z29" s="195">
        <f>$A29*'Verwerking Bouwdelen'!BF13</f>
        <v>0</v>
      </c>
      <c r="AB29" s="125">
        <f>IF(OR('Verwerking Bouwdelen'!C13=3,'Verwerking Bouwdelen'!C13=6),1,0)</f>
        <v>0</v>
      </c>
      <c r="AC29" s="130">
        <f>IF('Verwerking Bouwdelen'!A13=3,1,0)</f>
        <v>0</v>
      </c>
      <c r="AD29" s="208">
        <f>IF($AB29=1,$AC29*'Verwerking Bouwdelen'!DL13,$AC29*'Verwerking Bouwdelen'!T13)</f>
        <v>0</v>
      </c>
      <c r="AE29" s="208">
        <f>IF($AB29=1,$AC29*'Verwerking Bouwdelen'!DM13,$AC29*'Verwerking Bouwdelen'!U13)</f>
        <v>0</v>
      </c>
      <c r="AF29" s="208">
        <f>IF($AB29=1,$AC29*'Verwerking Bouwdelen'!DN13,$AC29*'Verwerking Bouwdelen'!V13)</f>
        <v>0</v>
      </c>
      <c r="AG29" s="208">
        <f>IF($AB29=1,$AC29*'Verwerking Bouwdelen'!DO13,$AC29*'Verwerking Bouwdelen'!W13)</f>
        <v>0</v>
      </c>
      <c r="AH29" s="208">
        <f>IF($AB29=1,$AC29*'Verwerking Bouwdelen'!DP13,$AC29*'Verwerking Bouwdelen'!X13)</f>
        <v>0</v>
      </c>
      <c r="AI29" s="208">
        <f>IF($AB29=1,$AC29*'Verwerking Bouwdelen'!DQ13,$AC29*'Verwerking Bouwdelen'!Y13)</f>
        <v>0</v>
      </c>
      <c r="AJ29" s="208">
        <f>IF($AB29=1,$AC29*'Verwerking Bouwdelen'!DR13,$AC29*'Verwerking Bouwdelen'!Z13)</f>
        <v>0</v>
      </c>
      <c r="AK29" s="208">
        <f>IF($AB29=1,$AC29*'Verwerking Bouwdelen'!DS13,$AC29*'Verwerking Bouwdelen'!AA13)</f>
        <v>0</v>
      </c>
      <c r="AL29" s="208">
        <f>IF($AB29=1,$AC29*'Verwerking Bouwdelen'!DT13,$AC29*'Verwerking Bouwdelen'!AB13)</f>
        <v>0</v>
      </c>
      <c r="AM29" s="208">
        <f>IF($AB29=1,$AC29*'Verwerking Bouwdelen'!DU13,$AC29*'Verwerking Bouwdelen'!AC13)</f>
        <v>0</v>
      </c>
      <c r="AN29" s="208">
        <f>IF($AB29=1,$AC29*'Verwerking Bouwdelen'!DV13,$AC29*'Verwerking Bouwdelen'!AD13)</f>
        <v>0</v>
      </c>
      <c r="AO29" s="208">
        <f>IF($AB29=1,$AC29*'Verwerking Bouwdelen'!DW13,$AC29*'Verwerking Bouwdelen'!AE13)</f>
        <v>0</v>
      </c>
      <c r="AP29" s="10">
        <f>IF(AD29=B29,0,'Verwerking Bouwdelen'!D13*AB29*AC29)</f>
        <v>0</v>
      </c>
      <c r="AQ29" s="10">
        <f>AB29*AC29*'Verwerking Bouwdelen'!GH13</f>
        <v>0</v>
      </c>
      <c r="AR29" s="10"/>
      <c r="AS29" s="248"/>
      <c r="AT29" s="125">
        <f>IF('Verwerking Bouwdelen'!C13=4,1,0)</f>
        <v>0</v>
      </c>
      <c r="AU29" s="130">
        <f>IF('Verwerking Bouwdelen'!A13=3,1,0)</f>
        <v>0</v>
      </c>
      <c r="AV29" s="208">
        <f>IF($AT29=1,$AU29*'Verwerking Bouwdelen'!DL13,$AU29*'Verwerking Bouwdelen'!T13)</f>
        <v>0</v>
      </c>
      <c r="AW29" s="208">
        <f>IF($AT29=1,$AU29*'Verwerking Bouwdelen'!DM13,$AU29*'Verwerking Bouwdelen'!U13)</f>
        <v>0</v>
      </c>
      <c r="AX29" s="208">
        <f>IF($AT29=1,$AU29*'Verwerking Bouwdelen'!DN13,$AU29*'Verwerking Bouwdelen'!V13)</f>
        <v>0</v>
      </c>
      <c r="AY29" s="208">
        <f>IF($AT29=1,$AU29*'Verwerking Bouwdelen'!DO13,$AU29*'Verwerking Bouwdelen'!W13)</f>
        <v>0</v>
      </c>
      <c r="AZ29" s="208">
        <f>IF($AT29=1,$AU29*'Verwerking Bouwdelen'!DP13,$AU29*'Verwerking Bouwdelen'!X13)</f>
        <v>0</v>
      </c>
      <c r="BA29" s="208">
        <f>IF($AT29=1,$AU29*'Verwerking Bouwdelen'!DQ13,$AU29*'Verwerking Bouwdelen'!Y13)</f>
        <v>0</v>
      </c>
      <c r="BB29" s="208">
        <f>IF($AT29=1,$AU29*'Verwerking Bouwdelen'!DR13,$AU29*'Verwerking Bouwdelen'!Z13)</f>
        <v>0</v>
      </c>
      <c r="BC29" s="208">
        <f>IF($AT29=1,$AU29*'Verwerking Bouwdelen'!DS13,$AU29*'Verwerking Bouwdelen'!AA13)</f>
        <v>0</v>
      </c>
      <c r="BD29" s="208">
        <f>IF($AT29=1,$AU29*'Verwerking Bouwdelen'!DT13,$AU29*'Verwerking Bouwdelen'!AB13)</f>
        <v>0</v>
      </c>
      <c r="BE29" s="208">
        <f>IF($AT29=1,$AU29*'Verwerking Bouwdelen'!DU13,$AU29*'Verwerking Bouwdelen'!AC13)</f>
        <v>0</v>
      </c>
      <c r="BF29" s="208">
        <f>IF($AT29=1,$AU29*'Verwerking Bouwdelen'!DV13,$AU29*'Verwerking Bouwdelen'!AD13)</f>
        <v>0</v>
      </c>
      <c r="BG29" s="208">
        <f>IF($AT29=1,$AU29*'Verwerking Bouwdelen'!DW13,$AU29*'Verwerking Bouwdelen'!AE13)</f>
        <v>0</v>
      </c>
      <c r="BH29" s="10">
        <f>IF(AV29=B29,0,'Verwerking Bouwdelen'!D13*AT29*AU29)</f>
        <v>0</v>
      </c>
      <c r="BI29" s="10">
        <f>AT29*AU29*'Verwerking Bouwdelen'!GH13</f>
        <v>0</v>
      </c>
      <c r="BJ29" s="10"/>
      <c r="BK29" s="10"/>
      <c r="BM29" s="125">
        <f>IF('Verwerking Bouwdelen'!C13=5,1,0)</f>
        <v>0</v>
      </c>
      <c r="BN29" s="130">
        <f>IF('Verwerking Bouwdelen'!A13=3,1,0)</f>
        <v>0</v>
      </c>
      <c r="BO29" s="208">
        <f>IF($BM29=1,$BN29*'Verwerking Bouwdelen'!DL13,$BN29*'Verwerking Bouwdelen'!T13)</f>
        <v>0</v>
      </c>
      <c r="BP29" s="208">
        <f>IF($BM29=1,$BN29*'Verwerking Bouwdelen'!DM13,$BN29*'Verwerking Bouwdelen'!U13)</f>
        <v>0</v>
      </c>
      <c r="BQ29" s="208">
        <f>IF($BM29=1,$BN29*'Verwerking Bouwdelen'!DN13,$BN29*'Verwerking Bouwdelen'!V13)</f>
        <v>0</v>
      </c>
      <c r="BR29" s="208">
        <f>IF($BM29=1,$BN29*'Verwerking Bouwdelen'!DO13,$BN29*'Verwerking Bouwdelen'!W13)</f>
        <v>0</v>
      </c>
      <c r="BS29" s="208">
        <f>IF($BM29=1,$BN29*'Verwerking Bouwdelen'!DP13,$BN29*'Verwerking Bouwdelen'!X13)</f>
        <v>0</v>
      </c>
      <c r="BT29" s="208">
        <f>IF($BM29=1,$BN29*'Verwerking Bouwdelen'!DQ13,$BN29*'Verwerking Bouwdelen'!Y13)</f>
        <v>0</v>
      </c>
      <c r="BU29" s="208">
        <f>IF($BM29=1,$BN29*'Verwerking Bouwdelen'!DR13,$BN29*'Verwerking Bouwdelen'!Z13)</f>
        <v>0</v>
      </c>
      <c r="BV29" s="208">
        <f>IF($BM29=1,$BN29*'Verwerking Bouwdelen'!DS13,$BN29*'Verwerking Bouwdelen'!AA13)</f>
        <v>0</v>
      </c>
      <c r="BW29" s="208">
        <f>IF($BM29=1,$BN29*'Verwerking Bouwdelen'!DT13,$BN29*'Verwerking Bouwdelen'!AB13)</f>
        <v>0</v>
      </c>
      <c r="BX29" s="208">
        <f>IF($BM29=1,$BN29*'Verwerking Bouwdelen'!DU13,$BN29*'Verwerking Bouwdelen'!AC13)</f>
        <v>0</v>
      </c>
      <c r="BY29" s="208">
        <f>IF($BM29=1,$BN29*'Verwerking Bouwdelen'!DV13,$BN29*'Verwerking Bouwdelen'!AD13)</f>
        <v>0</v>
      </c>
      <c r="BZ29" s="208">
        <f>IF($BM29=1,$BN29*'Verwerking Bouwdelen'!DW13,$BN29*'Verwerking Bouwdelen'!AE13)</f>
        <v>0</v>
      </c>
      <c r="CA29" s="10">
        <f>IF(BO29=$B29,0,'Verwerking Bouwdelen'!$D13*BM29*BN29)</f>
        <v>0</v>
      </c>
      <c r="CB29" s="10">
        <f>BM29*BN29*'Verwerking Bouwdelen'!GH13</f>
        <v>0</v>
      </c>
      <c r="CC29" s="10"/>
      <c r="CD29" s="248"/>
      <c r="CE29" s="125">
        <f>IF('Verwerking Bouwdelen'!C13=2,1,0)</f>
        <v>0</v>
      </c>
      <c r="CF29" s="130">
        <f>IF('Verwerking Bouwdelen'!A13=3,1,0)</f>
        <v>0</v>
      </c>
      <c r="CG29" s="208">
        <f>IF($CE29=1,$CF29*'Verwerking Bouwdelen'!DL13,$CF29*'Verwerking Bouwdelen'!T13)</f>
        <v>0</v>
      </c>
      <c r="CH29" s="208">
        <f>IF($CE29=1,$CF29*'Verwerking Bouwdelen'!DM13,$CF29*'Verwerking Bouwdelen'!U13)</f>
        <v>0</v>
      </c>
      <c r="CI29" s="208">
        <f>IF($CE29=1,$CF29*'Verwerking Bouwdelen'!DN13,$CF29*'Verwerking Bouwdelen'!V13)</f>
        <v>0</v>
      </c>
      <c r="CJ29" s="208">
        <f>IF($CE29=1,$CF29*'Verwerking Bouwdelen'!DO13,$CF29*'Verwerking Bouwdelen'!W13)</f>
        <v>0</v>
      </c>
      <c r="CK29" s="208">
        <f>IF($CE29=1,$CF29*'Verwerking Bouwdelen'!DP13,$CF29*'Verwerking Bouwdelen'!X13)</f>
        <v>0</v>
      </c>
      <c r="CL29" s="208">
        <f>IF($CE29=1,$CF29*'Verwerking Bouwdelen'!DQ13,$CF29*'Verwerking Bouwdelen'!Y13)</f>
        <v>0</v>
      </c>
      <c r="CM29" s="208">
        <f>IF($CE29=1,$CF29*'Verwerking Bouwdelen'!DR13,$CF29*'Verwerking Bouwdelen'!Z13)</f>
        <v>0</v>
      </c>
      <c r="CN29" s="208">
        <f>IF($CE29=1,$CF29*'Verwerking Bouwdelen'!DS13,$CF29*'Verwerking Bouwdelen'!AA13)</f>
        <v>0</v>
      </c>
      <c r="CO29" s="208">
        <f>IF($CE29=1,$CF29*'Verwerking Bouwdelen'!DT13,$CF29*'Verwerking Bouwdelen'!AB13)</f>
        <v>0</v>
      </c>
      <c r="CP29" s="208">
        <f>IF($CE29=1,$CF29*'Verwerking Bouwdelen'!DU13,$CF29*'Verwerking Bouwdelen'!AC13)</f>
        <v>0</v>
      </c>
      <c r="CQ29" s="208">
        <f>IF($CE29=1,$CF29*'Verwerking Bouwdelen'!DV13,$CF29*'Verwerking Bouwdelen'!AD13)</f>
        <v>0</v>
      </c>
      <c r="CR29" s="208">
        <f>IF($CE29=1,$CF29*'Verwerking Bouwdelen'!DW13,$CF29*'Verwerking Bouwdelen'!AE13)</f>
        <v>0</v>
      </c>
      <c r="CS29" s="10">
        <f>IF(CG29=$B29,0,('Verwerking Bouwdelen'!$D13-'Verwerking Bouwdelen'!G13)*CE29*CF29)</f>
        <v>0</v>
      </c>
      <c r="CT29" s="260">
        <f>CE29*CF29*'Verwerking Bouwdelen'!GH13</f>
        <v>0</v>
      </c>
      <c r="CU29" s="261">
        <f>CE29*CF29*'Verwerking Bouwdelen'!GI13</f>
        <v>0</v>
      </c>
      <c r="CW29" s="209">
        <f>$AC29*'Verwerking Bouwdelen'!EE13</f>
        <v>0</v>
      </c>
      <c r="CX29" s="209">
        <f>$AC29*'Verwerking Bouwdelen'!EF13</f>
        <v>0</v>
      </c>
      <c r="CY29" s="209">
        <f>$AC29*'Verwerking Bouwdelen'!EG13</f>
        <v>0</v>
      </c>
      <c r="CZ29" s="209">
        <f>$AC29*'Verwerking Bouwdelen'!EH13</f>
        <v>0</v>
      </c>
      <c r="DA29" s="209">
        <f>$AC29*'Verwerking Bouwdelen'!EI13</f>
        <v>0</v>
      </c>
      <c r="DB29" s="209">
        <f>$AC29*'Verwerking Bouwdelen'!EJ13</f>
        <v>0</v>
      </c>
      <c r="DC29" s="209">
        <f>$AC29*'Verwerking Bouwdelen'!EK13</f>
        <v>0</v>
      </c>
      <c r="DD29" s="209">
        <f>$AC29*'Verwerking Bouwdelen'!EL13</f>
        <v>0</v>
      </c>
      <c r="DE29" s="209">
        <f>$AC29*'Verwerking Bouwdelen'!EM13</f>
        <v>0</v>
      </c>
      <c r="DF29" s="209">
        <f>$AC29*'Verwerking Bouwdelen'!EN13</f>
        <v>0</v>
      </c>
      <c r="DG29" s="209">
        <f>$AC29*'Verwerking Bouwdelen'!EO13</f>
        <v>0</v>
      </c>
      <c r="DH29" s="209">
        <f>$AC29*'Verwerking Bouwdelen'!EP13</f>
        <v>0</v>
      </c>
      <c r="DI29" s="10">
        <f>IF(CW29=$O29,0,'Verwerking Bouwdelen'!G13)</f>
        <v>0</v>
      </c>
      <c r="DJ29" s="259">
        <f>'Verwerking Bouwdelen'!GK13*CF29</f>
        <v>0</v>
      </c>
      <c r="DK29" s="259">
        <f>'Verwerking Bouwdelen'!GL13*CF29</f>
        <v>0</v>
      </c>
      <c r="DL29" s="125"/>
      <c r="FZ29" s="89">
        <f>IF('Verwerken verlichting'!B25=3,1,0)</f>
        <v>0</v>
      </c>
      <c r="GA29" s="89">
        <f>$FZ29*'Verwerken verlichting'!BX25</f>
        <v>0</v>
      </c>
      <c r="GB29" s="89">
        <f>$FZ29*'Verwerken verlichting'!BY25</f>
        <v>0</v>
      </c>
      <c r="GC29" s="89">
        <f>$FZ29*'Verwerken verlichting'!BZ25</f>
        <v>0</v>
      </c>
      <c r="GD29" s="89">
        <f>$FZ29*'Verwerken verlichting'!CA25</f>
        <v>0</v>
      </c>
      <c r="GE29" s="89">
        <f>$FZ29*'Verwerken verlichting'!CB25</f>
        <v>0</v>
      </c>
      <c r="GF29" s="89">
        <f>$FZ29*'Verwerken verlichting'!CC25</f>
        <v>0</v>
      </c>
      <c r="GG29" s="89">
        <f>FZ29*'Invoer verlichting'!N24</f>
        <v>0</v>
      </c>
      <c r="GH29" s="89">
        <f>FZ29*'Verwerken verlichting'!AH25</f>
        <v>0</v>
      </c>
      <c r="GI29" s="89">
        <f>FZ29*'Verwerken verlichting'!AG25</f>
        <v>0</v>
      </c>
      <c r="GJ29" s="89">
        <f>FZ29*'Verwerken verlichting'!CE25</f>
        <v>0</v>
      </c>
      <c r="GM29" s="89">
        <f t="shared" si="13"/>
        <v>0</v>
      </c>
      <c r="GN29" s="89">
        <f t="shared" si="14"/>
        <v>0</v>
      </c>
      <c r="GO29" s="208">
        <f>IF($GN29=1,$GN29*$GM29*'Verwerking Bouwdelen'!DL13,$GN29*$GM29*'Verwerking Bouwdelen'!T13)</f>
        <v>0</v>
      </c>
      <c r="GP29" s="208">
        <f>IF($GN29=1,$GN29*$GM29*'Verwerking Bouwdelen'!DM13,$GN29*$GM29*'Verwerking Bouwdelen'!U13)</f>
        <v>0</v>
      </c>
      <c r="GQ29" s="208">
        <f>IF($GN29=1,$GN29*$GM29*'Verwerking Bouwdelen'!DN13,$GN29*$GM29*'Verwerking Bouwdelen'!V13)</f>
        <v>0</v>
      </c>
      <c r="GR29" s="208">
        <f>IF($GN29=1,$GN29*$GM29*'Verwerking Bouwdelen'!DO13,$GN29*$GM29*'Verwerking Bouwdelen'!W13)</f>
        <v>0</v>
      </c>
      <c r="GS29" s="208">
        <f>IF($GN29=1,$GN29*$GM29*'Verwerking Bouwdelen'!DP13,$GN29*$GM29*'Verwerking Bouwdelen'!X13)</f>
        <v>0</v>
      </c>
      <c r="GT29" s="208">
        <f>IF($GN29=1,$GN29*$GM29*'Verwerking Bouwdelen'!DQ13,$GN29*$GM29*'Verwerking Bouwdelen'!Y13)</f>
        <v>0</v>
      </c>
      <c r="GU29" s="208">
        <f>IF($GN29=1,$GN29*$GM29*'Verwerking Bouwdelen'!DR13,$GN29*$GM29*'Verwerking Bouwdelen'!Z13)</f>
        <v>0</v>
      </c>
      <c r="GV29" s="208">
        <f>IF($GN29=1,$GN29*$GM29*'Verwerking Bouwdelen'!DS13,$GN29*$GM29*'Verwerking Bouwdelen'!AA13)</f>
        <v>0</v>
      </c>
      <c r="GW29" s="208">
        <f>IF($GN29=1,$GN29*$GM29*'Verwerking Bouwdelen'!DT13,$GN29*$GM29*'Verwerking Bouwdelen'!AB13)</f>
        <v>0</v>
      </c>
      <c r="GX29" s="208">
        <f>IF($GN29=1,$GN29*$GM29*'Verwerking Bouwdelen'!DU13,$GN29*$GM29*'Verwerking Bouwdelen'!AC13)</f>
        <v>0</v>
      </c>
      <c r="GY29" s="208">
        <f>IF($GN29=1,$GN29*$GM29*'Verwerking Bouwdelen'!DV13,$GN29*$GM29*'Verwerking Bouwdelen'!AD13)</f>
        <v>0</v>
      </c>
      <c r="GZ29" s="208">
        <f>IF($GN29=1,$GN29*$GM29*'Verwerking Bouwdelen'!DW13,$GN29*$GM29*'Verwerking Bouwdelen'!AE13)</f>
        <v>0</v>
      </c>
      <c r="HB29" s="89">
        <f t="shared" si="1"/>
        <v>0</v>
      </c>
      <c r="HC29" s="89">
        <f t="shared" si="2"/>
        <v>0</v>
      </c>
      <c r="HD29" s="89">
        <f t="shared" si="3"/>
        <v>0</v>
      </c>
      <c r="HE29" s="89">
        <f t="shared" si="4"/>
        <v>0</v>
      </c>
      <c r="HF29" s="89">
        <f t="shared" si="5"/>
        <v>0</v>
      </c>
      <c r="HG29" s="89">
        <f t="shared" si="6"/>
        <v>0</v>
      </c>
      <c r="HH29" s="89">
        <f t="shared" si="7"/>
        <v>0</v>
      </c>
      <c r="HI29" s="89">
        <f t="shared" si="8"/>
        <v>0</v>
      </c>
      <c r="HJ29" s="89">
        <f t="shared" si="9"/>
        <v>0</v>
      </c>
      <c r="HK29" s="89">
        <f t="shared" si="10"/>
        <v>0</v>
      </c>
      <c r="HL29" s="89">
        <f t="shared" si="11"/>
        <v>0</v>
      </c>
      <c r="HM29" s="89">
        <f t="shared" si="12"/>
        <v>0</v>
      </c>
    </row>
    <row r="30" spans="1:221" x14ac:dyDescent="0.2">
      <c r="A30" s="130">
        <f>IF('Verwerking Bouwdelen'!A14=3,1,0)</f>
        <v>0</v>
      </c>
      <c r="B30" s="208">
        <f>$A30*'Verwerking Bouwdelen'!T14</f>
        <v>0</v>
      </c>
      <c r="C30" s="208">
        <f>$A30*'Verwerking Bouwdelen'!U14</f>
        <v>0</v>
      </c>
      <c r="D30" s="208">
        <f>$A30*'Verwerking Bouwdelen'!V14</f>
        <v>0</v>
      </c>
      <c r="E30" s="208">
        <f>$A30*'Verwerking Bouwdelen'!W14</f>
        <v>0</v>
      </c>
      <c r="F30" s="208">
        <f>$A30*'Verwerking Bouwdelen'!X14</f>
        <v>0</v>
      </c>
      <c r="G30" s="208">
        <f>$A30*'Verwerking Bouwdelen'!Y14</f>
        <v>0</v>
      </c>
      <c r="H30" s="208">
        <f>$A30*'Verwerking Bouwdelen'!Z14</f>
        <v>0</v>
      </c>
      <c r="I30" s="208">
        <f>$A30*'Verwerking Bouwdelen'!AA14</f>
        <v>0</v>
      </c>
      <c r="J30" s="208">
        <f>$A30*'Verwerking Bouwdelen'!AB14</f>
        <v>0</v>
      </c>
      <c r="K30" s="208">
        <f>$A30*'Verwerking Bouwdelen'!AC14</f>
        <v>0</v>
      </c>
      <c r="L30" s="208">
        <f>$A30*'Verwerking Bouwdelen'!AD14</f>
        <v>0</v>
      </c>
      <c r="M30" s="208">
        <f>$A30*'Verwerking Bouwdelen'!AE14</f>
        <v>0</v>
      </c>
      <c r="O30" s="114">
        <f>$A30*'Verwerking Bouwdelen'!AU14</f>
        <v>0</v>
      </c>
      <c r="P30" s="125">
        <f>$A30*'Verwerking Bouwdelen'!AV14</f>
        <v>0</v>
      </c>
      <c r="Q30" s="125">
        <f>$A30*'Verwerking Bouwdelen'!AW14</f>
        <v>0</v>
      </c>
      <c r="R30" s="125">
        <f>$A30*'Verwerking Bouwdelen'!AX14</f>
        <v>0</v>
      </c>
      <c r="S30" s="125">
        <f>$A30*'Verwerking Bouwdelen'!AY14</f>
        <v>0</v>
      </c>
      <c r="T30" s="125">
        <f>$A30*'Verwerking Bouwdelen'!AZ14</f>
        <v>0</v>
      </c>
      <c r="U30" s="125">
        <f>$A30*'Verwerking Bouwdelen'!BA14</f>
        <v>0</v>
      </c>
      <c r="V30" s="125">
        <f>$A30*'Verwerking Bouwdelen'!BB14</f>
        <v>0</v>
      </c>
      <c r="W30" s="125">
        <f>$A30*'Verwerking Bouwdelen'!BC14</f>
        <v>0</v>
      </c>
      <c r="X30" s="125">
        <f>$A30*'Verwerking Bouwdelen'!BD14</f>
        <v>0</v>
      </c>
      <c r="Y30" s="125">
        <f>$A30*'Verwerking Bouwdelen'!BE14</f>
        <v>0</v>
      </c>
      <c r="Z30" s="195">
        <f>$A30*'Verwerking Bouwdelen'!BF14</f>
        <v>0</v>
      </c>
      <c r="AB30" s="125">
        <f>IF(OR('Verwerking Bouwdelen'!C14=3,'Verwerking Bouwdelen'!C14=6),1,0)</f>
        <v>0</v>
      </c>
      <c r="AC30" s="130">
        <f>IF('Verwerking Bouwdelen'!A14=3,1,0)</f>
        <v>0</v>
      </c>
      <c r="AD30" s="208">
        <f>IF($AB30=1,$AC30*'Verwerking Bouwdelen'!DL14,$AC30*'Verwerking Bouwdelen'!T14)</f>
        <v>0</v>
      </c>
      <c r="AE30" s="208">
        <f>IF($AB30=1,$AC30*'Verwerking Bouwdelen'!DM14,$AC30*'Verwerking Bouwdelen'!U14)</f>
        <v>0</v>
      </c>
      <c r="AF30" s="208">
        <f>IF($AB30=1,$AC30*'Verwerking Bouwdelen'!DN14,$AC30*'Verwerking Bouwdelen'!V14)</f>
        <v>0</v>
      </c>
      <c r="AG30" s="208">
        <f>IF($AB30=1,$AC30*'Verwerking Bouwdelen'!DO14,$AC30*'Verwerking Bouwdelen'!W14)</f>
        <v>0</v>
      </c>
      <c r="AH30" s="208">
        <f>IF($AB30=1,$AC30*'Verwerking Bouwdelen'!DP14,$AC30*'Verwerking Bouwdelen'!X14)</f>
        <v>0</v>
      </c>
      <c r="AI30" s="208">
        <f>IF($AB30=1,$AC30*'Verwerking Bouwdelen'!DQ14,$AC30*'Verwerking Bouwdelen'!Y14)</f>
        <v>0</v>
      </c>
      <c r="AJ30" s="208">
        <f>IF($AB30=1,$AC30*'Verwerking Bouwdelen'!DR14,$AC30*'Verwerking Bouwdelen'!Z14)</f>
        <v>0</v>
      </c>
      <c r="AK30" s="208">
        <f>IF($AB30=1,$AC30*'Verwerking Bouwdelen'!DS14,$AC30*'Verwerking Bouwdelen'!AA14)</f>
        <v>0</v>
      </c>
      <c r="AL30" s="208">
        <f>IF($AB30=1,$AC30*'Verwerking Bouwdelen'!DT14,$AC30*'Verwerking Bouwdelen'!AB14)</f>
        <v>0</v>
      </c>
      <c r="AM30" s="208">
        <f>IF($AB30=1,$AC30*'Verwerking Bouwdelen'!DU14,$AC30*'Verwerking Bouwdelen'!AC14)</f>
        <v>0</v>
      </c>
      <c r="AN30" s="208">
        <f>IF($AB30=1,$AC30*'Verwerking Bouwdelen'!DV14,$AC30*'Verwerking Bouwdelen'!AD14)</f>
        <v>0</v>
      </c>
      <c r="AO30" s="208">
        <f>IF($AB30=1,$AC30*'Verwerking Bouwdelen'!DW14,$AC30*'Verwerking Bouwdelen'!AE14)</f>
        <v>0</v>
      </c>
      <c r="AP30" s="10">
        <f>IF(AD30=B30,0,'Verwerking Bouwdelen'!D14*AB30*AC30)</f>
        <v>0</v>
      </c>
      <c r="AQ30" s="10">
        <f>AB30*AC30*'Verwerking Bouwdelen'!GH14</f>
        <v>0</v>
      </c>
      <c r="AR30" s="10"/>
      <c r="AS30" s="248"/>
      <c r="AT30" s="125">
        <f>IF('Verwerking Bouwdelen'!C14=4,1,0)</f>
        <v>0</v>
      </c>
      <c r="AU30" s="130">
        <f>IF('Verwerking Bouwdelen'!A14=3,1,0)</f>
        <v>0</v>
      </c>
      <c r="AV30" s="208">
        <f>IF($AT30=1,$AU30*'Verwerking Bouwdelen'!DL14,$AU30*'Verwerking Bouwdelen'!T14)</f>
        <v>0</v>
      </c>
      <c r="AW30" s="208">
        <f>IF($AT30=1,$AU30*'Verwerking Bouwdelen'!DM14,$AU30*'Verwerking Bouwdelen'!U14)</f>
        <v>0</v>
      </c>
      <c r="AX30" s="208">
        <f>IF($AT30=1,$AU30*'Verwerking Bouwdelen'!DN14,$AU30*'Verwerking Bouwdelen'!V14)</f>
        <v>0</v>
      </c>
      <c r="AY30" s="208">
        <f>IF($AT30=1,$AU30*'Verwerking Bouwdelen'!DO14,$AU30*'Verwerking Bouwdelen'!W14)</f>
        <v>0</v>
      </c>
      <c r="AZ30" s="208">
        <f>IF($AT30=1,$AU30*'Verwerking Bouwdelen'!DP14,$AU30*'Verwerking Bouwdelen'!X14)</f>
        <v>0</v>
      </c>
      <c r="BA30" s="208">
        <f>IF($AT30=1,$AU30*'Verwerking Bouwdelen'!DQ14,$AU30*'Verwerking Bouwdelen'!Y14)</f>
        <v>0</v>
      </c>
      <c r="BB30" s="208">
        <f>IF($AT30=1,$AU30*'Verwerking Bouwdelen'!DR14,$AU30*'Verwerking Bouwdelen'!Z14)</f>
        <v>0</v>
      </c>
      <c r="BC30" s="208">
        <f>IF($AT30=1,$AU30*'Verwerking Bouwdelen'!DS14,$AU30*'Verwerking Bouwdelen'!AA14)</f>
        <v>0</v>
      </c>
      <c r="BD30" s="208">
        <f>IF($AT30=1,$AU30*'Verwerking Bouwdelen'!DT14,$AU30*'Verwerking Bouwdelen'!AB14)</f>
        <v>0</v>
      </c>
      <c r="BE30" s="208">
        <f>IF($AT30=1,$AU30*'Verwerking Bouwdelen'!DU14,$AU30*'Verwerking Bouwdelen'!AC14)</f>
        <v>0</v>
      </c>
      <c r="BF30" s="208">
        <f>IF($AT30=1,$AU30*'Verwerking Bouwdelen'!DV14,$AU30*'Verwerking Bouwdelen'!AD14)</f>
        <v>0</v>
      </c>
      <c r="BG30" s="208">
        <f>IF($AT30=1,$AU30*'Verwerking Bouwdelen'!DW14,$AU30*'Verwerking Bouwdelen'!AE14)</f>
        <v>0</v>
      </c>
      <c r="BH30" s="10">
        <f>IF(AV30=B30,0,'Verwerking Bouwdelen'!D14*AT30*AU30)</f>
        <v>0</v>
      </c>
      <c r="BI30" s="10">
        <f>AT30*AU30*'Verwerking Bouwdelen'!GH14</f>
        <v>0</v>
      </c>
      <c r="BJ30" s="10"/>
      <c r="BK30" s="10"/>
      <c r="BM30" s="125">
        <f>IF('Verwerking Bouwdelen'!C14=5,1,0)</f>
        <v>0</v>
      </c>
      <c r="BN30" s="130">
        <f>IF('Verwerking Bouwdelen'!A14=3,1,0)</f>
        <v>0</v>
      </c>
      <c r="BO30" s="208">
        <f>IF($BM30=1,$BN30*'Verwerking Bouwdelen'!DL14,$BN30*'Verwerking Bouwdelen'!T14)</f>
        <v>0</v>
      </c>
      <c r="BP30" s="208">
        <f>IF($BM30=1,$BN30*'Verwerking Bouwdelen'!DM14,$BN30*'Verwerking Bouwdelen'!U14)</f>
        <v>0</v>
      </c>
      <c r="BQ30" s="208">
        <f>IF($BM30=1,$BN30*'Verwerking Bouwdelen'!DN14,$BN30*'Verwerking Bouwdelen'!V14)</f>
        <v>0</v>
      </c>
      <c r="BR30" s="208">
        <f>IF($BM30=1,$BN30*'Verwerking Bouwdelen'!DO14,$BN30*'Verwerking Bouwdelen'!W14)</f>
        <v>0</v>
      </c>
      <c r="BS30" s="208">
        <f>IF($BM30=1,$BN30*'Verwerking Bouwdelen'!DP14,$BN30*'Verwerking Bouwdelen'!X14)</f>
        <v>0</v>
      </c>
      <c r="BT30" s="208">
        <f>IF($BM30=1,$BN30*'Verwerking Bouwdelen'!DQ14,$BN30*'Verwerking Bouwdelen'!Y14)</f>
        <v>0</v>
      </c>
      <c r="BU30" s="208">
        <f>IF($BM30=1,$BN30*'Verwerking Bouwdelen'!DR14,$BN30*'Verwerking Bouwdelen'!Z14)</f>
        <v>0</v>
      </c>
      <c r="BV30" s="208">
        <f>IF($BM30=1,$BN30*'Verwerking Bouwdelen'!DS14,$BN30*'Verwerking Bouwdelen'!AA14)</f>
        <v>0</v>
      </c>
      <c r="BW30" s="208">
        <f>IF($BM30=1,$BN30*'Verwerking Bouwdelen'!DT14,$BN30*'Verwerking Bouwdelen'!AB14)</f>
        <v>0</v>
      </c>
      <c r="BX30" s="208">
        <f>IF($BM30=1,$BN30*'Verwerking Bouwdelen'!DU14,$BN30*'Verwerking Bouwdelen'!AC14)</f>
        <v>0</v>
      </c>
      <c r="BY30" s="208">
        <f>IF($BM30=1,$BN30*'Verwerking Bouwdelen'!DV14,$BN30*'Verwerking Bouwdelen'!AD14)</f>
        <v>0</v>
      </c>
      <c r="BZ30" s="208">
        <f>IF($BM30=1,$BN30*'Verwerking Bouwdelen'!DW14,$BN30*'Verwerking Bouwdelen'!AE14)</f>
        <v>0</v>
      </c>
      <c r="CA30" s="10">
        <f>IF(BO30=$B30,0,'Verwerking Bouwdelen'!$D14*BM30*BN30)</f>
        <v>0</v>
      </c>
      <c r="CB30" s="10">
        <f>BM30*BN30*'Verwerking Bouwdelen'!GH14</f>
        <v>0</v>
      </c>
      <c r="CC30" s="10"/>
      <c r="CD30" s="248"/>
      <c r="CE30" s="125">
        <f>IF('Verwerking Bouwdelen'!C14=2,1,0)</f>
        <v>0</v>
      </c>
      <c r="CF30" s="130">
        <f>IF('Verwerking Bouwdelen'!A14=3,1,0)</f>
        <v>0</v>
      </c>
      <c r="CG30" s="208">
        <f>IF($CE30=1,$CF30*'Verwerking Bouwdelen'!DL14,$CF30*'Verwerking Bouwdelen'!T14)</f>
        <v>0</v>
      </c>
      <c r="CH30" s="208">
        <f>IF($CE30=1,$CF30*'Verwerking Bouwdelen'!DM14,$CF30*'Verwerking Bouwdelen'!U14)</f>
        <v>0</v>
      </c>
      <c r="CI30" s="208">
        <f>IF($CE30=1,$CF30*'Verwerking Bouwdelen'!DN14,$CF30*'Verwerking Bouwdelen'!V14)</f>
        <v>0</v>
      </c>
      <c r="CJ30" s="208">
        <f>IF($CE30=1,$CF30*'Verwerking Bouwdelen'!DO14,$CF30*'Verwerking Bouwdelen'!W14)</f>
        <v>0</v>
      </c>
      <c r="CK30" s="208">
        <f>IF($CE30=1,$CF30*'Verwerking Bouwdelen'!DP14,$CF30*'Verwerking Bouwdelen'!X14)</f>
        <v>0</v>
      </c>
      <c r="CL30" s="208">
        <f>IF($CE30=1,$CF30*'Verwerking Bouwdelen'!DQ14,$CF30*'Verwerking Bouwdelen'!Y14)</f>
        <v>0</v>
      </c>
      <c r="CM30" s="208">
        <f>IF($CE30=1,$CF30*'Verwerking Bouwdelen'!DR14,$CF30*'Verwerking Bouwdelen'!Z14)</f>
        <v>0</v>
      </c>
      <c r="CN30" s="208">
        <f>IF($CE30=1,$CF30*'Verwerking Bouwdelen'!DS14,$CF30*'Verwerking Bouwdelen'!AA14)</f>
        <v>0</v>
      </c>
      <c r="CO30" s="208">
        <f>IF($CE30=1,$CF30*'Verwerking Bouwdelen'!DT14,$CF30*'Verwerking Bouwdelen'!AB14)</f>
        <v>0</v>
      </c>
      <c r="CP30" s="208">
        <f>IF($CE30=1,$CF30*'Verwerking Bouwdelen'!DU14,$CF30*'Verwerking Bouwdelen'!AC14)</f>
        <v>0</v>
      </c>
      <c r="CQ30" s="208">
        <f>IF($CE30=1,$CF30*'Verwerking Bouwdelen'!DV14,$CF30*'Verwerking Bouwdelen'!AD14)</f>
        <v>0</v>
      </c>
      <c r="CR30" s="208">
        <f>IF($CE30=1,$CF30*'Verwerking Bouwdelen'!DW14,$CF30*'Verwerking Bouwdelen'!AE14)</f>
        <v>0</v>
      </c>
      <c r="CS30" s="10">
        <f>IF(CG30=$B30,0,('Verwerking Bouwdelen'!$D14-'Verwerking Bouwdelen'!G14)*CE30*CF30)</f>
        <v>0</v>
      </c>
      <c r="CT30" s="260">
        <f>CE30*CF30*'Verwerking Bouwdelen'!GH14</f>
        <v>0</v>
      </c>
      <c r="CU30" s="261">
        <f>CE30*CF30*'Verwerking Bouwdelen'!GI14</f>
        <v>0</v>
      </c>
      <c r="CW30" s="209">
        <f>$AC30*'Verwerking Bouwdelen'!EE14</f>
        <v>0</v>
      </c>
      <c r="CX30" s="209">
        <f>$AC30*'Verwerking Bouwdelen'!EF14</f>
        <v>0</v>
      </c>
      <c r="CY30" s="209">
        <f>$AC30*'Verwerking Bouwdelen'!EG14</f>
        <v>0</v>
      </c>
      <c r="CZ30" s="209">
        <f>$AC30*'Verwerking Bouwdelen'!EH14</f>
        <v>0</v>
      </c>
      <c r="DA30" s="209">
        <f>$AC30*'Verwerking Bouwdelen'!EI14</f>
        <v>0</v>
      </c>
      <c r="DB30" s="209">
        <f>$AC30*'Verwerking Bouwdelen'!EJ14</f>
        <v>0</v>
      </c>
      <c r="DC30" s="209">
        <f>$AC30*'Verwerking Bouwdelen'!EK14</f>
        <v>0</v>
      </c>
      <c r="DD30" s="209">
        <f>$AC30*'Verwerking Bouwdelen'!EL14</f>
        <v>0</v>
      </c>
      <c r="DE30" s="209">
        <f>$AC30*'Verwerking Bouwdelen'!EM14</f>
        <v>0</v>
      </c>
      <c r="DF30" s="209">
        <f>$AC30*'Verwerking Bouwdelen'!EN14</f>
        <v>0</v>
      </c>
      <c r="DG30" s="209">
        <f>$AC30*'Verwerking Bouwdelen'!EO14</f>
        <v>0</v>
      </c>
      <c r="DH30" s="209">
        <f>$AC30*'Verwerking Bouwdelen'!EP14</f>
        <v>0</v>
      </c>
      <c r="DI30" s="10">
        <f>IF(CW30=$O30,0,'Verwerking Bouwdelen'!G14)</f>
        <v>0</v>
      </c>
      <c r="DJ30" s="259">
        <f>'Verwerking Bouwdelen'!GK14*CF30</f>
        <v>0</v>
      </c>
      <c r="DK30" s="259">
        <f>'Verwerking Bouwdelen'!GL14*CF30</f>
        <v>0</v>
      </c>
      <c r="DL30" s="125"/>
      <c r="FZ30" s="89">
        <f>IF('Verwerken verlichting'!B26=3,1,0)</f>
        <v>0</v>
      </c>
      <c r="GA30" s="89">
        <f>$FZ30*'Verwerken verlichting'!BX26</f>
        <v>0</v>
      </c>
      <c r="GB30" s="89">
        <f>$FZ30*'Verwerken verlichting'!BY26</f>
        <v>0</v>
      </c>
      <c r="GC30" s="89">
        <f>$FZ30*'Verwerken verlichting'!BZ26</f>
        <v>0</v>
      </c>
      <c r="GD30" s="89">
        <f>$FZ30*'Verwerken verlichting'!CA26</f>
        <v>0</v>
      </c>
      <c r="GE30" s="89">
        <f>$FZ30*'Verwerken verlichting'!CB26</f>
        <v>0</v>
      </c>
      <c r="GF30" s="89">
        <f>$FZ30*'Verwerken verlichting'!CC26</f>
        <v>0</v>
      </c>
      <c r="GG30" s="89">
        <f>FZ30*'Invoer verlichting'!N25</f>
        <v>0</v>
      </c>
      <c r="GH30" s="89">
        <f>FZ30*'Verwerken verlichting'!AH26</f>
        <v>0</v>
      </c>
      <c r="GI30" s="89">
        <f>FZ30*'Verwerken verlichting'!AG26</f>
        <v>0</v>
      </c>
      <c r="GJ30" s="89">
        <f>FZ30*'Verwerken verlichting'!CE26</f>
        <v>0</v>
      </c>
      <c r="GM30" s="89">
        <f t="shared" si="13"/>
        <v>0</v>
      </c>
      <c r="GN30" s="89">
        <f t="shared" si="14"/>
        <v>0</v>
      </c>
      <c r="GO30" s="208">
        <f>IF($GN30=1,$GN30*$GM30*'Verwerking Bouwdelen'!DL14,$GN30*$GM30*'Verwerking Bouwdelen'!T14)</f>
        <v>0</v>
      </c>
      <c r="GP30" s="208">
        <f>IF($GN30=1,$GN30*$GM30*'Verwerking Bouwdelen'!DM14,$GN30*$GM30*'Verwerking Bouwdelen'!U14)</f>
        <v>0</v>
      </c>
      <c r="GQ30" s="208">
        <f>IF($GN30=1,$GN30*$GM30*'Verwerking Bouwdelen'!DN14,$GN30*$GM30*'Verwerking Bouwdelen'!V14)</f>
        <v>0</v>
      </c>
      <c r="GR30" s="208">
        <f>IF($GN30=1,$GN30*$GM30*'Verwerking Bouwdelen'!DO14,$GN30*$GM30*'Verwerking Bouwdelen'!W14)</f>
        <v>0</v>
      </c>
      <c r="GS30" s="208">
        <f>IF($GN30=1,$GN30*$GM30*'Verwerking Bouwdelen'!DP14,$GN30*$GM30*'Verwerking Bouwdelen'!X14)</f>
        <v>0</v>
      </c>
      <c r="GT30" s="208">
        <f>IF($GN30=1,$GN30*$GM30*'Verwerking Bouwdelen'!DQ14,$GN30*$GM30*'Verwerking Bouwdelen'!Y14)</f>
        <v>0</v>
      </c>
      <c r="GU30" s="208">
        <f>IF($GN30=1,$GN30*$GM30*'Verwerking Bouwdelen'!DR14,$GN30*$GM30*'Verwerking Bouwdelen'!Z14)</f>
        <v>0</v>
      </c>
      <c r="GV30" s="208">
        <f>IF($GN30=1,$GN30*$GM30*'Verwerking Bouwdelen'!DS14,$GN30*$GM30*'Verwerking Bouwdelen'!AA14)</f>
        <v>0</v>
      </c>
      <c r="GW30" s="208">
        <f>IF($GN30=1,$GN30*$GM30*'Verwerking Bouwdelen'!DT14,$GN30*$GM30*'Verwerking Bouwdelen'!AB14)</f>
        <v>0</v>
      </c>
      <c r="GX30" s="208">
        <f>IF($GN30=1,$GN30*$GM30*'Verwerking Bouwdelen'!DU14,$GN30*$GM30*'Verwerking Bouwdelen'!AC14)</f>
        <v>0</v>
      </c>
      <c r="GY30" s="208">
        <f>IF($GN30=1,$GN30*$GM30*'Verwerking Bouwdelen'!DV14,$GN30*$GM30*'Verwerking Bouwdelen'!AD14)</f>
        <v>0</v>
      </c>
      <c r="GZ30" s="208">
        <f>IF($GN30=1,$GN30*$GM30*'Verwerking Bouwdelen'!DW14,$GN30*$GM30*'Verwerking Bouwdelen'!AE14)</f>
        <v>0</v>
      </c>
      <c r="HB30" s="89">
        <f t="shared" si="1"/>
        <v>0</v>
      </c>
      <c r="HC30" s="89">
        <f t="shared" si="2"/>
        <v>0</v>
      </c>
      <c r="HD30" s="89">
        <f t="shared" si="3"/>
        <v>0</v>
      </c>
      <c r="HE30" s="89">
        <f t="shared" si="4"/>
        <v>0</v>
      </c>
      <c r="HF30" s="89">
        <f t="shared" si="5"/>
        <v>0</v>
      </c>
      <c r="HG30" s="89">
        <f t="shared" si="6"/>
        <v>0</v>
      </c>
      <c r="HH30" s="89">
        <f t="shared" si="7"/>
        <v>0</v>
      </c>
      <c r="HI30" s="89">
        <f t="shared" si="8"/>
        <v>0</v>
      </c>
      <c r="HJ30" s="89">
        <f t="shared" si="9"/>
        <v>0</v>
      </c>
      <c r="HK30" s="89">
        <f t="shared" si="10"/>
        <v>0</v>
      </c>
      <c r="HL30" s="89">
        <f t="shared" si="11"/>
        <v>0</v>
      </c>
      <c r="HM30" s="89">
        <f t="shared" si="12"/>
        <v>0</v>
      </c>
    </row>
    <row r="31" spans="1:221" x14ac:dyDescent="0.2">
      <c r="A31" s="130">
        <f>IF('Verwerking Bouwdelen'!A15=3,1,0)</f>
        <v>0</v>
      </c>
      <c r="B31" s="208">
        <f>$A31*'Verwerking Bouwdelen'!T15</f>
        <v>0</v>
      </c>
      <c r="C31" s="208">
        <f>$A31*'Verwerking Bouwdelen'!U15</f>
        <v>0</v>
      </c>
      <c r="D31" s="208">
        <f>$A31*'Verwerking Bouwdelen'!V15</f>
        <v>0</v>
      </c>
      <c r="E31" s="208">
        <f>$A31*'Verwerking Bouwdelen'!W15</f>
        <v>0</v>
      </c>
      <c r="F31" s="208">
        <f>$A31*'Verwerking Bouwdelen'!X15</f>
        <v>0</v>
      </c>
      <c r="G31" s="208">
        <f>$A31*'Verwerking Bouwdelen'!Y15</f>
        <v>0</v>
      </c>
      <c r="H31" s="208">
        <f>$A31*'Verwerking Bouwdelen'!Z15</f>
        <v>0</v>
      </c>
      <c r="I31" s="208">
        <f>$A31*'Verwerking Bouwdelen'!AA15</f>
        <v>0</v>
      </c>
      <c r="J31" s="208">
        <f>$A31*'Verwerking Bouwdelen'!AB15</f>
        <v>0</v>
      </c>
      <c r="K31" s="208">
        <f>$A31*'Verwerking Bouwdelen'!AC15</f>
        <v>0</v>
      </c>
      <c r="L31" s="208">
        <f>$A31*'Verwerking Bouwdelen'!AD15</f>
        <v>0</v>
      </c>
      <c r="M31" s="208">
        <f>$A31*'Verwerking Bouwdelen'!AE15</f>
        <v>0</v>
      </c>
      <c r="O31" s="114">
        <f>$A31*'Verwerking Bouwdelen'!AU15</f>
        <v>0</v>
      </c>
      <c r="P31" s="125">
        <f>$A31*'Verwerking Bouwdelen'!AV15</f>
        <v>0</v>
      </c>
      <c r="Q31" s="125">
        <f>$A31*'Verwerking Bouwdelen'!AW15</f>
        <v>0</v>
      </c>
      <c r="R31" s="125">
        <f>$A31*'Verwerking Bouwdelen'!AX15</f>
        <v>0</v>
      </c>
      <c r="S31" s="125">
        <f>$A31*'Verwerking Bouwdelen'!AY15</f>
        <v>0</v>
      </c>
      <c r="T31" s="125">
        <f>$A31*'Verwerking Bouwdelen'!AZ15</f>
        <v>0</v>
      </c>
      <c r="U31" s="125">
        <f>$A31*'Verwerking Bouwdelen'!BA15</f>
        <v>0</v>
      </c>
      <c r="V31" s="125">
        <f>$A31*'Verwerking Bouwdelen'!BB15</f>
        <v>0</v>
      </c>
      <c r="W31" s="125">
        <f>$A31*'Verwerking Bouwdelen'!BC15</f>
        <v>0</v>
      </c>
      <c r="X31" s="125">
        <f>$A31*'Verwerking Bouwdelen'!BD15</f>
        <v>0</v>
      </c>
      <c r="Y31" s="125">
        <f>$A31*'Verwerking Bouwdelen'!BE15</f>
        <v>0</v>
      </c>
      <c r="Z31" s="195">
        <f>$A31*'Verwerking Bouwdelen'!BF15</f>
        <v>0</v>
      </c>
      <c r="AB31" s="125">
        <f>IF(OR('Verwerking Bouwdelen'!C15=3,'Verwerking Bouwdelen'!C15=6),1,0)</f>
        <v>0</v>
      </c>
      <c r="AC31" s="130">
        <f>IF('Verwerking Bouwdelen'!A15=3,1,0)</f>
        <v>0</v>
      </c>
      <c r="AD31" s="208">
        <f>IF($AB31=1,$AC31*'Verwerking Bouwdelen'!DL15,$AC31*'Verwerking Bouwdelen'!T15)</f>
        <v>0</v>
      </c>
      <c r="AE31" s="208">
        <f>IF($AB31=1,$AC31*'Verwerking Bouwdelen'!DM15,$AC31*'Verwerking Bouwdelen'!U15)</f>
        <v>0</v>
      </c>
      <c r="AF31" s="208">
        <f>IF($AB31=1,$AC31*'Verwerking Bouwdelen'!DN15,$AC31*'Verwerking Bouwdelen'!V15)</f>
        <v>0</v>
      </c>
      <c r="AG31" s="208">
        <f>IF($AB31=1,$AC31*'Verwerking Bouwdelen'!DO15,$AC31*'Verwerking Bouwdelen'!W15)</f>
        <v>0</v>
      </c>
      <c r="AH31" s="208">
        <f>IF($AB31=1,$AC31*'Verwerking Bouwdelen'!DP15,$AC31*'Verwerking Bouwdelen'!X15)</f>
        <v>0</v>
      </c>
      <c r="AI31" s="208">
        <f>IF($AB31=1,$AC31*'Verwerking Bouwdelen'!DQ15,$AC31*'Verwerking Bouwdelen'!Y15)</f>
        <v>0</v>
      </c>
      <c r="AJ31" s="208">
        <f>IF($AB31=1,$AC31*'Verwerking Bouwdelen'!DR15,$AC31*'Verwerking Bouwdelen'!Z15)</f>
        <v>0</v>
      </c>
      <c r="AK31" s="208">
        <f>IF($AB31=1,$AC31*'Verwerking Bouwdelen'!DS15,$AC31*'Verwerking Bouwdelen'!AA15)</f>
        <v>0</v>
      </c>
      <c r="AL31" s="208">
        <f>IF($AB31=1,$AC31*'Verwerking Bouwdelen'!DT15,$AC31*'Verwerking Bouwdelen'!AB15)</f>
        <v>0</v>
      </c>
      <c r="AM31" s="208">
        <f>IF($AB31=1,$AC31*'Verwerking Bouwdelen'!DU15,$AC31*'Verwerking Bouwdelen'!AC15)</f>
        <v>0</v>
      </c>
      <c r="AN31" s="208">
        <f>IF($AB31=1,$AC31*'Verwerking Bouwdelen'!DV15,$AC31*'Verwerking Bouwdelen'!AD15)</f>
        <v>0</v>
      </c>
      <c r="AO31" s="208">
        <f>IF($AB31=1,$AC31*'Verwerking Bouwdelen'!DW15,$AC31*'Verwerking Bouwdelen'!AE15)</f>
        <v>0</v>
      </c>
      <c r="AP31" s="10">
        <f>IF(AD31=B31,0,'Verwerking Bouwdelen'!D15*AB31*AC31)</f>
        <v>0</v>
      </c>
      <c r="AQ31" s="10">
        <f>AB31*AC31*'Verwerking Bouwdelen'!GH15</f>
        <v>0</v>
      </c>
      <c r="AR31" s="10"/>
      <c r="AS31" s="248"/>
      <c r="AT31" s="125">
        <f>IF('Verwerking Bouwdelen'!C15=4,1,0)</f>
        <v>0</v>
      </c>
      <c r="AU31" s="130">
        <f>IF('Verwerking Bouwdelen'!A15=3,1,0)</f>
        <v>0</v>
      </c>
      <c r="AV31" s="208">
        <f>IF($AT31=1,$AU31*'Verwerking Bouwdelen'!DL15,$AU31*'Verwerking Bouwdelen'!T15)</f>
        <v>0</v>
      </c>
      <c r="AW31" s="208">
        <f>IF($AT31=1,$AU31*'Verwerking Bouwdelen'!DM15,$AU31*'Verwerking Bouwdelen'!U15)</f>
        <v>0</v>
      </c>
      <c r="AX31" s="208">
        <f>IF($AT31=1,$AU31*'Verwerking Bouwdelen'!DN15,$AU31*'Verwerking Bouwdelen'!V15)</f>
        <v>0</v>
      </c>
      <c r="AY31" s="208">
        <f>IF($AT31=1,$AU31*'Verwerking Bouwdelen'!DO15,$AU31*'Verwerking Bouwdelen'!W15)</f>
        <v>0</v>
      </c>
      <c r="AZ31" s="208">
        <f>IF($AT31=1,$AU31*'Verwerking Bouwdelen'!DP15,$AU31*'Verwerking Bouwdelen'!X15)</f>
        <v>0</v>
      </c>
      <c r="BA31" s="208">
        <f>IF($AT31=1,$AU31*'Verwerking Bouwdelen'!DQ15,$AU31*'Verwerking Bouwdelen'!Y15)</f>
        <v>0</v>
      </c>
      <c r="BB31" s="208">
        <f>IF($AT31=1,$AU31*'Verwerking Bouwdelen'!DR15,$AU31*'Verwerking Bouwdelen'!Z15)</f>
        <v>0</v>
      </c>
      <c r="BC31" s="208">
        <f>IF($AT31=1,$AU31*'Verwerking Bouwdelen'!DS15,$AU31*'Verwerking Bouwdelen'!AA15)</f>
        <v>0</v>
      </c>
      <c r="BD31" s="208">
        <f>IF($AT31=1,$AU31*'Verwerking Bouwdelen'!DT15,$AU31*'Verwerking Bouwdelen'!AB15)</f>
        <v>0</v>
      </c>
      <c r="BE31" s="208">
        <f>IF($AT31=1,$AU31*'Verwerking Bouwdelen'!DU15,$AU31*'Verwerking Bouwdelen'!AC15)</f>
        <v>0</v>
      </c>
      <c r="BF31" s="208">
        <f>IF($AT31=1,$AU31*'Verwerking Bouwdelen'!DV15,$AU31*'Verwerking Bouwdelen'!AD15)</f>
        <v>0</v>
      </c>
      <c r="BG31" s="208">
        <f>IF($AT31=1,$AU31*'Verwerking Bouwdelen'!DW15,$AU31*'Verwerking Bouwdelen'!AE15)</f>
        <v>0</v>
      </c>
      <c r="BH31" s="10">
        <f>IF(AV31=B31,0,'Verwerking Bouwdelen'!D15*AT31*AU31)</f>
        <v>0</v>
      </c>
      <c r="BI31" s="10">
        <f>AT31*AU31*'Verwerking Bouwdelen'!GH15</f>
        <v>0</v>
      </c>
      <c r="BJ31" s="10"/>
      <c r="BK31" s="10"/>
      <c r="BM31" s="125">
        <f>IF('Verwerking Bouwdelen'!C15=5,1,0)</f>
        <v>0</v>
      </c>
      <c r="BN31" s="130">
        <f>IF('Verwerking Bouwdelen'!A15=3,1,0)</f>
        <v>0</v>
      </c>
      <c r="BO31" s="208">
        <f>IF($BM31=1,$BN31*'Verwerking Bouwdelen'!DL15,$BN31*'Verwerking Bouwdelen'!T15)</f>
        <v>0</v>
      </c>
      <c r="BP31" s="208">
        <f>IF($BM31=1,$BN31*'Verwerking Bouwdelen'!DM15,$BN31*'Verwerking Bouwdelen'!U15)</f>
        <v>0</v>
      </c>
      <c r="BQ31" s="208">
        <f>IF($BM31=1,$BN31*'Verwerking Bouwdelen'!DN15,$BN31*'Verwerking Bouwdelen'!V15)</f>
        <v>0</v>
      </c>
      <c r="BR31" s="208">
        <f>IF($BM31=1,$BN31*'Verwerking Bouwdelen'!DO15,$BN31*'Verwerking Bouwdelen'!W15)</f>
        <v>0</v>
      </c>
      <c r="BS31" s="208">
        <f>IF($BM31=1,$BN31*'Verwerking Bouwdelen'!DP15,$BN31*'Verwerking Bouwdelen'!X15)</f>
        <v>0</v>
      </c>
      <c r="BT31" s="208">
        <f>IF($BM31=1,$BN31*'Verwerking Bouwdelen'!DQ15,$BN31*'Verwerking Bouwdelen'!Y15)</f>
        <v>0</v>
      </c>
      <c r="BU31" s="208">
        <f>IF($BM31=1,$BN31*'Verwerking Bouwdelen'!DR15,$BN31*'Verwerking Bouwdelen'!Z15)</f>
        <v>0</v>
      </c>
      <c r="BV31" s="208">
        <f>IF($BM31=1,$BN31*'Verwerking Bouwdelen'!DS15,$BN31*'Verwerking Bouwdelen'!AA15)</f>
        <v>0</v>
      </c>
      <c r="BW31" s="208">
        <f>IF($BM31=1,$BN31*'Verwerking Bouwdelen'!DT15,$BN31*'Verwerking Bouwdelen'!AB15)</f>
        <v>0</v>
      </c>
      <c r="BX31" s="208">
        <f>IF($BM31=1,$BN31*'Verwerking Bouwdelen'!DU15,$BN31*'Verwerking Bouwdelen'!AC15)</f>
        <v>0</v>
      </c>
      <c r="BY31" s="208">
        <f>IF($BM31=1,$BN31*'Verwerking Bouwdelen'!DV15,$BN31*'Verwerking Bouwdelen'!AD15)</f>
        <v>0</v>
      </c>
      <c r="BZ31" s="208">
        <f>IF($BM31=1,$BN31*'Verwerking Bouwdelen'!DW15,$BN31*'Verwerking Bouwdelen'!AE15)</f>
        <v>0</v>
      </c>
      <c r="CA31" s="10">
        <f>IF(BO31=$B31,0,'Verwerking Bouwdelen'!$D15*BM31*BN31)</f>
        <v>0</v>
      </c>
      <c r="CB31" s="10">
        <f>BM31*BN31*'Verwerking Bouwdelen'!GH15</f>
        <v>0</v>
      </c>
      <c r="CC31" s="10"/>
      <c r="CD31" s="248"/>
      <c r="CE31" s="125">
        <f>IF('Verwerking Bouwdelen'!C15=2,1,0)</f>
        <v>0</v>
      </c>
      <c r="CF31" s="130">
        <f>IF('Verwerking Bouwdelen'!A15=3,1,0)</f>
        <v>0</v>
      </c>
      <c r="CG31" s="208">
        <f>IF($CE31=1,$CF31*'Verwerking Bouwdelen'!DL15,$CF31*'Verwerking Bouwdelen'!T15)</f>
        <v>0</v>
      </c>
      <c r="CH31" s="208">
        <f>IF($CE31=1,$CF31*'Verwerking Bouwdelen'!DM15,$CF31*'Verwerking Bouwdelen'!U15)</f>
        <v>0</v>
      </c>
      <c r="CI31" s="208">
        <f>IF($CE31=1,$CF31*'Verwerking Bouwdelen'!DN15,$CF31*'Verwerking Bouwdelen'!V15)</f>
        <v>0</v>
      </c>
      <c r="CJ31" s="208">
        <f>IF($CE31=1,$CF31*'Verwerking Bouwdelen'!DO15,$CF31*'Verwerking Bouwdelen'!W15)</f>
        <v>0</v>
      </c>
      <c r="CK31" s="208">
        <f>IF($CE31=1,$CF31*'Verwerking Bouwdelen'!DP15,$CF31*'Verwerking Bouwdelen'!X15)</f>
        <v>0</v>
      </c>
      <c r="CL31" s="208">
        <f>IF($CE31=1,$CF31*'Verwerking Bouwdelen'!DQ15,$CF31*'Verwerking Bouwdelen'!Y15)</f>
        <v>0</v>
      </c>
      <c r="CM31" s="208">
        <f>IF($CE31=1,$CF31*'Verwerking Bouwdelen'!DR15,$CF31*'Verwerking Bouwdelen'!Z15)</f>
        <v>0</v>
      </c>
      <c r="CN31" s="208">
        <f>IF($CE31=1,$CF31*'Verwerking Bouwdelen'!DS15,$CF31*'Verwerking Bouwdelen'!AA15)</f>
        <v>0</v>
      </c>
      <c r="CO31" s="208">
        <f>IF($CE31=1,$CF31*'Verwerking Bouwdelen'!DT15,$CF31*'Verwerking Bouwdelen'!AB15)</f>
        <v>0</v>
      </c>
      <c r="CP31" s="208">
        <f>IF($CE31=1,$CF31*'Verwerking Bouwdelen'!DU15,$CF31*'Verwerking Bouwdelen'!AC15)</f>
        <v>0</v>
      </c>
      <c r="CQ31" s="208">
        <f>IF($CE31=1,$CF31*'Verwerking Bouwdelen'!DV15,$CF31*'Verwerking Bouwdelen'!AD15)</f>
        <v>0</v>
      </c>
      <c r="CR31" s="208">
        <f>IF($CE31=1,$CF31*'Verwerking Bouwdelen'!DW15,$CF31*'Verwerking Bouwdelen'!AE15)</f>
        <v>0</v>
      </c>
      <c r="CS31" s="10">
        <f>IF(CG31=$B31,0,('Verwerking Bouwdelen'!$D15-'Verwerking Bouwdelen'!G15)*CE31*CF31)</f>
        <v>0</v>
      </c>
      <c r="CT31" s="260">
        <f>CE31*CF31*'Verwerking Bouwdelen'!GH15</f>
        <v>0</v>
      </c>
      <c r="CU31" s="261">
        <f>CE31*CF31*'Verwerking Bouwdelen'!GI15</f>
        <v>0</v>
      </c>
      <c r="CW31" s="209">
        <f>$AC31*'Verwerking Bouwdelen'!EE15</f>
        <v>0</v>
      </c>
      <c r="CX31" s="209">
        <f>$AC31*'Verwerking Bouwdelen'!EF15</f>
        <v>0</v>
      </c>
      <c r="CY31" s="209">
        <f>$AC31*'Verwerking Bouwdelen'!EG15</f>
        <v>0</v>
      </c>
      <c r="CZ31" s="209">
        <f>$AC31*'Verwerking Bouwdelen'!EH15</f>
        <v>0</v>
      </c>
      <c r="DA31" s="209">
        <f>$AC31*'Verwerking Bouwdelen'!EI15</f>
        <v>0</v>
      </c>
      <c r="DB31" s="209">
        <f>$AC31*'Verwerking Bouwdelen'!EJ15</f>
        <v>0</v>
      </c>
      <c r="DC31" s="209">
        <f>$AC31*'Verwerking Bouwdelen'!EK15</f>
        <v>0</v>
      </c>
      <c r="DD31" s="209">
        <f>$AC31*'Verwerking Bouwdelen'!EL15</f>
        <v>0</v>
      </c>
      <c r="DE31" s="209">
        <f>$AC31*'Verwerking Bouwdelen'!EM15</f>
        <v>0</v>
      </c>
      <c r="DF31" s="209">
        <f>$AC31*'Verwerking Bouwdelen'!EN15</f>
        <v>0</v>
      </c>
      <c r="DG31" s="209">
        <f>$AC31*'Verwerking Bouwdelen'!EO15</f>
        <v>0</v>
      </c>
      <c r="DH31" s="209">
        <f>$AC31*'Verwerking Bouwdelen'!EP15</f>
        <v>0</v>
      </c>
      <c r="DI31" s="10">
        <f>IF(CW31=$O31,0,'Verwerking Bouwdelen'!G15)</f>
        <v>0</v>
      </c>
      <c r="DJ31" s="259">
        <f>'Verwerking Bouwdelen'!GK15*CF31</f>
        <v>0</v>
      </c>
      <c r="DK31" s="259">
        <f>'Verwerking Bouwdelen'!GL15*CF31</f>
        <v>0</v>
      </c>
      <c r="DL31" s="125"/>
      <c r="FZ31" s="89">
        <f>IF('Verwerken verlichting'!B27=3,1,0)</f>
        <v>0</v>
      </c>
      <c r="GA31" s="89">
        <f>$FZ31*'Verwerken verlichting'!BX27</f>
        <v>0</v>
      </c>
      <c r="GB31" s="89">
        <f>$FZ31*'Verwerken verlichting'!BY27</f>
        <v>0</v>
      </c>
      <c r="GC31" s="89">
        <f>$FZ31*'Verwerken verlichting'!BZ27</f>
        <v>0</v>
      </c>
      <c r="GD31" s="89">
        <f>$FZ31*'Verwerken verlichting'!CA27</f>
        <v>0</v>
      </c>
      <c r="GE31" s="89">
        <f>$FZ31*'Verwerken verlichting'!CB27</f>
        <v>0</v>
      </c>
      <c r="GF31" s="89">
        <f>$FZ31*'Verwerken verlichting'!CC27</f>
        <v>0</v>
      </c>
      <c r="GG31" s="89">
        <f>FZ31*'Invoer verlichting'!N26</f>
        <v>0</v>
      </c>
      <c r="GH31" s="89">
        <f>FZ31*'Verwerken verlichting'!AH27</f>
        <v>0</v>
      </c>
      <c r="GI31" s="89">
        <f>FZ31*'Verwerken verlichting'!AG27</f>
        <v>0</v>
      </c>
      <c r="GJ31" s="89">
        <f>FZ31*'Verwerken verlichting'!CE27</f>
        <v>0</v>
      </c>
      <c r="GM31" s="89">
        <f t="shared" si="13"/>
        <v>0</v>
      </c>
      <c r="GN31" s="89">
        <f t="shared" si="14"/>
        <v>0</v>
      </c>
      <c r="GO31" s="208">
        <f>IF($GN31=1,$GN31*$GM31*'Verwerking Bouwdelen'!DL15,$GN31*$GM31*'Verwerking Bouwdelen'!T15)</f>
        <v>0</v>
      </c>
      <c r="GP31" s="208">
        <f>IF($GN31=1,$GN31*$GM31*'Verwerking Bouwdelen'!DM15,$GN31*$GM31*'Verwerking Bouwdelen'!U15)</f>
        <v>0</v>
      </c>
      <c r="GQ31" s="208">
        <f>IF($GN31=1,$GN31*$GM31*'Verwerking Bouwdelen'!DN15,$GN31*$GM31*'Verwerking Bouwdelen'!V15)</f>
        <v>0</v>
      </c>
      <c r="GR31" s="208">
        <f>IF($GN31=1,$GN31*$GM31*'Verwerking Bouwdelen'!DO15,$GN31*$GM31*'Verwerking Bouwdelen'!W15)</f>
        <v>0</v>
      </c>
      <c r="GS31" s="208">
        <f>IF($GN31=1,$GN31*$GM31*'Verwerking Bouwdelen'!DP15,$GN31*$GM31*'Verwerking Bouwdelen'!X15)</f>
        <v>0</v>
      </c>
      <c r="GT31" s="208">
        <f>IF($GN31=1,$GN31*$GM31*'Verwerking Bouwdelen'!DQ15,$GN31*$GM31*'Verwerking Bouwdelen'!Y15)</f>
        <v>0</v>
      </c>
      <c r="GU31" s="208">
        <f>IF($GN31=1,$GN31*$GM31*'Verwerking Bouwdelen'!DR15,$GN31*$GM31*'Verwerking Bouwdelen'!Z15)</f>
        <v>0</v>
      </c>
      <c r="GV31" s="208">
        <f>IF($GN31=1,$GN31*$GM31*'Verwerking Bouwdelen'!DS15,$GN31*$GM31*'Verwerking Bouwdelen'!AA15)</f>
        <v>0</v>
      </c>
      <c r="GW31" s="208">
        <f>IF($GN31=1,$GN31*$GM31*'Verwerking Bouwdelen'!DT15,$GN31*$GM31*'Verwerking Bouwdelen'!AB15)</f>
        <v>0</v>
      </c>
      <c r="GX31" s="208">
        <f>IF($GN31=1,$GN31*$GM31*'Verwerking Bouwdelen'!DU15,$GN31*$GM31*'Verwerking Bouwdelen'!AC15)</f>
        <v>0</v>
      </c>
      <c r="GY31" s="208">
        <f>IF($GN31=1,$GN31*$GM31*'Verwerking Bouwdelen'!DV15,$GN31*$GM31*'Verwerking Bouwdelen'!AD15)</f>
        <v>0</v>
      </c>
      <c r="GZ31" s="208">
        <f>IF($GN31=1,$GN31*$GM31*'Verwerking Bouwdelen'!DW15,$GN31*$GM31*'Verwerking Bouwdelen'!AE15)</f>
        <v>0</v>
      </c>
      <c r="HB31" s="89">
        <f t="shared" si="1"/>
        <v>0</v>
      </c>
      <c r="HC31" s="89">
        <f t="shared" si="2"/>
        <v>0</v>
      </c>
      <c r="HD31" s="89">
        <f t="shared" si="3"/>
        <v>0</v>
      </c>
      <c r="HE31" s="89">
        <f t="shared" si="4"/>
        <v>0</v>
      </c>
      <c r="HF31" s="89">
        <f t="shared" si="5"/>
        <v>0</v>
      </c>
      <c r="HG31" s="89">
        <f t="shared" si="6"/>
        <v>0</v>
      </c>
      <c r="HH31" s="89">
        <f t="shared" si="7"/>
        <v>0</v>
      </c>
      <c r="HI31" s="89">
        <f t="shared" si="8"/>
        <v>0</v>
      </c>
      <c r="HJ31" s="89">
        <f t="shared" si="9"/>
        <v>0</v>
      </c>
      <c r="HK31" s="89">
        <f t="shared" si="10"/>
        <v>0</v>
      </c>
      <c r="HL31" s="89">
        <f t="shared" si="11"/>
        <v>0</v>
      </c>
      <c r="HM31" s="89">
        <f t="shared" si="12"/>
        <v>0</v>
      </c>
    </row>
    <row r="32" spans="1:221" x14ac:dyDescent="0.2">
      <c r="A32" s="130">
        <f>IF('Verwerking Bouwdelen'!A16=3,1,0)</f>
        <v>0</v>
      </c>
      <c r="B32" s="208">
        <f>$A32*'Verwerking Bouwdelen'!T16</f>
        <v>0</v>
      </c>
      <c r="C32" s="208">
        <f>$A32*'Verwerking Bouwdelen'!U16</f>
        <v>0</v>
      </c>
      <c r="D32" s="208">
        <f>$A32*'Verwerking Bouwdelen'!V16</f>
        <v>0</v>
      </c>
      <c r="E32" s="208">
        <f>$A32*'Verwerking Bouwdelen'!W16</f>
        <v>0</v>
      </c>
      <c r="F32" s="208">
        <f>$A32*'Verwerking Bouwdelen'!X16</f>
        <v>0</v>
      </c>
      <c r="G32" s="208">
        <f>$A32*'Verwerking Bouwdelen'!Y16</f>
        <v>0</v>
      </c>
      <c r="H32" s="208">
        <f>$A32*'Verwerking Bouwdelen'!Z16</f>
        <v>0</v>
      </c>
      <c r="I32" s="208">
        <f>$A32*'Verwerking Bouwdelen'!AA16</f>
        <v>0</v>
      </c>
      <c r="J32" s="208">
        <f>$A32*'Verwerking Bouwdelen'!AB16</f>
        <v>0</v>
      </c>
      <c r="K32" s="208">
        <f>$A32*'Verwerking Bouwdelen'!AC16</f>
        <v>0</v>
      </c>
      <c r="L32" s="208">
        <f>$A32*'Verwerking Bouwdelen'!AD16</f>
        <v>0</v>
      </c>
      <c r="M32" s="208">
        <f>$A32*'Verwerking Bouwdelen'!AE16</f>
        <v>0</v>
      </c>
      <c r="O32" s="114">
        <f>$A32*'Verwerking Bouwdelen'!AU16</f>
        <v>0</v>
      </c>
      <c r="P32" s="125">
        <f>$A32*'Verwerking Bouwdelen'!AV16</f>
        <v>0</v>
      </c>
      <c r="Q32" s="125">
        <f>$A32*'Verwerking Bouwdelen'!AW16</f>
        <v>0</v>
      </c>
      <c r="R32" s="125">
        <f>$A32*'Verwerking Bouwdelen'!AX16</f>
        <v>0</v>
      </c>
      <c r="S32" s="125">
        <f>$A32*'Verwerking Bouwdelen'!AY16</f>
        <v>0</v>
      </c>
      <c r="T32" s="125">
        <f>$A32*'Verwerking Bouwdelen'!AZ16</f>
        <v>0</v>
      </c>
      <c r="U32" s="125">
        <f>$A32*'Verwerking Bouwdelen'!BA16</f>
        <v>0</v>
      </c>
      <c r="V32" s="125">
        <f>$A32*'Verwerking Bouwdelen'!BB16</f>
        <v>0</v>
      </c>
      <c r="W32" s="125">
        <f>$A32*'Verwerking Bouwdelen'!BC16</f>
        <v>0</v>
      </c>
      <c r="X32" s="125">
        <f>$A32*'Verwerking Bouwdelen'!BD16</f>
        <v>0</v>
      </c>
      <c r="Y32" s="125">
        <f>$A32*'Verwerking Bouwdelen'!BE16</f>
        <v>0</v>
      </c>
      <c r="Z32" s="195">
        <f>$A32*'Verwerking Bouwdelen'!BF16</f>
        <v>0</v>
      </c>
      <c r="AB32" s="125">
        <f>IF(OR('Verwerking Bouwdelen'!C16=3,'Verwerking Bouwdelen'!C16=6),1,0)</f>
        <v>0</v>
      </c>
      <c r="AC32" s="130">
        <f>IF('Verwerking Bouwdelen'!A16=3,1,0)</f>
        <v>0</v>
      </c>
      <c r="AD32" s="208">
        <f>IF($AB32=1,$AC32*'Verwerking Bouwdelen'!DL16,$AC32*'Verwerking Bouwdelen'!T16)</f>
        <v>0</v>
      </c>
      <c r="AE32" s="208">
        <f>IF($AB32=1,$AC32*'Verwerking Bouwdelen'!DM16,$AC32*'Verwerking Bouwdelen'!U16)</f>
        <v>0</v>
      </c>
      <c r="AF32" s="208">
        <f>IF($AB32=1,$AC32*'Verwerking Bouwdelen'!DN16,$AC32*'Verwerking Bouwdelen'!V16)</f>
        <v>0</v>
      </c>
      <c r="AG32" s="208">
        <f>IF($AB32=1,$AC32*'Verwerking Bouwdelen'!DO16,$AC32*'Verwerking Bouwdelen'!W16)</f>
        <v>0</v>
      </c>
      <c r="AH32" s="208">
        <f>IF($AB32=1,$AC32*'Verwerking Bouwdelen'!DP16,$AC32*'Verwerking Bouwdelen'!X16)</f>
        <v>0</v>
      </c>
      <c r="AI32" s="208">
        <f>IF($AB32=1,$AC32*'Verwerking Bouwdelen'!DQ16,$AC32*'Verwerking Bouwdelen'!Y16)</f>
        <v>0</v>
      </c>
      <c r="AJ32" s="208">
        <f>IF($AB32=1,$AC32*'Verwerking Bouwdelen'!DR16,$AC32*'Verwerking Bouwdelen'!Z16)</f>
        <v>0</v>
      </c>
      <c r="AK32" s="208">
        <f>IF($AB32=1,$AC32*'Verwerking Bouwdelen'!DS16,$AC32*'Verwerking Bouwdelen'!AA16)</f>
        <v>0</v>
      </c>
      <c r="AL32" s="208">
        <f>IF($AB32=1,$AC32*'Verwerking Bouwdelen'!DT16,$AC32*'Verwerking Bouwdelen'!AB16)</f>
        <v>0</v>
      </c>
      <c r="AM32" s="208">
        <f>IF($AB32=1,$AC32*'Verwerking Bouwdelen'!DU16,$AC32*'Verwerking Bouwdelen'!AC16)</f>
        <v>0</v>
      </c>
      <c r="AN32" s="208">
        <f>IF($AB32=1,$AC32*'Verwerking Bouwdelen'!DV16,$AC32*'Verwerking Bouwdelen'!AD16)</f>
        <v>0</v>
      </c>
      <c r="AO32" s="208">
        <f>IF($AB32=1,$AC32*'Verwerking Bouwdelen'!DW16,$AC32*'Verwerking Bouwdelen'!AE16)</f>
        <v>0</v>
      </c>
      <c r="AP32" s="10">
        <f>IF(AD32=B32,0,'Verwerking Bouwdelen'!D16*AB32*AC32)</f>
        <v>0</v>
      </c>
      <c r="AQ32" s="10">
        <f>AB32*AC32*'Verwerking Bouwdelen'!GH16</f>
        <v>0</v>
      </c>
      <c r="AR32" s="10"/>
      <c r="AS32" s="248"/>
      <c r="AT32" s="125">
        <f>IF('Verwerking Bouwdelen'!C16=4,1,0)</f>
        <v>0</v>
      </c>
      <c r="AU32" s="130">
        <f>IF('Verwerking Bouwdelen'!A16=3,1,0)</f>
        <v>0</v>
      </c>
      <c r="AV32" s="208">
        <f>IF($AT32=1,$AU32*'Verwerking Bouwdelen'!DL16,$AU32*'Verwerking Bouwdelen'!T16)</f>
        <v>0</v>
      </c>
      <c r="AW32" s="208">
        <f>IF($AT32=1,$AU32*'Verwerking Bouwdelen'!DM16,$AU32*'Verwerking Bouwdelen'!U16)</f>
        <v>0</v>
      </c>
      <c r="AX32" s="208">
        <f>IF($AT32=1,$AU32*'Verwerking Bouwdelen'!DN16,$AU32*'Verwerking Bouwdelen'!V16)</f>
        <v>0</v>
      </c>
      <c r="AY32" s="208">
        <f>IF($AT32=1,$AU32*'Verwerking Bouwdelen'!DO16,$AU32*'Verwerking Bouwdelen'!W16)</f>
        <v>0</v>
      </c>
      <c r="AZ32" s="208">
        <f>IF($AT32=1,$AU32*'Verwerking Bouwdelen'!DP16,$AU32*'Verwerking Bouwdelen'!X16)</f>
        <v>0</v>
      </c>
      <c r="BA32" s="208">
        <f>IF($AT32=1,$AU32*'Verwerking Bouwdelen'!DQ16,$AU32*'Verwerking Bouwdelen'!Y16)</f>
        <v>0</v>
      </c>
      <c r="BB32" s="208">
        <f>IF($AT32=1,$AU32*'Verwerking Bouwdelen'!DR16,$AU32*'Verwerking Bouwdelen'!Z16)</f>
        <v>0</v>
      </c>
      <c r="BC32" s="208">
        <f>IF($AT32=1,$AU32*'Verwerking Bouwdelen'!DS16,$AU32*'Verwerking Bouwdelen'!AA16)</f>
        <v>0</v>
      </c>
      <c r="BD32" s="208">
        <f>IF($AT32=1,$AU32*'Verwerking Bouwdelen'!DT16,$AU32*'Verwerking Bouwdelen'!AB16)</f>
        <v>0</v>
      </c>
      <c r="BE32" s="208">
        <f>IF($AT32=1,$AU32*'Verwerking Bouwdelen'!DU16,$AU32*'Verwerking Bouwdelen'!AC16)</f>
        <v>0</v>
      </c>
      <c r="BF32" s="208">
        <f>IF($AT32=1,$AU32*'Verwerking Bouwdelen'!DV16,$AU32*'Verwerking Bouwdelen'!AD16)</f>
        <v>0</v>
      </c>
      <c r="BG32" s="208">
        <f>IF($AT32=1,$AU32*'Verwerking Bouwdelen'!DW16,$AU32*'Verwerking Bouwdelen'!AE16)</f>
        <v>0</v>
      </c>
      <c r="BH32" s="10">
        <f>IF(AV32=B32,0,'Verwerking Bouwdelen'!D16*AT32*AU32)</f>
        <v>0</v>
      </c>
      <c r="BI32" s="10">
        <f>AT32*AU32*'Verwerking Bouwdelen'!GH16</f>
        <v>0</v>
      </c>
      <c r="BJ32" s="10"/>
      <c r="BK32" s="10"/>
      <c r="BM32" s="125">
        <f>IF('Verwerking Bouwdelen'!C16=5,1,0)</f>
        <v>0</v>
      </c>
      <c r="BN32" s="130">
        <f>IF('Verwerking Bouwdelen'!A16=3,1,0)</f>
        <v>0</v>
      </c>
      <c r="BO32" s="208">
        <f>IF($BM32=1,$BN32*'Verwerking Bouwdelen'!DL16,$BN32*'Verwerking Bouwdelen'!T16)</f>
        <v>0</v>
      </c>
      <c r="BP32" s="208">
        <f>IF($BM32=1,$BN32*'Verwerking Bouwdelen'!DM16,$BN32*'Verwerking Bouwdelen'!U16)</f>
        <v>0</v>
      </c>
      <c r="BQ32" s="208">
        <f>IF($BM32=1,$BN32*'Verwerking Bouwdelen'!DN16,$BN32*'Verwerking Bouwdelen'!V16)</f>
        <v>0</v>
      </c>
      <c r="BR32" s="208">
        <f>IF($BM32=1,$BN32*'Verwerking Bouwdelen'!DO16,$BN32*'Verwerking Bouwdelen'!W16)</f>
        <v>0</v>
      </c>
      <c r="BS32" s="208">
        <f>IF($BM32=1,$BN32*'Verwerking Bouwdelen'!DP16,$BN32*'Verwerking Bouwdelen'!X16)</f>
        <v>0</v>
      </c>
      <c r="BT32" s="208">
        <f>IF($BM32=1,$BN32*'Verwerking Bouwdelen'!DQ16,$BN32*'Verwerking Bouwdelen'!Y16)</f>
        <v>0</v>
      </c>
      <c r="BU32" s="208">
        <f>IF($BM32=1,$BN32*'Verwerking Bouwdelen'!DR16,$BN32*'Verwerking Bouwdelen'!Z16)</f>
        <v>0</v>
      </c>
      <c r="BV32" s="208">
        <f>IF($BM32=1,$BN32*'Verwerking Bouwdelen'!DS16,$BN32*'Verwerking Bouwdelen'!AA16)</f>
        <v>0</v>
      </c>
      <c r="BW32" s="208">
        <f>IF($BM32=1,$BN32*'Verwerking Bouwdelen'!DT16,$BN32*'Verwerking Bouwdelen'!AB16)</f>
        <v>0</v>
      </c>
      <c r="BX32" s="208">
        <f>IF($BM32=1,$BN32*'Verwerking Bouwdelen'!DU16,$BN32*'Verwerking Bouwdelen'!AC16)</f>
        <v>0</v>
      </c>
      <c r="BY32" s="208">
        <f>IF($BM32=1,$BN32*'Verwerking Bouwdelen'!DV16,$BN32*'Verwerking Bouwdelen'!AD16)</f>
        <v>0</v>
      </c>
      <c r="BZ32" s="208">
        <f>IF($BM32=1,$BN32*'Verwerking Bouwdelen'!DW16,$BN32*'Verwerking Bouwdelen'!AE16)</f>
        <v>0</v>
      </c>
      <c r="CA32" s="10">
        <f>IF(BO32=$B32,0,'Verwerking Bouwdelen'!$D16*BM32*BN32)</f>
        <v>0</v>
      </c>
      <c r="CB32" s="10">
        <f>BM32*BN32*'Verwerking Bouwdelen'!GH16</f>
        <v>0</v>
      </c>
      <c r="CC32" s="10"/>
      <c r="CD32" s="248"/>
      <c r="CE32" s="125">
        <f>IF('Verwerking Bouwdelen'!C16=2,1,0)</f>
        <v>0</v>
      </c>
      <c r="CF32" s="130">
        <f>IF('Verwerking Bouwdelen'!A16=3,1,0)</f>
        <v>0</v>
      </c>
      <c r="CG32" s="208">
        <f>IF($CE32=1,$CF32*'Verwerking Bouwdelen'!DL16,$CF32*'Verwerking Bouwdelen'!T16)</f>
        <v>0</v>
      </c>
      <c r="CH32" s="208">
        <f>IF($CE32=1,$CF32*'Verwerking Bouwdelen'!DM16,$CF32*'Verwerking Bouwdelen'!U16)</f>
        <v>0</v>
      </c>
      <c r="CI32" s="208">
        <f>IF($CE32=1,$CF32*'Verwerking Bouwdelen'!DN16,$CF32*'Verwerking Bouwdelen'!V16)</f>
        <v>0</v>
      </c>
      <c r="CJ32" s="208">
        <f>IF($CE32=1,$CF32*'Verwerking Bouwdelen'!DO16,$CF32*'Verwerking Bouwdelen'!W16)</f>
        <v>0</v>
      </c>
      <c r="CK32" s="208">
        <f>IF($CE32=1,$CF32*'Verwerking Bouwdelen'!DP16,$CF32*'Verwerking Bouwdelen'!X16)</f>
        <v>0</v>
      </c>
      <c r="CL32" s="208">
        <f>IF($CE32=1,$CF32*'Verwerking Bouwdelen'!DQ16,$CF32*'Verwerking Bouwdelen'!Y16)</f>
        <v>0</v>
      </c>
      <c r="CM32" s="208">
        <f>IF($CE32=1,$CF32*'Verwerking Bouwdelen'!DR16,$CF32*'Verwerking Bouwdelen'!Z16)</f>
        <v>0</v>
      </c>
      <c r="CN32" s="208">
        <f>IF($CE32=1,$CF32*'Verwerking Bouwdelen'!DS16,$CF32*'Verwerking Bouwdelen'!AA16)</f>
        <v>0</v>
      </c>
      <c r="CO32" s="208">
        <f>IF($CE32=1,$CF32*'Verwerking Bouwdelen'!DT16,$CF32*'Verwerking Bouwdelen'!AB16)</f>
        <v>0</v>
      </c>
      <c r="CP32" s="208">
        <f>IF($CE32=1,$CF32*'Verwerking Bouwdelen'!DU16,$CF32*'Verwerking Bouwdelen'!AC16)</f>
        <v>0</v>
      </c>
      <c r="CQ32" s="208">
        <f>IF($CE32=1,$CF32*'Verwerking Bouwdelen'!DV16,$CF32*'Verwerking Bouwdelen'!AD16)</f>
        <v>0</v>
      </c>
      <c r="CR32" s="208">
        <f>IF($CE32=1,$CF32*'Verwerking Bouwdelen'!DW16,$CF32*'Verwerking Bouwdelen'!AE16)</f>
        <v>0</v>
      </c>
      <c r="CS32" s="10">
        <f>IF(CG32=$B32,0,('Verwerking Bouwdelen'!$D16-'Verwerking Bouwdelen'!G16)*CE32*CF32)</f>
        <v>0</v>
      </c>
      <c r="CT32" s="260">
        <f>CE32*CF32*'Verwerking Bouwdelen'!GH16</f>
        <v>0</v>
      </c>
      <c r="CU32" s="261">
        <f>CE32*CF32*'Verwerking Bouwdelen'!GI16</f>
        <v>0</v>
      </c>
      <c r="CW32" s="209">
        <f>$AC32*'Verwerking Bouwdelen'!EE16</f>
        <v>0</v>
      </c>
      <c r="CX32" s="209">
        <f>$AC32*'Verwerking Bouwdelen'!EF16</f>
        <v>0</v>
      </c>
      <c r="CY32" s="209">
        <f>$AC32*'Verwerking Bouwdelen'!EG16</f>
        <v>0</v>
      </c>
      <c r="CZ32" s="209">
        <f>$AC32*'Verwerking Bouwdelen'!EH16</f>
        <v>0</v>
      </c>
      <c r="DA32" s="209">
        <f>$AC32*'Verwerking Bouwdelen'!EI16</f>
        <v>0</v>
      </c>
      <c r="DB32" s="209">
        <f>$AC32*'Verwerking Bouwdelen'!EJ16</f>
        <v>0</v>
      </c>
      <c r="DC32" s="209">
        <f>$AC32*'Verwerking Bouwdelen'!EK16</f>
        <v>0</v>
      </c>
      <c r="DD32" s="209">
        <f>$AC32*'Verwerking Bouwdelen'!EL16</f>
        <v>0</v>
      </c>
      <c r="DE32" s="209">
        <f>$AC32*'Verwerking Bouwdelen'!EM16</f>
        <v>0</v>
      </c>
      <c r="DF32" s="209">
        <f>$AC32*'Verwerking Bouwdelen'!EN16</f>
        <v>0</v>
      </c>
      <c r="DG32" s="209">
        <f>$AC32*'Verwerking Bouwdelen'!EO16</f>
        <v>0</v>
      </c>
      <c r="DH32" s="209">
        <f>$AC32*'Verwerking Bouwdelen'!EP16</f>
        <v>0</v>
      </c>
      <c r="DI32" s="10">
        <f>IF(CW32=$O32,0,'Verwerking Bouwdelen'!G16)</f>
        <v>0</v>
      </c>
      <c r="DJ32" s="259">
        <f>'Verwerking Bouwdelen'!GK16*CF32</f>
        <v>0</v>
      </c>
      <c r="DK32" s="259">
        <f>'Verwerking Bouwdelen'!GL16*CF32</f>
        <v>0</v>
      </c>
      <c r="DL32" s="125"/>
      <c r="FZ32" s="89">
        <f>IF('Verwerken verlichting'!B28=3,1,0)</f>
        <v>0</v>
      </c>
      <c r="GA32" s="89">
        <f>$FZ32*'Verwerken verlichting'!BX28</f>
        <v>0</v>
      </c>
      <c r="GB32" s="89">
        <f>$FZ32*'Verwerken verlichting'!BY28</f>
        <v>0</v>
      </c>
      <c r="GC32" s="89">
        <f>$FZ32*'Verwerken verlichting'!BZ28</f>
        <v>0</v>
      </c>
      <c r="GD32" s="89">
        <f>$FZ32*'Verwerken verlichting'!CA28</f>
        <v>0</v>
      </c>
      <c r="GE32" s="89">
        <f>$FZ32*'Verwerken verlichting'!CB28</f>
        <v>0</v>
      </c>
      <c r="GF32" s="89">
        <f>$FZ32*'Verwerken verlichting'!CC28</f>
        <v>0</v>
      </c>
      <c r="GG32" s="89">
        <f>FZ32*'Invoer verlichting'!N27</f>
        <v>0</v>
      </c>
      <c r="GH32" s="89">
        <f>FZ32*'Verwerken verlichting'!AH28</f>
        <v>0</v>
      </c>
      <c r="GI32" s="89">
        <f>FZ32*'Verwerken verlichting'!AG28</f>
        <v>0</v>
      </c>
      <c r="GJ32" s="89">
        <f>FZ32*'Verwerken verlichting'!CE28</f>
        <v>0</v>
      </c>
      <c r="GM32" s="89">
        <f t="shared" si="13"/>
        <v>0</v>
      </c>
      <c r="GN32" s="89">
        <f t="shared" si="14"/>
        <v>0</v>
      </c>
      <c r="GO32" s="208">
        <f>IF($GN32=1,$GN32*$GM32*'Verwerking Bouwdelen'!DL16,$GN32*$GM32*'Verwerking Bouwdelen'!T16)</f>
        <v>0</v>
      </c>
      <c r="GP32" s="208">
        <f>IF($GN32=1,$GN32*$GM32*'Verwerking Bouwdelen'!DM16,$GN32*$GM32*'Verwerking Bouwdelen'!U16)</f>
        <v>0</v>
      </c>
      <c r="GQ32" s="208">
        <f>IF($GN32=1,$GN32*$GM32*'Verwerking Bouwdelen'!DN16,$GN32*$GM32*'Verwerking Bouwdelen'!V16)</f>
        <v>0</v>
      </c>
      <c r="GR32" s="208">
        <f>IF($GN32=1,$GN32*$GM32*'Verwerking Bouwdelen'!DO16,$GN32*$GM32*'Verwerking Bouwdelen'!W16)</f>
        <v>0</v>
      </c>
      <c r="GS32" s="208">
        <f>IF($GN32=1,$GN32*$GM32*'Verwerking Bouwdelen'!DP16,$GN32*$GM32*'Verwerking Bouwdelen'!X16)</f>
        <v>0</v>
      </c>
      <c r="GT32" s="208">
        <f>IF($GN32=1,$GN32*$GM32*'Verwerking Bouwdelen'!DQ16,$GN32*$GM32*'Verwerking Bouwdelen'!Y16)</f>
        <v>0</v>
      </c>
      <c r="GU32" s="208">
        <f>IF($GN32=1,$GN32*$GM32*'Verwerking Bouwdelen'!DR16,$GN32*$GM32*'Verwerking Bouwdelen'!Z16)</f>
        <v>0</v>
      </c>
      <c r="GV32" s="208">
        <f>IF($GN32=1,$GN32*$GM32*'Verwerking Bouwdelen'!DS16,$GN32*$GM32*'Verwerking Bouwdelen'!AA16)</f>
        <v>0</v>
      </c>
      <c r="GW32" s="208">
        <f>IF($GN32=1,$GN32*$GM32*'Verwerking Bouwdelen'!DT16,$GN32*$GM32*'Verwerking Bouwdelen'!AB16)</f>
        <v>0</v>
      </c>
      <c r="GX32" s="208">
        <f>IF($GN32=1,$GN32*$GM32*'Verwerking Bouwdelen'!DU16,$GN32*$GM32*'Verwerking Bouwdelen'!AC16)</f>
        <v>0</v>
      </c>
      <c r="GY32" s="208">
        <f>IF($GN32=1,$GN32*$GM32*'Verwerking Bouwdelen'!DV16,$GN32*$GM32*'Verwerking Bouwdelen'!AD16)</f>
        <v>0</v>
      </c>
      <c r="GZ32" s="208">
        <f>IF($GN32=1,$GN32*$GM32*'Verwerking Bouwdelen'!DW16,$GN32*$GM32*'Verwerking Bouwdelen'!AE16)</f>
        <v>0</v>
      </c>
      <c r="HB32" s="89">
        <f t="shared" si="1"/>
        <v>0</v>
      </c>
      <c r="HC32" s="89">
        <f t="shared" si="2"/>
        <v>0</v>
      </c>
      <c r="HD32" s="89">
        <f t="shared" si="3"/>
        <v>0</v>
      </c>
      <c r="HE32" s="89">
        <f t="shared" si="4"/>
        <v>0</v>
      </c>
      <c r="HF32" s="89">
        <f t="shared" si="5"/>
        <v>0</v>
      </c>
      <c r="HG32" s="89">
        <f t="shared" si="6"/>
        <v>0</v>
      </c>
      <c r="HH32" s="89">
        <f t="shared" si="7"/>
        <v>0</v>
      </c>
      <c r="HI32" s="89">
        <f t="shared" si="8"/>
        <v>0</v>
      </c>
      <c r="HJ32" s="89">
        <f t="shared" si="9"/>
        <v>0</v>
      </c>
      <c r="HK32" s="89">
        <f t="shared" si="10"/>
        <v>0</v>
      </c>
      <c r="HL32" s="89">
        <f t="shared" si="11"/>
        <v>0</v>
      </c>
      <c r="HM32" s="89">
        <f t="shared" si="12"/>
        <v>0</v>
      </c>
    </row>
    <row r="33" spans="1:221" x14ac:dyDescent="0.2">
      <c r="A33" s="130">
        <f>IF('Verwerking Bouwdelen'!A17=3,1,0)</f>
        <v>0</v>
      </c>
      <c r="B33" s="208">
        <f>$A33*'Verwerking Bouwdelen'!T17</f>
        <v>0</v>
      </c>
      <c r="C33" s="208">
        <f>$A33*'Verwerking Bouwdelen'!U17</f>
        <v>0</v>
      </c>
      <c r="D33" s="208">
        <f>$A33*'Verwerking Bouwdelen'!V17</f>
        <v>0</v>
      </c>
      <c r="E33" s="208">
        <f>$A33*'Verwerking Bouwdelen'!W17</f>
        <v>0</v>
      </c>
      <c r="F33" s="208">
        <f>$A33*'Verwerking Bouwdelen'!X17</f>
        <v>0</v>
      </c>
      <c r="G33" s="208">
        <f>$A33*'Verwerking Bouwdelen'!Y17</f>
        <v>0</v>
      </c>
      <c r="H33" s="208">
        <f>$A33*'Verwerking Bouwdelen'!Z17</f>
        <v>0</v>
      </c>
      <c r="I33" s="208">
        <f>$A33*'Verwerking Bouwdelen'!AA17</f>
        <v>0</v>
      </c>
      <c r="J33" s="208">
        <f>$A33*'Verwerking Bouwdelen'!AB17</f>
        <v>0</v>
      </c>
      <c r="K33" s="208">
        <f>$A33*'Verwerking Bouwdelen'!AC17</f>
        <v>0</v>
      </c>
      <c r="L33" s="208">
        <f>$A33*'Verwerking Bouwdelen'!AD17</f>
        <v>0</v>
      </c>
      <c r="M33" s="208">
        <f>$A33*'Verwerking Bouwdelen'!AE17</f>
        <v>0</v>
      </c>
      <c r="O33" s="114">
        <f>$A33*'Verwerking Bouwdelen'!AU17</f>
        <v>0</v>
      </c>
      <c r="P33" s="125">
        <f>$A33*'Verwerking Bouwdelen'!AV17</f>
        <v>0</v>
      </c>
      <c r="Q33" s="125">
        <f>$A33*'Verwerking Bouwdelen'!AW17</f>
        <v>0</v>
      </c>
      <c r="R33" s="125">
        <f>$A33*'Verwerking Bouwdelen'!AX17</f>
        <v>0</v>
      </c>
      <c r="S33" s="125">
        <f>$A33*'Verwerking Bouwdelen'!AY17</f>
        <v>0</v>
      </c>
      <c r="T33" s="125">
        <f>$A33*'Verwerking Bouwdelen'!AZ17</f>
        <v>0</v>
      </c>
      <c r="U33" s="125">
        <f>$A33*'Verwerking Bouwdelen'!BA17</f>
        <v>0</v>
      </c>
      <c r="V33" s="125">
        <f>$A33*'Verwerking Bouwdelen'!BB17</f>
        <v>0</v>
      </c>
      <c r="W33" s="125">
        <f>$A33*'Verwerking Bouwdelen'!BC17</f>
        <v>0</v>
      </c>
      <c r="X33" s="125">
        <f>$A33*'Verwerking Bouwdelen'!BD17</f>
        <v>0</v>
      </c>
      <c r="Y33" s="125">
        <f>$A33*'Verwerking Bouwdelen'!BE17</f>
        <v>0</v>
      </c>
      <c r="Z33" s="195">
        <f>$A33*'Verwerking Bouwdelen'!BF17</f>
        <v>0</v>
      </c>
      <c r="AB33" s="125">
        <f>IF(OR('Verwerking Bouwdelen'!C17=3,'Verwerking Bouwdelen'!C17=6),1,0)</f>
        <v>0</v>
      </c>
      <c r="AC33" s="130">
        <f>IF('Verwerking Bouwdelen'!A17=3,1,0)</f>
        <v>0</v>
      </c>
      <c r="AD33" s="208">
        <f>IF($AB33=1,$AC33*'Verwerking Bouwdelen'!DL17,$AC33*'Verwerking Bouwdelen'!T17)</f>
        <v>0</v>
      </c>
      <c r="AE33" s="208">
        <f>IF($AB33=1,$AC33*'Verwerking Bouwdelen'!DM17,$AC33*'Verwerking Bouwdelen'!U17)</f>
        <v>0</v>
      </c>
      <c r="AF33" s="208">
        <f>IF($AB33=1,$AC33*'Verwerking Bouwdelen'!DN17,$AC33*'Verwerking Bouwdelen'!V17)</f>
        <v>0</v>
      </c>
      <c r="AG33" s="208">
        <f>IF($AB33=1,$AC33*'Verwerking Bouwdelen'!DO17,$AC33*'Verwerking Bouwdelen'!W17)</f>
        <v>0</v>
      </c>
      <c r="AH33" s="208">
        <f>IF($AB33=1,$AC33*'Verwerking Bouwdelen'!DP17,$AC33*'Verwerking Bouwdelen'!X17)</f>
        <v>0</v>
      </c>
      <c r="AI33" s="208">
        <f>IF($AB33=1,$AC33*'Verwerking Bouwdelen'!DQ17,$AC33*'Verwerking Bouwdelen'!Y17)</f>
        <v>0</v>
      </c>
      <c r="AJ33" s="208">
        <f>IF($AB33=1,$AC33*'Verwerking Bouwdelen'!DR17,$AC33*'Verwerking Bouwdelen'!Z17)</f>
        <v>0</v>
      </c>
      <c r="AK33" s="208">
        <f>IF($AB33=1,$AC33*'Verwerking Bouwdelen'!DS17,$AC33*'Verwerking Bouwdelen'!AA17)</f>
        <v>0</v>
      </c>
      <c r="AL33" s="208">
        <f>IF($AB33=1,$AC33*'Verwerking Bouwdelen'!DT17,$AC33*'Verwerking Bouwdelen'!AB17)</f>
        <v>0</v>
      </c>
      <c r="AM33" s="208">
        <f>IF($AB33=1,$AC33*'Verwerking Bouwdelen'!DU17,$AC33*'Verwerking Bouwdelen'!AC17)</f>
        <v>0</v>
      </c>
      <c r="AN33" s="208">
        <f>IF($AB33=1,$AC33*'Verwerking Bouwdelen'!DV17,$AC33*'Verwerking Bouwdelen'!AD17)</f>
        <v>0</v>
      </c>
      <c r="AO33" s="208">
        <f>IF($AB33=1,$AC33*'Verwerking Bouwdelen'!DW17,$AC33*'Verwerking Bouwdelen'!AE17)</f>
        <v>0</v>
      </c>
      <c r="AP33" s="10">
        <f>IF(AD33=B33,0,'Verwerking Bouwdelen'!D17*AB33*AC33)</f>
        <v>0</v>
      </c>
      <c r="AQ33" s="10">
        <f>AB33*AC33*'Verwerking Bouwdelen'!GH17</f>
        <v>0</v>
      </c>
      <c r="AR33" s="10"/>
      <c r="AS33" s="248"/>
      <c r="AT33" s="125">
        <f>IF('Verwerking Bouwdelen'!C17=4,1,0)</f>
        <v>0</v>
      </c>
      <c r="AU33" s="130">
        <f>IF('Verwerking Bouwdelen'!A17=3,1,0)</f>
        <v>0</v>
      </c>
      <c r="AV33" s="208">
        <f>IF($AT33=1,$AU33*'Verwerking Bouwdelen'!DL17,$AU33*'Verwerking Bouwdelen'!T17)</f>
        <v>0</v>
      </c>
      <c r="AW33" s="208">
        <f>IF($AT33=1,$AU33*'Verwerking Bouwdelen'!DM17,$AU33*'Verwerking Bouwdelen'!U17)</f>
        <v>0</v>
      </c>
      <c r="AX33" s="208">
        <f>IF($AT33=1,$AU33*'Verwerking Bouwdelen'!DN17,$AU33*'Verwerking Bouwdelen'!V17)</f>
        <v>0</v>
      </c>
      <c r="AY33" s="208">
        <f>IF($AT33=1,$AU33*'Verwerking Bouwdelen'!DO17,$AU33*'Verwerking Bouwdelen'!W17)</f>
        <v>0</v>
      </c>
      <c r="AZ33" s="208">
        <f>IF($AT33=1,$AU33*'Verwerking Bouwdelen'!DP17,$AU33*'Verwerking Bouwdelen'!X17)</f>
        <v>0</v>
      </c>
      <c r="BA33" s="208">
        <f>IF($AT33=1,$AU33*'Verwerking Bouwdelen'!DQ17,$AU33*'Verwerking Bouwdelen'!Y17)</f>
        <v>0</v>
      </c>
      <c r="BB33" s="208">
        <f>IF($AT33=1,$AU33*'Verwerking Bouwdelen'!DR17,$AU33*'Verwerking Bouwdelen'!Z17)</f>
        <v>0</v>
      </c>
      <c r="BC33" s="208">
        <f>IF($AT33=1,$AU33*'Verwerking Bouwdelen'!DS17,$AU33*'Verwerking Bouwdelen'!AA17)</f>
        <v>0</v>
      </c>
      <c r="BD33" s="208">
        <f>IF($AT33=1,$AU33*'Verwerking Bouwdelen'!DT17,$AU33*'Verwerking Bouwdelen'!AB17)</f>
        <v>0</v>
      </c>
      <c r="BE33" s="208">
        <f>IF($AT33=1,$AU33*'Verwerking Bouwdelen'!DU17,$AU33*'Verwerking Bouwdelen'!AC17)</f>
        <v>0</v>
      </c>
      <c r="BF33" s="208">
        <f>IF($AT33=1,$AU33*'Verwerking Bouwdelen'!DV17,$AU33*'Verwerking Bouwdelen'!AD17)</f>
        <v>0</v>
      </c>
      <c r="BG33" s="208">
        <f>IF($AT33=1,$AU33*'Verwerking Bouwdelen'!DW17,$AU33*'Verwerking Bouwdelen'!AE17)</f>
        <v>0</v>
      </c>
      <c r="BH33" s="10">
        <f>IF(AV33=B33,0,'Verwerking Bouwdelen'!D17*AT33*AU33)</f>
        <v>0</v>
      </c>
      <c r="BI33" s="10">
        <f>AT33*AU33*'Verwerking Bouwdelen'!GH17</f>
        <v>0</v>
      </c>
      <c r="BJ33" s="10"/>
      <c r="BK33" s="10"/>
      <c r="BM33" s="125">
        <f>IF('Verwerking Bouwdelen'!C17=5,1,0)</f>
        <v>0</v>
      </c>
      <c r="BN33" s="130">
        <f>IF('Verwerking Bouwdelen'!A17=3,1,0)</f>
        <v>0</v>
      </c>
      <c r="BO33" s="208">
        <f>IF($BM33=1,$BN33*'Verwerking Bouwdelen'!DL17,$BN33*'Verwerking Bouwdelen'!T17)</f>
        <v>0</v>
      </c>
      <c r="BP33" s="208">
        <f>IF($BM33=1,$BN33*'Verwerking Bouwdelen'!DM17,$BN33*'Verwerking Bouwdelen'!U17)</f>
        <v>0</v>
      </c>
      <c r="BQ33" s="208">
        <f>IF($BM33=1,$BN33*'Verwerking Bouwdelen'!DN17,$BN33*'Verwerking Bouwdelen'!V17)</f>
        <v>0</v>
      </c>
      <c r="BR33" s="208">
        <f>IF($BM33=1,$BN33*'Verwerking Bouwdelen'!DO17,$BN33*'Verwerking Bouwdelen'!W17)</f>
        <v>0</v>
      </c>
      <c r="BS33" s="208">
        <f>IF($BM33=1,$BN33*'Verwerking Bouwdelen'!DP17,$BN33*'Verwerking Bouwdelen'!X17)</f>
        <v>0</v>
      </c>
      <c r="BT33" s="208">
        <f>IF($BM33=1,$BN33*'Verwerking Bouwdelen'!DQ17,$BN33*'Verwerking Bouwdelen'!Y17)</f>
        <v>0</v>
      </c>
      <c r="BU33" s="208">
        <f>IF($BM33=1,$BN33*'Verwerking Bouwdelen'!DR17,$BN33*'Verwerking Bouwdelen'!Z17)</f>
        <v>0</v>
      </c>
      <c r="BV33" s="208">
        <f>IF($BM33=1,$BN33*'Verwerking Bouwdelen'!DS17,$BN33*'Verwerking Bouwdelen'!AA17)</f>
        <v>0</v>
      </c>
      <c r="BW33" s="208">
        <f>IF($BM33=1,$BN33*'Verwerking Bouwdelen'!DT17,$BN33*'Verwerking Bouwdelen'!AB17)</f>
        <v>0</v>
      </c>
      <c r="BX33" s="208">
        <f>IF($BM33=1,$BN33*'Verwerking Bouwdelen'!DU17,$BN33*'Verwerking Bouwdelen'!AC17)</f>
        <v>0</v>
      </c>
      <c r="BY33" s="208">
        <f>IF($BM33=1,$BN33*'Verwerking Bouwdelen'!DV17,$BN33*'Verwerking Bouwdelen'!AD17)</f>
        <v>0</v>
      </c>
      <c r="BZ33" s="208">
        <f>IF($BM33=1,$BN33*'Verwerking Bouwdelen'!DW17,$BN33*'Verwerking Bouwdelen'!AE17)</f>
        <v>0</v>
      </c>
      <c r="CA33" s="10">
        <f>IF(BO33=$B33,0,'Verwerking Bouwdelen'!$D17*BM33*BN33)</f>
        <v>0</v>
      </c>
      <c r="CB33" s="10">
        <f>BM33*BN33*'Verwerking Bouwdelen'!GH17</f>
        <v>0</v>
      </c>
      <c r="CC33" s="10"/>
      <c r="CD33" s="248"/>
      <c r="CE33" s="125">
        <f>IF('Verwerking Bouwdelen'!C17=2,1,0)</f>
        <v>0</v>
      </c>
      <c r="CF33" s="130">
        <f>IF('Verwerking Bouwdelen'!A17=3,1,0)</f>
        <v>0</v>
      </c>
      <c r="CG33" s="208">
        <f>IF($CE33=1,$CF33*'Verwerking Bouwdelen'!DL17,$CF33*'Verwerking Bouwdelen'!T17)</f>
        <v>0</v>
      </c>
      <c r="CH33" s="208">
        <f>IF($CE33=1,$CF33*'Verwerking Bouwdelen'!DM17,$CF33*'Verwerking Bouwdelen'!U17)</f>
        <v>0</v>
      </c>
      <c r="CI33" s="208">
        <f>IF($CE33=1,$CF33*'Verwerking Bouwdelen'!DN17,$CF33*'Verwerking Bouwdelen'!V17)</f>
        <v>0</v>
      </c>
      <c r="CJ33" s="208">
        <f>IF($CE33=1,$CF33*'Verwerking Bouwdelen'!DO17,$CF33*'Verwerking Bouwdelen'!W17)</f>
        <v>0</v>
      </c>
      <c r="CK33" s="208">
        <f>IF($CE33=1,$CF33*'Verwerking Bouwdelen'!DP17,$CF33*'Verwerking Bouwdelen'!X17)</f>
        <v>0</v>
      </c>
      <c r="CL33" s="208">
        <f>IF($CE33=1,$CF33*'Verwerking Bouwdelen'!DQ17,$CF33*'Verwerking Bouwdelen'!Y17)</f>
        <v>0</v>
      </c>
      <c r="CM33" s="208">
        <f>IF($CE33=1,$CF33*'Verwerking Bouwdelen'!DR17,$CF33*'Verwerking Bouwdelen'!Z17)</f>
        <v>0</v>
      </c>
      <c r="CN33" s="208">
        <f>IF($CE33=1,$CF33*'Verwerking Bouwdelen'!DS17,$CF33*'Verwerking Bouwdelen'!AA17)</f>
        <v>0</v>
      </c>
      <c r="CO33" s="208">
        <f>IF($CE33=1,$CF33*'Verwerking Bouwdelen'!DT17,$CF33*'Verwerking Bouwdelen'!AB17)</f>
        <v>0</v>
      </c>
      <c r="CP33" s="208">
        <f>IF($CE33=1,$CF33*'Verwerking Bouwdelen'!DU17,$CF33*'Verwerking Bouwdelen'!AC17)</f>
        <v>0</v>
      </c>
      <c r="CQ33" s="208">
        <f>IF($CE33=1,$CF33*'Verwerking Bouwdelen'!DV17,$CF33*'Verwerking Bouwdelen'!AD17)</f>
        <v>0</v>
      </c>
      <c r="CR33" s="208">
        <f>IF($CE33=1,$CF33*'Verwerking Bouwdelen'!DW17,$CF33*'Verwerking Bouwdelen'!AE17)</f>
        <v>0</v>
      </c>
      <c r="CS33" s="10">
        <f>IF(CG33=$B33,0,('Verwerking Bouwdelen'!$D17-'Verwerking Bouwdelen'!G17)*CE33*CF33)</f>
        <v>0</v>
      </c>
      <c r="CT33" s="260">
        <f>CE33*CF33*'Verwerking Bouwdelen'!GH17</f>
        <v>0</v>
      </c>
      <c r="CU33" s="261">
        <f>CE33*CF33*'Verwerking Bouwdelen'!GI17</f>
        <v>0</v>
      </c>
      <c r="CW33" s="209">
        <f>$AC33*'Verwerking Bouwdelen'!EE17</f>
        <v>0</v>
      </c>
      <c r="CX33" s="209">
        <f>$AC33*'Verwerking Bouwdelen'!EF17</f>
        <v>0</v>
      </c>
      <c r="CY33" s="209">
        <f>$AC33*'Verwerking Bouwdelen'!EG17</f>
        <v>0</v>
      </c>
      <c r="CZ33" s="209">
        <f>$AC33*'Verwerking Bouwdelen'!EH17</f>
        <v>0</v>
      </c>
      <c r="DA33" s="209">
        <f>$AC33*'Verwerking Bouwdelen'!EI17</f>
        <v>0</v>
      </c>
      <c r="DB33" s="209">
        <f>$AC33*'Verwerking Bouwdelen'!EJ17</f>
        <v>0</v>
      </c>
      <c r="DC33" s="209">
        <f>$AC33*'Verwerking Bouwdelen'!EK17</f>
        <v>0</v>
      </c>
      <c r="DD33" s="209">
        <f>$AC33*'Verwerking Bouwdelen'!EL17</f>
        <v>0</v>
      </c>
      <c r="DE33" s="209">
        <f>$AC33*'Verwerking Bouwdelen'!EM17</f>
        <v>0</v>
      </c>
      <c r="DF33" s="209">
        <f>$AC33*'Verwerking Bouwdelen'!EN17</f>
        <v>0</v>
      </c>
      <c r="DG33" s="209">
        <f>$AC33*'Verwerking Bouwdelen'!EO17</f>
        <v>0</v>
      </c>
      <c r="DH33" s="209">
        <f>$AC33*'Verwerking Bouwdelen'!EP17</f>
        <v>0</v>
      </c>
      <c r="DI33" s="10">
        <f>IF(CW33=$O33,0,'Verwerking Bouwdelen'!G17)</f>
        <v>0</v>
      </c>
      <c r="DJ33" s="259">
        <f>'Verwerking Bouwdelen'!GK17*CF33</f>
        <v>0</v>
      </c>
      <c r="DK33" s="259">
        <f>'Verwerking Bouwdelen'!GL17*CF33</f>
        <v>0</v>
      </c>
      <c r="DL33" s="125"/>
      <c r="GA33" s="89">
        <f t="shared" ref="GA33:GH33" si="15">SUM(GA9:GA32)</f>
        <v>0</v>
      </c>
      <c r="GB33" s="89">
        <f t="shared" si="15"/>
        <v>0</v>
      </c>
      <c r="GC33" s="89">
        <f t="shared" si="15"/>
        <v>0</v>
      </c>
      <c r="GD33" s="89">
        <f t="shared" si="15"/>
        <v>0</v>
      </c>
      <c r="GE33" s="89">
        <f t="shared" si="15"/>
        <v>0</v>
      </c>
      <c r="GF33" s="89">
        <f t="shared" si="15"/>
        <v>0</v>
      </c>
      <c r="GG33" s="89">
        <f t="shared" si="15"/>
        <v>0</v>
      </c>
      <c r="GH33" s="89">
        <f t="shared" si="15"/>
        <v>0</v>
      </c>
      <c r="GI33" s="89">
        <f>SUM(GI9:GI32)</f>
        <v>0</v>
      </c>
      <c r="GJ33" s="89">
        <f>SUM(GJ9:GJ32)</f>
        <v>0</v>
      </c>
      <c r="GM33" s="89">
        <f t="shared" si="13"/>
        <v>0</v>
      </c>
      <c r="GN33" s="89">
        <f t="shared" si="14"/>
        <v>0</v>
      </c>
      <c r="GO33" s="208">
        <f>IF($GN33=1,$GN33*$GM33*'Verwerking Bouwdelen'!DL17,$GN33*$GM33*'Verwerking Bouwdelen'!T17)</f>
        <v>0</v>
      </c>
      <c r="GP33" s="208">
        <f>IF($GN33=1,$GN33*$GM33*'Verwerking Bouwdelen'!DM17,$GN33*$GM33*'Verwerking Bouwdelen'!U17)</f>
        <v>0</v>
      </c>
      <c r="GQ33" s="208">
        <f>IF($GN33=1,$GN33*$GM33*'Verwerking Bouwdelen'!DN17,$GN33*$GM33*'Verwerking Bouwdelen'!V17)</f>
        <v>0</v>
      </c>
      <c r="GR33" s="208">
        <f>IF($GN33=1,$GN33*$GM33*'Verwerking Bouwdelen'!DO17,$GN33*$GM33*'Verwerking Bouwdelen'!W17)</f>
        <v>0</v>
      </c>
      <c r="GS33" s="208">
        <f>IF($GN33=1,$GN33*$GM33*'Verwerking Bouwdelen'!DP17,$GN33*$GM33*'Verwerking Bouwdelen'!X17)</f>
        <v>0</v>
      </c>
      <c r="GT33" s="208">
        <f>IF($GN33=1,$GN33*$GM33*'Verwerking Bouwdelen'!DQ17,$GN33*$GM33*'Verwerking Bouwdelen'!Y17)</f>
        <v>0</v>
      </c>
      <c r="GU33" s="208">
        <f>IF($GN33=1,$GN33*$GM33*'Verwerking Bouwdelen'!DR17,$GN33*$GM33*'Verwerking Bouwdelen'!Z17)</f>
        <v>0</v>
      </c>
      <c r="GV33" s="208">
        <f>IF($GN33=1,$GN33*$GM33*'Verwerking Bouwdelen'!DS17,$GN33*$GM33*'Verwerking Bouwdelen'!AA17)</f>
        <v>0</v>
      </c>
      <c r="GW33" s="208">
        <f>IF($GN33=1,$GN33*$GM33*'Verwerking Bouwdelen'!DT17,$GN33*$GM33*'Verwerking Bouwdelen'!AB17)</f>
        <v>0</v>
      </c>
      <c r="GX33" s="208">
        <f>IF($GN33=1,$GN33*$GM33*'Verwerking Bouwdelen'!DU17,$GN33*$GM33*'Verwerking Bouwdelen'!AC17)</f>
        <v>0</v>
      </c>
      <c r="GY33" s="208">
        <f>IF($GN33=1,$GN33*$GM33*'Verwerking Bouwdelen'!DV17,$GN33*$GM33*'Verwerking Bouwdelen'!AD17)</f>
        <v>0</v>
      </c>
      <c r="GZ33" s="208">
        <f>IF($GN33=1,$GN33*$GM33*'Verwerking Bouwdelen'!DW17,$GN33*$GM33*'Verwerking Bouwdelen'!AE17)</f>
        <v>0</v>
      </c>
      <c r="HB33" s="89">
        <f t="shared" si="1"/>
        <v>0</v>
      </c>
      <c r="HC33" s="89">
        <f t="shared" si="2"/>
        <v>0</v>
      </c>
      <c r="HD33" s="89">
        <f t="shared" si="3"/>
        <v>0</v>
      </c>
      <c r="HE33" s="89">
        <f t="shared" si="4"/>
        <v>0</v>
      </c>
      <c r="HF33" s="89">
        <f t="shared" si="5"/>
        <v>0</v>
      </c>
      <c r="HG33" s="89">
        <f t="shared" si="6"/>
        <v>0</v>
      </c>
      <c r="HH33" s="89">
        <f t="shared" si="7"/>
        <v>0</v>
      </c>
      <c r="HI33" s="89">
        <f t="shared" si="8"/>
        <v>0</v>
      </c>
      <c r="HJ33" s="89">
        <f t="shared" si="9"/>
        <v>0</v>
      </c>
      <c r="HK33" s="89">
        <f t="shared" si="10"/>
        <v>0</v>
      </c>
      <c r="HL33" s="89">
        <f t="shared" si="11"/>
        <v>0</v>
      </c>
      <c r="HM33" s="89">
        <f t="shared" si="12"/>
        <v>0</v>
      </c>
    </row>
    <row r="34" spans="1:221" x14ac:dyDescent="0.2">
      <c r="A34" s="130">
        <f>IF('Verwerking Bouwdelen'!A18=3,1,0)</f>
        <v>0</v>
      </c>
      <c r="B34" s="208">
        <f>$A34*'Verwerking Bouwdelen'!T18</f>
        <v>0</v>
      </c>
      <c r="C34" s="208">
        <f>$A34*'Verwerking Bouwdelen'!U18</f>
        <v>0</v>
      </c>
      <c r="D34" s="208">
        <f>$A34*'Verwerking Bouwdelen'!V18</f>
        <v>0</v>
      </c>
      <c r="E34" s="208">
        <f>$A34*'Verwerking Bouwdelen'!W18</f>
        <v>0</v>
      </c>
      <c r="F34" s="208">
        <f>$A34*'Verwerking Bouwdelen'!X18</f>
        <v>0</v>
      </c>
      <c r="G34" s="208">
        <f>$A34*'Verwerking Bouwdelen'!Y18</f>
        <v>0</v>
      </c>
      <c r="H34" s="208">
        <f>$A34*'Verwerking Bouwdelen'!Z18</f>
        <v>0</v>
      </c>
      <c r="I34" s="208">
        <f>$A34*'Verwerking Bouwdelen'!AA18</f>
        <v>0</v>
      </c>
      <c r="J34" s="208">
        <f>$A34*'Verwerking Bouwdelen'!AB18</f>
        <v>0</v>
      </c>
      <c r="K34" s="208">
        <f>$A34*'Verwerking Bouwdelen'!AC18</f>
        <v>0</v>
      </c>
      <c r="L34" s="208">
        <f>$A34*'Verwerking Bouwdelen'!AD18</f>
        <v>0</v>
      </c>
      <c r="M34" s="208">
        <f>$A34*'Verwerking Bouwdelen'!AE18</f>
        <v>0</v>
      </c>
      <c r="O34" s="114">
        <f>$A34*'Verwerking Bouwdelen'!AU18</f>
        <v>0</v>
      </c>
      <c r="P34" s="125">
        <f>$A34*'Verwerking Bouwdelen'!AV18</f>
        <v>0</v>
      </c>
      <c r="Q34" s="125">
        <f>$A34*'Verwerking Bouwdelen'!AW18</f>
        <v>0</v>
      </c>
      <c r="R34" s="125">
        <f>$A34*'Verwerking Bouwdelen'!AX18</f>
        <v>0</v>
      </c>
      <c r="S34" s="125">
        <f>$A34*'Verwerking Bouwdelen'!AY18</f>
        <v>0</v>
      </c>
      <c r="T34" s="125">
        <f>$A34*'Verwerking Bouwdelen'!AZ18</f>
        <v>0</v>
      </c>
      <c r="U34" s="125">
        <f>$A34*'Verwerking Bouwdelen'!BA18</f>
        <v>0</v>
      </c>
      <c r="V34" s="125">
        <f>$A34*'Verwerking Bouwdelen'!BB18</f>
        <v>0</v>
      </c>
      <c r="W34" s="125">
        <f>$A34*'Verwerking Bouwdelen'!BC18</f>
        <v>0</v>
      </c>
      <c r="X34" s="125">
        <f>$A34*'Verwerking Bouwdelen'!BD18</f>
        <v>0</v>
      </c>
      <c r="Y34" s="125">
        <f>$A34*'Verwerking Bouwdelen'!BE18</f>
        <v>0</v>
      </c>
      <c r="Z34" s="195">
        <f>$A34*'Verwerking Bouwdelen'!BF18</f>
        <v>0</v>
      </c>
      <c r="AB34" s="125">
        <f>IF(OR('Verwerking Bouwdelen'!C18=3,'Verwerking Bouwdelen'!C18=6),1,0)</f>
        <v>0</v>
      </c>
      <c r="AC34" s="130">
        <f>IF('Verwerking Bouwdelen'!A18=3,1,0)</f>
        <v>0</v>
      </c>
      <c r="AD34" s="208">
        <f>IF($AB34=1,$AC34*'Verwerking Bouwdelen'!DL18,$AC34*'Verwerking Bouwdelen'!T18)</f>
        <v>0</v>
      </c>
      <c r="AE34" s="208">
        <f>IF($AB34=1,$AC34*'Verwerking Bouwdelen'!DM18,$AC34*'Verwerking Bouwdelen'!U18)</f>
        <v>0</v>
      </c>
      <c r="AF34" s="208">
        <f>IF($AB34=1,$AC34*'Verwerking Bouwdelen'!DN18,$AC34*'Verwerking Bouwdelen'!V18)</f>
        <v>0</v>
      </c>
      <c r="AG34" s="208">
        <f>IF($AB34=1,$AC34*'Verwerking Bouwdelen'!DO18,$AC34*'Verwerking Bouwdelen'!W18)</f>
        <v>0</v>
      </c>
      <c r="AH34" s="208">
        <f>IF($AB34=1,$AC34*'Verwerking Bouwdelen'!DP18,$AC34*'Verwerking Bouwdelen'!X18)</f>
        <v>0</v>
      </c>
      <c r="AI34" s="208">
        <f>IF($AB34=1,$AC34*'Verwerking Bouwdelen'!DQ18,$AC34*'Verwerking Bouwdelen'!Y18)</f>
        <v>0</v>
      </c>
      <c r="AJ34" s="208">
        <f>IF($AB34=1,$AC34*'Verwerking Bouwdelen'!DR18,$AC34*'Verwerking Bouwdelen'!Z18)</f>
        <v>0</v>
      </c>
      <c r="AK34" s="208">
        <f>IF($AB34=1,$AC34*'Verwerking Bouwdelen'!DS18,$AC34*'Verwerking Bouwdelen'!AA18)</f>
        <v>0</v>
      </c>
      <c r="AL34" s="208">
        <f>IF($AB34=1,$AC34*'Verwerking Bouwdelen'!DT18,$AC34*'Verwerking Bouwdelen'!AB18)</f>
        <v>0</v>
      </c>
      <c r="AM34" s="208">
        <f>IF($AB34=1,$AC34*'Verwerking Bouwdelen'!DU18,$AC34*'Verwerking Bouwdelen'!AC18)</f>
        <v>0</v>
      </c>
      <c r="AN34" s="208">
        <f>IF($AB34=1,$AC34*'Verwerking Bouwdelen'!DV18,$AC34*'Verwerking Bouwdelen'!AD18)</f>
        <v>0</v>
      </c>
      <c r="AO34" s="208">
        <f>IF($AB34=1,$AC34*'Verwerking Bouwdelen'!DW18,$AC34*'Verwerking Bouwdelen'!AE18)</f>
        <v>0</v>
      </c>
      <c r="AP34" s="10">
        <f>IF(AD34=B34,0,'Verwerking Bouwdelen'!D18*AB34*AC34)</f>
        <v>0</v>
      </c>
      <c r="AQ34" s="10">
        <f>AB34*AC34*'Verwerking Bouwdelen'!GH18</f>
        <v>0</v>
      </c>
      <c r="AR34" s="10"/>
      <c r="AS34" s="248"/>
      <c r="AT34" s="125">
        <f>IF('Verwerking Bouwdelen'!C18=4,1,0)</f>
        <v>0</v>
      </c>
      <c r="AU34" s="130">
        <f>IF('Verwerking Bouwdelen'!A18=3,1,0)</f>
        <v>0</v>
      </c>
      <c r="AV34" s="208">
        <f>IF($AT34=1,$AU34*'Verwerking Bouwdelen'!DL18,$AU34*'Verwerking Bouwdelen'!T18)</f>
        <v>0</v>
      </c>
      <c r="AW34" s="208">
        <f>IF($AT34=1,$AU34*'Verwerking Bouwdelen'!DM18,$AU34*'Verwerking Bouwdelen'!U18)</f>
        <v>0</v>
      </c>
      <c r="AX34" s="208">
        <f>IF($AT34=1,$AU34*'Verwerking Bouwdelen'!DN18,$AU34*'Verwerking Bouwdelen'!V18)</f>
        <v>0</v>
      </c>
      <c r="AY34" s="208">
        <f>IF($AT34=1,$AU34*'Verwerking Bouwdelen'!DO18,$AU34*'Verwerking Bouwdelen'!W18)</f>
        <v>0</v>
      </c>
      <c r="AZ34" s="208">
        <f>IF($AT34=1,$AU34*'Verwerking Bouwdelen'!DP18,$AU34*'Verwerking Bouwdelen'!X18)</f>
        <v>0</v>
      </c>
      <c r="BA34" s="208">
        <f>IF($AT34=1,$AU34*'Verwerking Bouwdelen'!DQ18,$AU34*'Verwerking Bouwdelen'!Y18)</f>
        <v>0</v>
      </c>
      <c r="BB34" s="208">
        <f>IF($AT34=1,$AU34*'Verwerking Bouwdelen'!DR18,$AU34*'Verwerking Bouwdelen'!Z18)</f>
        <v>0</v>
      </c>
      <c r="BC34" s="208">
        <f>IF($AT34=1,$AU34*'Verwerking Bouwdelen'!DS18,$AU34*'Verwerking Bouwdelen'!AA18)</f>
        <v>0</v>
      </c>
      <c r="BD34" s="208">
        <f>IF($AT34=1,$AU34*'Verwerking Bouwdelen'!DT18,$AU34*'Verwerking Bouwdelen'!AB18)</f>
        <v>0</v>
      </c>
      <c r="BE34" s="208">
        <f>IF($AT34=1,$AU34*'Verwerking Bouwdelen'!DU18,$AU34*'Verwerking Bouwdelen'!AC18)</f>
        <v>0</v>
      </c>
      <c r="BF34" s="208">
        <f>IF($AT34=1,$AU34*'Verwerking Bouwdelen'!DV18,$AU34*'Verwerking Bouwdelen'!AD18)</f>
        <v>0</v>
      </c>
      <c r="BG34" s="208">
        <f>IF($AT34=1,$AU34*'Verwerking Bouwdelen'!DW18,$AU34*'Verwerking Bouwdelen'!AE18)</f>
        <v>0</v>
      </c>
      <c r="BH34" s="10">
        <f>IF(AV34=B34,0,'Verwerking Bouwdelen'!D18*AT34*AU34)</f>
        <v>0</v>
      </c>
      <c r="BI34" s="10">
        <f>AT34*AU34*'Verwerking Bouwdelen'!GH18</f>
        <v>0</v>
      </c>
      <c r="BJ34" s="10"/>
      <c r="BK34" s="10"/>
      <c r="BM34" s="125">
        <f>IF('Verwerking Bouwdelen'!C18=5,1,0)</f>
        <v>0</v>
      </c>
      <c r="BN34" s="130">
        <f>IF('Verwerking Bouwdelen'!A18=3,1,0)</f>
        <v>0</v>
      </c>
      <c r="BO34" s="208">
        <f>IF($BM34=1,$BN34*'Verwerking Bouwdelen'!DL18,$BN34*'Verwerking Bouwdelen'!T18)</f>
        <v>0</v>
      </c>
      <c r="BP34" s="208">
        <f>IF($BM34=1,$BN34*'Verwerking Bouwdelen'!DM18,$BN34*'Verwerking Bouwdelen'!U18)</f>
        <v>0</v>
      </c>
      <c r="BQ34" s="208">
        <f>IF($BM34=1,$BN34*'Verwerking Bouwdelen'!DN18,$BN34*'Verwerking Bouwdelen'!V18)</f>
        <v>0</v>
      </c>
      <c r="BR34" s="208">
        <f>IF($BM34=1,$BN34*'Verwerking Bouwdelen'!DO18,$BN34*'Verwerking Bouwdelen'!W18)</f>
        <v>0</v>
      </c>
      <c r="BS34" s="208">
        <f>IF($BM34=1,$BN34*'Verwerking Bouwdelen'!DP18,$BN34*'Verwerking Bouwdelen'!X18)</f>
        <v>0</v>
      </c>
      <c r="BT34" s="208">
        <f>IF($BM34=1,$BN34*'Verwerking Bouwdelen'!DQ18,$BN34*'Verwerking Bouwdelen'!Y18)</f>
        <v>0</v>
      </c>
      <c r="BU34" s="208">
        <f>IF($BM34=1,$BN34*'Verwerking Bouwdelen'!DR18,$BN34*'Verwerking Bouwdelen'!Z18)</f>
        <v>0</v>
      </c>
      <c r="BV34" s="208">
        <f>IF($BM34=1,$BN34*'Verwerking Bouwdelen'!DS18,$BN34*'Verwerking Bouwdelen'!AA18)</f>
        <v>0</v>
      </c>
      <c r="BW34" s="208">
        <f>IF($BM34=1,$BN34*'Verwerking Bouwdelen'!DT18,$BN34*'Verwerking Bouwdelen'!AB18)</f>
        <v>0</v>
      </c>
      <c r="BX34" s="208">
        <f>IF($BM34=1,$BN34*'Verwerking Bouwdelen'!DU18,$BN34*'Verwerking Bouwdelen'!AC18)</f>
        <v>0</v>
      </c>
      <c r="BY34" s="208">
        <f>IF($BM34=1,$BN34*'Verwerking Bouwdelen'!DV18,$BN34*'Verwerking Bouwdelen'!AD18)</f>
        <v>0</v>
      </c>
      <c r="BZ34" s="208">
        <f>IF($BM34=1,$BN34*'Verwerking Bouwdelen'!DW18,$BN34*'Verwerking Bouwdelen'!AE18)</f>
        <v>0</v>
      </c>
      <c r="CA34" s="10">
        <f>IF(BO34=$B34,0,'Verwerking Bouwdelen'!$D18*BM34*BN34)</f>
        <v>0</v>
      </c>
      <c r="CB34" s="10">
        <f>BM34*BN34*'Verwerking Bouwdelen'!GH18</f>
        <v>0</v>
      </c>
      <c r="CC34" s="10"/>
      <c r="CD34" s="248"/>
      <c r="CE34" s="125">
        <f>IF('Verwerking Bouwdelen'!C18=2,1,0)</f>
        <v>0</v>
      </c>
      <c r="CF34" s="130">
        <f>IF('Verwerking Bouwdelen'!A18=3,1,0)</f>
        <v>0</v>
      </c>
      <c r="CG34" s="208">
        <f>IF($CE34=1,$CF34*'Verwerking Bouwdelen'!DL18,$CF34*'Verwerking Bouwdelen'!T18)</f>
        <v>0</v>
      </c>
      <c r="CH34" s="208">
        <f>IF($CE34=1,$CF34*'Verwerking Bouwdelen'!DM18,$CF34*'Verwerking Bouwdelen'!U18)</f>
        <v>0</v>
      </c>
      <c r="CI34" s="208">
        <f>IF($CE34=1,$CF34*'Verwerking Bouwdelen'!DN18,$CF34*'Verwerking Bouwdelen'!V18)</f>
        <v>0</v>
      </c>
      <c r="CJ34" s="208">
        <f>IF($CE34=1,$CF34*'Verwerking Bouwdelen'!DO18,$CF34*'Verwerking Bouwdelen'!W18)</f>
        <v>0</v>
      </c>
      <c r="CK34" s="208">
        <f>IF($CE34=1,$CF34*'Verwerking Bouwdelen'!DP18,$CF34*'Verwerking Bouwdelen'!X18)</f>
        <v>0</v>
      </c>
      <c r="CL34" s="208">
        <f>IF($CE34=1,$CF34*'Verwerking Bouwdelen'!DQ18,$CF34*'Verwerking Bouwdelen'!Y18)</f>
        <v>0</v>
      </c>
      <c r="CM34" s="208">
        <f>IF($CE34=1,$CF34*'Verwerking Bouwdelen'!DR18,$CF34*'Verwerking Bouwdelen'!Z18)</f>
        <v>0</v>
      </c>
      <c r="CN34" s="208">
        <f>IF($CE34=1,$CF34*'Verwerking Bouwdelen'!DS18,$CF34*'Verwerking Bouwdelen'!AA18)</f>
        <v>0</v>
      </c>
      <c r="CO34" s="208">
        <f>IF($CE34=1,$CF34*'Verwerking Bouwdelen'!DT18,$CF34*'Verwerking Bouwdelen'!AB18)</f>
        <v>0</v>
      </c>
      <c r="CP34" s="208">
        <f>IF($CE34=1,$CF34*'Verwerking Bouwdelen'!DU18,$CF34*'Verwerking Bouwdelen'!AC18)</f>
        <v>0</v>
      </c>
      <c r="CQ34" s="208">
        <f>IF($CE34=1,$CF34*'Verwerking Bouwdelen'!DV18,$CF34*'Verwerking Bouwdelen'!AD18)</f>
        <v>0</v>
      </c>
      <c r="CR34" s="208">
        <f>IF($CE34=1,$CF34*'Verwerking Bouwdelen'!DW18,$CF34*'Verwerking Bouwdelen'!AE18)</f>
        <v>0</v>
      </c>
      <c r="CS34" s="10">
        <f>IF(CG34=$B34,0,('Verwerking Bouwdelen'!$D18-'Verwerking Bouwdelen'!G18)*CE34*CF34)</f>
        <v>0</v>
      </c>
      <c r="CT34" s="260">
        <f>CE34*CF34*'Verwerking Bouwdelen'!GH18</f>
        <v>0</v>
      </c>
      <c r="CU34" s="261">
        <f>CE34*CF34*'Verwerking Bouwdelen'!GI18</f>
        <v>0</v>
      </c>
      <c r="CW34" s="209">
        <f>$AC34*'Verwerking Bouwdelen'!EE18</f>
        <v>0</v>
      </c>
      <c r="CX34" s="209">
        <f>$AC34*'Verwerking Bouwdelen'!EF18</f>
        <v>0</v>
      </c>
      <c r="CY34" s="209">
        <f>$AC34*'Verwerking Bouwdelen'!EG18</f>
        <v>0</v>
      </c>
      <c r="CZ34" s="209">
        <f>$AC34*'Verwerking Bouwdelen'!EH18</f>
        <v>0</v>
      </c>
      <c r="DA34" s="209">
        <f>$AC34*'Verwerking Bouwdelen'!EI18</f>
        <v>0</v>
      </c>
      <c r="DB34" s="209">
        <f>$AC34*'Verwerking Bouwdelen'!EJ18</f>
        <v>0</v>
      </c>
      <c r="DC34" s="209">
        <f>$AC34*'Verwerking Bouwdelen'!EK18</f>
        <v>0</v>
      </c>
      <c r="DD34" s="209">
        <f>$AC34*'Verwerking Bouwdelen'!EL18</f>
        <v>0</v>
      </c>
      <c r="DE34" s="209">
        <f>$AC34*'Verwerking Bouwdelen'!EM18</f>
        <v>0</v>
      </c>
      <c r="DF34" s="209">
        <f>$AC34*'Verwerking Bouwdelen'!EN18</f>
        <v>0</v>
      </c>
      <c r="DG34" s="209">
        <f>$AC34*'Verwerking Bouwdelen'!EO18</f>
        <v>0</v>
      </c>
      <c r="DH34" s="209">
        <f>$AC34*'Verwerking Bouwdelen'!EP18</f>
        <v>0</v>
      </c>
      <c r="DI34" s="10">
        <f>IF(CW34=$O34,0,'Verwerking Bouwdelen'!G18)</f>
        <v>0</v>
      </c>
      <c r="DJ34" s="259">
        <f>'Verwerking Bouwdelen'!GK18*CF34</f>
        <v>0</v>
      </c>
      <c r="DK34" s="259">
        <f>'Verwerking Bouwdelen'!GL18*CF34</f>
        <v>0</v>
      </c>
      <c r="DL34" s="125"/>
      <c r="GM34" s="89">
        <f t="shared" si="13"/>
        <v>0</v>
      </c>
      <c r="GN34" s="89">
        <f t="shared" si="14"/>
        <v>0</v>
      </c>
      <c r="GO34" s="208">
        <f>IF($GN34=1,$GN34*$GM34*'Verwerking Bouwdelen'!DL18,$GN34*$GM34*'Verwerking Bouwdelen'!T18)</f>
        <v>0</v>
      </c>
      <c r="GP34" s="208">
        <f>IF($GN34=1,$GN34*$GM34*'Verwerking Bouwdelen'!DM18,$GN34*$GM34*'Verwerking Bouwdelen'!U18)</f>
        <v>0</v>
      </c>
      <c r="GQ34" s="208">
        <f>IF($GN34=1,$GN34*$GM34*'Verwerking Bouwdelen'!DN18,$GN34*$GM34*'Verwerking Bouwdelen'!V18)</f>
        <v>0</v>
      </c>
      <c r="GR34" s="208">
        <f>IF($GN34=1,$GN34*$GM34*'Verwerking Bouwdelen'!DO18,$GN34*$GM34*'Verwerking Bouwdelen'!W18)</f>
        <v>0</v>
      </c>
      <c r="GS34" s="208">
        <f>IF($GN34=1,$GN34*$GM34*'Verwerking Bouwdelen'!DP18,$GN34*$GM34*'Verwerking Bouwdelen'!X18)</f>
        <v>0</v>
      </c>
      <c r="GT34" s="208">
        <f>IF($GN34=1,$GN34*$GM34*'Verwerking Bouwdelen'!DQ18,$GN34*$GM34*'Verwerking Bouwdelen'!Y18)</f>
        <v>0</v>
      </c>
      <c r="GU34" s="208">
        <f>IF($GN34=1,$GN34*$GM34*'Verwerking Bouwdelen'!DR18,$GN34*$GM34*'Verwerking Bouwdelen'!Z18)</f>
        <v>0</v>
      </c>
      <c r="GV34" s="208">
        <f>IF($GN34=1,$GN34*$GM34*'Verwerking Bouwdelen'!DS18,$GN34*$GM34*'Verwerking Bouwdelen'!AA18)</f>
        <v>0</v>
      </c>
      <c r="GW34" s="208">
        <f>IF($GN34=1,$GN34*$GM34*'Verwerking Bouwdelen'!DT18,$GN34*$GM34*'Verwerking Bouwdelen'!AB18)</f>
        <v>0</v>
      </c>
      <c r="GX34" s="208">
        <f>IF($GN34=1,$GN34*$GM34*'Verwerking Bouwdelen'!DU18,$GN34*$GM34*'Verwerking Bouwdelen'!AC18)</f>
        <v>0</v>
      </c>
      <c r="GY34" s="208">
        <f>IF($GN34=1,$GN34*$GM34*'Verwerking Bouwdelen'!DV18,$GN34*$GM34*'Verwerking Bouwdelen'!AD18)</f>
        <v>0</v>
      </c>
      <c r="GZ34" s="208">
        <f>IF($GN34=1,$GN34*$GM34*'Verwerking Bouwdelen'!DW18,$GN34*$GM34*'Verwerking Bouwdelen'!AE18)</f>
        <v>0</v>
      </c>
      <c r="HB34" s="89">
        <f t="shared" si="1"/>
        <v>0</v>
      </c>
      <c r="HC34" s="89">
        <f t="shared" si="2"/>
        <v>0</v>
      </c>
      <c r="HD34" s="89">
        <f t="shared" si="3"/>
        <v>0</v>
      </c>
      <c r="HE34" s="89">
        <f t="shared" si="4"/>
        <v>0</v>
      </c>
      <c r="HF34" s="89">
        <f t="shared" si="5"/>
        <v>0</v>
      </c>
      <c r="HG34" s="89">
        <f t="shared" si="6"/>
        <v>0</v>
      </c>
      <c r="HH34" s="89">
        <f t="shared" si="7"/>
        <v>0</v>
      </c>
      <c r="HI34" s="89">
        <f t="shared" si="8"/>
        <v>0</v>
      </c>
      <c r="HJ34" s="89">
        <f t="shared" si="9"/>
        <v>0</v>
      </c>
      <c r="HK34" s="89">
        <f t="shared" si="10"/>
        <v>0</v>
      </c>
      <c r="HL34" s="89">
        <f t="shared" si="11"/>
        <v>0</v>
      </c>
      <c r="HM34" s="89">
        <f t="shared" si="12"/>
        <v>0</v>
      </c>
    </row>
    <row r="35" spans="1:221" x14ac:dyDescent="0.2">
      <c r="A35" s="130">
        <f>IF('Verwerking Bouwdelen'!A19=3,1,0)</f>
        <v>0</v>
      </c>
      <c r="B35" s="208">
        <f>$A35*'Verwerking Bouwdelen'!T19</f>
        <v>0</v>
      </c>
      <c r="C35" s="208">
        <f>$A35*'Verwerking Bouwdelen'!U19</f>
        <v>0</v>
      </c>
      <c r="D35" s="208">
        <f>$A35*'Verwerking Bouwdelen'!V19</f>
        <v>0</v>
      </c>
      <c r="E35" s="208">
        <f>$A35*'Verwerking Bouwdelen'!W19</f>
        <v>0</v>
      </c>
      <c r="F35" s="208">
        <f>$A35*'Verwerking Bouwdelen'!X19</f>
        <v>0</v>
      </c>
      <c r="G35" s="208">
        <f>$A35*'Verwerking Bouwdelen'!Y19</f>
        <v>0</v>
      </c>
      <c r="H35" s="208">
        <f>$A35*'Verwerking Bouwdelen'!Z19</f>
        <v>0</v>
      </c>
      <c r="I35" s="208">
        <f>$A35*'Verwerking Bouwdelen'!AA19</f>
        <v>0</v>
      </c>
      <c r="J35" s="208">
        <f>$A35*'Verwerking Bouwdelen'!AB19</f>
        <v>0</v>
      </c>
      <c r="K35" s="208">
        <f>$A35*'Verwerking Bouwdelen'!AC19</f>
        <v>0</v>
      </c>
      <c r="L35" s="208">
        <f>$A35*'Verwerking Bouwdelen'!AD19</f>
        <v>0</v>
      </c>
      <c r="M35" s="208">
        <f>$A35*'Verwerking Bouwdelen'!AE19</f>
        <v>0</v>
      </c>
      <c r="O35" s="114">
        <f>$A35*'Verwerking Bouwdelen'!AU19</f>
        <v>0</v>
      </c>
      <c r="P35" s="125">
        <f>$A35*'Verwerking Bouwdelen'!AV19</f>
        <v>0</v>
      </c>
      <c r="Q35" s="125">
        <f>$A35*'Verwerking Bouwdelen'!AW19</f>
        <v>0</v>
      </c>
      <c r="R35" s="125">
        <f>$A35*'Verwerking Bouwdelen'!AX19</f>
        <v>0</v>
      </c>
      <c r="S35" s="125">
        <f>$A35*'Verwerking Bouwdelen'!AY19</f>
        <v>0</v>
      </c>
      <c r="T35" s="125">
        <f>$A35*'Verwerking Bouwdelen'!AZ19</f>
        <v>0</v>
      </c>
      <c r="U35" s="125">
        <f>$A35*'Verwerking Bouwdelen'!BA19</f>
        <v>0</v>
      </c>
      <c r="V35" s="125">
        <f>$A35*'Verwerking Bouwdelen'!BB19</f>
        <v>0</v>
      </c>
      <c r="W35" s="125">
        <f>$A35*'Verwerking Bouwdelen'!BC19</f>
        <v>0</v>
      </c>
      <c r="X35" s="125">
        <f>$A35*'Verwerking Bouwdelen'!BD19</f>
        <v>0</v>
      </c>
      <c r="Y35" s="125">
        <f>$A35*'Verwerking Bouwdelen'!BE19</f>
        <v>0</v>
      </c>
      <c r="Z35" s="195">
        <f>$A35*'Verwerking Bouwdelen'!BF19</f>
        <v>0</v>
      </c>
      <c r="AB35" s="125">
        <f>IF(OR('Verwerking Bouwdelen'!C19=3,'Verwerking Bouwdelen'!C19=6),1,0)</f>
        <v>0</v>
      </c>
      <c r="AC35" s="130">
        <f>IF('Verwerking Bouwdelen'!A19=3,1,0)</f>
        <v>0</v>
      </c>
      <c r="AD35" s="208">
        <f>IF($AB35=1,$AC35*'Verwerking Bouwdelen'!DL19,$AC35*'Verwerking Bouwdelen'!T19)</f>
        <v>0</v>
      </c>
      <c r="AE35" s="208">
        <f>IF($AB35=1,$AC35*'Verwerking Bouwdelen'!DM19,$AC35*'Verwerking Bouwdelen'!U19)</f>
        <v>0</v>
      </c>
      <c r="AF35" s="208">
        <f>IF($AB35=1,$AC35*'Verwerking Bouwdelen'!DN19,$AC35*'Verwerking Bouwdelen'!V19)</f>
        <v>0</v>
      </c>
      <c r="AG35" s="208">
        <f>IF($AB35=1,$AC35*'Verwerking Bouwdelen'!DO19,$AC35*'Verwerking Bouwdelen'!W19)</f>
        <v>0</v>
      </c>
      <c r="AH35" s="208">
        <f>IF($AB35=1,$AC35*'Verwerking Bouwdelen'!DP19,$AC35*'Verwerking Bouwdelen'!X19)</f>
        <v>0</v>
      </c>
      <c r="AI35" s="208">
        <f>IF($AB35=1,$AC35*'Verwerking Bouwdelen'!DQ19,$AC35*'Verwerking Bouwdelen'!Y19)</f>
        <v>0</v>
      </c>
      <c r="AJ35" s="208">
        <f>IF($AB35=1,$AC35*'Verwerking Bouwdelen'!DR19,$AC35*'Verwerking Bouwdelen'!Z19)</f>
        <v>0</v>
      </c>
      <c r="AK35" s="208">
        <f>IF($AB35=1,$AC35*'Verwerking Bouwdelen'!DS19,$AC35*'Verwerking Bouwdelen'!AA19)</f>
        <v>0</v>
      </c>
      <c r="AL35" s="208">
        <f>IF($AB35=1,$AC35*'Verwerking Bouwdelen'!DT19,$AC35*'Verwerking Bouwdelen'!AB19)</f>
        <v>0</v>
      </c>
      <c r="AM35" s="208">
        <f>IF($AB35=1,$AC35*'Verwerking Bouwdelen'!DU19,$AC35*'Verwerking Bouwdelen'!AC19)</f>
        <v>0</v>
      </c>
      <c r="AN35" s="208">
        <f>IF($AB35=1,$AC35*'Verwerking Bouwdelen'!DV19,$AC35*'Verwerking Bouwdelen'!AD19)</f>
        <v>0</v>
      </c>
      <c r="AO35" s="208">
        <f>IF($AB35=1,$AC35*'Verwerking Bouwdelen'!DW19,$AC35*'Verwerking Bouwdelen'!AE19)</f>
        <v>0</v>
      </c>
      <c r="AP35" s="10">
        <f>IF(AD35=B35,0,'Verwerking Bouwdelen'!D19*AB35*AC35)</f>
        <v>0</v>
      </c>
      <c r="AQ35" s="10">
        <f>AB35*AC35*'Verwerking Bouwdelen'!GH19</f>
        <v>0</v>
      </c>
      <c r="AR35" s="10"/>
      <c r="AS35" s="248"/>
      <c r="AT35" s="125">
        <f>IF('Verwerking Bouwdelen'!C19=4,1,0)</f>
        <v>0</v>
      </c>
      <c r="AU35" s="130">
        <f>IF('Verwerking Bouwdelen'!A19=3,1,0)</f>
        <v>0</v>
      </c>
      <c r="AV35" s="208">
        <f>IF($AT35=1,$AU35*'Verwerking Bouwdelen'!DL19,$AU35*'Verwerking Bouwdelen'!T19)</f>
        <v>0</v>
      </c>
      <c r="AW35" s="208">
        <f>IF($AT35=1,$AU35*'Verwerking Bouwdelen'!DM19,$AU35*'Verwerking Bouwdelen'!U19)</f>
        <v>0</v>
      </c>
      <c r="AX35" s="208">
        <f>IF($AT35=1,$AU35*'Verwerking Bouwdelen'!DN19,$AU35*'Verwerking Bouwdelen'!V19)</f>
        <v>0</v>
      </c>
      <c r="AY35" s="208">
        <f>IF($AT35=1,$AU35*'Verwerking Bouwdelen'!DO19,$AU35*'Verwerking Bouwdelen'!W19)</f>
        <v>0</v>
      </c>
      <c r="AZ35" s="208">
        <f>IF($AT35=1,$AU35*'Verwerking Bouwdelen'!DP19,$AU35*'Verwerking Bouwdelen'!X19)</f>
        <v>0</v>
      </c>
      <c r="BA35" s="208">
        <f>IF($AT35=1,$AU35*'Verwerking Bouwdelen'!DQ19,$AU35*'Verwerking Bouwdelen'!Y19)</f>
        <v>0</v>
      </c>
      <c r="BB35" s="208">
        <f>IF($AT35=1,$AU35*'Verwerking Bouwdelen'!DR19,$AU35*'Verwerking Bouwdelen'!Z19)</f>
        <v>0</v>
      </c>
      <c r="BC35" s="208">
        <f>IF($AT35=1,$AU35*'Verwerking Bouwdelen'!DS19,$AU35*'Verwerking Bouwdelen'!AA19)</f>
        <v>0</v>
      </c>
      <c r="BD35" s="208">
        <f>IF($AT35=1,$AU35*'Verwerking Bouwdelen'!DT19,$AU35*'Verwerking Bouwdelen'!AB19)</f>
        <v>0</v>
      </c>
      <c r="BE35" s="208">
        <f>IF($AT35=1,$AU35*'Verwerking Bouwdelen'!DU19,$AU35*'Verwerking Bouwdelen'!AC19)</f>
        <v>0</v>
      </c>
      <c r="BF35" s="208">
        <f>IF($AT35=1,$AU35*'Verwerking Bouwdelen'!DV19,$AU35*'Verwerking Bouwdelen'!AD19)</f>
        <v>0</v>
      </c>
      <c r="BG35" s="208">
        <f>IF($AT35=1,$AU35*'Verwerking Bouwdelen'!DW19,$AU35*'Verwerking Bouwdelen'!AE19)</f>
        <v>0</v>
      </c>
      <c r="BH35" s="10">
        <f>IF(AV35=B35,0,'Verwerking Bouwdelen'!D19*AT35*AU35)</f>
        <v>0</v>
      </c>
      <c r="BI35" s="10">
        <f>AT35*AU35*'Verwerking Bouwdelen'!GH19</f>
        <v>0</v>
      </c>
      <c r="BJ35" s="10"/>
      <c r="BK35" s="10"/>
      <c r="BM35" s="125">
        <f>IF('Verwerking Bouwdelen'!C19=5,1,0)</f>
        <v>0</v>
      </c>
      <c r="BN35" s="130">
        <f>IF('Verwerking Bouwdelen'!A19=3,1,0)</f>
        <v>0</v>
      </c>
      <c r="BO35" s="208">
        <f>IF($BM35=1,$BN35*'Verwerking Bouwdelen'!DL19,$BN35*'Verwerking Bouwdelen'!T19)</f>
        <v>0</v>
      </c>
      <c r="BP35" s="208">
        <f>IF($BM35=1,$BN35*'Verwerking Bouwdelen'!DM19,$BN35*'Verwerking Bouwdelen'!U19)</f>
        <v>0</v>
      </c>
      <c r="BQ35" s="208">
        <f>IF($BM35=1,$BN35*'Verwerking Bouwdelen'!DN19,$BN35*'Verwerking Bouwdelen'!V19)</f>
        <v>0</v>
      </c>
      <c r="BR35" s="208">
        <f>IF($BM35=1,$BN35*'Verwerking Bouwdelen'!DO19,$BN35*'Verwerking Bouwdelen'!W19)</f>
        <v>0</v>
      </c>
      <c r="BS35" s="208">
        <f>IF($BM35=1,$BN35*'Verwerking Bouwdelen'!DP19,$BN35*'Verwerking Bouwdelen'!X19)</f>
        <v>0</v>
      </c>
      <c r="BT35" s="208">
        <f>IF($BM35=1,$BN35*'Verwerking Bouwdelen'!DQ19,$BN35*'Verwerking Bouwdelen'!Y19)</f>
        <v>0</v>
      </c>
      <c r="BU35" s="208">
        <f>IF($BM35=1,$BN35*'Verwerking Bouwdelen'!DR19,$BN35*'Verwerking Bouwdelen'!Z19)</f>
        <v>0</v>
      </c>
      <c r="BV35" s="208">
        <f>IF($BM35=1,$BN35*'Verwerking Bouwdelen'!DS19,$BN35*'Verwerking Bouwdelen'!AA19)</f>
        <v>0</v>
      </c>
      <c r="BW35" s="208">
        <f>IF($BM35=1,$BN35*'Verwerking Bouwdelen'!DT19,$BN35*'Verwerking Bouwdelen'!AB19)</f>
        <v>0</v>
      </c>
      <c r="BX35" s="208">
        <f>IF($BM35=1,$BN35*'Verwerking Bouwdelen'!DU19,$BN35*'Verwerking Bouwdelen'!AC19)</f>
        <v>0</v>
      </c>
      <c r="BY35" s="208">
        <f>IF($BM35=1,$BN35*'Verwerking Bouwdelen'!DV19,$BN35*'Verwerking Bouwdelen'!AD19)</f>
        <v>0</v>
      </c>
      <c r="BZ35" s="208">
        <f>IF($BM35=1,$BN35*'Verwerking Bouwdelen'!DW19,$BN35*'Verwerking Bouwdelen'!AE19)</f>
        <v>0</v>
      </c>
      <c r="CA35" s="10">
        <f>IF(BO35=$B35,0,'Verwerking Bouwdelen'!$D19*BM35*BN35)</f>
        <v>0</v>
      </c>
      <c r="CB35" s="10">
        <f>BM35*BN35*'Verwerking Bouwdelen'!GH19</f>
        <v>0</v>
      </c>
      <c r="CC35" s="10"/>
      <c r="CD35" s="248"/>
      <c r="CE35" s="125">
        <f>IF('Verwerking Bouwdelen'!C19=2,1,0)</f>
        <v>0</v>
      </c>
      <c r="CF35" s="130">
        <f>IF('Verwerking Bouwdelen'!A19=3,1,0)</f>
        <v>0</v>
      </c>
      <c r="CG35" s="208">
        <f>IF($CE35=1,$CF35*'Verwerking Bouwdelen'!DL19,$CF35*'Verwerking Bouwdelen'!T19)</f>
        <v>0</v>
      </c>
      <c r="CH35" s="208">
        <f>IF($CE35=1,$CF35*'Verwerking Bouwdelen'!DM19,$CF35*'Verwerking Bouwdelen'!U19)</f>
        <v>0</v>
      </c>
      <c r="CI35" s="208">
        <f>IF($CE35=1,$CF35*'Verwerking Bouwdelen'!DN19,$CF35*'Verwerking Bouwdelen'!V19)</f>
        <v>0</v>
      </c>
      <c r="CJ35" s="208">
        <f>IF($CE35=1,$CF35*'Verwerking Bouwdelen'!DO19,$CF35*'Verwerking Bouwdelen'!W19)</f>
        <v>0</v>
      </c>
      <c r="CK35" s="208">
        <f>IF($CE35=1,$CF35*'Verwerking Bouwdelen'!DP19,$CF35*'Verwerking Bouwdelen'!X19)</f>
        <v>0</v>
      </c>
      <c r="CL35" s="208">
        <f>IF($CE35=1,$CF35*'Verwerking Bouwdelen'!DQ19,$CF35*'Verwerking Bouwdelen'!Y19)</f>
        <v>0</v>
      </c>
      <c r="CM35" s="208">
        <f>IF($CE35=1,$CF35*'Verwerking Bouwdelen'!DR19,$CF35*'Verwerking Bouwdelen'!Z19)</f>
        <v>0</v>
      </c>
      <c r="CN35" s="208">
        <f>IF($CE35=1,$CF35*'Verwerking Bouwdelen'!DS19,$CF35*'Verwerking Bouwdelen'!AA19)</f>
        <v>0</v>
      </c>
      <c r="CO35" s="208">
        <f>IF($CE35=1,$CF35*'Verwerking Bouwdelen'!DT19,$CF35*'Verwerking Bouwdelen'!AB19)</f>
        <v>0</v>
      </c>
      <c r="CP35" s="208">
        <f>IF($CE35=1,$CF35*'Verwerking Bouwdelen'!DU19,$CF35*'Verwerking Bouwdelen'!AC19)</f>
        <v>0</v>
      </c>
      <c r="CQ35" s="208">
        <f>IF($CE35=1,$CF35*'Verwerking Bouwdelen'!DV19,$CF35*'Verwerking Bouwdelen'!AD19)</f>
        <v>0</v>
      </c>
      <c r="CR35" s="208">
        <f>IF($CE35=1,$CF35*'Verwerking Bouwdelen'!DW19,$CF35*'Verwerking Bouwdelen'!AE19)</f>
        <v>0</v>
      </c>
      <c r="CS35" s="10">
        <f>IF(CG35=$B35,0,('Verwerking Bouwdelen'!$D19-'Verwerking Bouwdelen'!G19)*CE35*CF35)</f>
        <v>0</v>
      </c>
      <c r="CT35" s="260">
        <f>CE35*CF35*'Verwerking Bouwdelen'!GH19</f>
        <v>0</v>
      </c>
      <c r="CU35" s="261">
        <f>CE35*CF35*'Verwerking Bouwdelen'!GI19</f>
        <v>0</v>
      </c>
      <c r="CW35" s="209">
        <f>$AC35*'Verwerking Bouwdelen'!EE19</f>
        <v>0</v>
      </c>
      <c r="CX35" s="209">
        <f>$AC35*'Verwerking Bouwdelen'!EF19</f>
        <v>0</v>
      </c>
      <c r="CY35" s="209">
        <f>$AC35*'Verwerking Bouwdelen'!EG19</f>
        <v>0</v>
      </c>
      <c r="CZ35" s="209">
        <f>$AC35*'Verwerking Bouwdelen'!EH19</f>
        <v>0</v>
      </c>
      <c r="DA35" s="209">
        <f>$AC35*'Verwerking Bouwdelen'!EI19</f>
        <v>0</v>
      </c>
      <c r="DB35" s="209">
        <f>$AC35*'Verwerking Bouwdelen'!EJ19</f>
        <v>0</v>
      </c>
      <c r="DC35" s="209">
        <f>$AC35*'Verwerking Bouwdelen'!EK19</f>
        <v>0</v>
      </c>
      <c r="DD35" s="209">
        <f>$AC35*'Verwerking Bouwdelen'!EL19</f>
        <v>0</v>
      </c>
      <c r="DE35" s="209">
        <f>$AC35*'Verwerking Bouwdelen'!EM19</f>
        <v>0</v>
      </c>
      <c r="DF35" s="209">
        <f>$AC35*'Verwerking Bouwdelen'!EN19</f>
        <v>0</v>
      </c>
      <c r="DG35" s="209">
        <f>$AC35*'Verwerking Bouwdelen'!EO19</f>
        <v>0</v>
      </c>
      <c r="DH35" s="209">
        <f>$AC35*'Verwerking Bouwdelen'!EP19</f>
        <v>0</v>
      </c>
      <c r="DI35" s="10">
        <f>IF(CW35=$O35,0,'Verwerking Bouwdelen'!G19)</f>
        <v>0</v>
      </c>
      <c r="DJ35" s="259">
        <f>'Verwerking Bouwdelen'!GK19*CF35</f>
        <v>0</v>
      </c>
      <c r="DK35" s="259">
        <f>'Verwerking Bouwdelen'!GL19*CF35</f>
        <v>0</v>
      </c>
      <c r="DL35" s="125"/>
      <c r="GM35" s="89">
        <f t="shared" si="13"/>
        <v>0</v>
      </c>
      <c r="GN35" s="89">
        <f t="shared" si="14"/>
        <v>0</v>
      </c>
      <c r="GO35" s="208">
        <f>IF($GN35=1,$GN35*$GM35*'Verwerking Bouwdelen'!DL19,$GN35*$GM35*'Verwerking Bouwdelen'!T19)</f>
        <v>0</v>
      </c>
      <c r="GP35" s="208">
        <f>IF($GN35=1,$GN35*$GM35*'Verwerking Bouwdelen'!DM19,$GN35*$GM35*'Verwerking Bouwdelen'!U19)</f>
        <v>0</v>
      </c>
      <c r="GQ35" s="208">
        <f>IF($GN35=1,$GN35*$GM35*'Verwerking Bouwdelen'!DN19,$GN35*$GM35*'Verwerking Bouwdelen'!V19)</f>
        <v>0</v>
      </c>
      <c r="GR35" s="208">
        <f>IF($GN35=1,$GN35*$GM35*'Verwerking Bouwdelen'!DO19,$GN35*$GM35*'Verwerking Bouwdelen'!W19)</f>
        <v>0</v>
      </c>
      <c r="GS35" s="208">
        <f>IF($GN35=1,$GN35*$GM35*'Verwerking Bouwdelen'!DP19,$GN35*$GM35*'Verwerking Bouwdelen'!X19)</f>
        <v>0</v>
      </c>
      <c r="GT35" s="208">
        <f>IF($GN35=1,$GN35*$GM35*'Verwerking Bouwdelen'!DQ19,$GN35*$GM35*'Verwerking Bouwdelen'!Y19)</f>
        <v>0</v>
      </c>
      <c r="GU35" s="208">
        <f>IF($GN35=1,$GN35*$GM35*'Verwerking Bouwdelen'!DR19,$GN35*$GM35*'Verwerking Bouwdelen'!Z19)</f>
        <v>0</v>
      </c>
      <c r="GV35" s="208">
        <f>IF($GN35=1,$GN35*$GM35*'Verwerking Bouwdelen'!DS19,$GN35*$GM35*'Verwerking Bouwdelen'!AA19)</f>
        <v>0</v>
      </c>
      <c r="GW35" s="208">
        <f>IF($GN35=1,$GN35*$GM35*'Verwerking Bouwdelen'!DT19,$GN35*$GM35*'Verwerking Bouwdelen'!AB19)</f>
        <v>0</v>
      </c>
      <c r="GX35" s="208">
        <f>IF($GN35=1,$GN35*$GM35*'Verwerking Bouwdelen'!DU19,$GN35*$GM35*'Verwerking Bouwdelen'!AC19)</f>
        <v>0</v>
      </c>
      <c r="GY35" s="208">
        <f>IF($GN35=1,$GN35*$GM35*'Verwerking Bouwdelen'!DV19,$GN35*$GM35*'Verwerking Bouwdelen'!AD19)</f>
        <v>0</v>
      </c>
      <c r="GZ35" s="208">
        <f>IF($GN35=1,$GN35*$GM35*'Verwerking Bouwdelen'!DW19,$GN35*$GM35*'Verwerking Bouwdelen'!AE19)</f>
        <v>0</v>
      </c>
      <c r="HB35" s="89">
        <f t="shared" si="1"/>
        <v>0</v>
      </c>
      <c r="HC35" s="89">
        <f t="shared" si="2"/>
        <v>0</v>
      </c>
      <c r="HD35" s="89">
        <f t="shared" si="3"/>
        <v>0</v>
      </c>
      <c r="HE35" s="89">
        <f t="shared" si="4"/>
        <v>0</v>
      </c>
      <c r="HF35" s="89">
        <f t="shared" si="5"/>
        <v>0</v>
      </c>
      <c r="HG35" s="89">
        <f t="shared" si="6"/>
        <v>0</v>
      </c>
      <c r="HH35" s="89">
        <f t="shared" si="7"/>
        <v>0</v>
      </c>
      <c r="HI35" s="89">
        <f t="shared" si="8"/>
        <v>0</v>
      </c>
      <c r="HJ35" s="89">
        <f t="shared" si="9"/>
        <v>0</v>
      </c>
      <c r="HK35" s="89">
        <f t="shared" si="10"/>
        <v>0</v>
      </c>
      <c r="HL35" s="89">
        <f t="shared" si="11"/>
        <v>0</v>
      </c>
      <c r="HM35" s="89">
        <f t="shared" si="12"/>
        <v>0</v>
      </c>
    </row>
    <row r="36" spans="1:221" x14ac:dyDescent="0.2">
      <c r="A36" s="130">
        <f>IF('Verwerking Bouwdelen'!A20=3,1,0)</f>
        <v>0</v>
      </c>
      <c r="B36" s="208">
        <f>$A36*'Verwerking Bouwdelen'!T20</f>
        <v>0</v>
      </c>
      <c r="C36" s="208">
        <f>$A36*'Verwerking Bouwdelen'!U20</f>
        <v>0</v>
      </c>
      <c r="D36" s="208">
        <f>$A36*'Verwerking Bouwdelen'!V20</f>
        <v>0</v>
      </c>
      <c r="E36" s="208">
        <f>$A36*'Verwerking Bouwdelen'!W20</f>
        <v>0</v>
      </c>
      <c r="F36" s="208">
        <f>$A36*'Verwerking Bouwdelen'!X20</f>
        <v>0</v>
      </c>
      <c r="G36" s="208">
        <f>$A36*'Verwerking Bouwdelen'!Y20</f>
        <v>0</v>
      </c>
      <c r="H36" s="208">
        <f>$A36*'Verwerking Bouwdelen'!Z20</f>
        <v>0</v>
      </c>
      <c r="I36" s="208">
        <f>$A36*'Verwerking Bouwdelen'!AA20</f>
        <v>0</v>
      </c>
      <c r="J36" s="208">
        <f>$A36*'Verwerking Bouwdelen'!AB20</f>
        <v>0</v>
      </c>
      <c r="K36" s="208">
        <f>$A36*'Verwerking Bouwdelen'!AC20</f>
        <v>0</v>
      </c>
      <c r="L36" s="208">
        <f>$A36*'Verwerking Bouwdelen'!AD20</f>
        <v>0</v>
      </c>
      <c r="M36" s="208">
        <f>$A36*'Verwerking Bouwdelen'!AE20</f>
        <v>0</v>
      </c>
      <c r="O36" s="114">
        <f>$A36*'Verwerking Bouwdelen'!AU20</f>
        <v>0</v>
      </c>
      <c r="P36" s="125">
        <f>$A36*'Verwerking Bouwdelen'!AV20</f>
        <v>0</v>
      </c>
      <c r="Q36" s="125">
        <f>$A36*'Verwerking Bouwdelen'!AW20</f>
        <v>0</v>
      </c>
      <c r="R36" s="125">
        <f>$A36*'Verwerking Bouwdelen'!AX20</f>
        <v>0</v>
      </c>
      <c r="S36" s="125">
        <f>$A36*'Verwerking Bouwdelen'!AY20</f>
        <v>0</v>
      </c>
      <c r="T36" s="125">
        <f>$A36*'Verwerking Bouwdelen'!AZ20</f>
        <v>0</v>
      </c>
      <c r="U36" s="125">
        <f>$A36*'Verwerking Bouwdelen'!BA20</f>
        <v>0</v>
      </c>
      <c r="V36" s="125">
        <f>$A36*'Verwerking Bouwdelen'!BB20</f>
        <v>0</v>
      </c>
      <c r="W36" s="125">
        <f>$A36*'Verwerking Bouwdelen'!BC20</f>
        <v>0</v>
      </c>
      <c r="X36" s="125">
        <f>$A36*'Verwerking Bouwdelen'!BD20</f>
        <v>0</v>
      </c>
      <c r="Y36" s="125">
        <f>$A36*'Verwerking Bouwdelen'!BE20</f>
        <v>0</v>
      </c>
      <c r="Z36" s="195">
        <f>$A36*'Verwerking Bouwdelen'!BF20</f>
        <v>0</v>
      </c>
      <c r="AB36" s="125">
        <f>IF(OR('Verwerking Bouwdelen'!C20=3,'Verwerking Bouwdelen'!C20=6),1,0)</f>
        <v>0</v>
      </c>
      <c r="AC36" s="130">
        <f>IF('Verwerking Bouwdelen'!A20=3,1,0)</f>
        <v>0</v>
      </c>
      <c r="AD36" s="208">
        <f>IF($AB36=1,$AC36*'Verwerking Bouwdelen'!DL20,$AC36*'Verwerking Bouwdelen'!T20)</f>
        <v>0</v>
      </c>
      <c r="AE36" s="208">
        <f>IF($AB36=1,$AC36*'Verwerking Bouwdelen'!DM20,$AC36*'Verwerking Bouwdelen'!U20)</f>
        <v>0</v>
      </c>
      <c r="AF36" s="208">
        <f>IF($AB36=1,$AC36*'Verwerking Bouwdelen'!DN20,$AC36*'Verwerking Bouwdelen'!V20)</f>
        <v>0</v>
      </c>
      <c r="AG36" s="208">
        <f>IF($AB36=1,$AC36*'Verwerking Bouwdelen'!DO20,$AC36*'Verwerking Bouwdelen'!W20)</f>
        <v>0</v>
      </c>
      <c r="AH36" s="208">
        <f>IF($AB36=1,$AC36*'Verwerking Bouwdelen'!DP20,$AC36*'Verwerking Bouwdelen'!X20)</f>
        <v>0</v>
      </c>
      <c r="AI36" s="208">
        <f>IF($AB36=1,$AC36*'Verwerking Bouwdelen'!DQ20,$AC36*'Verwerking Bouwdelen'!Y20)</f>
        <v>0</v>
      </c>
      <c r="AJ36" s="208">
        <f>IF($AB36=1,$AC36*'Verwerking Bouwdelen'!DR20,$AC36*'Verwerking Bouwdelen'!Z20)</f>
        <v>0</v>
      </c>
      <c r="AK36" s="208">
        <f>IF($AB36=1,$AC36*'Verwerking Bouwdelen'!DS20,$AC36*'Verwerking Bouwdelen'!AA20)</f>
        <v>0</v>
      </c>
      <c r="AL36" s="208">
        <f>IF($AB36=1,$AC36*'Verwerking Bouwdelen'!DT20,$AC36*'Verwerking Bouwdelen'!AB20)</f>
        <v>0</v>
      </c>
      <c r="AM36" s="208">
        <f>IF($AB36=1,$AC36*'Verwerking Bouwdelen'!DU20,$AC36*'Verwerking Bouwdelen'!AC20)</f>
        <v>0</v>
      </c>
      <c r="AN36" s="208">
        <f>IF($AB36=1,$AC36*'Verwerking Bouwdelen'!DV20,$AC36*'Verwerking Bouwdelen'!AD20)</f>
        <v>0</v>
      </c>
      <c r="AO36" s="208">
        <f>IF($AB36=1,$AC36*'Verwerking Bouwdelen'!DW20,$AC36*'Verwerking Bouwdelen'!AE20)</f>
        <v>0</v>
      </c>
      <c r="AP36" s="10">
        <f>IF(AD36=B36,0,'Verwerking Bouwdelen'!D20*AB36*AC36)</f>
        <v>0</v>
      </c>
      <c r="AQ36" s="10">
        <f>AB36*AC36*'Verwerking Bouwdelen'!GH20</f>
        <v>0</v>
      </c>
      <c r="AR36" s="10"/>
      <c r="AS36" s="248"/>
      <c r="AT36" s="125">
        <f>IF('Verwerking Bouwdelen'!C20=4,1,0)</f>
        <v>0</v>
      </c>
      <c r="AU36" s="130">
        <f>IF('Verwerking Bouwdelen'!A20=3,1,0)</f>
        <v>0</v>
      </c>
      <c r="AV36" s="208">
        <f>IF($AT36=1,$AU36*'Verwerking Bouwdelen'!DL20,$AU36*'Verwerking Bouwdelen'!T20)</f>
        <v>0</v>
      </c>
      <c r="AW36" s="208">
        <f>IF($AT36=1,$AU36*'Verwerking Bouwdelen'!DM20,$AU36*'Verwerking Bouwdelen'!U20)</f>
        <v>0</v>
      </c>
      <c r="AX36" s="208">
        <f>IF($AT36=1,$AU36*'Verwerking Bouwdelen'!DN20,$AU36*'Verwerking Bouwdelen'!V20)</f>
        <v>0</v>
      </c>
      <c r="AY36" s="208">
        <f>IF($AT36=1,$AU36*'Verwerking Bouwdelen'!DO20,$AU36*'Verwerking Bouwdelen'!W20)</f>
        <v>0</v>
      </c>
      <c r="AZ36" s="208">
        <f>IF($AT36=1,$AU36*'Verwerking Bouwdelen'!DP20,$AU36*'Verwerking Bouwdelen'!X20)</f>
        <v>0</v>
      </c>
      <c r="BA36" s="208">
        <f>IF($AT36=1,$AU36*'Verwerking Bouwdelen'!DQ20,$AU36*'Verwerking Bouwdelen'!Y20)</f>
        <v>0</v>
      </c>
      <c r="BB36" s="208">
        <f>IF($AT36=1,$AU36*'Verwerking Bouwdelen'!DR20,$AU36*'Verwerking Bouwdelen'!Z20)</f>
        <v>0</v>
      </c>
      <c r="BC36" s="208">
        <f>IF($AT36=1,$AU36*'Verwerking Bouwdelen'!DS20,$AU36*'Verwerking Bouwdelen'!AA20)</f>
        <v>0</v>
      </c>
      <c r="BD36" s="208">
        <f>IF($AT36=1,$AU36*'Verwerking Bouwdelen'!DT20,$AU36*'Verwerking Bouwdelen'!AB20)</f>
        <v>0</v>
      </c>
      <c r="BE36" s="208">
        <f>IF($AT36=1,$AU36*'Verwerking Bouwdelen'!DU20,$AU36*'Verwerking Bouwdelen'!AC20)</f>
        <v>0</v>
      </c>
      <c r="BF36" s="208">
        <f>IF($AT36=1,$AU36*'Verwerking Bouwdelen'!DV20,$AU36*'Verwerking Bouwdelen'!AD20)</f>
        <v>0</v>
      </c>
      <c r="BG36" s="208">
        <f>IF($AT36=1,$AU36*'Verwerking Bouwdelen'!DW20,$AU36*'Verwerking Bouwdelen'!AE20)</f>
        <v>0</v>
      </c>
      <c r="BH36" s="10">
        <f>IF(AV36=B36,0,'Verwerking Bouwdelen'!D20*AT36*AU36)</f>
        <v>0</v>
      </c>
      <c r="BI36" s="10">
        <f>AT36*AU36*'Verwerking Bouwdelen'!GH20</f>
        <v>0</v>
      </c>
      <c r="BJ36" s="10"/>
      <c r="BK36" s="10"/>
      <c r="BM36" s="125">
        <f>IF('Verwerking Bouwdelen'!C20=5,1,0)</f>
        <v>0</v>
      </c>
      <c r="BN36" s="130">
        <f>IF('Verwerking Bouwdelen'!A20=3,1,0)</f>
        <v>0</v>
      </c>
      <c r="BO36" s="208">
        <f>IF($BM36=1,$BN36*'Verwerking Bouwdelen'!DL20,$BN36*'Verwerking Bouwdelen'!T20)</f>
        <v>0</v>
      </c>
      <c r="BP36" s="208">
        <f>IF($BM36=1,$BN36*'Verwerking Bouwdelen'!DM20,$BN36*'Verwerking Bouwdelen'!U20)</f>
        <v>0</v>
      </c>
      <c r="BQ36" s="208">
        <f>IF($BM36=1,$BN36*'Verwerking Bouwdelen'!DN20,$BN36*'Verwerking Bouwdelen'!V20)</f>
        <v>0</v>
      </c>
      <c r="BR36" s="208">
        <f>IF($BM36=1,$BN36*'Verwerking Bouwdelen'!DO20,$BN36*'Verwerking Bouwdelen'!W20)</f>
        <v>0</v>
      </c>
      <c r="BS36" s="208">
        <f>IF($BM36=1,$BN36*'Verwerking Bouwdelen'!DP20,$BN36*'Verwerking Bouwdelen'!X20)</f>
        <v>0</v>
      </c>
      <c r="BT36" s="208">
        <f>IF($BM36=1,$BN36*'Verwerking Bouwdelen'!DQ20,$BN36*'Verwerking Bouwdelen'!Y20)</f>
        <v>0</v>
      </c>
      <c r="BU36" s="208">
        <f>IF($BM36=1,$BN36*'Verwerking Bouwdelen'!DR20,$BN36*'Verwerking Bouwdelen'!Z20)</f>
        <v>0</v>
      </c>
      <c r="BV36" s="208">
        <f>IF($BM36=1,$BN36*'Verwerking Bouwdelen'!DS20,$BN36*'Verwerking Bouwdelen'!AA20)</f>
        <v>0</v>
      </c>
      <c r="BW36" s="208">
        <f>IF($BM36=1,$BN36*'Verwerking Bouwdelen'!DT20,$BN36*'Verwerking Bouwdelen'!AB20)</f>
        <v>0</v>
      </c>
      <c r="BX36" s="208">
        <f>IF($BM36=1,$BN36*'Verwerking Bouwdelen'!DU20,$BN36*'Verwerking Bouwdelen'!AC20)</f>
        <v>0</v>
      </c>
      <c r="BY36" s="208">
        <f>IF($BM36=1,$BN36*'Verwerking Bouwdelen'!DV20,$BN36*'Verwerking Bouwdelen'!AD20)</f>
        <v>0</v>
      </c>
      <c r="BZ36" s="208">
        <f>IF($BM36=1,$BN36*'Verwerking Bouwdelen'!DW20,$BN36*'Verwerking Bouwdelen'!AE20)</f>
        <v>0</v>
      </c>
      <c r="CA36" s="10">
        <f>IF(BO36=$B36,0,'Verwerking Bouwdelen'!$D20*BM36*BN36)</f>
        <v>0</v>
      </c>
      <c r="CB36" s="10">
        <f>BM36*BN36*'Verwerking Bouwdelen'!GH20</f>
        <v>0</v>
      </c>
      <c r="CC36" s="10"/>
      <c r="CD36" s="248"/>
      <c r="CE36" s="125">
        <f>IF('Verwerking Bouwdelen'!C20=2,1,0)</f>
        <v>0</v>
      </c>
      <c r="CF36" s="130">
        <f>IF('Verwerking Bouwdelen'!A20=3,1,0)</f>
        <v>0</v>
      </c>
      <c r="CG36" s="208">
        <f>IF($CE36=1,$CF36*'Verwerking Bouwdelen'!DL20,$CF36*'Verwerking Bouwdelen'!T20)</f>
        <v>0</v>
      </c>
      <c r="CH36" s="208">
        <f>IF($CE36=1,$CF36*'Verwerking Bouwdelen'!DM20,$CF36*'Verwerking Bouwdelen'!U20)</f>
        <v>0</v>
      </c>
      <c r="CI36" s="208">
        <f>IF($CE36=1,$CF36*'Verwerking Bouwdelen'!DN20,$CF36*'Verwerking Bouwdelen'!V20)</f>
        <v>0</v>
      </c>
      <c r="CJ36" s="208">
        <f>IF($CE36=1,$CF36*'Verwerking Bouwdelen'!DO20,$CF36*'Verwerking Bouwdelen'!W20)</f>
        <v>0</v>
      </c>
      <c r="CK36" s="208">
        <f>IF($CE36=1,$CF36*'Verwerking Bouwdelen'!DP20,$CF36*'Verwerking Bouwdelen'!X20)</f>
        <v>0</v>
      </c>
      <c r="CL36" s="208">
        <f>IF($CE36=1,$CF36*'Verwerking Bouwdelen'!DQ20,$CF36*'Verwerking Bouwdelen'!Y20)</f>
        <v>0</v>
      </c>
      <c r="CM36" s="208">
        <f>IF($CE36=1,$CF36*'Verwerking Bouwdelen'!DR20,$CF36*'Verwerking Bouwdelen'!Z20)</f>
        <v>0</v>
      </c>
      <c r="CN36" s="208">
        <f>IF($CE36=1,$CF36*'Verwerking Bouwdelen'!DS20,$CF36*'Verwerking Bouwdelen'!AA20)</f>
        <v>0</v>
      </c>
      <c r="CO36" s="208">
        <f>IF($CE36=1,$CF36*'Verwerking Bouwdelen'!DT20,$CF36*'Verwerking Bouwdelen'!AB20)</f>
        <v>0</v>
      </c>
      <c r="CP36" s="208">
        <f>IF($CE36=1,$CF36*'Verwerking Bouwdelen'!DU20,$CF36*'Verwerking Bouwdelen'!AC20)</f>
        <v>0</v>
      </c>
      <c r="CQ36" s="208">
        <f>IF($CE36=1,$CF36*'Verwerking Bouwdelen'!DV20,$CF36*'Verwerking Bouwdelen'!AD20)</f>
        <v>0</v>
      </c>
      <c r="CR36" s="208">
        <f>IF($CE36=1,$CF36*'Verwerking Bouwdelen'!DW20,$CF36*'Verwerking Bouwdelen'!AE20)</f>
        <v>0</v>
      </c>
      <c r="CS36" s="10">
        <f>IF(CG36=$B36,0,('Verwerking Bouwdelen'!$D20-'Verwerking Bouwdelen'!G20)*CE36*CF36)</f>
        <v>0</v>
      </c>
      <c r="CT36" s="260">
        <f>CE36*CF36*'Verwerking Bouwdelen'!GH20</f>
        <v>0</v>
      </c>
      <c r="CU36" s="261">
        <f>CE36*CF36*'Verwerking Bouwdelen'!GI20</f>
        <v>0</v>
      </c>
      <c r="CW36" s="209">
        <f>$AC36*'Verwerking Bouwdelen'!EE20</f>
        <v>0</v>
      </c>
      <c r="CX36" s="209">
        <f>$AC36*'Verwerking Bouwdelen'!EF20</f>
        <v>0</v>
      </c>
      <c r="CY36" s="209">
        <f>$AC36*'Verwerking Bouwdelen'!EG20</f>
        <v>0</v>
      </c>
      <c r="CZ36" s="209">
        <f>$AC36*'Verwerking Bouwdelen'!EH20</f>
        <v>0</v>
      </c>
      <c r="DA36" s="209">
        <f>$AC36*'Verwerking Bouwdelen'!EI20</f>
        <v>0</v>
      </c>
      <c r="DB36" s="209">
        <f>$AC36*'Verwerking Bouwdelen'!EJ20</f>
        <v>0</v>
      </c>
      <c r="DC36" s="209">
        <f>$AC36*'Verwerking Bouwdelen'!EK20</f>
        <v>0</v>
      </c>
      <c r="DD36" s="209">
        <f>$AC36*'Verwerking Bouwdelen'!EL20</f>
        <v>0</v>
      </c>
      <c r="DE36" s="209">
        <f>$AC36*'Verwerking Bouwdelen'!EM20</f>
        <v>0</v>
      </c>
      <c r="DF36" s="209">
        <f>$AC36*'Verwerking Bouwdelen'!EN20</f>
        <v>0</v>
      </c>
      <c r="DG36" s="209">
        <f>$AC36*'Verwerking Bouwdelen'!EO20</f>
        <v>0</v>
      </c>
      <c r="DH36" s="209">
        <f>$AC36*'Verwerking Bouwdelen'!EP20</f>
        <v>0</v>
      </c>
      <c r="DI36" s="10">
        <f>IF(CW36=$O36,0,'Verwerking Bouwdelen'!G20)</f>
        <v>0</v>
      </c>
      <c r="DJ36" s="259">
        <f>'Verwerking Bouwdelen'!GK20*CF36</f>
        <v>0</v>
      </c>
      <c r="DK36" s="259">
        <f>'Verwerking Bouwdelen'!GL20*CF36</f>
        <v>0</v>
      </c>
      <c r="DL36" s="125"/>
      <c r="GM36" s="89">
        <f t="shared" si="13"/>
        <v>0</v>
      </c>
      <c r="GN36" s="89">
        <f t="shared" si="14"/>
        <v>0</v>
      </c>
      <c r="GO36" s="208">
        <f>IF($GN36=1,$GN36*$GM36*'Verwerking Bouwdelen'!DL20,$GN36*$GM36*'Verwerking Bouwdelen'!T20)</f>
        <v>0</v>
      </c>
      <c r="GP36" s="208">
        <f>IF($GN36=1,$GN36*$GM36*'Verwerking Bouwdelen'!DM20,$GN36*$GM36*'Verwerking Bouwdelen'!U20)</f>
        <v>0</v>
      </c>
      <c r="GQ36" s="208">
        <f>IF($GN36=1,$GN36*$GM36*'Verwerking Bouwdelen'!DN20,$GN36*$GM36*'Verwerking Bouwdelen'!V20)</f>
        <v>0</v>
      </c>
      <c r="GR36" s="208">
        <f>IF($GN36=1,$GN36*$GM36*'Verwerking Bouwdelen'!DO20,$GN36*$GM36*'Verwerking Bouwdelen'!W20)</f>
        <v>0</v>
      </c>
      <c r="GS36" s="208">
        <f>IF($GN36=1,$GN36*$GM36*'Verwerking Bouwdelen'!DP20,$GN36*$GM36*'Verwerking Bouwdelen'!X20)</f>
        <v>0</v>
      </c>
      <c r="GT36" s="208">
        <f>IF($GN36=1,$GN36*$GM36*'Verwerking Bouwdelen'!DQ20,$GN36*$GM36*'Verwerking Bouwdelen'!Y20)</f>
        <v>0</v>
      </c>
      <c r="GU36" s="208">
        <f>IF($GN36=1,$GN36*$GM36*'Verwerking Bouwdelen'!DR20,$GN36*$GM36*'Verwerking Bouwdelen'!Z20)</f>
        <v>0</v>
      </c>
      <c r="GV36" s="208">
        <f>IF($GN36=1,$GN36*$GM36*'Verwerking Bouwdelen'!DS20,$GN36*$GM36*'Verwerking Bouwdelen'!AA20)</f>
        <v>0</v>
      </c>
      <c r="GW36" s="208">
        <f>IF($GN36=1,$GN36*$GM36*'Verwerking Bouwdelen'!DT20,$GN36*$GM36*'Verwerking Bouwdelen'!AB20)</f>
        <v>0</v>
      </c>
      <c r="GX36" s="208">
        <f>IF($GN36=1,$GN36*$GM36*'Verwerking Bouwdelen'!DU20,$GN36*$GM36*'Verwerking Bouwdelen'!AC20)</f>
        <v>0</v>
      </c>
      <c r="GY36" s="208">
        <f>IF($GN36=1,$GN36*$GM36*'Verwerking Bouwdelen'!DV20,$GN36*$GM36*'Verwerking Bouwdelen'!AD20)</f>
        <v>0</v>
      </c>
      <c r="GZ36" s="208">
        <f>IF($GN36=1,$GN36*$GM36*'Verwerking Bouwdelen'!DW20,$GN36*$GM36*'Verwerking Bouwdelen'!AE20)</f>
        <v>0</v>
      </c>
      <c r="HB36" s="89">
        <f t="shared" si="1"/>
        <v>0</v>
      </c>
      <c r="HC36" s="89">
        <f t="shared" si="2"/>
        <v>0</v>
      </c>
      <c r="HD36" s="89">
        <f t="shared" si="3"/>
        <v>0</v>
      </c>
      <c r="HE36" s="89">
        <f t="shared" si="4"/>
        <v>0</v>
      </c>
      <c r="HF36" s="89">
        <f t="shared" si="5"/>
        <v>0</v>
      </c>
      <c r="HG36" s="89">
        <f t="shared" si="6"/>
        <v>0</v>
      </c>
      <c r="HH36" s="89">
        <f t="shared" si="7"/>
        <v>0</v>
      </c>
      <c r="HI36" s="89">
        <f t="shared" si="8"/>
        <v>0</v>
      </c>
      <c r="HJ36" s="89">
        <f t="shared" si="9"/>
        <v>0</v>
      </c>
      <c r="HK36" s="89">
        <f t="shared" si="10"/>
        <v>0</v>
      </c>
      <c r="HL36" s="89">
        <f t="shared" si="11"/>
        <v>0</v>
      </c>
      <c r="HM36" s="89">
        <f t="shared" si="12"/>
        <v>0</v>
      </c>
    </row>
    <row r="37" spans="1:221" x14ac:dyDescent="0.2">
      <c r="A37" s="130">
        <f>IF('Verwerking Bouwdelen'!A21=3,1,0)</f>
        <v>0</v>
      </c>
      <c r="B37" s="208">
        <f>$A37*'Verwerking Bouwdelen'!T21</f>
        <v>0</v>
      </c>
      <c r="C37" s="208">
        <f>$A37*'Verwerking Bouwdelen'!U21</f>
        <v>0</v>
      </c>
      <c r="D37" s="208">
        <f>$A37*'Verwerking Bouwdelen'!V21</f>
        <v>0</v>
      </c>
      <c r="E37" s="208">
        <f>$A37*'Verwerking Bouwdelen'!W21</f>
        <v>0</v>
      </c>
      <c r="F37" s="208">
        <f>$A37*'Verwerking Bouwdelen'!X21</f>
        <v>0</v>
      </c>
      <c r="G37" s="208">
        <f>$A37*'Verwerking Bouwdelen'!Y21</f>
        <v>0</v>
      </c>
      <c r="H37" s="208">
        <f>$A37*'Verwerking Bouwdelen'!Z21</f>
        <v>0</v>
      </c>
      <c r="I37" s="208">
        <f>$A37*'Verwerking Bouwdelen'!AA21</f>
        <v>0</v>
      </c>
      <c r="J37" s="208">
        <f>$A37*'Verwerking Bouwdelen'!AB21</f>
        <v>0</v>
      </c>
      <c r="K37" s="208">
        <f>$A37*'Verwerking Bouwdelen'!AC21</f>
        <v>0</v>
      </c>
      <c r="L37" s="208">
        <f>$A37*'Verwerking Bouwdelen'!AD21</f>
        <v>0</v>
      </c>
      <c r="M37" s="208">
        <f>$A37*'Verwerking Bouwdelen'!AE21</f>
        <v>0</v>
      </c>
      <c r="O37" s="114">
        <f>$A37*'Verwerking Bouwdelen'!AU21</f>
        <v>0</v>
      </c>
      <c r="P37" s="125">
        <f>$A37*'Verwerking Bouwdelen'!AV21</f>
        <v>0</v>
      </c>
      <c r="Q37" s="125">
        <f>$A37*'Verwerking Bouwdelen'!AW21</f>
        <v>0</v>
      </c>
      <c r="R37" s="125">
        <f>$A37*'Verwerking Bouwdelen'!AX21</f>
        <v>0</v>
      </c>
      <c r="S37" s="125">
        <f>$A37*'Verwerking Bouwdelen'!AY21</f>
        <v>0</v>
      </c>
      <c r="T37" s="125">
        <f>$A37*'Verwerking Bouwdelen'!AZ21</f>
        <v>0</v>
      </c>
      <c r="U37" s="125">
        <f>$A37*'Verwerking Bouwdelen'!BA21</f>
        <v>0</v>
      </c>
      <c r="V37" s="125">
        <f>$A37*'Verwerking Bouwdelen'!BB21</f>
        <v>0</v>
      </c>
      <c r="W37" s="125">
        <f>$A37*'Verwerking Bouwdelen'!BC21</f>
        <v>0</v>
      </c>
      <c r="X37" s="125">
        <f>$A37*'Verwerking Bouwdelen'!BD21</f>
        <v>0</v>
      </c>
      <c r="Y37" s="125">
        <f>$A37*'Verwerking Bouwdelen'!BE21</f>
        <v>0</v>
      </c>
      <c r="Z37" s="195">
        <f>$A37*'Verwerking Bouwdelen'!BF21</f>
        <v>0</v>
      </c>
      <c r="AB37" s="125">
        <f>IF(OR('Verwerking Bouwdelen'!C21=3,'Verwerking Bouwdelen'!C21=6),1,0)</f>
        <v>0</v>
      </c>
      <c r="AC37" s="130">
        <f>IF('Verwerking Bouwdelen'!A21=3,1,0)</f>
        <v>0</v>
      </c>
      <c r="AD37" s="208">
        <f>IF($AB37=1,$AC37*'Verwerking Bouwdelen'!DL21,$AC37*'Verwerking Bouwdelen'!T21)</f>
        <v>0</v>
      </c>
      <c r="AE37" s="208">
        <f>IF($AB37=1,$AC37*'Verwerking Bouwdelen'!DM21,$AC37*'Verwerking Bouwdelen'!U21)</f>
        <v>0</v>
      </c>
      <c r="AF37" s="208">
        <f>IF($AB37=1,$AC37*'Verwerking Bouwdelen'!DN21,$AC37*'Verwerking Bouwdelen'!V21)</f>
        <v>0</v>
      </c>
      <c r="AG37" s="208">
        <f>IF($AB37=1,$AC37*'Verwerking Bouwdelen'!DO21,$AC37*'Verwerking Bouwdelen'!W21)</f>
        <v>0</v>
      </c>
      <c r="AH37" s="208">
        <f>IF($AB37=1,$AC37*'Verwerking Bouwdelen'!DP21,$AC37*'Verwerking Bouwdelen'!X21)</f>
        <v>0</v>
      </c>
      <c r="AI37" s="208">
        <f>IF($AB37=1,$AC37*'Verwerking Bouwdelen'!DQ21,$AC37*'Verwerking Bouwdelen'!Y21)</f>
        <v>0</v>
      </c>
      <c r="AJ37" s="208">
        <f>IF($AB37=1,$AC37*'Verwerking Bouwdelen'!DR21,$AC37*'Verwerking Bouwdelen'!Z21)</f>
        <v>0</v>
      </c>
      <c r="AK37" s="208">
        <f>IF($AB37=1,$AC37*'Verwerking Bouwdelen'!DS21,$AC37*'Verwerking Bouwdelen'!AA21)</f>
        <v>0</v>
      </c>
      <c r="AL37" s="208">
        <f>IF($AB37=1,$AC37*'Verwerking Bouwdelen'!DT21,$AC37*'Verwerking Bouwdelen'!AB21)</f>
        <v>0</v>
      </c>
      <c r="AM37" s="208">
        <f>IF($AB37=1,$AC37*'Verwerking Bouwdelen'!DU21,$AC37*'Verwerking Bouwdelen'!AC21)</f>
        <v>0</v>
      </c>
      <c r="AN37" s="208">
        <f>IF($AB37=1,$AC37*'Verwerking Bouwdelen'!DV21,$AC37*'Verwerking Bouwdelen'!AD21)</f>
        <v>0</v>
      </c>
      <c r="AO37" s="208">
        <f>IF($AB37=1,$AC37*'Verwerking Bouwdelen'!DW21,$AC37*'Verwerking Bouwdelen'!AE21)</f>
        <v>0</v>
      </c>
      <c r="AP37" s="10">
        <f>IF(AD37=B37,0,'Verwerking Bouwdelen'!D21*AB37*AC37)</f>
        <v>0</v>
      </c>
      <c r="AQ37" s="10">
        <f>AB37*AC37*'Verwerking Bouwdelen'!GH21</f>
        <v>0</v>
      </c>
      <c r="AR37" s="10"/>
      <c r="AS37" s="248"/>
      <c r="AT37" s="125">
        <f>IF('Verwerking Bouwdelen'!C21=4,1,0)</f>
        <v>0</v>
      </c>
      <c r="AU37" s="130">
        <f>IF('Verwerking Bouwdelen'!A21=3,1,0)</f>
        <v>0</v>
      </c>
      <c r="AV37" s="208">
        <f>IF($AT37=1,$AU37*'Verwerking Bouwdelen'!DL21,$AU37*'Verwerking Bouwdelen'!T21)</f>
        <v>0</v>
      </c>
      <c r="AW37" s="208">
        <f>IF($AT37=1,$AU37*'Verwerking Bouwdelen'!DM21,$AU37*'Verwerking Bouwdelen'!U21)</f>
        <v>0</v>
      </c>
      <c r="AX37" s="208">
        <f>IF($AT37=1,$AU37*'Verwerking Bouwdelen'!DN21,$AU37*'Verwerking Bouwdelen'!V21)</f>
        <v>0</v>
      </c>
      <c r="AY37" s="208">
        <f>IF($AT37=1,$AU37*'Verwerking Bouwdelen'!DO21,$AU37*'Verwerking Bouwdelen'!W21)</f>
        <v>0</v>
      </c>
      <c r="AZ37" s="208">
        <f>IF($AT37=1,$AU37*'Verwerking Bouwdelen'!DP21,$AU37*'Verwerking Bouwdelen'!X21)</f>
        <v>0</v>
      </c>
      <c r="BA37" s="208">
        <f>IF($AT37=1,$AU37*'Verwerking Bouwdelen'!DQ21,$AU37*'Verwerking Bouwdelen'!Y21)</f>
        <v>0</v>
      </c>
      <c r="BB37" s="208">
        <f>IF($AT37=1,$AU37*'Verwerking Bouwdelen'!DR21,$AU37*'Verwerking Bouwdelen'!Z21)</f>
        <v>0</v>
      </c>
      <c r="BC37" s="208">
        <f>IF($AT37=1,$AU37*'Verwerking Bouwdelen'!DS21,$AU37*'Verwerking Bouwdelen'!AA21)</f>
        <v>0</v>
      </c>
      <c r="BD37" s="208">
        <f>IF($AT37=1,$AU37*'Verwerking Bouwdelen'!DT21,$AU37*'Verwerking Bouwdelen'!AB21)</f>
        <v>0</v>
      </c>
      <c r="BE37" s="208">
        <f>IF($AT37=1,$AU37*'Verwerking Bouwdelen'!DU21,$AU37*'Verwerking Bouwdelen'!AC21)</f>
        <v>0</v>
      </c>
      <c r="BF37" s="208">
        <f>IF($AT37=1,$AU37*'Verwerking Bouwdelen'!DV21,$AU37*'Verwerking Bouwdelen'!AD21)</f>
        <v>0</v>
      </c>
      <c r="BG37" s="208">
        <f>IF($AT37=1,$AU37*'Verwerking Bouwdelen'!DW21,$AU37*'Verwerking Bouwdelen'!AE21)</f>
        <v>0</v>
      </c>
      <c r="BH37" s="10">
        <f>IF(AV37=B37,0,'Verwerking Bouwdelen'!D21*AT37*AU37)</f>
        <v>0</v>
      </c>
      <c r="BI37" s="10">
        <f>AT37*AU37*'Verwerking Bouwdelen'!GH21</f>
        <v>0</v>
      </c>
      <c r="BJ37" s="10"/>
      <c r="BK37" s="10"/>
      <c r="BM37" s="125">
        <f>IF('Verwerking Bouwdelen'!C21=5,1,0)</f>
        <v>0</v>
      </c>
      <c r="BN37" s="130">
        <f>IF('Verwerking Bouwdelen'!A21=3,1,0)</f>
        <v>0</v>
      </c>
      <c r="BO37" s="208">
        <f>IF($BM37=1,$BN37*'Verwerking Bouwdelen'!DL21,$BN37*'Verwerking Bouwdelen'!T21)</f>
        <v>0</v>
      </c>
      <c r="BP37" s="208">
        <f>IF($BM37=1,$BN37*'Verwerking Bouwdelen'!DM21,$BN37*'Verwerking Bouwdelen'!U21)</f>
        <v>0</v>
      </c>
      <c r="BQ37" s="208">
        <f>IF($BM37=1,$BN37*'Verwerking Bouwdelen'!DN21,$BN37*'Verwerking Bouwdelen'!V21)</f>
        <v>0</v>
      </c>
      <c r="BR37" s="208">
        <f>IF($BM37=1,$BN37*'Verwerking Bouwdelen'!DO21,$BN37*'Verwerking Bouwdelen'!W21)</f>
        <v>0</v>
      </c>
      <c r="BS37" s="208">
        <f>IF($BM37=1,$BN37*'Verwerking Bouwdelen'!DP21,$BN37*'Verwerking Bouwdelen'!X21)</f>
        <v>0</v>
      </c>
      <c r="BT37" s="208">
        <f>IF($BM37=1,$BN37*'Verwerking Bouwdelen'!DQ21,$BN37*'Verwerking Bouwdelen'!Y21)</f>
        <v>0</v>
      </c>
      <c r="BU37" s="208">
        <f>IF($BM37=1,$BN37*'Verwerking Bouwdelen'!DR21,$BN37*'Verwerking Bouwdelen'!Z21)</f>
        <v>0</v>
      </c>
      <c r="BV37" s="208">
        <f>IF($BM37=1,$BN37*'Verwerking Bouwdelen'!DS21,$BN37*'Verwerking Bouwdelen'!AA21)</f>
        <v>0</v>
      </c>
      <c r="BW37" s="208">
        <f>IF($BM37=1,$BN37*'Verwerking Bouwdelen'!DT21,$BN37*'Verwerking Bouwdelen'!AB21)</f>
        <v>0</v>
      </c>
      <c r="BX37" s="208">
        <f>IF($BM37=1,$BN37*'Verwerking Bouwdelen'!DU21,$BN37*'Verwerking Bouwdelen'!AC21)</f>
        <v>0</v>
      </c>
      <c r="BY37" s="208">
        <f>IF($BM37=1,$BN37*'Verwerking Bouwdelen'!DV21,$BN37*'Verwerking Bouwdelen'!AD21)</f>
        <v>0</v>
      </c>
      <c r="BZ37" s="208">
        <f>IF($BM37=1,$BN37*'Verwerking Bouwdelen'!DW21,$BN37*'Verwerking Bouwdelen'!AE21)</f>
        <v>0</v>
      </c>
      <c r="CA37" s="10">
        <f>IF(BO37=$B37,0,'Verwerking Bouwdelen'!$D21*BM37*BN37)</f>
        <v>0</v>
      </c>
      <c r="CB37" s="10">
        <f>BM37*BN37*'Verwerking Bouwdelen'!GH21</f>
        <v>0</v>
      </c>
      <c r="CC37" s="10"/>
      <c r="CD37" s="248"/>
      <c r="CE37" s="125">
        <f>IF('Verwerking Bouwdelen'!C21=2,1,0)</f>
        <v>0</v>
      </c>
      <c r="CF37" s="130">
        <f>IF('Verwerking Bouwdelen'!A21=3,1,0)</f>
        <v>0</v>
      </c>
      <c r="CG37" s="208">
        <f>IF($CE37=1,$CF37*'Verwerking Bouwdelen'!DL21,$CF37*'Verwerking Bouwdelen'!T21)</f>
        <v>0</v>
      </c>
      <c r="CH37" s="208">
        <f>IF($CE37=1,$CF37*'Verwerking Bouwdelen'!DM21,$CF37*'Verwerking Bouwdelen'!U21)</f>
        <v>0</v>
      </c>
      <c r="CI37" s="208">
        <f>IF($CE37=1,$CF37*'Verwerking Bouwdelen'!DN21,$CF37*'Verwerking Bouwdelen'!V21)</f>
        <v>0</v>
      </c>
      <c r="CJ37" s="208">
        <f>IF($CE37=1,$CF37*'Verwerking Bouwdelen'!DO21,$CF37*'Verwerking Bouwdelen'!W21)</f>
        <v>0</v>
      </c>
      <c r="CK37" s="208">
        <f>IF($CE37=1,$CF37*'Verwerking Bouwdelen'!DP21,$CF37*'Verwerking Bouwdelen'!X21)</f>
        <v>0</v>
      </c>
      <c r="CL37" s="208">
        <f>IF($CE37=1,$CF37*'Verwerking Bouwdelen'!DQ21,$CF37*'Verwerking Bouwdelen'!Y21)</f>
        <v>0</v>
      </c>
      <c r="CM37" s="208">
        <f>IF($CE37=1,$CF37*'Verwerking Bouwdelen'!DR21,$CF37*'Verwerking Bouwdelen'!Z21)</f>
        <v>0</v>
      </c>
      <c r="CN37" s="208">
        <f>IF($CE37=1,$CF37*'Verwerking Bouwdelen'!DS21,$CF37*'Verwerking Bouwdelen'!AA21)</f>
        <v>0</v>
      </c>
      <c r="CO37" s="208">
        <f>IF($CE37=1,$CF37*'Verwerking Bouwdelen'!DT21,$CF37*'Verwerking Bouwdelen'!AB21)</f>
        <v>0</v>
      </c>
      <c r="CP37" s="208">
        <f>IF($CE37=1,$CF37*'Verwerking Bouwdelen'!DU21,$CF37*'Verwerking Bouwdelen'!AC21)</f>
        <v>0</v>
      </c>
      <c r="CQ37" s="208">
        <f>IF($CE37=1,$CF37*'Verwerking Bouwdelen'!DV21,$CF37*'Verwerking Bouwdelen'!AD21)</f>
        <v>0</v>
      </c>
      <c r="CR37" s="208">
        <f>IF($CE37=1,$CF37*'Verwerking Bouwdelen'!DW21,$CF37*'Verwerking Bouwdelen'!AE21)</f>
        <v>0</v>
      </c>
      <c r="CS37" s="10">
        <f>IF(CG37=$B37,0,('Verwerking Bouwdelen'!$D21-'Verwerking Bouwdelen'!G21)*CE37*CF37)</f>
        <v>0</v>
      </c>
      <c r="CT37" s="260">
        <f>CE37*CF37*'Verwerking Bouwdelen'!GH21</f>
        <v>0</v>
      </c>
      <c r="CU37" s="261">
        <f>CE37*CF37*'Verwerking Bouwdelen'!GI21</f>
        <v>0</v>
      </c>
      <c r="CW37" s="209">
        <f>$AC37*'Verwerking Bouwdelen'!EE21</f>
        <v>0</v>
      </c>
      <c r="CX37" s="209">
        <f>$AC37*'Verwerking Bouwdelen'!EF21</f>
        <v>0</v>
      </c>
      <c r="CY37" s="209">
        <f>$AC37*'Verwerking Bouwdelen'!EG21</f>
        <v>0</v>
      </c>
      <c r="CZ37" s="209">
        <f>$AC37*'Verwerking Bouwdelen'!EH21</f>
        <v>0</v>
      </c>
      <c r="DA37" s="209">
        <f>$AC37*'Verwerking Bouwdelen'!EI21</f>
        <v>0</v>
      </c>
      <c r="DB37" s="209">
        <f>$AC37*'Verwerking Bouwdelen'!EJ21</f>
        <v>0</v>
      </c>
      <c r="DC37" s="209">
        <f>$AC37*'Verwerking Bouwdelen'!EK21</f>
        <v>0</v>
      </c>
      <c r="DD37" s="209">
        <f>$AC37*'Verwerking Bouwdelen'!EL21</f>
        <v>0</v>
      </c>
      <c r="DE37" s="209">
        <f>$AC37*'Verwerking Bouwdelen'!EM21</f>
        <v>0</v>
      </c>
      <c r="DF37" s="209">
        <f>$AC37*'Verwerking Bouwdelen'!EN21</f>
        <v>0</v>
      </c>
      <c r="DG37" s="209">
        <f>$AC37*'Verwerking Bouwdelen'!EO21</f>
        <v>0</v>
      </c>
      <c r="DH37" s="209">
        <f>$AC37*'Verwerking Bouwdelen'!EP21</f>
        <v>0</v>
      </c>
      <c r="DI37" s="10">
        <f>IF(CW37=$O37,0,'Verwerking Bouwdelen'!G21)</f>
        <v>0</v>
      </c>
      <c r="DJ37" s="259">
        <f>'Verwerking Bouwdelen'!GK21*CF37</f>
        <v>0</v>
      </c>
      <c r="DK37" s="259">
        <f>'Verwerking Bouwdelen'!GL21*CF37</f>
        <v>0</v>
      </c>
      <c r="DL37" s="125"/>
      <c r="GM37" s="89">
        <f t="shared" si="13"/>
        <v>0</v>
      </c>
      <c r="GN37" s="89">
        <f t="shared" si="14"/>
        <v>0</v>
      </c>
      <c r="GO37" s="208">
        <f>IF($GN37=1,$GN37*$GM37*'Verwerking Bouwdelen'!DL21,$GN37*$GM37*'Verwerking Bouwdelen'!T21)</f>
        <v>0</v>
      </c>
      <c r="GP37" s="208">
        <f>IF($GN37=1,$GN37*$GM37*'Verwerking Bouwdelen'!DM21,$GN37*$GM37*'Verwerking Bouwdelen'!U21)</f>
        <v>0</v>
      </c>
      <c r="GQ37" s="208">
        <f>IF($GN37=1,$GN37*$GM37*'Verwerking Bouwdelen'!DN21,$GN37*$GM37*'Verwerking Bouwdelen'!V21)</f>
        <v>0</v>
      </c>
      <c r="GR37" s="208">
        <f>IF($GN37=1,$GN37*$GM37*'Verwerking Bouwdelen'!DO21,$GN37*$GM37*'Verwerking Bouwdelen'!W21)</f>
        <v>0</v>
      </c>
      <c r="GS37" s="208">
        <f>IF($GN37=1,$GN37*$GM37*'Verwerking Bouwdelen'!DP21,$GN37*$GM37*'Verwerking Bouwdelen'!X21)</f>
        <v>0</v>
      </c>
      <c r="GT37" s="208">
        <f>IF($GN37=1,$GN37*$GM37*'Verwerking Bouwdelen'!DQ21,$GN37*$GM37*'Verwerking Bouwdelen'!Y21)</f>
        <v>0</v>
      </c>
      <c r="GU37" s="208">
        <f>IF($GN37=1,$GN37*$GM37*'Verwerking Bouwdelen'!DR21,$GN37*$GM37*'Verwerking Bouwdelen'!Z21)</f>
        <v>0</v>
      </c>
      <c r="GV37" s="208">
        <f>IF($GN37=1,$GN37*$GM37*'Verwerking Bouwdelen'!DS21,$GN37*$GM37*'Verwerking Bouwdelen'!AA21)</f>
        <v>0</v>
      </c>
      <c r="GW37" s="208">
        <f>IF($GN37=1,$GN37*$GM37*'Verwerking Bouwdelen'!DT21,$GN37*$GM37*'Verwerking Bouwdelen'!AB21)</f>
        <v>0</v>
      </c>
      <c r="GX37" s="208">
        <f>IF($GN37=1,$GN37*$GM37*'Verwerking Bouwdelen'!DU21,$GN37*$GM37*'Verwerking Bouwdelen'!AC21)</f>
        <v>0</v>
      </c>
      <c r="GY37" s="208">
        <f>IF($GN37=1,$GN37*$GM37*'Verwerking Bouwdelen'!DV21,$GN37*$GM37*'Verwerking Bouwdelen'!AD21)</f>
        <v>0</v>
      </c>
      <c r="GZ37" s="208">
        <f>IF($GN37=1,$GN37*$GM37*'Verwerking Bouwdelen'!DW21,$GN37*$GM37*'Verwerking Bouwdelen'!AE21)</f>
        <v>0</v>
      </c>
      <c r="HB37" s="89">
        <f t="shared" si="1"/>
        <v>0</v>
      </c>
      <c r="HC37" s="89">
        <f t="shared" si="2"/>
        <v>0</v>
      </c>
      <c r="HD37" s="89">
        <f t="shared" si="3"/>
        <v>0</v>
      </c>
      <c r="HE37" s="89">
        <f t="shared" si="4"/>
        <v>0</v>
      </c>
      <c r="HF37" s="89">
        <f t="shared" si="5"/>
        <v>0</v>
      </c>
      <c r="HG37" s="89">
        <f t="shared" si="6"/>
        <v>0</v>
      </c>
      <c r="HH37" s="89">
        <f t="shared" si="7"/>
        <v>0</v>
      </c>
      <c r="HI37" s="89">
        <f t="shared" si="8"/>
        <v>0</v>
      </c>
      <c r="HJ37" s="89">
        <f t="shared" si="9"/>
        <v>0</v>
      </c>
      <c r="HK37" s="89">
        <f t="shared" si="10"/>
        <v>0</v>
      </c>
      <c r="HL37" s="89">
        <f t="shared" si="11"/>
        <v>0</v>
      </c>
      <c r="HM37" s="89">
        <f t="shared" si="12"/>
        <v>0</v>
      </c>
    </row>
    <row r="38" spans="1:221" x14ac:dyDescent="0.2">
      <c r="A38" s="130">
        <f>IF('Verwerking Bouwdelen'!A22=3,1,0)</f>
        <v>0</v>
      </c>
      <c r="B38" s="208">
        <f>$A38*'Verwerking Bouwdelen'!T22</f>
        <v>0</v>
      </c>
      <c r="C38" s="208">
        <f>$A38*'Verwerking Bouwdelen'!U22</f>
        <v>0</v>
      </c>
      <c r="D38" s="208">
        <f>$A38*'Verwerking Bouwdelen'!V22</f>
        <v>0</v>
      </c>
      <c r="E38" s="208">
        <f>$A38*'Verwerking Bouwdelen'!W22</f>
        <v>0</v>
      </c>
      <c r="F38" s="208">
        <f>$A38*'Verwerking Bouwdelen'!X22</f>
        <v>0</v>
      </c>
      <c r="G38" s="208">
        <f>$A38*'Verwerking Bouwdelen'!Y22</f>
        <v>0</v>
      </c>
      <c r="H38" s="208">
        <f>$A38*'Verwerking Bouwdelen'!Z22</f>
        <v>0</v>
      </c>
      <c r="I38" s="208">
        <f>$A38*'Verwerking Bouwdelen'!AA22</f>
        <v>0</v>
      </c>
      <c r="J38" s="208">
        <f>$A38*'Verwerking Bouwdelen'!AB22</f>
        <v>0</v>
      </c>
      <c r="K38" s="208">
        <f>$A38*'Verwerking Bouwdelen'!AC22</f>
        <v>0</v>
      </c>
      <c r="L38" s="208">
        <f>$A38*'Verwerking Bouwdelen'!AD22</f>
        <v>0</v>
      </c>
      <c r="M38" s="208">
        <f>$A38*'Verwerking Bouwdelen'!AE22</f>
        <v>0</v>
      </c>
      <c r="O38" s="114">
        <f>$A38*'Verwerking Bouwdelen'!AU22</f>
        <v>0</v>
      </c>
      <c r="P38" s="125">
        <f>$A38*'Verwerking Bouwdelen'!AV22</f>
        <v>0</v>
      </c>
      <c r="Q38" s="125">
        <f>$A38*'Verwerking Bouwdelen'!AW22</f>
        <v>0</v>
      </c>
      <c r="R38" s="125">
        <f>$A38*'Verwerking Bouwdelen'!AX22</f>
        <v>0</v>
      </c>
      <c r="S38" s="125">
        <f>$A38*'Verwerking Bouwdelen'!AY22</f>
        <v>0</v>
      </c>
      <c r="T38" s="125">
        <f>$A38*'Verwerking Bouwdelen'!AZ22</f>
        <v>0</v>
      </c>
      <c r="U38" s="125">
        <f>$A38*'Verwerking Bouwdelen'!BA22</f>
        <v>0</v>
      </c>
      <c r="V38" s="125">
        <f>$A38*'Verwerking Bouwdelen'!BB22</f>
        <v>0</v>
      </c>
      <c r="W38" s="125">
        <f>$A38*'Verwerking Bouwdelen'!BC22</f>
        <v>0</v>
      </c>
      <c r="X38" s="125">
        <f>$A38*'Verwerking Bouwdelen'!BD22</f>
        <v>0</v>
      </c>
      <c r="Y38" s="125">
        <f>$A38*'Verwerking Bouwdelen'!BE22</f>
        <v>0</v>
      </c>
      <c r="Z38" s="195">
        <f>$A38*'Verwerking Bouwdelen'!BF22</f>
        <v>0</v>
      </c>
      <c r="AB38" s="125">
        <f>IF(OR('Verwerking Bouwdelen'!C22=3,'Verwerking Bouwdelen'!C22=6),1,0)</f>
        <v>0</v>
      </c>
      <c r="AC38" s="130">
        <f>IF('Verwerking Bouwdelen'!A22=3,1,0)</f>
        <v>0</v>
      </c>
      <c r="AD38" s="208">
        <f>IF($AB38=1,$AC38*'Verwerking Bouwdelen'!DL22,$AC38*'Verwerking Bouwdelen'!T22)</f>
        <v>0</v>
      </c>
      <c r="AE38" s="208">
        <f>IF($AB38=1,$AC38*'Verwerking Bouwdelen'!DM22,$AC38*'Verwerking Bouwdelen'!U22)</f>
        <v>0</v>
      </c>
      <c r="AF38" s="208">
        <f>IF($AB38=1,$AC38*'Verwerking Bouwdelen'!DN22,$AC38*'Verwerking Bouwdelen'!V22)</f>
        <v>0</v>
      </c>
      <c r="AG38" s="208">
        <f>IF($AB38=1,$AC38*'Verwerking Bouwdelen'!DO22,$AC38*'Verwerking Bouwdelen'!W22)</f>
        <v>0</v>
      </c>
      <c r="AH38" s="208">
        <f>IF($AB38=1,$AC38*'Verwerking Bouwdelen'!DP22,$AC38*'Verwerking Bouwdelen'!X22)</f>
        <v>0</v>
      </c>
      <c r="AI38" s="208">
        <f>IF($AB38=1,$AC38*'Verwerking Bouwdelen'!DQ22,$AC38*'Verwerking Bouwdelen'!Y22)</f>
        <v>0</v>
      </c>
      <c r="AJ38" s="208">
        <f>IF($AB38=1,$AC38*'Verwerking Bouwdelen'!DR22,$AC38*'Verwerking Bouwdelen'!Z22)</f>
        <v>0</v>
      </c>
      <c r="AK38" s="208">
        <f>IF($AB38=1,$AC38*'Verwerking Bouwdelen'!DS22,$AC38*'Verwerking Bouwdelen'!AA22)</f>
        <v>0</v>
      </c>
      <c r="AL38" s="208">
        <f>IF($AB38=1,$AC38*'Verwerking Bouwdelen'!DT22,$AC38*'Verwerking Bouwdelen'!AB22)</f>
        <v>0</v>
      </c>
      <c r="AM38" s="208">
        <f>IF($AB38=1,$AC38*'Verwerking Bouwdelen'!DU22,$AC38*'Verwerking Bouwdelen'!AC22)</f>
        <v>0</v>
      </c>
      <c r="AN38" s="208">
        <f>IF($AB38=1,$AC38*'Verwerking Bouwdelen'!DV22,$AC38*'Verwerking Bouwdelen'!AD22)</f>
        <v>0</v>
      </c>
      <c r="AO38" s="208">
        <f>IF($AB38=1,$AC38*'Verwerking Bouwdelen'!DW22,$AC38*'Verwerking Bouwdelen'!AE22)</f>
        <v>0</v>
      </c>
      <c r="AP38" s="10">
        <f>IF(AD38=B38,0,'Verwerking Bouwdelen'!D22*AB38*AC38)</f>
        <v>0</v>
      </c>
      <c r="AQ38" s="10">
        <f>AB38*AC38*'Verwerking Bouwdelen'!GH22</f>
        <v>0</v>
      </c>
      <c r="AR38" s="10"/>
      <c r="AS38" s="248"/>
      <c r="AT38" s="125">
        <f>IF('Verwerking Bouwdelen'!C22=4,1,0)</f>
        <v>0</v>
      </c>
      <c r="AU38" s="130">
        <f>IF('Verwerking Bouwdelen'!A22=3,1,0)</f>
        <v>0</v>
      </c>
      <c r="AV38" s="208">
        <f>IF($AT38=1,$AU38*'Verwerking Bouwdelen'!DL22,$AU38*'Verwerking Bouwdelen'!T22)</f>
        <v>0</v>
      </c>
      <c r="AW38" s="208">
        <f>IF($AT38=1,$AU38*'Verwerking Bouwdelen'!DM22,$AU38*'Verwerking Bouwdelen'!U22)</f>
        <v>0</v>
      </c>
      <c r="AX38" s="208">
        <f>IF($AT38=1,$AU38*'Verwerking Bouwdelen'!DN22,$AU38*'Verwerking Bouwdelen'!V22)</f>
        <v>0</v>
      </c>
      <c r="AY38" s="208">
        <f>IF($AT38=1,$AU38*'Verwerking Bouwdelen'!DO22,$AU38*'Verwerking Bouwdelen'!W22)</f>
        <v>0</v>
      </c>
      <c r="AZ38" s="208">
        <f>IF($AT38=1,$AU38*'Verwerking Bouwdelen'!DP22,$AU38*'Verwerking Bouwdelen'!X22)</f>
        <v>0</v>
      </c>
      <c r="BA38" s="208">
        <f>IF($AT38=1,$AU38*'Verwerking Bouwdelen'!DQ22,$AU38*'Verwerking Bouwdelen'!Y22)</f>
        <v>0</v>
      </c>
      <c r="BB38" s="208">
        <f>IF($AT38=1,$AU38*'Verwerking Bouwdelen'!DR22,$AU38*'Verwerking Bouwdelen'!Z22)</f>
        <v>0</v>
      </c>
      <c r="BC38" s="208">
        <f>IF($AT38=1,$AU38*'Verwerking Bouwdelen'!DS22,$AU38*'Verwerking Bouwdelen'!AA22)</f>
        <v>0</v>
      </c>
      <c r="BD38" s="208">
        <f>IF($AT38=1,$AU38*'Verwerking Bouwdelen'!DT22,$AU38*'Verwerking Bouwdelen'!AB22)</f>
        <v>0</v>
      </c>
      <c r="BE38" s="208">
        <f>IF($AT38=1,$AU38*'Verwerking Bouwdelen'!DU22,$AU38*'Verwerking Bouwdelen'!AC22)</f>
        <v>0</v>
      </c>
      <c r="BF38" s="208">
        <f>IF($AT38=1,$AU38*'Verwerking Bouwdelen'!DV22,$AU38*'Verwerking Bouwdelen'!AD22)</f>
        <v>0</v>
      </c>
      <c r="BG38" s="208">
        <f>IF($AT38=1,$AU38*'Verwerking Bouwdelen'!DW22,$AU38*'Verwerking Bouwdelen'!AE22)</f>
        <v>0</v>
      </c>
      <c r="BH38" s="10">
        <f>IF(AV38=B38,0,'Verwerking Bouwdelen'!D22*AT38*AU38)</f>
        <v>0</v>
      </c>
      <c r="BI38" s="10">
        <f>AT38*AU38*'Verwerking Bouwdelen'!GH22</f>
        <v>0</v>
      </c>
      <c r="BJ38" s="10"/>
      <c r="BK38" s="10"/>
      <c r="BM38" s="125">
        <f>IF('Verwerking Bouwdelen'!C22=5,1,0)</f>
        <v>0</v>
      </c>
      <c r="BN38" s="130">
        <f>IF('Verwerking Bouwdelen'!A22=3,1,0)</f>
        <v>0</v>
      </c>
      <c r="BO38" s="208">
        <f>IF($BM38=1,$BN38*'Verwerking Bouwdelen'!DL22,$BN38*'Verwerking Bouwdelen'!T22)</f>
        <v>0</v>
      </c>
      <c r="BP38" s="208">
        <f>IF($BM38=1,$BN38*'Verwerking Bouwdelen'!DM22,$BN38*'Verwerking Bouwdelen'!U22)</f>
        <v>0</v>
      </c>
      <c r="BQ38" s="208">
        <f>IF($BM38=1,$BN38*'Verwerking Bouwdelen'!DN22,$BN38*'Verwerking Bouwdelen'!V22)</f>
        <v>0</v>
      </c>
      <c r="BR38" s="208">
        <f>IF($BM38=1,$BN38*'Verwerking Bouwdelen'!DO22,$BN38*'Verwerking Bouwdelen'!W22)</f>
        <v>0</v>
      </c>
      <c r="BS38" s="208">
        <f>IF($BM38=1,$BN38*'Verwerking Bouwdelen'!DP22,$BN38*'Verwerking Bouwdelen'!X22)</f>
        <v>0</v>
      </c>
      <c r="BT38" s="208">
        <f>IF($BM38=1,$BN38*'Verwerking Bouwdelen'!DQ22,$BN38*'Verwerking Bouwdelen'!Y22)</f>
        <v>0</v>
      </c>
      <c r="BU38" s="208">
        <f>IF($BM38=1,$BN38*'Verwerking Bouwdelen'!DR22,$BN38*'Verwerking Bouwdelen'!Z22)</f>
        <v>0</v>
      </c>
      <c r="BV38" s="208">
        <f>IF($BM38=1,$BN38*'Verwerking Bouwdelen'!DS22,$BN38*'Verwerking Bouwdelen'!AA22)</f>
        <v>0</v>
      </c>
      <c r="BW38" s="208">
        <f>IF($BM38=1,$BN38*'Verwerking Bouwdelen'!DT22,$BN38*'Verwerking Bouwdelen'!AB22)</f>
        <v>0</v>
      </c>
      <c r="BX38" s="208">
        <f>IF($BM38=1,$BN38*'Verwerking Bouwdelen'!DU22,$BN38*'Verwerking Bouwdelen'!AC22)</f>
        <v>0</v>
      </c>
      <c r="BY38" s="208">
        <f>IF($BM38=1,$BN38*'Verwerking Bouwdelen'!DV22,$BN38*'Verwerking Bouwdelen'!AD22)</f>
        <v>0</v>
      </c>
      <c r="BZ38" s="208">
        <f>IF($BM38=1,$BN38*'Verwerking Bouwdelen'!DW22,$BN38*'Verwerking Bouwdelen'!AE22)</f>
        <v>0</v>
      </c>
      <c r="CA38" s="10">
        <f>IF(BO38=$B38,0,'Verwerking Bouwdelen'!$D22*BM38*BN38)</f>
        <v>0</v>
      </c>
      <c r="CB38" s="10">
        <f>BM38*BN38*'Verwerking Bouwdelen'!GH22</f>
        <v>0</v>
      </c>
      <c r="CC38" s="10"/>
      <c r="CD38" s="248"/>
      <c r="CE38" s="125">
        <f>IF('Verwerking Bouwdelen'!C22=2,1,0)</f>
        <v>0</v>
      </c>
      <c r="CF38" s="130">
        <f>IF('Verwerking Bouwdelen'!A22=3,1,0)</f>
        <v>0</v>
      </c>
      <c r="CG38" s="208">
        <f>IF($CE38=1,$CF38*'Verwerking Bouwdelen'!DL22,$CF38*'Verwerking Bouwdelen'!T22)</f>
        <v>0</v>
      </c>
      <c r="CH38" s="208">
        <f>IF($CE38=1,$CF38*'Verwerking Bouwdelen'!DM22,$CF38*'Verwerking Bouwdelen'!U22)</f>
        <v>0</v>
      </c>
      <c r="CI38" s="208">
        <f>IF($CE38=1,$CF38*'Verwerking Bouwdelen'!DN22,$CF38*'Verwerking Bouwdelen'!V22)</f>
        <v>0</v>
      </c>
      <c r="CJ38" s="208">
        <f>IF($CE38=1,$CF38*'Verwerking Bouwdelen'!DO22,$CF38*'Verwerking Bouwdelen'!W22)</f>
        <v>0</v>
      </c>
      <c r="CK38" s="208">
        <f>IF($CE38=1,$CF38*'Verwerking Bouwdelen'!DP22,$CF38*'Verwerking Bouwdelen'!X22)</f>
        <v>0</v>
      </c>
      <c r="CL38" s="208">
        <f>IF($CE38=1,$CF38*'Verwerking Bouwdelen'!DQ22,$CF38*'Verwerking Bouwdelen'!Y22)</f>
        <v>0</v>
      </c>
      <c r="CM38" s="208">
        <f>IF($CE38=1,$CF38*'Verwerking Bouwdelen'!DR22,$CF38*'Verwerking Bouwdelen'!Z22)</f>
        <v>0</v>
      </c>
      <c r="CN38" s="208">
        <f>IF($CE38=1,$CF38*'Verwerking Bouwdelen'!DS22,$CF38*'Verwerking Bouwdelen'!AA22)</f>
        <v>0</v>
      </c>
      <c r="CO38" s="208">
        <f>IF($CE38=1,$CF38*'Verwerking Bouwdelen'!DT22,$CF38*'Verwerking Bouwdelen'!AB22)</f>
        <v>0</v>
      </c>
      <c r="CP38" s="208">
        <f>IF($CE38=1,$CF38*'Verwerking Bouwdelen'!DU22,$CF38*'Verwerking Bouwdelen'!AC22)</f>
        <v>0</v>
      </c>
      <c r="CQ38" s="208">
        <f>IF($CE38=1,$CF38*'Verwerking Bouwdelen'!DV22,$CF38*'Verwerking Bouwdelen'!AD22)</f>
        <v>0</v>
      </c>
      <c r="CR38" s="208">
        <f>IF($CE38=1,$CF38*'Verwerking Bouwdelen'!DW22,$CF38*'Verwerking Bouwdelen'!AE22)</f>
        <v>0</v>
      </c>
      <c r="CS38" s="10">
        <f>IF(CG38=$B38,0,('Verwerking Bouwdelen'!$D22-'Verwerking Bouwdelen'!G22)*CE38*CF38)</f>
        <v>0</v>
      </c>
      <c r="CT38" s="260">
        <f>CE38*CF38*'Verwerking Bouwdelen'!GH22</f>
        <v>0</v>
      </c>
      <c r="CU38" s="261">
        <f>CE38*CF38*'Verwerking Bouwdelen'!GI22</f>
        <v>0</v>
      </c>
      <c r="CW38" s="209">
        <f>$AC38*'Verwerking Bouwdelen'!EE22</f>
        <v>0</v>
      </c>
      <c r="CX38" s="209">
        <f>$AC38*'Verwerking Bouwdelen'!EF22</f>
        <v>0</v>
      </c>
      <c r="CY38" s="209">
        <f>$AC38*'Verwerking Bouwdelen'!EG22</f>
        <v>0</v>
      </c>
      <c r="CZ38" s="209">
        <f>$AC38*'Verwerking Bouwdelen'!EH22</f>
        <v>0</v>
      </c>
      <c r="DA38" s="209">
        <f>$AC38*'Verwerking Bouwdelen'!EI22</f>
        <v>0</v>
      </c>
      <c r="DB38" s="209">
        <f>$AC38*'Verwerking Bouwdelen'!EJ22</f>
        <v>0</v>
      </c>
      <c r="DC38" s="209">
        <f>$AC38*'Verwerking Bouwdelen'!EK22</f>
        <v>0</v>
      </c>
      <c r="DD38" s="209">
        <f>$AC38*'Verwerking Bouwdelen'!EL22</f>
        <v>0</v>
      </c>
      <c r="DE38" s="209">
        <f>$AC38*'Verwerking Bouwdelen'!EM22</f>
        <v>0</v>
      </c>
      <c r="DF38" s="209">
        <f>$AC38*'Verwerking Bouwdelen'!EN22</f>
        <v>0</v>
      </c>
      <c r="DG38" s="209">
        <f>$AC38*'Verwerking Bouwdelen'!EO22</f>
        <v>0</v>
      </c>
      <c r="DH38" s="209">
        <f>$AC38*'Verwerking Bouwdelen'!EP22</f>
        <v>0</v>
      </c>
      <c r="DI38" s="10">
        <f>IF(CW38=$O38,0,'Verwerking Bouwdelen'!G22)</f>
        <v>0</v>
      </c>
      <c r="DJ38" s="259">
        <f>'Verwerking Bouwdelen'!GK22*CF38</f>
        <v>0</v>
      </c>
      <c r="DK38" s="259">
        <f>'Verwerking Bouwdelen'!GL22*CF38</f>
        <v>0</v>
      </c>
      <c r="DL38" s="125"/>
      <c r="GM38" s="89">
        <f t="shared" si="13"/>
        <v>0</v>
      </c>
      <c r="GN38" s="89">
        <f t="shared" si="14"/>
        <v>0</v>
      </c>
      <c r="GO38" s="208">
        <f>IF($GN38=1,$GN38*$GM38*'Verwerking Bouwdelen'!DL22,$GN38*$GM38*'Verwerking Bouwdelen'!T22)</f>
        <v>0</v>
      </c>
      <c r="GP38" s="208">
        <f>IF($GN38=1,$GN38*$GM38*'Verwerking Bouwdelen'!DM22,$GN38*$GM38*'Verwerking Bouwdelen'!U22)</f>
        <v>0</v>
      </c>
      <c r="GQ38" s="208">
        <f>IF($GN38=1,$GN38*$GM38*'Verwerking Bouwdelen'!DN22,$GN38*$GM38*'Verwerking Bouwdelen'!V22)</f>
        <v>0</v>
      </c>
      <c r="GR38" s="208">
        <f>IF($GN38=1,$GN38*$GM38*'Verwerking Bouwdelen'!DO22,$GN38*$GM38*'Verwerking Bouwdelen'!W22)</f>
        <v>0</v>
      </c>
      <c r="GS38" s="208">
        <f>IF($GN38=1,$GN38*$GM38*'Verwerking Bouwdelen'!DP22,$GN38*$GM38*'Verwerking Bouwdelen'!X22)</f>
        <v>0</v>
      </c>
      <c r="GT38" s="208">
        <f>IF($GN38=1,$GN38*$GM38*'Verwerking Bouwdelen'!DQ22,$GN38*$GM38*'Verwerking Bouwdelen'!Y22)</f>
        <v>0</v>
      </c>
      <c r="GU38" s="208">
        <f>IF($GN38=1,$GN38*$GM38*'Verwerking Bouwdelen'!DR22,$GN38*$GM38*'Verwerking Bouwdelen'!Z22)</f>
        <v>0</v>
      </c>
      <c r="GV38" s="208">
        <f>IF($GN38=1,$GN38*$GM38*'Verwerking Bouwdelen'!DS22,$GN38*$GM38*'Verwerking Bouwdelen'!AA22)</f>
        <v>0</v>
      </c>
      <c r="GW38" s="208">
        <f>IF($GN38=1,$GN38*$GM38*'Verwerking Bouwdelen'!DT22,$GN38*$GM38*'Verwerking Bouwdelen'!AB22)</f>
        <v>0</v>
      </c>
      <c r="GX38" s="208">
        <f>IF($GN38=1,$GN38*$GM38*'Verwerking Bouwdelen'!DU22,$GN38*$GM38*'Verwerking Bouwdelen'!AC22)</f>
        <v>0</v>
      </c>
      <c r="GY38" s="208">
        <f>IF($GN38=1,$GN38*$GM38*'Verwerking Bouwdelen'!DV22,$GN38*$GM38*'Verwerking Bouwdelen'!AD22)</f>
        <v>0</v>
      </c>
      <c r="GZ38" s="208">
        <f>IF($GN38=1,$GN38*$GM38*'Verwerking Bouwdelen'!DW22,$GN38*$GM38*'Verwerking Bouwdelen'!AE22)</f>
        <v>0</v>
      </c>
      <c r="HB38" s="89">
        <f t="shared" si="1"/>
        <v>0</v>
      </c>
      <c r="HC38" s="89">
        <f t="shared" si="2"/>
        <v>0</v>
      </c>
      <c r="HD38" s="89">
        <f t="shared" si="3"/>
        <v>0</v>
      </c>
      <c r="HE38" s="89">
        <f t="shared" si="4"/>
        <v>0</v>
      </c>
      <c r="HF38" s="89">
        <f t="shared" si="5"/>
        <v>0</v>
      </c>
      <c r="HG38" s="89">
        <f t="shared" si="6"/>
        <v>0</v>
      </c>
      <c r="HH38" s="89">
        <f t="shared" si="7"/>
        <v>0</v>
      </c>
      <c r="HI38" s="89">
        <f t="shared" si="8"/>
        <v>0</v>
      </c>
      <c r="HJ38" s="89">
        <f t="shared" si="9"/>
        <v>0</v>
      </c>
      <c r="HK38" s="89">
        <f t="shared" si="10"/>
        <v>0</v>
      </c>
      <c r="HL38" s="89">
        <f t="shared" si="11"/>
        <v>0</v>
      </c>
      <c r="HM38" s="89">
        <f t="shared" si="12"/>
        <v>0</v>
      </c>
    </row>
    <row r="39" spans="1:221" x14ac:dyDescent="0.2">
      <c r="A39" s="130">
        <f>IF('Verwerking Bouwdelen'!A23=3,1,0)</f>
        <v>0</v>
      </c>
      <c r="B39" s="208">
        <f>$A39*'Verwerking Bouwdelen'!T23</f>
        <v>0</v>
      </c>
      <c r="C39" s="208">
        <f>$A39*'Verwerking Bouwdelen'!U23</f>
        <v>0</v>
      </c>
      <c r="D39" s="208">
        <f>$A39*'Verwerking Bouwdelen'!V23</f>
        <v>0</v>
      </c>
      <c r="E39" s="208">
        <f>$A39*'Verwerking Bouwdelen'!W23</f>
        <v>0</v>
      </c>
      <c r="F39" s="208">
        <f>$A39*'Verwerking Bouwdelen'!X23</f>
        <v>0</v>
      </c>
      <c r="G39" s="208">
        <f>$A39*'Verwerking Bouwdelen'!Y23</f>
        <v>0</v>
      </c>
      <c r="H39" s="208">
        <f>$A39*'Verwerking Bouwdelen'!Z23</f>
        <v>0</v>
      </c>
      <c r="I39" s="208">
        <f>$A39*'Verwerking Bouwdelen'!AA23</f>
        <v>0</v>
      </c>
      <c r="J39" s="208">
        <f>$A39*'Verwerking Bouwdelen'!AB23</f>
        <v>0</v>
      </c>
      <c r="K39" s="208">
        <f>$A39*'Verwerking Bouwdelen'!AC23</f>
        <v>0</v>
      </c>
      <c r="L39" s="208">
        <f>$A39*'Verwerking Bouwdelen'!AD23</f>
        <v>0</v>
      </c>
      <c r="M39" s="208">
        <f>$A39*'Verwerking Bouwdelen'!AE23</f>
        <v>0</v>
      </c>
      <c r="O39" s="114">
        <f>$A39*'Verwerking Bouwdelen'!AU23</f>
        <v>0</v>
      </c>
      <c r="P39" s="125">
        <f>$A39*'Verwerking Bouwdelen'!AV23</f>
        <v>0</v>
      </c>
      <c r="Q39" s="125">
        <f>$A39*'Verwerking Bouwdelen'!AW23</f>
        <v>0</v>
      </c>
      <c r="R39" s="125">
        <f>$A39*'Verwerking Bouwdelen'!AX23</f>
        <v>0</v>
      </c>
      <c r="S39" s="125">
        <f>$A39*'Verwerking Bouwdelen'!AY23</f>
        <v>0</v>
      </c>
      <c r="T39" s="125">
        <f>$A39*'Verwerking Bouwdelen'!AZ23</f>
        <v>0</v>
      </c>
      <c r="U39" s="125">
        <f>$A39*'Verwerking Bouwdelen'!BA23</f>
        <v>0</v>
      </c>
      <c r="V39" s="125">
        <f>$A39*'Verwerking Bouwdelen'!BB23</f>
        <v>0</v>
      </c>
      <c r="W39" s="125">
        <f>$A39*'Verwerking Bouwdelen'!BC23</f>
        <v>0</v>
      </c>
      <c r="X39" s="125">
        <f>$A39*'Verwerking Bouwdelen'!BD23</f>
        <v>0</v>
      </c>
      <c r="Y39" s="125">
        <f>$A39*'Verwerking Bouwdelen'!BE23</f>
        <v>0</v>
      </c>
      <c r="Z39" s="195">
        <f>$A39*'Verwerking Bouwdelen'!BF23</f>
        <v>0</v>
      </c>
      <c r="AB39" s="125">
        <f>IF(OR('Verwerking Bouwdelen'!C23=3,'Verwerking Bouwdelen'!C23=6),1,0)</f>
        <v>0</v>
      </c>
      <c r="AC39" s="130">
        <f>IF('Verwerking Bouwdelen'!A23=3,1,0)</f>
        <v>0</v>
      </c>
      <c r="AD39" s="208">
        <f>IF($AB39=1,$AC39*'Verwerking Bouwdelen'!DL23,$AC39*'Verwerking Bouwdelen'!T23)</f>
        <v>0</v>
      </c>
      <c r="AE39" s="208">
        <f>IF($AB39=1,$AC39*'Verwerking Bouwdelen'!DM23,$AC39*'Verwerking Bouwdelen'!U23)</f>
        <v>0</v>
      </c>
      <c r="AF39" s="208">
        <f>IF($AB39=1,$AC39*'Verwerking Bouwdelen'!DN23,$AC39*'Verwerking Bouwdelen'!V23)</f>
        <v>0</v>
      </c>
      <c r="AG39" s="208">
        <f>IF($AB39=1,$AC39*'Verwerking Bouwdelen'!DO23,$AC39*'Verwerking Bouwdelen'!W23)</f>
        <v>0</v>
      </c>
      <c r="AH39" s="208">
        <f>IF($AB39=1,$AC39*'Verwerking Bouwdelen'!DP23,$AC39*'Verwerking Bouwdelen'!X23)</f>
        <v>0</v>
      </c>
      <c r="AI39" s="208">
        <f>IF($AB39=1,$AC39*'Verwerking Bouwdelen'!DQ23,$AC39*'Verwerking Bouwdelen'!Y23)</f>
        <v>0</v>
      </c>
      <c r="AJ39" s="208">
        <f>IF($AB39=1,$AC39*'Verwerking Bouwdelen'!DR23,$AC39*'Verwerking Bouwdelen'!Z23)</f>
        <v>0</v>
      </c>
      <c r="AK39" s="208">
        <f>IF($AB39=1,$AC39*'Verwerking Bouwdelen'!DS23,$AC39*'Verwerking Bouwdelen'!AA23)</f>
        <v>0</v>
      </c>
      <c r="AL39" s="208">
        <f>IF($AB39=1,$AC39*'Verwerking Bouwdelen'!DT23,$AC39*'Verwerking Bouwdelen'!AB23)</f>
        <v>0</v>
      </c>
      <c r="AM39" s="208">
        <f>IF($AB39=1,$AC39*'Verwerking Bouwdelen'!DU23,$AC39*'Verwerking Bouwdelen'!AC23)</f>
        <v>0</v>
      </c>
      <c r="AN39" s="208">
        <f>IF($AB39=1,$AC39*'Verwerking Bouwdelen'!DV23,$AC39*'Verwerking Bouwdelen'!AD23)</f>
        <v>0</v>
      </c>
      <c r="AO39" s="208">
        <f>IF($AB39=1,$AC39*'Verwerking Bouwdelen'!DW23,$AC39*'Verwerking Bouwdelen'!AE23)</f>
        <v>0</v>
      </c>
      <c r="AP39" s="10">
        <f>IF(AD39=B39,0,'Verwerking Bouwdelen'!D23*AB39*AC39)</f>
        <v>0</v>
      </c>
      <c r="AQ39" s="10">
        <f>AB39*AC39*'Verwerking Bouwdelen'!GH23</f>
        <v>0</v>
      </c>
      <c r="AR39" s="10"/>
      <c r="AS39" s="248"/>
      <c r="AT39" s="125">
        <f>IF('Verwerking Bouwdelen'!C23=4,1,0)</f>
        <v>0</v>
      </c>
      <c r="AU39" s="130">
        <f>IF('Verwerking Bouwdelen'!A23=3,1,0)</f>
        <v>0</v>
      </c>
      <c r="AV39" s="208">
        <f>IF($AT39=1,$AU39*'Verwerking Bouwdelen'!DL23,$AU39*'Verwerking Bouwdelen'!T23)</f>
        <v>0</v>
      </c>
      <c r="AW39" s="208">
        <f>IF($AT39=1,$AU39*'Verwerking Bouwdelen'!DM23,$AU39*'Verwerking Bouwdelen'!U23)</f>
        <v>0</v>
      </c>
      <c r="AX39" s="208">
        <f>IF($AT39=1,$AU39*'Verwerking Bouwdelen'!DN23,$AU39*'Verwerking Bouwdelen'!V23)</f>
        <v>0</v>
      </c>
      <c r="AY39" s="208">
        <f>IF($AT39=1,$AU39*'Verwerking Bouwdelen'!DO23,$AU39*'Verwerking Bouwdelen'!W23)</f>
        <v>0</v>
      </c>
      <c r="AZ39" s="208">
        <f>IF($AT39=1,$AU39*'Verwerking Bouwdelen'!DP23,$AU39*'Verwerking Bouwdelen'!X23)</f>
        <v>0</v>
      </c>
      <c r="BA39" s="208">
        <f>IF($AT39=1,$AU39*'Verwerking Bouwdelen'!DQ23,$AU39*'Verwerking Bouwdelen'!Y23)</f>
        <v>0</v>
      </c>
      <c r="BB39" s="208">
        <f>IF($AT39=1,$AU39*'Verwerking Bouwdelen'!DR23,$AU39*'Verwerking Bouwdelen'!Z23)</f>
        <v>0</v>
      </c>
      <c r="BC39" s="208">
        <f>IF($AT39=1,$AU39*'Verwerking Bouwdelen'!DS23,$AU39*'Verwerking Bouwdelen'!AA23)</f>
        <v>0</v>
      </c>
      <c r="BD39" s="208">
        <f>IF($AT39=1,$AU39*'Verwerking Bouwdelen'!DT23,$AU39*'Verwerking Bouwdelen'!AB23)</f>
        <v>0</v>
      </c>
      <c r="BE39" s="208">
        <f>IF($AT39=1,$AU39*'Verwerking Bouwdelen'!DU23,$AU39*'Verwerking Bouwdelen'!AC23)</f>
        <v>0</v>
      </c>
      <c r="BF39" s="208">
        <f>IF($AT39=1,$AU39*'Verwerking Bouwdelen'!DV23,$AU39*'Verwerking Bouwdelen'!AD23)</f>
        <v>0</v>
      </c>
      <c r="BG39" s="208">
        <f>IF($AT39=1,$AU39*'Verwerking Bouwdelen'!DW23,$AU39*'Verwerking Bouwdelen'!AE23)</f>
        <v>0</v>
      </c>
      <c r="BH39" s="10">
        <f>IF(AV39=B39,0,'Verwerking Bouwdelen'!D23*AT39*AU39)</f>
        <v>0</v>
      </c>
      <c r="BI39" s="10">
        <f>AT39*AU39*'Verwerking Bouwdelen'!GH23</f>
        <v>0</v>
      </c>
      <c r="BJ39" s="10"/>
      <c r="BK39" s="10"/>
      <c r="BM39" s="125">
        <f>IF('Verwerking Bouwdelen'!C23=5,1,0)</f>
        <v>0</v>
      </c>
      <c r="BN39" s="130">
        <f>IF('Verwerking Bouwdelen'!A23=3,1,0)</f>
        <v>0</v>
      </c>
      <c r="BO39" s="208">
        <f>IF($BM39=1,$BN39*'Verwerking Bouwdelen'!DL23,$BN39*'Verwerking Bouwdelen'!T23)</f>
        <v>0</v>
      </c>
      <c r="BP39" s="208">
        <f>IF($BM39=1,$BN39*'Verwerking Bouwdelen'!DM23,$BN39*'Verwerking Bouwdelen'!U23)</f>
        <v>0</v>
      </c>
      <c r="BQ39" s="208">
        <f>IF($BM39=1,$BN39*'Verwerking Bouwdelen'!DN23,$BN39*'Verwerking Bouwdelen'!V23)</f>
        <v>0</v>
      </c>
      <c r="BR39" s="208">
        <f>IF($BM39=1,$BN39*'Verwerking Bouwdelen'!DO23,$BN39*'Verwerking Bouwdelen'!W23)</f>
        <v>0</v>
      </c>
      <c r="BS39" s="208">
        <f>IF($BM39=1,$BN39*'Verwerking Bouwdelen'!DP23,$BN39*'Verwerking Bouwdelen'!X23)</f>
        <v>0</v>
      </c>
      <c r="BT39" s="208">
        <f>IF($BM39=1,$BN39*'Verwerking Bouwdelen'!DQ23,$BN39*'Verwerking Bouwdelen'!Y23)</f>
        <v>0</v>
      </c>
      <c r="BU39" s="208">
        <f>IF($BM39=1,$BN39*'Verwerking Bouwdelen'!DR23,$BN39*'Verwerking Bouwdelen'!Z23)</f>
        <v>0</v>
      </c>
      <c r="BV39" s="208">
        <f>IF($BM39=1,$BN39*'Verwerking Bouwdelen'!DS23,$BN39*'Verwerking Bouwdelen'!AA23)</f>
        <v>0</v>
      </c>
      <c r="BW39" s="208">
        <f>IF($BM39=1,$BN39*'Verwerking Bouwdelen'!DT23,$BN39*'Verwerking Bouwdelen'!AB23)</f>
        <v>0</v>
      </c>
      <c r="BX39" s="208">
        <f>IF($BM39=1,$BN39*'Verwerking Bouwdelen'!DU23,$BN39*'Verwerking Bouwdelen'!AC23)</f>
        <v>0</v>
      </c>
      <c r="BY39" s="208">
        <f>IF($BM39=1,$BN39*'Verwerking Bouwdelen'!DV23,$BN39*'Verwerking Bouwdelen'!AD23)</f>
        <v>0</v>
      </c>
      <c r="BZ39" s="208">
        <f>IF($BM39=1,$BN39*'Verwerking Bouwdelen'!DW23,$BN39*'Verwerking Bouwdelen'!AE23)</f>
        <v>0</v>
      </c>
      <c r="CA39" s="10">
        <f>IF(BO39=$B39,0,'Verwerking Bouwdelen'!$D23*BM39*BN39)</f>
        <v>0</v>
      </c>
      <c r="CB39" s="10">
        <f>BM39*BN39*'Verwerking Bouwdelen'!GH23</f>
        <v>0</v>
      </c>
      <c r="CC39" s="10"/>
      <c r="CD39" s="248"/>
      <c r="CE39" s="125">
        <f>IF('Verwerking Bouwdelen'!C23=2,1,0)</f>
        <v>0</v>
      </c>
      <c r="CF39" s="130">
        <f>IF('Verwerking Bouwdelen'!A23=3,1,0)</f>
        <v>0</v>
      </c>
      <c r="CG39" s="208">
        <f>IF($CE39=1,$CF39*'Verwerking Bouwdelen'!DL23,$CF39*'Verwerking Bouwdelen'!T23)</f>
        <v>0</v>
      </c>
      <c r="CH39" s="208">
        <f>IF($CE39=1,$CF39*'Verwerking Bouwdelen'!DM23,$CF39*'Verwerking Bouwdelen'!U23)</f>
        <v>0</v>
      </c>
      <c r="CI39" s="208">
        <f>IF($CE39=1,$CF39*'Verwerking Bouwdelen'!DN23,$CF39*'Verwerking Bouwdelen'!V23)</f>
        <v>0</v>
      </c>
      <c r="CJ39" s="208">
        <f>IF($CE39=1,$CF39*'Verwerking Bouwdelen'!DO23,$CF39*'Verwerking Bouwdelen'!W23)</f>
        <v>0</v>
      </c>
      <c r="CK39" s="208">
        <f>IF($CE39=1,$CF39*'Verwerking Bouwdelen'!DP23,$CF39*'Verwerking Bouwdelen'!X23)</f>
        <v>0</v>
      </c>
      <c r="CL39" s="208">
        <f>IF($CE39=1,$CF39*'Verwerking Bouwdelen'!DQ23,$CF39*'Verwerking Bouwdelen'!Y23)</f>
        <v>0</v>
      </c>
      <c r="CM39" s="208">
        <f>IF($CE39=1,$CF39*'Verwerking Bouwdelen'!DR23,$CF39*'Verwerking Bouwdelen'!Z23)</f>
        <v>0</v>
      </c>
      <c r="CN39" s="208">
        <f>IF($CE39=1,$CF39*'Verwerking Bouwdelen'!DS23,$CF39*'Verwerking Bouwdelen'!AA23)</f>
        <v>0</v>
      </c>
      <c r="CO39" s="208">
        <f>IF($CE39=1,$CF39*'Verwerking Bouwdelen'!DT23,$CF39*'Verwerking Bouwdelen'!AB23)</f>
        <v>0</v>
      </c>
      <c r="CP39" s="208">
        <f>IF($CE39=1,$CF39*'Verwerking Bouwdelen'!DU23,$CF39*'Verwerking Bouwdelen'!AC23)</f>
        <v>0</v>
      </c>
      <c r="CQ39" s="208">
        <f>IF($CE39=1,$CF39*'Verwerking Bouwdelen'!DV23,$CF39*'Verwerking Bouwdelen'!AD23)</f>
        <v>0</v>
      </c>
      <c r="CR39" s="208">
        <f>IF($CE39=1,$CF39*'Verwerking Bouwdelen'!DW23,$CF39*'Verwerking Bouwdelen'!AE23)</f>
        <v>0</v>
      </c>
      <c r="CS39" s="10">
        <f>IF(CG39=$B39,0,('Verwerking Bouwdelen'!$D23-'Verwerking Bouwdelen'!G23)*CE39*CF39)</f>
        <v>0</v>
      </c>
      <c r="CT39" s="260">
        <f>CE39*CF39*'Verwerking Bouwdelen'!GH23</f>
        <v>0</v>
      </c>
      <c r="CU39" s="261">
        <f>CE39*CF39*'Verwerking Bouwdelen'!GI23</f>
        <v>0</v>
      </c>
      <c r="CW39" s="209">
        <f>$AC39*'Verwerking Bouwdelen'!EE23</f>
        <v>0</v>
      </c>
      <c r="CX39" s="209">
        <f>$AC39*'Verwerking Bouwdelen'!EF23</f>
        <v>0</v>
      </c>
      <c r="CY39" s="209">
        <f>$AC39*'Verwerking Bouwdelen'!EG23</f>
        <v>0</v>
      </c>
      <c r="CZ39" s="209">
        <f>$AC39*'Verwerking Bouwdelen'!EH23</f>
        <v>0</v>
      </c>
      <c r="DA39" s="209">
        <f>$AC39*'Verwerking Bouwdelen'!EI23</f>
        <v>0</v>
      </c>
      <c r="DB39" s="209">
        <f>$AC39*'Verwerking Bouwdelen'!EJ23</f>
        <v>0</v>
      </c>
      <c r="DC39" s="209">
        <f>$AC39*'Verwerking Bouwdelen'!EK23</f>
        <v>0</v>
      </c>
      <c r="DD39" s="209">
        <f>$AC39*'Verwerking Bouwdelen'!EL23</f>
        <v>0</v>
      </c>
      <c r="DE39" s="209">
        <f>$AC39*'Verwerking Bouwdelen'!EM23</f>
        <v>0</v>
      </c>
      <c r="DF39" s="209">
        <f>$AC39*'Verwerking Bouwdelen'!EN23</f>
        <v>0</v>
      </c>
      <c r="DG39" s="209">
        <f>$AC39*'Verwerking Bouwdelen'!EO23</f>
        <v>0</v>
      </c>
      <c r="DH39" s="209">
        <f>$AC39*'Verwerking Bouwdelen'!EP23</f>
        <v>0</v>
      </c>
      <c r="DI39" s="10">
        <f>IF(CW39=$O39,0,'Verwerking Bouwdelen'!G23)</f>
        <v>0</v>
      </c>
      <c r="DJ39" s="259">
        <f>'Verwerking Bouwdelen'!GK23*CF39</f>
        <v>0</v>
      </c>
      <c r="DK39" s="259">
        <f>'Verwerking Bouwdelen'!GL23*CF39</f>
        <v>0</v>
      </c>
      <c r="DL39" s="125"/>
      <c r="GM39" s="89">
        <f t="shared" si="13"/>
        <v>0</v>
      </c>
      <c r="GN39" s="89">
        <f t="shared" si="14"/>
        <v>0</v>
      </c>
      <c r="GO39" s="208">
        <f>IF($GN39=1,$GN39*$GM39*'Verwerking Bouwdelen'!DL23,$GN39*$GM39*'Verwerking Bouwdelen'!T23)</f>
        <v>0</v>
      </c>
      <c r="GP39" s="208">
        <f>IF($GN39=1,$GN39*$GM39*'Verwerking Bouwdelen'!DM23,$GN39*$GM39*'Verwerking Bouwdelen'!U23)</f>
        <v>0</v>
      </c>
      <c r="GQ39" s="208">
        <f>IF($GN39=1,$GN39*$GM39*'Verwerking Bouwdelen'!DN23,$GN39*$GM39*'Verwerking Bouwdelen'!V23)</f>
        <v>0</v>
      </c>
      <c r="GR39" s="208">
        <f>IF($GN39=1,$GN39*$GM39*'Verwerking Bouwdelen'!DO23,$GN39*$GM39*'Verwerking Bouwdelen'!W23)</f>
        <v>0</v>
      </c>
      <c r="GS39" s="208">
        <f>IF($GN39=1,$GN39*$GM39*'Verwerking Bouwdelen'!DP23,$GN39*$GM39*'Verwerking Bouwdelen'!X23)</f>
        <v>0</v>
      </c>
      <c r="GT39" s="208">
        <f>IF($GN39=1,$GN39*$GM39*'Verwerking Bouwdelen'!DQ23,$GN39*$GM39*'Verwerking Bouwdelen'!Y23)</f>
        <v>0</v>
      </c>
      <c r="GU39" s="208">
        <f>IF($GN39=1,$GN39*$GM39*'Verwerking Bouwdelen'!DR23,$GN39*$GM39*'Verwerking Bouwdelen'!Z23)</f>
        <v>0</v>
      </c>
      <c r="GV39" s="208">
        <f>IF($GN39=1,$GN39*$GM39*'Verwerking Bouwdelen'!DS23,$GN39*$GM39*'Verwerking Bouwdelen'!AA23)</f>
        <v>0</v>
      </c>
      <c r="GW39" s="208">
        <f>IF($GN39=1,$GN39*$GM39*'Verwerking Bouwdelen'!DT23,$GN39*$GM39*'Verwerking Bouwdelen'!AB23)</f>
        <v>0</v>
      </c>
      <c r="GX39" s="208">
        <f>IF($GN39=1,$GN39*$GM39*'Verwerking Bouwdelen'!DU23,$GN39*$GM39*'Verwerking Bouwdelen'!AC23)</f>
        <v>0</v>
      </c>
      <c r="GY39" s="208">
        <f>IF($GN39=1,$GN39*$GM39*'Verwerking Bouwdelen'!DV23,$GN39*$GM39*'Verwerking Bouwdelen'!AD23)</f>
        <v>0</v>
      </c>
      <c r="GZ39" s="208">
        <f>IF($GN39=1,$GN39*$GM39*'Verwerking Bouwdelen'!DW23,$GN39*$GM39*'Verwerking Bouwdelen'!AE23)</f>
        <v>0</v>
      </c>
      <c r="HB39" s="89">
        <f t="shared" si="1"/>
        <v>0</v>
      </c>
      <c r="HC39" s="89">
        <f t="shared" si="2"/>
        <v>0</v>
      </c>
      <c r="HD39" s="89">
        <f t="shared" si="3"/>
        <v>0</v>
      </c>
      <c r="HE39" s="89">
        <f t="shared" si="4"/>
        <v>0</v>
      </c>
      <c r="HF39" s="89">
        <f t="shared" si="5"/>
        <v>0</v>
      </c>
      <c r="HG39" s="89">
        <f t="shared" si="6"/>
        <v>0</v>
      </c>
      <c r="HH39" s="89">
        <f t="shared" si="7"/>
        <v>0</v>
      </c>
      <c r="HI39" s="89">
        <f t="shared" si="8"/>
        <v>0</v>
      </c>
      <c r="HJ39" s="89">
        <f t="shared" si="9"/>
        <v>0</v>
      </c>
      <c r="HK39" s="89">
        <f t="shared" si="10"/>
        <v>0</v>
      </c>
      <c r="HL39" s="89">
        <f t="shared" si="11"/>
        <v>0</v>
      </c>
      <c r="HM39" s="89">
        <f t="shared" si="12"/>
        <v>0</v>
      </c>
    </row>
    <row r="40" spans="1:221" x14ac:dyDescent="0.2">
      <c r="A40" s="130">
        <f>IF('Verwerking Bouwdelen'!A24=3,1,0)</f>
        <v>0</v>
      </c>
      <c r="B40" s="208">
        <f>$A40*'Verwerking Bouwdelen'!T24</f>
        <v>0</v>
      </c>
      <c r="C40" s="208">
        <f>$A40*'Verwerking Bouwdelen'!U24</f>
        <v>0</v>
      </c>
      <c r="D40" s="208">
        <f>$A40*'Verwerking Bouwdelen'!V24</f>
        <v>0</v>
      </c>
      <c r="E40" s="208">
        <f>$A40*'Verwerking Bouwdelen'!W24</f>
        <v>0</v>
      </c>
      <c r="F40" s="208">
        <f>$A40*'Verwerking Bouwdelen'!X24</f>
        <v>0</v>
      </c>
      <c r="G40" s="208">
        <f>$A40*'Verwerking Bouwdelen'!Y24</f>
        <v>0</v>
      </c>
      <c r="H40" s="208">
        <f>$A40*'Verwerking Bouwdelen'!Z24</f>
        <v>0</v>
      </c>
      <c r="I40" s="208">
        <f>$A40*'Verwerking Bouwdelen'!AA24</f>
        <v>0</v>
      </c>
      <c r="J40" s="208">
        <f>$A40*'Verwerking Bouwdelen'!AB24</f>
        <v>0</v>
      </c>
      <c r="K40" s="208">
        <f>$A40*'Verwerking Bouwdelen'!AC24</f>
        <v>0</v>
      </c>
      <c r="L40" s="208">
        <f>$A40*'Verwerking Bouwdelen'!AD24</f>
        <v>0</v>
      </c>
      <c r="M40" s="208">
        <f>$A40*'Verwerking Bouwdelen'!AE24</f>
        <v>0</v>
      </c>
      <c r="O40" s="114">
        <f>$A40*'Verwerking Bouwdelen'!AU24</f>
        <v>0</v>
      </c>
      <c r="P40" s="125">
        <f>$A40*'Verwerking Bouwdelen'!AV24</f>
        <v>0</v>
      </c>
      <c r="Q40" s="125">
        <f>$A40*'Verwerking Bouwdelen'!AW24</f>
        <v>0</v>
      </c>
      <c r="R40" s="125">
        <f>$A40*'Verwerking Bouwdelen'!AX24</f>
        <v>0</v>
      </c>
      <c r="S40" s="125">
        <f>$A40*'Verwerking Bouwdelen'!AY24</f>
        <v>0</v>
      </c>
      <c r="T40" s="125">
        <f>$A40*'Verwerking Bouwdelen'!AZ24</f>
        <v>0</v>
      </c>
      <c r="U40" s="125">
        <f>$A40*'Verwerking Bouwdelen'!BA24</f>
        <v>0</v>
      </c>
      <c r="V40" s="125">
        <f>$A40*'Verwerking Bouwdelen'!BB24</f>
        <v>0</v>
      </c>
      <c r="W40" s="125">
        <f>$A40*'Verwerking Bouwdelen'!BC24</f>
        <v>0</v>
      </c>
      <c r="X40" s="125">
        <f>$A40*'Verwerking Bouwdelen'!BD24</f>
        <v>0</v>
      </c>
      <c r="Y40" s="125">
        <f>$A40*'Verwerking Bouwdelen'!BE24</f>
        <v>0</v>
      </c>
      <c r="Z40" s="195">
        <f>$A40*'Verwerking Bouwdelen'!BF24</f>
        <v>0</v>
      </c>
      <c r="AB40" s="125">
        <f>IF(OR('Verwerking Bouwdelen'!C24=3,'Verwerking Bouwdelen'!C24=6),1,0)</f>
        <v>0</v>
      </c>
      <c r="AC40" s="130">
        <f>IF('Verwerking Bouwdelen'!A24=3,1,0)</f>
        <v>0</v>
      </c>
      <c r="AD40" s="208">
        <f>IF($AB40=1,$AC40*'Verwerking Bouwdelen'!DL24,$AC40*'Verwerking Bouwdelen'!T24)</f>
        <v>0</v>
      </c>
      <c r="AE40" s="208">
        <f>IF($AB40=1,$AC40*'Verwerking Bouwdelen'!DM24,$AC40*'Verwerking Bouwdelen'!U24)</f>
        <v>0</v>
      </c>
      <c r="AF40" s="208">
        <f>IF($AB40=1,$AC40*'Verwerking Bouwdelen'!DN24,$AC40*'Verwerking Bouwdelen'!V24)</f>
        <v>0</v>
      </c>
      <c r="AG40" s="208">
        <f>IF($AB40=1,$AC40*'Verwerking Bouwdelen'!DO24,$AC40*'Verwerking Bouwdelen'!W24)</f>
        <v>0</v>
      </c>
      <c r="AH40" s="208">
        <f>IF($AB40=1,$AC40*'Verwerking Bouwdelen'!DP24,$AC40*'Verwerking Bouwdelen'!X24)</f>
        <v>0</v>
      </c>
      <c r="AI40" s="208">
        <f>IF($AB40=1,$AC40*'Verwerking Bouwdelen'!DQ24,$AC40*'Verwerking Bouwdelen'!Y24)</f>
        <v>0</v>
      </c>
      <c r="AJ40" s="208">
        <f>IF($AB40=1,$AC40*'Verwerking Bouwdelen'!DR24,$AC40*'Verwerking Bouwdelen'!Z24)</f>
        <v>0</v>
      </c>
      <c r="AK40" s="208">
        <f>IF($AB40=1,$AC40*'Verwerking Bouwdelen'!DS24,$AC40*'Verwerking Bouwdelen'!AA24)</f>
        <v>0</v>
      </c>
      <c r="AL40" s="208">
        <f>IF($AB40=1,$AC40*'Verwerking Bouwdelen'!DT24,$AC40*'Verwerking Bouwdelen'!AB24)</f>
        <v>0</v>
      </c>
      <c r="AM40" s="208">
        <f>IF($AB40=1,$AC40*'Verwerking Bouwdelen'!DU24,$AC40*'Verwerking Bouwdelen'!AC24)</f>
        <v>0</v>
      </c>
      <c r="AN40" s="208">
        <f>IF($AB40=1,$AC40*'Verwerking Bouwdelen'!DV24,$AC40*'Verwerking Bouwdelen'!AD24)</f>
        <v>0</v>
      </c>
      <c r="AO40" s="208">
        <f>IF($AB40=1,$AC40*'Verwerking Bouwdelen'!DW24,$AC40*'Verwerking Bouwdelen'!AE24)</f>
        <v>0</v>
      </c>
      <c r="AP40" s="10">
        <f>IF(AD40=B40,0,'Verwerking Bouwdelen'!D24*AB40*AC40)</f>
        <v>0</v>
      </c>
      <c r="AQ40" s="10">
        <f>AB40*AC40*'Verwerking Bouwdelen'!GH24</f>
        <v>0</v>
      </c>
      <c r="AR40" s="10"/>
      <c r="AS40" s="248"/>
      <c r="AT40" s="125">
        <f>IF('Verwerking Bouwdelen'!C24=4,1,0)</f>
        <v>0</v>
      </c>
      <c r="AU40" s="130">
        <f>IF('Verwerking Bouwdelen'!A24=3,1,0)</f>
        <v>0</v>
      </c>
      <c r="AV40" s="208">
        <f>IF($AT40=1,$AU40*'Verwerking Bouwdelen'!DL24,$AU40*'Verwerking Bouwdelen'!T24)</f>
        <v>0</v>
      </c>
      <c r="AW40" s="208">
        <f>IF($AT40=1,$AU40*'Verwerking Bouwdelen'!DM24,$AU40*'Verwerking Bouwdelen'!U24)</f>
        <v>0</v>
      </c>
      <c r="AX40" s="208">
        <f>IF($AT40=1,$AU40*'Verwerking Bouwdelen'!DN24,$AU40*'Verwerking Bouwdelen'!V24)</f>
        <v>0</v>
      </c>
      <c r="AY40" s="208">
        <f>IF($AT40=1,$AU40*'Verwerking Bouwdelen'!DO24,$AU40*'Verwerking Bouwdelen'!W24)</f>
        <v>0</v>
      </c>
      <c r="AZ40" s="208">
        <f>IF($AT40=1,$AU40*'Verwerking Bouwdelen'!DP24,$AU40*'Verwerking Bouwdelen'!X24)</f>
        <v>0</v>
      </c>
      <c r="BA40" s="208">
        <f>IF($AT40=1,$AU40*'Verwerking Bouwdelen'!DQ24,$AU40*'Verwerking Bouwdelen'!Y24)</f>
        <v>0</v>
      </c>
      <c r="BB40" s="208">
        <f>IF($AT40=1,$AU40*'Verwerking Bouwdelen'!DR24,$AU40*'Verwerking Bouwdelen'!Z24)</f>
        <v>0</v>
      </c>
      <c r="BC40" s="208">
        <f>IF($AT40=1,$AU40*'Verwerking Bouwdelen'!DS24,$AU40*'Verwerking Bouwdelen'!AA24)</f>
        <v>0</v>
      </c>
      <c r="BD40" s="208">
        <f>IF($AT40=1,$AU40*'Verwerking Bouwdelen'!DT24,$AU40*'Verwerking Bouwdelen'!AB24)</f>
        <v>0</v>
      </c>
      <c r="BE40" s="208">
        <f>IF($AT40=1,$AU40*'Verwerking Bouwdelen'!DU24,$AU40*'Verwerking Bouwdelen'!AC24)</f>
        <v>0</v>
      </c>
      <c r="BF40" s="208">
        <f>IF($AT40=1,$AU40*'Verwerking Bouwdelen'!DV24,$AU40*'Verwerking Bouwdelen'!AD24)</f>
        <v>0</v>
      </c>
      <c r="BG40" s="208">
        <f>IF($AT40=1,$AU40*'Verwerking Bouwdelen'!DW24,$AU40*'Verwerking Bouwdelen'!AE24)</f>
        <v>0</v>
      </c>
      <c r="BH40" s="10">
        <f>IF(AV40=B40,0,'Verwerking Bouwdelen'!D24*AT40*AU40)</f>
        <v>0</v>
      </c>
      <c r="BI40" s="10">
        <f>AT40*AU40*'Verwerking Bouwdelen'!GH24</f>
        <v>0</v>
      </c>
      <c r="BJ40" s="10"/>
      <c r="BK40" s="10"/>
      <c r="BM40" s="125">
        <f>IF('Verwerking Bouwdelen'!C24=5,1,0)</f>
        <v>0</v>
      </c>
      <c r="BN40" s="130">
        <f>IF('Verwerking Bouwdelen'!A24=3,1,0)</f>
        <v>0</v>
      </c>
      <c r="BO40" s="208">
        <f>IF($BM40=1,$BN40*'Verwerking Bouwdelen'!DL24,$BN40*'Verwerking Bouwdelen'!T24)</f>
        <v>0</v>
      </c>
      <c r="BP40" s="208">
        <f>IF($BM40=1,$BN40*'Verwerking Bouwdelen'!DM24,$BN40*'Verwerking Bouwdelen'!U24)</f>
        <v>0</v>
      </c>
      <c r="BQ40" s="208">
        <f>IF($BM40=1,$BN40*'Verwerking Bouwdelen'!DN24,$BN40*'Verwerking Bouwdelen'!V24)</f>
        <v>0</v>
      </c>
      <c r="BR40" s="208">
        <f>IF($BM40=1,$BN40*'Verwerking Bouwdelen'!DO24,$BN40*'Verwerking Bouwdelen'!W24)</f>
        <v>0</v>
      </c>
      <c r="BS40" s="208">
        <f>IF($BM40=1,$BN40*'Verwerking Bouwdelen'!DP24,$BN40*'Verwerking Bouwdelen'!X24)</f>
        <v>0</v>
      </c>
      <c r="BT40" s="208">
        <f>IF($BM40=1,$BN40*'Verwerking Bouwdelen'!DQ24,$BN40*'Verwerking Bouwdelen'!Y24)</f>
        <v>0</v>
      </c>
      <c r="BU40" s="208">
        <f>IF($BM40=1,$BN40*'Verwerking Bouwdelen'!DR24,$BN40*'Verwerking Bouwdelen'!Z24)</f>
        <v>0</v>
      </c>
      <c r="BV40" s="208">
        <f>IF($BM40=1,$BN40*'Verwerking Bouwdelen'!DS24,$BN40*'Verwerking Bouwdelen'!AA24)</f>
        <v>0</v>
      </c>
      <c r="BW40" s="208">
        <f>IF($BM40=1,$BN40*'Verwerking Bouwdelen'!DT24,$BN40*'Verwerking Bouwdelen'!AB24)</f>
        <v>0</v>
      </c>
      <c r="BX40" s="208">
        <f>IF($BM40=1,$BN40*'Verwerking Bouwdelen'!DU24,$BN40*'Verwerking Bouwdelen'!AC24)</f>
        <v>0</v>
      </c>
      <c r="BY40" s="208">
        <f>IF($BM40=1,$BN40*'Verwerking Bouwdelen'!DV24,$BN40*'Verwerking Bouwdelen'!AD24)</f>
        <v>0</v>
      </c>
      <c r="BZ40" s="208">
        <f>IF($BM40=1,$BN40*'Verwerking Bouwdelen'!DW24,$BN40*'Verwerking Bouwdelen'!AE24)</f>
        <v>0</v>
      </c>
      <c r="CA40" s="10">
        <f>IF(BO40=$B40,0,'Verwerking Bouwdelen'!$D24*BM40*BN40)</f>
        <v>0</v>
      </c>
      <c r="CB40" s="10">
        <f>BM40*BN40*'Verwerking Bouwdelen'!GH24</f>
        <v>0</v>
      </c>
      <c r="CC40" s="10"/>
      <c r="CD40" s="248"/>
      <c r="CE40" s="125">
        <f>IF('Verwerking Bouwdelen'!C24=2,1,0)</f>
        <v>0</v>
      </c>
      <c r="CF40" s="130">
        <f>IF('Verwerking Bouwdelen'!A24=3,1,0)</f>
        <v>0</v>
      </c>
      <c r="CG40" s="208">
        <f>IF($CE40=1,$CF40*'Verwerking Bouwdelen'!DL24,$CF40*'Verwerking Bouwdelen'!T24)</f>
        <v>0</v>
      </c>
      <c r="CH40" s="208">
        <f>IF($CE40=1,$CF40*'Verwerking Bouwdelen'!DM24,$CF40*'Verwerking Bouwdelen'!U24)</f>
        <v>0</v>
      </c>
      <c r="CI40" s="208">
        <f>IF($CE40=1,$CF40*'Verwerking Bouwdelen'!DN24,$CF40*'Verwerking Bouwdelen'!V24)</f>
        <v>0</v>
      </c>
      <c r="CJ40" s="208">
        <f>IF($CE40=1,$CF40*'Verwerking Bouwdelen'!DO24,$CF40*'Verwerking Bouwdelen'!W24)</f>
        <v>0</v>
      </c>
      <c r="CK40" s="208">
        <f>IF($CE40=1,$CF40*'Verwerking Bouwdelen'!DP24,$CF40*'Verwerking Bouwdelen'!X24)</f>
        <v>0</v>
      </c>
      <c r="CL40" s="208">
        <f>IF($CE40=1,$CF40*'Verwerking Bouwdelen'!DQ24,$CF40*'Verwerking Bouwdelen'!Y24)</f>
        <v>0</v>
      </c>
      <c r="CM40" s="208">
        <f>IF($CE40=1,$CF40*'Verwerking Bouwdelen'!DR24,$CF40*'Verwerking Bouwdelen'!Z24)</f>
        <v>0</v>
      </c>
      <c r="CN40" s="208">
        <f>IF($CE40=1,$CF40*'Verwerking Bouwdelen'!DS24,$CF40*'Verwerking Bouwdelen'!AA24)</f>
        <v>0</v>
      </c>
      <c r="CO40" s="208">
        <f>IF($CE40=1,$CF40*'Verwerking Bouwdelen'!DT24,$CF40*'Verwerking Bouwdelen'!AB24)</f>
        <v>0</v>
      </c>
      <c r="CP40" s="208">
        <f>IF($CE40=1,$CF40*'Verwerking Bouwdelen'!DU24,$CF40*'Verwerking Bouwdelen'!AC24)</f>
        <v>0</v>
      </c>
      <c r="CQ40" s="208">
        <f>IF($CE40=1,$CF40*'Verwerking Bouwdelen'!DV24,$CF40*'Verwerking Bouwdelen'!AD24)</f>
        <v>0</v>
      </c>
      <c r="CR40" s="208">
        <f>IF($CE40=1,$CF40*'Verwerking Bouwdelen'!DW24,$CF40*'Verwerking Bouwdelen'!AE24)</f>
        <v>0</v>
      </c>
      <c r="CS40" s="10">
        <f>IF(CG40=$B40,0,('Verwerking Bouwdelen'!$D24-'Verwerking Bouwdelen'!G24)*CE40*CF40)</f>
        <v>0</v>
      </c>
      <c r="CT40" s="260">
        <f>CE40*CF40*'Verwerking Bouwdelen'!GH24</f>
        <v>0</v>
      </c>
      <c r="CU40" s="261">
        <f>CE40*CF40*'Verwerking Bouwdelen'!GI24</f>
        <v>0</v>
      </c>
      <c r="CW40" s="209">
        <f>$AC40*'Verwerking Bouwdelen'!EE24</f>
        <v>0</v>
      </c>
      <c r="CX40" s="209">
        <f>$AC40*'Verwerking Bouwdelen'!EF24</f>
        <v>0</v>
      </c>
      <c r="CY40" s="209">
        <f>$AC40*'Verwerking Bouwdelen'!EG24</f>
        <v>0</v>
      </c>
      <c r="CZ40" s="209">
        <f>$AC40*'Verwerking Bouwdelen'!EH24</f>
        <v>0</v>
      </c>
      <c r="DA40" s="209">
        <f>$AC40*'Verwerking Bouwdelen'!EI24</f>
        <v>0</v>
      </c>
      <c r="DB40" s="209">
        <f>$AC40*'Verwerking Bouwdelen'!EJ24</f>
        <v>0</v>
      </c>
      <c r="DC40" s="209">
        <f>$AC40*'Verwerking Bouwdelen'!EK24</f>
        <v>0</v>
      </c>
      <c r="DD40" s="209">
        <f>$AC40*'Verwerking Bouwdelen'!EL24</f>
        <v>0</v>
      </c>
      <c r="DE40" s="209">
        <f>$AC40*'Verwerking Bouwdelen'!EM24</f>
        <v>0</v>
      </c>
      <c r="DF40" s="209">
        <f>$AC40*'Verwerking Bouwdelen'!EN24</f>
        <v>0</v>
      </c>
      <c r="DG40" s="209">
        <f>$AC40*'Verwerking Bouwdelen'!EO24</f>
        <v>0</v>
      </c>
      <c r="DH40" s="209">
        <f>$AC40*'Verwerking Bouwdelen'!EP24</f>
        <v>0</v>
      </c>
      <c r="DI40" s="10">
        <f>IF(CW40=$O40,0,'Verwerking Bouwdelen'!G24)</f>
        <v>0</v>
      </c>
      <c r="DJ40" s="259">
        <f>'Verwerking Bouwdelen'!GK24*CF40</f>
        <v>0</v>
      </c>
      <c r="DK40" s="259">
        <f>'Verwerking Bouwdelen'!GL24*CF40</f>
        <v>0</v>
      </c>
      <c r="DL40" s="125"/>
      <c r="GM40" s="89">
        <f t="shared" si="13"/>
        <v>0</v>
      </c>
      <c r="GN40" s="89">
        <f t="shared" si="14"/>
        <v>0</v>
      </c>
      <c r="GO40" s="208">
        <f>IF($GN40=1,$GN40*$GM40*'Verwerking Bouwdelen'!DL24,$GN40*$GM40*'Verwerking Bouwdelen'!T24)</f>
        <v>0</v>
      </c>
      <c r="GP40" s="208">
        <f>IF($GN40=1,$GN40*$GM40*'Verwerking Bouwdelen'!DM24,$GN40*$GM40*'Verwerking Bouwdelen'!U24)</f>
        <v>0</v>
      </c>
      <c r="GQ40" s="208">
        <f>IF($GN40=1,$GN40*$GM40*'Verwerking Bouwdelen'!DN24,$GN40*$GM40*'Verwerking Bouwdelen'!V24)</f>
        <v>0</v>
      </c>
      <c r="GR40" s="208">
        <f>IF($GN40=1,$GN40*$GM40*'Verwerking Bouwdelen'!DO24,$GN40*$GM40*'Verwerking Bouwdelen'!W24)</f>
        <v>0</v>
      </c>
      <c r="GS40" s="208">
        <f>IF($GN40=1,$GN40*$GM40*'Verwerking Bouwdelen'!DP24,$GN40*$GM40*'Verwerking Bouwdelen'!X24)</f>
        <v>0</v>
      </c>
      <c r="GT40" s="208">
        <f>IF($GN40=1,$GN40*$GM40*'Verwerking Bouwdelen'!DQ24,$GN40*$GM40*'Verwerking Bouwdelen'!Y24)</f>
        <v>0</v>
      </c>
      <c r="GU40" s="208">
        <f>IF($GN40=1,$GN40*$GM40*'Verwerking Bouwdelen'!DR24,$GN40*$GM40*'Verwerking Bouwdelen'!Z24)</f>
        <v>0</v>
      </c>
      <c r="GV40" s="208">
        <f>IF($GN40=1,$GN40*$GM40*'Verwerking Bouwdelen'!DS24,$GN40*$GM40*'Verwerking Bouwdelen'!AA24)</f>
        <v>0</v>
      </c>
      <c r="GW40" s="208">
        <f>IF($GN40=1,$GN40*$GM40*'Verwerking Bouwdelen'!DT24,$GN40*$GM40*'Verwerking Bouwdelen'!AB24)</f>
        <v>0</v>
      </c>
      <c r="GX40" s="208">
        <f>IF($GN40=1,$GN40*$GM40*'Verwerking Bouwdelen'!DU24,$GN40*$GM40*'Verwerking Bouwdelen'!AC24)</f>
        <v>0</v>
      </c>
      <c r="GY40" s="208">
        <f>IF($GN40=1,$GN40*$GM40*'Verwerking Bouwdelen'!DV24,$GN40*$GM40*'Verwerking Bouwdelen'!AD24)</f>
        <v>0</v>
      </c>
      <c r="GZ40" s="208">
        <f>IF($GN40=1,$GN40*$GM40*'Verwerking Bouwdelen'!DW24,$GN40*$GM40*'Verwerking Bouwdelen'!AE24)</f>
        <v>0</v>
      </c>
      <c r="HB40" s="89">
        <f t="shared" ref="HB40:HB61" si="16">CW40</f>
        <v>0</v>
      </c>
      <c r="HC40" s="89">
        <f t="shared" ref="HC40:HC61" si="17">CX40</f>
        <v>0</v>
      </c>
      <c r="HD40" s="89">
        <f t="shared" ref="HD40:HD61" si="18">CY40</f>
        <v>0</v>
      </c>
      <c r="HE40" s="89">
        <f t="shared" ref="HE40:HM59" si="19">CZ40</f>
        <v>0</v>
      </c>
      <c r="HF40" s="89">
        <f t="shared" si="19"/>
        <v>0</v>
      </c>
      <c r="HG40" s="89">
        <f t="shared" si="19"/>
        <v>0</v>
      </c>
      <c r="HH40" s="89">
        <f t="shared" si="19"/>
        <v>0</v>
      </c>
      <c r="HI40" s="89">
        <f t="shared" si="19"/>
        <v>0</v>
      </c>
      <c r="HJ40" s="89">
        <f t="shared" si="19"/>
        <v>0</v>
      </c>
      <c r="HK40" s="89">
        <f t="shared" si="19"/>
        <v>0</v>
      </c>
      <c r="HL40" s="89">
        <f t="shared" si="19"/>
        <v>0</v>
      </c>
      <c r="HM40" s="89">
        <f t="shared" si="19"/>
        <v>0</v>
      </c>
    </row>
    <row r="41" spans="1:221" x14ac:dyDescent="0.2">
      <c r="A41" s="130">
        <f>IF('Verwerking Bouwdelen'!A25=3,1,0)</f>
        <v>0</v>
      </c>
      <c r="B41" s="208">
        <f>$A41*'Verwerking Bouwdelen'!T25</f>
        <v>0</v>
      </c>
      <c r="C41" s="208">
        <f>$A41*'Verwerking Bouwdelen'!U25</f>
        <v>0</v>
      </c>
      <c r="D41" s="208">
        <f>$A41*'Verwerking Bouwdelen'!V25</f>
        <v>0</v>
      </c>
      <c r="E41" s="208">
        <f>$A41*'Verwerking Bouwdelen'!W25</f>
        <v>0</v>
      </c>
      <c r="F41" s="208">
        <f>$A41*'Verwerking Bouwdelen'!X25</f>
        <v>0</v>
      </c>
      <c r="G41" s="208">
        <f>$A41*'Verwerking Bouwdelen'!Y25</f>
        <v>0</v>
      </c>
      <c r="H41" s="208">
        <f>$A41*'Verwerking Bouwdelen'!Z25</f>
        <v>0</v>
      </c>
      <c r="I41" s="208">
        <f>$A41*'Verwerking Bouwdelen'!AA25</f>
        <v>0</v>
      </c>
      <c r="J41" s="208">
        <f>$A41*'Verwerking Bouwdelen'!AB25</f>
        <v>0</v>
      </c>
      <c r="K41" s="208">
        <f>$A41*'Verwerking Bouwdelen'!AC25</f>
        <v>0</v>
      </c>
      <c r="L41" s="208">
        <f>$A41*'Verwerking Bouwdelen'!AD25</f>
        <v>0</v>
      </c>
      <c r="M41" s="208">
        <f>$A41*'Verwerking Bouwdelen'!AE25</f>
        <v>0</v>
      </c>
      <c r="O41" s="114">
        <f>$A41*'Verwerking Bouwdelen'!AU25</f>
        <v>0</v>
      </c>
      <c r="P41" s="125">
        <f>$A41*'Verwerking Bouwdelen'!AV25</f>
        <v>0</v>
      </c>
      <c r="Q41" s="125">
        <f>$A41*'Verwerking Bouwdelen'!AW25</f>
        <v>0</v>
      </c>
      <c r="R41" s="125">
        <f>$A41*'Verwerking Bouwdelen'!AX25</f>
        <v>0</v>
      </c>
      <c r="S41" s="125">
        <f>$A41*'Verwerking Bouwdelen'!AY25</f>
        <v>0</v>
      </c>
      <c r="T41" s="125">
        <f>$A41*'Verwerking Bouwdelen'!AZ25</f>
        <v>0</v>
      </c>
      <c r="U41" s="125">
        <f>$A41*'Verwerking Bouwdelen'!BA25</f>
        <v>0</v>
      </c>
      <c r="V41" s="125">
        <f>$A41*'Verwerking Bouwdelen'!BB25</f>
        <v>0</v>
      </c>
      <c r="W41" s="125">
        <f>$A41*'Verwerking Bouwdelen'!BC25</f>
        <v>0</v>
      </c>
      <c r="X41" s="125">
        <f>$A41*'Verwerking Bouwdelen'!BD25</f>
        <v>0</v>
      </c>
      <c r="Y41" s="125">
        <f>$A41*'Verwerking Bouwdelen'!BE25</f>
        <v>0</v>
      </c>
      <c r="Z41" s="195">
        <f>$A41*'Verwerking Bouwdelen'!BF25</f>
        <v>0</v>
      </c>
      <c r="AB41" s="125">
        <f>IF(OR('Verwerking Bouwdelen'!C25=3,'Verwerking Bouwdelen'!C25=6),1,0)</f>
        <v>0</v>
      </c>
      <c r="AC41" s="130">
        <f>IF('Verwerking Bouwdelen'!A25=3,1,0)</f>
        <v>0</v>
      </c>
      <c r="AD41" s="208">
        <f>IF($AB41=1,$AC41*'Verwerking Bouwdelen'!DL25,$AC41*'Verwerking Bouwdelen'!T25)</f>
        <v>0</v>
      </c>
      <c r="AE41" s="208">
        <f>IF($AB41=1,$AC41*'Verwerking Bouwdelen'!DM25,$AC41*'Verwerking Bouwdelen'!U25)</f>
        <v>0</v>
      </c>
      <c r="AF41" s="208">
        <f>IF($AB41=1,$AC41*'Verwerking Bouwdelen'!DN25,$AC41*'Verwerking Bouwdelen'!V25)</f>
        <v>0</v>
      </c>
      <c r="AG41" s="208">
        <f>IF($AB41=1,$AC41*'Verwerking Bouwdelen'!DO25,$AC41*'Verwerking Bouwdelen'!W25)</f>
        <v>0</v>
      </c>
      <c r="AH41" s="208">
        <f>IF($AB41=1,$AC41*'Verwerking Bouwdelen'!DP25,$AC41*'Verwerking Bouwdelen'!X25)</f>
        <v>0</v>
      </c>
      <c r="AI41" s="208">
        <f>IF($AB41=1,$AC41*'Verwerking Bouwdelen'!DQ25,$AC41*'Verwerking Bouwdelen'!Y25)</f>
        <v>0</v>
      </c>
      <c r="AJ41" s="208">
        <f>IF($AB41=1,$AC41*'Verwerking Bouwdelen'!DR25,$AC41*'Verwerking Bouwdelen'!Z25)</f>
        <v>0</v>
      </c>
      <c r="AK41" s="208">
        <f>IF($AB41=1,$AC41*'Verwerking Bouwdelen'!DS25,$AC41*'Verwerking Bouwdelen'!AA25)</f>
        <v>0</v>
      </c>
      <c r="AL41" s="208">
        <f>IF($AB41=1,$AC41*'Verwerking Bouwdelen'!DT25,$AC41*'Verwerking Bouwdelen'!AB25)</f>
        <v>0</v>
      </c>
      <c r="AM41" s="208">
        <f>IF($AB41=1,$AC41*'Verwerking Bouwdelen'!DU25,$AC41*'Verwerking Bouwdelen'!AC25)</f>
        <v>0</v>
      </c>
      <c r="AN41" s="208">
        <f>IF($AB41=1,$AC41*'Verwerking Bouwdelen'!DV25,$AC41*'Verwerking Bouwdelen'!AD25)</f>
        <v>0</v>
      </c>
      <c r="AO41" s="208">
        <f>IF($AB41=1,$AC41*'Verwerking Bouwdelen'!DW25,$AC41*'Verwerking Bouwdelen'!AE25)</f>
        <v>0</v>
      </c>
      <c r="AP41" s="10">
        <f>IF(AD41=B41,0,'Verwerking Bouwdelen'!D25*AB41*AC41)</f>
        <v>0</v>
      </c>
      <c r="AQ41" s="10">
        <f>AB41*AC41*'Verwerking Bouwdelen'!GH25</f>
        <v>0</v>
      </c>
      <c r="AR41" s="10"/>
      <c r="AS41" s="248"/>
      <c r="AT41" s="125">
        <f>IF('Verwerking Bouwdelen'!C25=4,1,0)</f>
        <v>0</v>
      </c>
      <c r="AU41" s="130">
        <f>IF('Verwerking Bouwdelen'!A25=3,1,0)</f>
        <v>0</v>
      </c>
      <c r="AV41" s="208">
        <f>IF($AT41=1,$AU41*'Verwerking Bouwdelen'!DL25,$AU41*'Verwerking Bouwdelen'!T25)</f>
        <v>0</v>
      </c>
      <c r="AW41" s="208">
        <f>IF($AT41=1,$AU41*'Verwerking Bouwdelen'!DM25,$AU41*'Verwerking Bouwdelen'!U25)</f>
        <v>0</v>
      </c>
      <c r="AX41" s="208">
        <f>IF($AT41=1,$AU41*'Verwerking Bouwdelen'!DN25,$AU41*'Verwerking Bouwdelen'!V25)</f>
        <v>0</v>
      </c>
      <c r="AY41" s="208">
        <f>IF($AT41=1,$AU41*'Verwerking Bouwdelen'!DO25,$AU41*'Verwerking Bouwdelen'!W25)</f>
        <v>0</v>
      </c>
      <c r="AZ41" s="208">
        <f>IF($AT41=1,$AU41*'Verwerking Bouwdelen'!DP25,$AU41*'Verwerking Bouwdelen'!X25)</f>
        <v>0</v>
      </c>
      <c r="BA41" s="208">
        <f>IF($AT41=1,$AU41*'Verwerking Bouwdelen'!DQ25,$AU41*'Verwerking Bouwdelen'!Y25)</f>
        <v>0</v>
      </c>
      <c r="BB41" s="208">
        <f>IF($AT41=1,$AU41*'Verwerking Bouwdelen'!DR25,$AU41*'Verwerking Bouwdelen'!Z25)</f>
        <v>0</v>
      </c>
      <c r="BC41" s="208">
        <f>IF($AT41=1,$AU41*'Verwerking Bouwdelen'!DS25,$AU41*'Verwerking Bouwdelen'!AA25)</f>
        <v>0</v>
      </c>
      <c r="BD41" s="208">
        <f>IF($AT41=1,$AU41*'Verwerking Bouwdelen'!DT25,$AU41*'Verwerking Bouwdelen'!AB25)</f>
        <v>0</v>
      </c>
      <c r="BE41" s="208">
        <f>IF($AT41=1,$AU41*'Verwerking Bouwdelen'!DU25,$AU41*'Verwerking Bouwdelen'!AC25)</f>
        <v>0</v>
      </c>
      <c r="BF41" s="208">
        <f>IF($AT41=1,$AU41*'Verwerking Bouwdelen'!DV25,$AU41*'Verwerking Bouwdelen'!AD25)</f>
        <v>0</v>
      </c>
      <c r="BG41" s="208">
        <f>IF($AT41=1,$AU41*'Verwerking Bouwdelen'!DW25,$AU41*'Verwerking Bouwdelen'!AE25)</f>
        <v>0</v>
      </c>
      <c r="BH41" s="10">
        <f>IF(AV41=B41,0,'Verwerking Bouwdelen'!D25*AT41*AU41)</f>
        <v>0</v>
      </c>
      <c r="BI41" s="10">
        <f>AT41*AU41*'Verwerking Bouwdelen'!GH25</f>
        <v>0</v>
      </c>
      <c r="BJ41" s="10"/>
      <c r="BK41" s="10"/>
      <c r="BM41" s="125">
        <f>IF('Verwerking Bouwdelen'!C25=5,1,0)</f>
        <v>0</v>
      </c>
      <c r="BN41" s="130">
        <f>IF('Verwerking Bouwdelen'!A25=3,1,0)</f>
        <v>0</v>
      </c>
      <c r="BO41" s="208">
        <f>IF($BM41=1,$BN41*'Verwerking Bouwdelen'!DL25,$BN41*'Verwerking Bouwdelen'!T25)</f>
        <v>0</v>
      </c>
      <c r="BP41" s="208">
        <f>IF($BM41=1,$BN41*'Verwerking Bouwdelen'!DM25,$BN41*'Verwerking Bouwdelen'!U25)</f>
        <v>0</v>
      </c>
      <c r="BQ41" s="208">
        <f>IF($BM41=1,$BN41*'Verwerking Bouwdelen'!DN25,$BN41*'Verwerking Bouwdelen'!V25)</f>
        <v>0</v>
      </c>
      <c r="BR41" s="208">
        <f>IF($BM41=1,$BN41*'Verwerking Bouwdelen'!DO25,$BN41*'Verwerking Bouwdelen'!W25)</f>
        <v>0</v>
      </c>
      <c r="BS41" s="208">
        <f>IF($BM41=1,$BN41*'Verwerking Bouwdelen'!DP25,$BN41*'Verwerking Bouwdelen'!X25)</f>
        <v>0</v>
      </c>
      <c r="BT41" s="208">
        <f>IF($BM41=1,$BN41*'Verwerking Bouwdelen'!DQ25,$BN41*'Verwerking Bouwdelen'!Y25)</f>
        <v>0</v>
      </c>
      <c r="BU41" s="208">
        <f>IF($BM41=1,$BN41*'Verwerking Bouwdelen'!DR25,$BN41*'Verwerking Bouwdelen'!Z25)</f>
        <v>0</v>
      </c>
      <c r="BV41" s="208">
        <f>IF($BM41=1,$BN41*'Verwerking Bouwdelen'!DS25,$BN41*'Verwerking Bouwdelen'!AA25)</f>
        <v>0</v>
      </c>
      <c r="BW41" s="208">
        <f>IF($BM41=1,$BN41*'Verwerking Bouwdelen'!DT25,$BN41*'Verwerking Bouwdelen'!AB25)</f>
        <v>0</v>
      </c>
      <c r="BX41" s="208">
        <f>IF($BM41=1,$BN41*'Verwerking Bouwdelen'!DU25,$BN41*'Verwerking Bouwdelen'!AC25)</f>
        <v>0</v>
      </c>
      <c r="BY41" s="208">
        <f>IF($BM41=1,$BN41*'Verwerking Bouwdelen'!DV25,$BN41*'Verwerking Bouwdelen'!AD25)</f>
        <v>0</v>
      </c>
      <c r="BZ41" s="208">
        <f>IF($BM41=1,$BN41*'Verwerking Bouwdelen'!DW25,$BN41*'Verwerking Bouwdelen'!AE25)</f>
        <v>0</v>
      </c>
      <c r="CA41" s="10">
        <f>IF(BO41=$B41,0,'Verwerking Bouwdelen'!$D25*BM41*BN41)</f>
        <v>0</v>
      </c>
      <c r="CB41" s="10">
        <f>BM41*BN41*'Verwerking Bouwdelen'!GH25</f>
        <v>0</v>
      </c>
      <c r="CC41" s="10"/>
      <c r="CD41" s="248"/>
      <c r="CE41" s="125">
        <f>IF('Verwerking Bouwdelen'!C25=2,1,0)</f>
        <v>0</v>
      </c>
      <c r="CF41" s="130">
        <f>IF('Verwerking Bouwdelen'!A25=3,1,0)</f>
        <v>0</v>
      </c>
      <c r="CG41" s="208">
        <f>IF($CE41=1,$CF41*'Verwerking Bouwdelen'!DL25,$CF41*'Verwerking Bouwdelen'!T25)</f>
        <v>0</v>
      </c>
      <c r="CH41" s="208">
        <f>IF($CE41=1,$CF41*'Verwerking Bouwdelen'!DM25,$CF41*'Verwerking Bouwdelen'!U25)</f>
        <v>0</v>
      </c>
      <c r="CI41" s="208">
        <f>IF($CE41=1,$CF41*'Verwerking Bouwdelen'!DN25,$CF41*'Verwerking Bouwdelen'!V25)</f>
        <v>0</v>
      </c>
      <c r="CJ41" s="208">
        <f>IF($CE41=1,$CF41*'Verwerking Bouwdelen'!DO25,$CF41*'Verwerking Bouwdelen'!W25)</f>
        <v>0</v>
      </c>
      <c r="CK41" s="208">
        <f>IF($CE41=1,$CF41*'Verwerking Bouwdelen'!DP25,$CF41*'Verwerking Bouwdelen'!X25)</f>
        <v>0</v>
      </c>
      <c r="CL41" s="208">
        <f>IF($CE41=1,$CF41*'Verwerking Bouwdelen'!DQ25,$CF41*'Verwerking Bouwdelen'!Y25)</f>
        <v>0</v>
      </c>
      <c r="CM41" s="208">
        <f>IF($CE41=1,$CF41*'Verwerking Bouwdelen'!DR25,$CF41*'Verwerking Bouwdelen'!Z25)</f>
        <v>0</v>
      </c>
      <c r="CN41" s="208">
        <f>IF($CE41=1,$CF41*'Verwerking Bouwdelen'!DS25,$CF41*'Verwerking Bouwdelen'!AA25)</f>
        <v>0</v>
      </c>
      <c r="CO41" s="208">
        <f>IF($CE41=1,$CF41*'Verwerking Bouwdelen'!DT25,$CF41*'Verwerking Bouwdelen'!AB25)</f>
        <v>0</v>
      </c>
      <c r="CP41" s="208">
        <f>IF($CE41=1,$CF41*'Verwerking Bouwdelen'!DU25,$CF41*'Verwerking Bouwdelen'!AC25)</f>
        <v>0</v>
      </c>
      <c r="CQ41" s="208">
        <f>IF($CE41=1,$CF41*'Verwerking Bouwdelen'!DV25,$CF41*'Verwerking Bouwdelen'!AD25)</f>
        <v>0</v>
      </c>
      <c r="CR41" s="208">
        <f>IF($CE41=1,$CF41*'Verwerking Bouwdelen'!DW25,$CF41*'Verwerking Bouwdelen'!AE25)</f>
        <v>0</v>
      </c>
      <c r="CS41" s="10">
        <f>IF(CG41=$B41,0,('Verwerking Bouwdelen'!$D25-'Verwerking Bouwdelen'!G25)*CE41*CF41)</f>
        <v>0</v>
      </c>
      <c r="CT41" s="260">
        <f>CE41*CF41*'Verwerking Bouwdelen'!GH25</f>
        <v>0</v>
      </c>
      <c r="CU41" s="261">
        <f>CE41*CF41*'Verwerking Bouwdelen'!GI25</f>
        <v>0</v>
      </c>
      <c r="CW41" s="209">
        <f>$AC41*'Verwerking Bouwdelen'!EE25</f>
        <v>0</v>
      </c>
      <c r="CX41" s="209">
        <f>$AC41*'Verwerking Bouwdelen'!EF25</f>
        <v>0</v>
      </c>
      <c r="CY41" s="209">
        <f>$AC41*'Verwerking Bouwdelen'!EG25</f>
        <v>0</v>
      </c>
      <c r="CZ41" s="209">
        <f>$AC41*'Verwerking Bouwdelen'!EH25</f>
        <v>0</v>
      </c>
      <c r="DA41" s="209">
        <f>$AC41*'Verwerking Bouwdelen'!EI25</f>
        <v>0</v>
      </c>
      <c r="DB41" s="209">
        <f>$AC41*'Verwerking Bouwdelen'!EJ25</f>
        <v>0</v>
      </c>
      <c r="DC41" s="209">
        <f>$AC41*'Verwerking Bouwdelen'!EK25</f>
        <v>0</v>
      </c>
      <c r="DD41" s="209">
        <f>$AC41*'Verwerking Bouwdelen'!EL25</f>
        <v>0</v>
      </c>
      <c r="DE41" s="209">
        <f>$AC41*'Verwerking Bouwdelen'!EM25</f>
        <v>0</v>
      </c>
      <c r="DF41" s="209">
        <f>$AC41*'Verwerking Bouwdelen'!EN25</f>
        <v>0</v>
      </c>
      <c r="DG41" s="209">
        <f>$AC41*'Verwerking Bouwdelen'!EO25</f>
        <v>0</v>
      </c>
      <c r="DH41" s="209">
        <f>$AC41*'Verwerking Bouwdelen'!EP25</f>
        <v>0</v>
      </c>
      <c r="DI41" s="10">
        <f>IF(CW41=$O41,0,'Verwerking Bouwdelen'!G25)</f>
        <v>0</v>
      </c>
      <c r="DJ41" s="259">
        <f>'Verwerking Bouwdelen'!GK25*CF41</f>
        <v>0</v>
      </c>
      <c r="DK41" s="259">
        <f>'Verwerking Bouwdelen'!GL25*CF41</f>
        <v>0</v>
      </c>
      <c r="DL41" s="125"/>
      <c r="GM41" s="89">
        <f t="shared" si="13"/>
        <v>0</v>
      </c>
      <c r="GN41" s="89">
        <f t="shared" si="14"/>
        <v>0</v>
      </c>
      <c r="GO41" s="208">
        <f>IF($GN41=1,$GN41*$GM41*'Verwerking Bouwdelen'!DL25,$GN41*$GM41*'Verwerking Bouwdelen'!T25)</f>
        <v>0</v>
      </c>
      <c r="GP41" s="208">
        <f>IF($GN41=1,$GN41*$GM41*'Verwerking Bouwdelen'!DM25,$GN41*$GM41*'Verwerking Bouwdelen'!U25)</f>
        <v>0</v>
      </c>
      <c r="GQ41" s="208">
        <f>IF($GN41=1,$GN41*$GM41*'Verwerking Bouwdelen'!DN25,$GN41*$GM41*'Verwerking Bouwdelen'!V25)</f>
        <v>0</v>
      </c>
      <c r="GR41" s="208">
        <f>IF($GN41=1,$GN41*$GM41*'Verwerking Bouwdelen'!DO25,$GN41*$GM41*'Verwerking Bouwdelen'!W25)</f>
        <v>0</v>
      </c>
      <c r="GS41" s="208">
        <f>IF($GN41=1,$GN41*$GM41*'Verwerking Bouwdelen'!DP25,$GN41*$GM41*'Verwerking Bouwdelen'!X25)</f>
        <v>0</v>
      </c>
      <c r="GT41" s="208">
        <f>IF($GN41=1,$GN41*$GM41*'Verwerking Bouwdelen'!DQ25,$GN41*$GM41*'Verwerking Bouwdelen'!Y25)</f>
        <v>0</v>
      </c>
      <c r="GU41" s="208">
        <f>IF($GN41=1,$GN41*$GM41*'Verwerking Bouwdelen'!DR25,$GN41*$GM41*'Verwerking Bouwdelen'!Z25)</f>
        <v>0</v>
      </c>
      <c r="GV41" s="208">
        <f>IF($GN41=1,$GN41*$GM41*'Verwerking Bouwdelen'!DS25,$GN41*$GM41*'Verwerking Bouwdelen'!AA25)</f>
        <v>0</v>
      </c>
      <c r="GW41" s="208">
        <f>IF($GN41=1,$GN41*$GM41*'Verwerking Bouwdelen'!DT25,$GN41*$GM41*'Verwerking Bouwdelen'!AB25)</f>
        <v>0</v>
      </c>
      <c r="GX41" s="208">
        <f>IF($GN41=1,$GN41*$GM41*'Verwerking Bouwdelen'!DU25,$GN41*$GM41*'Verwerking Bouwdelen'!AC25)</f>
        <v>0</v>
      </c>
      <c r="GY41" s="208">
        <f>IF($GN41=1,$GN41*$GM41*'Verwerking Bouwdelen'!DV25,$GN41*$GM41*'Verwerking Bouwdelen'!AD25)</f>
        <v>0</v>
      </c>
      <c r="GZ41" s="208">
        <f>IF($GN41=1,$GN41*$GM41*'Verwerking Bouwdelen'!DW25,$GN41*$GM41*'Verwerking Bouwdelen'!AE25)</f>
        <v>0</v>
      </c>
      <c r="HB41" s="89">
        <f t="shared" si="16"/>
        <v>0</v>
      </c>
      <c r="HC41" s="89">
        <f t="shared" si="17"/>
        <v>0</v>
      </c>
      <c r="HD41" s="89">
        <f t="shared" si="18"/>
        <v>0</v>
      </c>
      <c r="HE41" s="89">
        <f t="shared" si="19"/>
        <v>0</v>
      </c>
      <c r="HF41" s="89">
        <f t="shared" si="19"/>
        <v>0</v>
      </c>
      <c r="HG41" s="89">
        <f t="shared" si="19"/>
        <v>0</v>
      </c>
      <c r="HH41" s="89">
        <f t="shared" si="19"/>
        <v>0</v>
      </c>
      <c r="HI41" s="89">
        <f t="shared" si="19"/>
        <v>0</v>
      </c>
      <c r="HJ41" s="89">
        <f t="shared" si="19"/>
        <v>0</v>
      </c>
      <c r="HK41" s="89">
        <f t="shared" si="19"/>
        <v>0</v>
      </c>
      <c r="HL41" s="89">
        <f t="shared" si="19"/>
        <v>0</v>
      </c>
      <c r="HM41" s="89">
        <f t="shared" si="19"/>
        <v>0</v>
      </c>
    </row>
    <row r="42" spans="1:221" x14ac:dyDescent="0.2">
      <c r="A42" s="130">
        <f>IF('Verwerking Bouwdelen'!A26=3,1,0)</f>
        <v>0</v>
      </c>
      <c r="B42" s="208">
        <f>$A42*'Verwerking Bouwdelen'!T26</f>
        <v>0</v>
      </c>
      <c r="C42" s="208">
        <f>$A42*'Verwerking Bouwdelen'!U26</f>
        <v>0</v>
      </c>
      <c r="D42" s="208">
        <f>$A42*'Verwerking Bouwdelen'!V26</f>
        <v>0</v>
      </c>
      <c r="E42" s="208">
        <f>$A42*'Verwerking Bouwdelen'!W26</f>
        <v>0</v>
      </c>
      <c r="F42" s="208">
        <f>$A42*'Verwerking Bouwdelen'!X26</f>
        <v>0</v>
      </c>
      <c r="G42" s="208">
        <f>$A42*'Verwerking Bouwdelen'!Y26</f>
        <v>0</v>
      </c>
      <c r="H42" s="208">
        <f>$A42*'Verwerking Bouwdelen'!Z26</f>
        <v>0</v>
      </c>
      <c r="I42" s="208">
        <f>$A42*'Verwerking Bouwdelen'!AA26</f>
        <v>0</v>
      </c>
      <c r="J42" s="208">
        <f>$A42*'Verwerking Bouwdelen'!AB26</f>
        <v>0</v>
      </c>
      <c r="K42" s="208">
        <f>$A42*'Verwerking Bouwdelen'!AC26</f>
        <v>0</v>
      </c>
      <c r="L42" s="208">
        <f>$A42*'Verwerking Bouwdelen'!AD26</f>
        <v>0</v>
      </c>
      <c r="M42" s="208">
        <f>$A42*'Verwerking Bouwdelen'!AE26</f>
        <v>0</v>
      </c>
      <c r="O42" s="114">
        <f>$A42*'Verwerking Bouwdelen'!AU26</f>
        <v>0</v>
      </c>
      <c r="P42" s="125">
        <f>$A42*'Verwerking Bouwdelen'!AV26</f>
        <v>0</v>
      </c>
      <c r="Q42" s="125">
        <f>$A42*'Verwerking Bouwdelen'!AW26</f>
        <v>0</v>
      </c>
      <c r="R42" s="125">
        <f>$A42*'Verwerking Bouwdelen'!AX26</f>
        <v>0</v>
      </c>
      <c r="S42" s="125">
        <f>$A42*'Verwerking Bouwdelen'!AY26</f>
        <v>0</v>
      </c>
      <c r="T42" s="125">
        <f>$A42*'Verwerking Bouwdelen'!AZ26</f>
        <v>0</v>
      </c>
      <c r="U42" s="125">
        <f>$A42*'Verwerking Bouwdelen'!BA26</f>
        <v>0</v>
      </c>
      <c r="V42" s="125">
        <f>$A42*'Verwerking Bouwdelen'!BB26</f>
        <v>0</v>
      </c>
      <c r="W42" s="125">
        <f>$A42*'Verwerking Bouwdelen'!BC26</f>
        <v>0</v>
      </c>
      <c r="X42" s="125">
        <f>$A42*'Verwerking Bouwdelen'!BD26</f>
        <v>0</v>
      </c>
      <c r="Y42" s="125">
        <f>$A42*'Verwerking Bouwdelen'!BE26</f>
        <v>0</v>
      </c>
      <c r="Z42" s="195">
        <f>$A42*'Verwerking Bouwdelen'!BF26</f>
        <v>0</v>
      </c>
      <c r="AB42" s="125">
        <f>IF(OR('Verwerking Bouwdelen'!C26=3,'Verwerking Bouwdelen'!C26=6),1,0)</f>
        <v>0</v>
      </c>
      <c r="AC42" s="130">
        <f>IF('Verwerking Bouwdelen'!A26=3,1,0)</f>
        <v>0</v>
      </c>
      <c r="AD42" s="208">
        <f>IF($AB42=1,$AC42*'Verwerking Bouwdelen'!DL26,$AC42*'Verwerking Bouwdelen'!T26)</f>
        <v>0</v>
      </c>
      <c r="AE42" s="208">
        <f>IF($AB42=1,$AC42*'Verwerking Bouwdelen'!DM26,$AC42*'Verwerking Bouwdelen'!U26)</f>
        <v>0</v>
      </c>
      <c r="AF42" s="208">
        <f>IF($AB42=1,$AC42*'Verwerking Bouwdelen'!DN26,$AC42*'Verwerking Bouwdelen'!V26)</f>
        <v>0</v>
      </c>
      <c r="AG42" s="208">
        <f>IF($AB42=1,$AC42*'Verwerking Bouwdelen'!DO26,$AC42*'Verwerking Bouwdelen'!W26)</f>
        <v>0</v>
      </c>
      <c r="AH42" s="208">
        <f>IF($AB42=1,$AC42*'Verwerking Bouwdelen'!DP26,$AC42*'Verwerking Bouwdelen'!X26)</f>
        <v>0</v>
      </c>
      <c r="AI42" s="208">
        <f>IF($AB42=1,$AC42*'Verwerking Bouwdelen'!DQ26,$AC42*'Verwerking Bouwdelen'!Y26)</f>
        <v>0</v>
      </c>
      <c r="AJ42" s="208">
        <f>IF($AB42=1,$AC42*'Verwerking Bouwdelen'!DR26,$AC42*'Verwerking Bouwdelen'!Z26)</f>
        <v>0</v>
      </c>
      <c r="AK42" s="208">
        <f>IF($AB42=1,$AC42*'Verwerking Bouwdelen'!DS26,$AC42*'Verwerking Bouwdelen'!AA26)</f>
        <v>0</v>
      </c>
      <c r="AL42" s="208">
        <f>IF($AB42=1,$AC42*'Verwerking Bouwdelen'!DT26,$AC42*'Verwerking Bouwdelen'!AB26)</f>
        <v>0</v>
      </c>
      <c r="AM42" s="208">
        <f>IF($AB42=1,$AC42*'Verwerking Bouwdelen'!DU26,$AC42*'Verwerking Bouwdelen'!AC26)</f>
        <v>0</v>
      </c>
      <c r="AN42" s="208">
        <f>IF($AB42=1,$AC42*'Verwerking Bouwdelen'!DV26,$AC42*'Verwerking Bouwdelen'!AD26)</f>
        <v>0</v>
      </c>
      <c r="AO42" s="208">
        <f>IF($AB42=1,$AC42*'Verwerking Bouwdelen'!DW26,$AC42*'Verwerking Bouwdelen'!AE26)</f>
        <v>0</v>
      </c>
      <c r="AP42" s="10">
        <f>IF(AD42=B42,0,'Verwerking Bouwdelen'!D26*AB42*AC42)</f>
        <v>0</v>
      </c>
      <c r="AQ42" s="10">
        <f>AB42*AC42*'Verwerking Bouwdelen'!GH26</f>
        <v>0</v>
      </c>
      <c r="AR42" s="10"/>
      <c r="AS42" s="248"/>
      <c r="AT42" s="125">
        <f>IF('Verwerking Bouwdelen'!C26=4,1,0)</f>
        <v>0</v>
      </c>
      <c r="AU42" s="130">
        <f>IF('Verwerking Bouwdelen'!A26=3,1,0)</f>
        <v>0</v>
      </c>
      <c r="AV42" s="208">
        <f>IF($AT42=1,$AU42*'Verwerking Bouwdelen'!DL26,$AU42*'Verwerking Bouwdelen'!T26)</f>
        <v>0</v>
      </c>
      <c r="AW42" s="208">
        <f>IF($AT42=1,$AU42*'Verwerking Bouwdelen'!DM26,$AU42*'Verwerking Bouwdelen'!U26)</f>
        <v>0</v>
      </c>
      <c r="AX42" s="208">
        <f>IF($AT42=1,$AU42*'Verwerking Bouwdelen'!DN26,$AU42*'Verwerking Bouwdelen'!V26)</f>
        <v>0</v>
      </c>
      <c r="AY42" s="208">
        <f>IF($AT42=1,$AU42*'Verwerking Bouwdelen'!DO26,$AU42*'Verwerking Bouwdelen'!W26)</f>
        <v>0</v>
      </c>
      <c r="AZ42" s="208">
        <f>IF($AT42=1,$AU42*'Verwerking Bouwdelen'!DP26,$AU42*'Verwerking Bouwdelen'!X26)</f>
        <v>0</v>
      </c>
      <c r="BA42" s="208">
        <f>IF($AT42=1,$AU42*'Verwerking Bouwdelen'!DQ26,$AU42*'Verwerking Bouwdelen'!Y26)</f>
        <v>0</v>
      </c>
      <c r="BB42" s="208">
        <f>IF($AT42=1,$AU42*'Verwerking Bouwdelen'!DR26,$AU42*'Verwerking Bouwdelen'!Z26)</f>
        <v>0</v>
      </c>
      <c r="BC42" s="208">
        <f>IF($AT42=1,$AU42*'Verwerking Bouwdelen'!DS26,$AU42*'Verwerking Bouwdelen'!AA26)</f>
        <v>0</v>
      </c>
      <c r="BD42" s="208">
        <f>IF($AT42=1,$AU42*'Verwerking Bouwdelen'!DT26,$AU42*'Verwerking Bouwdelen'!AB26)</f>
        <v>0</v>
      </c>
      <c r="BE42" s="208">
        <f>IF($AT42=1,$AU42*'Verwerking Bouwdelen'!DU26,$AU42*'Verwerking Bouwdelen'!AC26)</f>
        <v>0</v>
      </c>
      <c r="BF42" s="208">
        <f>IF($AT42=1,$AU42*'Verwerking Bouwdelen'!DV26,$AU42*'Verwerking Bouwdelen'!AD26)</f>
        <v>0</v>
      </c>
      <c r="BG42" s="208">
        <f>IF($AT42=1,$AU42*'Verwerking Bouwdelen'!DW26,$AU42*'Verwerking Bouwdelen'!AE26)</f>
        <v>0</v>
      </c>
      <c r="BH42" s="10">
        <f>IF(AV42=B42,0,'Verwerking Bouwdelen'!D26*AT42*AU42)</f>
        <v>0</v>
      </c>
      <c r="BI42" s="10">
        <f>AT42*AU42*'Verwerking Bouwdelen'!GH26</f>
        <v>0</v>
      </c>
      <c r="BJ42" s="10"/>
      <c r="BK42" s="10"/>
      <c r="BM42" s="125">
        <f>IF('Verwerking Bouwdelen'!C26=5,1,0)</f>
        <v>0</v>
      </c>
      <c r="BN42" s="130">
        <f>IF('Verwerking Bouwdelen'!A26=3,1,0)</f>
        <v>0</v>
      </c>
      <c r="BO42" s="208">
        <f>IF($BM42=1,$BN42*'Verwerking Bouwdelen'!DL26,$BN42*'Verwerking Bouwdelen'!T26)</f>
        <v>0</v>
      </c>
      <c r="BP42" s="208">
        <f>IF($BM42=1,$BN42*'Verwerking Bouwdelen'!DM26,$BN42*'Verwerking Bouwdelen'!U26)</f>
        <v>0</v>
      </c>
      <c r="BQ42" s="208">
        <f>IF($BM42=1,$BN42*'Verwerking Bouwdelen'!DN26,$BN42*'Verwerking Bouwdelen'!V26)</f>
        <v>0</v>
      </c>
      <c r="BR42" s="208">
        <f>IF($BM42=1,$BN42*'Verwerking Bouwdelen'!DO26,$BN42*'Verwerking Bouwdelen'!W26)</f>
        <v>0</v>
      </c>
      <c r="BS42" s="208">
        <f>IF($BM42=1,$BN42*'Verwerking Bouwdelen'!DP26,$BN42*'Verwerking Bouwdelen'!X26)</f>
        <v>0</v>
      </c>
      <c r="BT42" s="208">
        <f>IF($BM42=1,$BN42*'Verwerking Bouwdelen'!DQ26,$BN42*'Verwerking Bouwdelen'!Y26)</f>
        <v>0</v>
      </c>
      <c r="BU42" s="208">
        <f>IF($BM42=1,$BN42*'Verwerking Bouwdelen'!DR26,$BN42*'Verwerking Bouwdelen'!Z26)</f>
        <v>0</v>
      </c>
      <c r="BV42" s="208">
        <f>IF($BM42=1,$BN42*'Verwerking Bouwdelen'!DS26,$BN42*'Verwerking Bouwdelen'!AA26)</f>
        <v>0</v>
      </c>
      <c r="BW42" s="208">
        <f>IF($BM42=1,$BN42*'Verwerking Bouwdelen'!DT26,$BN42*'Verwerking Bouwdelen'!AB26)</f>
        <v>0</v>
      </c>
      <c r="BX42" s="208">
        <f>IF($BM42=1,$BN42*'Verwerking Bouwdelen'!DU26,$BN42*'Verwerking Bouwdelen'!AC26)</f>
        <v>0</v>
      </c>
      <c r="BY42" s="208">
        <f>IF($BM42=1,$BN42*'Verwerking Bouwdelen'!DV26,$BN42*'Verwerking Bouwdelen'!AD26)</f>
        <v>0</v>
      </c>
      <c r="BZ42" s="208">
        <f>IF($BM42=1,$BN42*'Verwerking Bouwdelen'!DW26,$BN42*'Verwerking Bouwdelen'!AE26)</f>
        <v>0</v>
      </c>
      <c r="CA42" s="10">
        <f>IF(BO42=$B42,0,'Verwerking Bouwdelen'!$D26*BM42*BN42)</f>
        <v>0</v>
      </c>
      <c r="CB42" s="10">
        <f>BM42*BN42*'Verwerking Bouwdelen'!GH26</f>
        <v>0</v>
      </c>
      <c r="CC42" s="10"/>
      <c r="CD42" s="248"/>
      <c r="CE42" s="125">
        <f>IF('Verwerking Bouwdelen'!C26=2,1,0)</f>
        <v>0</v>
      </c>
      <c r="CF42" s="130">
        <f>IF('Verwerking Bouwdelen'!A26=3,1,0)</f>
        <v>0</v>
      </c>
      <c r="CG42" s="208">
        <f>IF($CE42=1,$CF42*'Verwerking Bouwdelen'!DL26,$CF42*'Verwerking Bouwdelen'!T26)</f>
        <v>0</v>
      </c>
      <c r="CH42" s="208">
        <f>IF($CE42=1,$CF42*'Verwerking Bouwdelen'!DM26,$CF42*'Verwerking Bouwdelen'!U26)</f>
        <v>0</v>
      </c>
      <c r="CI42" s="208">
        <f>IF($CE42=1,$CF42*'Verwerking Bouwdelen'!DN26,$CF42*'Verwerking Bouwdelen'!V26)</f>
        <v>0</v>
      </c>
      <c r="CJ42" s="208">
        <f>IF($CE42=1,$CF42*'Verwerking Bouwdelen'!DO26,$CF42*'Verwerking Bouwdelen'!W26)</f>
        <v>0</v>
      </c>
      <c r="CK42" s="208">
        <f>IF($CE42=1,$CF42*'Verwerking Bouwdelen'!DP26,$CF42*'Verwerking Bouwdelen'!X26)</f>
        <v>0</v>
      </c>
      <c r="CL42" s="208">
        <f>IF($CE42=1,$CF42*'Verwerking Bouwdelen'!DQ26,$CF42*'Verwerking Bouwdelen'!Y26)</f>
        <v>0</v>
      </c>
      <c r="CM42" s="208">
        <f>IF($CE42=1,$CF42*'Verwerking Bouwdelen'!DR26,$CF42*'Verwerking Bouwdelen'!Z26)</f>
        <v>0</v>
      </c>
      <c r="CN42" s="208">
        <f>IF($CE42=1,$CF42*'Verwerking Bouwdelen'!DS26,$CF42*'Verwerking Bouwdelen'!AA26)</f>
        <v>0</v>
      </c>
      <c r="CO42" s="208">
        <f>IF($CE42=1,$CF42*'Verwerking Bouwdelen'!DT26,$CF42*'Verwerking Bouwdelen'!AB26)</f>
        <v>0</v>
      </c>
      <c r="CP42" s="208">
        <f>IF($CE42=1,$CF42*'Verwerking Bouwdelen'!DU26,$CF42*'Verwerking Bouwdelen'!AC26)</f>
        <v>0</v>
      </c>
      <c r="CQ42" s="208">
        <f>IF($CE42=1,$CF42*'Verwerking Bouwdelen'!DV26,$CF42*'Verwerking Bouwdelen'!AD26)</f>
        <v>0</v>
      </c>
      <c r="CR42" s="208">
        <f>IF($CE42=1,$CF42*'Verwerking Bouwdelen'!DW26,$CF42*'Verwerking Bouwdelen'!AE26)</f>
        <v>0</v>
      </c>
      <c r="CS42" s="10">
        <f>IF(CG42=$B42,0,('Verwerking Bouwdelen'!$D26-'Verwerking Bouwdelen'!G26)*CE42*CF42)</f>
        <v>0</v>
      </c>
      <c r="CT42" s="260">
        <f>CE42*CF42*'Verwerking Bouwdelen'!GH26</f>
        <v>0</v>
      </c>
      <c r="CU42" s="261">
        <f>CE42*CF42*'Verwerking Bouwdelen'!GI26</f>
        <v>0</v>
      </c>
      <c r="CW42" s="209">
        <f>$AC42*'Verwerking Bouwdelen'!EE26</f>
        <v>0</v>
      </c>
      <c r="CX42" s="209">
        <f>$AC42*'Verwerking Bouwdelen'!EF26</f>
        <v>0</v>
      </c>
      <c r="CY42" s="209">
        <f>$AC42*'Verwerking Bouwdelen'!EG26</f>
        <v>0</v>
      </c>
      <c r="CZ42" s="209">
        <f>$AC42*'Verwerking Bouwdelen'!EH26</f>
        <v>0</v>
      </c>
      <c r="DA42" s="209">
        <f>$AC42*'Verwerking Bouwdelen'!EI26</f>
        <v>0</v>
      </c>
      <c r="DB42" s="209">
        <f>$AC42*'Verwerking Bouwdelen'!EJ26</f>
        <v>0</v>
      </c>
      <c r="DC42" s="209">
        <f>$AC42*'Verwerking Bouwdelen'!EK26</f>
        <v>0</v>
      </c>
      <c r="DD42" s="209">
        <f>$AC42*'Verwerking Bouwdelen'!EL26</f>
        <v>0</v>
      </c>
      <c r="DE42" s="209">
        <f>$AC42*'Verwerking Bouwdelen'!EM26</f>
        <v>0</v>
      </c>
      <c r="DF42" s="209">
        <f>$AC42*'Verwerking Bouwdelen'!EN26</f>
        <v>0</v>
      </c>
      <c r="DG42" s="209">
        <f>$AC42*'Verwerking Bouwdelen'!EO26</f>
        <v>0</v>
      </c>
      <c r="DH42" s="209">
        <f>$AC42*'Verwerking Bouwdelen'!EP26</f>
        <v>0</v>
      </c>
      <c r="DI42" s="10">
        <f>IF(CW42=$O42,0,'Verwerking Bouwdelen'!G26)</f>
        <v>0</v>
      </c>
      <c r="DJ42" s="259">
        <f>'Verwerking Bouwdelen'!GK26*CF42</f>
        <v>0</v>
      </c>
      <c r="DK42" s="259">
        <f>'Verwerking Bouwdelen'!GL26*CF42</f>
        <v>0</v>
      </c>
      <c r="DL42" s="125"/>
      <c r="GM42" s="89">
        <f t="shared" si="13"/>
        <v>0</v>
      </c>
      <c r="GN42" s="89">
        <f t="shared" si="14"/>
        <v>0</v>
      </c>
      <c r="GO42" s="208">
        <f>IF($GN42=1,$GN42*$GM42*'Verwerking Bouwdelen'!DL26,$GN42*$GM42*'Verwerking Bouwdelen'!T26)</f>
        <v>0</v>
      </c>
      <c r="GP42" s="208">
        <f>IF($GN42=1,$GN42*$GM42*'Verwerking Bouwdelen'!DM26,$GN42*$GM42*'Verwerking Bouwdelen'!U26)</f>
        <v>0</v>
      </c>
      <c r="GQ42" s="208">
        <f>IF($GN42=1,$GN42*$GM42*'Verwerking Bouwdelen'!DN26,$GN42*$GM42*'Verwerking Bouwdelen'!V26)</f>
        <v>0</v>
      </c>
      <c r="GR42" s="208">
        <f>IF($GN42=1,$GN42*$GM42*'Verwerking Bouwdelen'!DO26,$GN42*$GM42*'Verwerking Bouwdelen'!W26)</f>
        <v>0</v>
      </c>
      <c r="GS42" s="208">
        <f>IF($GN42=1,$GN42*$GM42*'Verwerking Bouwdelen'!DP26,$GN42*$GM42*'Verwerking Bouwdelen'!X26)</f>
        <v>0</v>
      </c>
      <c r="GT42" s="208">
        <f>IF($GN42=1,$GN42*$GM42*'Verwerking Bouwdelen'!DQ26,$GN42*$GM42*'Verwerking Bouwdelen'!Y26)</f>
        <v>0</v>
      </c>
      <c r="GU42" s="208">
        <f>IF($GN42=1,$GN42*$GM42*'Verwerking Bouwdelen'!DR26,$GN42*$GM42*'Verwerking Bouwdelen'!Z26)</f>
        <v>0</v>
      </c>
      <c r="GV42" s="208">
        <f>IF($GN42=1,$GN42*$GM42*'Verwerking Bouwdelen'!DS26,$GN42*$GM42*'Verwerking Bouwdelen'!AA26)</f>
        <v>0</v>
      </c>
      <c r="GW42" s="208">
        <f>IF($GN42=1,$GN42*$GM42*'Verwerking Bouwdelen'!DT26,$GN42*$GM42*'Verwerking Bouwdelen'!AB26)</f>
        <v>0</v>
      </c>
      <c r="GX42" s="208">
        <f>IF($GN42=1,$GN42*$GM42*'Verwerking Bouwdelen'!DU26,$GN42*$GM42*'Verwerking Bouwdelen'!AC26)</f>
        <v>0</v>
      </c>
      <c r="GY42" s="208">
        <f>IF($GN42=1,$GN42*$GM42*'Verwerking Bouwdelen'!DV26,$GN42*$GM42*'Verwerking Bouwdelen'!AD26)</f>
        <v>0</v>
      </c>
      <c r="GZ42" s="208">
        <f>IF($GN42=1,$GN42*$GM42*'Verwerking Bouwdelen'!DW26,$GN42*$GM42*'Verwerking Bouwdelen'!AE26)</f>
        <v>0</v>
      </c>
      <c r="HB42" s="89">
        <f t="shared" si="16"/>
        <v>0</v>
      </c>
      <c r="HC42" s="89">
        <f t="shared" si="17"/>
        <v>0</v>
      </c>
      <c r="HD42" s="89">
        <f t="shared" si="18"/>
        <v>0</v>
      </c>
      <c r="HE42" s="89">
        <f t="shared" si="19"/>
        <v>0</v>
      </c>
      <c r="HF42" s="89">
        <f t="shared" si="19"/>
        <v>0</v>
      </c>
      <c r="HG42" s="89">
        <f t="shared" si="19"/>
        <v>0</v>
      </c>
      <c r="HH42" s="89">
        <f t="shared" si="19"/>
        <v>0</v>
      </c>
      <c r="HI42" s="89">
        <f t="shared" si="19"/>
        <v>0</v>
      </c>
      <c r="HJ42" s="89">
        <f t="shared" si="19"/>
        <v>0</v>
      </c>
      <c r="HK42" s="89">
        <f t="shared" si="19"/>
        <v>0</v>
      </c>
      <c r="HL42" s="89">
        <f t="shared" si="19"/>
        <v>0</v>
      </c>
      <c r="HM42" s="89">
        <f t="shared" si="19"/>
        <v>0</v>
      </c>
    </row>
    <row r="43" spans="1:221" x14ac:dyDescent="0.2">
      <c r="A43" s="130">
        <f>IF('Verwerking Bouwdelen'!A27=3,1,0)</f>
        <v>0</v>
      </c>
      <c r="B43" s="208">
        <f>$A43*'Verwerking Bouwdelen'!T27</f>
        <v>0</v>
      </c>
      <c r="C43" s="208">
        <f>$A43*'Verwerking Bouwdelen'!U27</f>
        <v>0</v>
      </c>
      <c r="D43" s="208">
        <f>$A43*'Verwerking Bouwdelen'!V27</f>
        <v>0</v>
      </c>
      <c r="E43" s="208">
        <f>$A43*'Verwerking Bouwdelen'!W27</f>
        <v>0</v>
      </c>
      <c r="F43" s="208">
        <f>$A43*'Verwerking Bouwdelen'!X27</f>
        <v>0</v>
      </c>
      <c r="G43" s="208">
        <f>$A43*'Verwerking Bouwdelen'!Y27</f>
        <v>0</v>
      </c>
      <c r="H43" s="208">
        <f>$A43*'Verwerking Bouwdelen'!Z27</f>
        <v>0</v>
      </c>
      <c r="I43" s="208">
        <f>$A43*'Verwerking Bouwdelen'!AA27</f>
        <v>0</v>
      </c>
      <c r="J43" s="208">
        <f>$A43*'Verwerking Bouwdelen'!AB27</f>
        <v>0</v>
      </c>
      <c r="K43" s="208">
        <f>$A43*'Verwerking Bouwdelen'!AC27</f>
        <v>0</v>
      </c>
      <c r="L43" s="208">
        <f>$A43*'Verwerking Bouwdelen'!AD27</f>
        <v>0</v>
      </c>
      <c r="M43" s="208">
        <f>$A43*'Verwerking Bouwdelen'!AE27</f>
        <v>0</v>
      </c>
      <c r="O43" s="114">
        <f>$A43*'Verwerking Bouwdelen'!AU27</f>
        <v>0</v>
      </c>
      <c r="P43" s="125">
        <f>$A43*'Verwerking Bouwdelen'!AV27</f>
        <v>0</v>
      </c>
      <c r="Q43" s="125">
        <f>$A43*'Verwerking Bouwdelen'!AW27</f>
        <v>0</v>
      </c>
      <c r="R43" s="125">
        <f>$A43*'Verwerking Bouwdelen'!AX27</f>
        <v>0</v>
      </c>
      <c r="S43" s="125">
        <f>$A43*'Verwerking Bouwdelen'!AY27</f>
        <v>0</v>
      </c>
      <c r="T43" s="125">
        <f>$A43*'Verwerking Bouwdelen'!AZ27</f>
        <v>0</v>
      </c>
      <c r="U43" s="125">
        <f>$A43*'Verwerking Bouwdelen'!BA27</f>
        <v>0</v>
      </c>
      <c r="V43" s="125">
        <f>$A43*'Verwerking Bouwdelen'!BB27</f>
        <v>0</v>
      </c>
      <c r="W43" s="125">
        <f>$A43*'Verwerking Bouwdelen'!BC27</f>
        <v>0</v>
      </c>
      <c r="X43" s="125">
        <f>$A43*'Verwerking Bouwdelen'!BD27</f>
        <v>0</v>
      </c>
      <c r="Y43" s="125">
        <f>$A43*'Verwerking Bouwdelen'!BE27</f>
        <v>0</v>
      </c>
      <c r="Z43" s="195">
        <f>$A43*'Verwerking Bouwdelen'!BF27</f>
        <v>0</v>
      </c>
      <c r="AB43" s="125">
        <f>IF(OR('Verwerking Bouwdelen'!C27=3,'Verwerking Bouwdelen'!C27=6),1,0)</f>
        <v>0</v>
      </c>
      <c r="AC43" s="130">
        <f>IF('Verwerking Bouwdelen'!A27=3,1,0)</f>
        <v>0</v>
      </c>
      <c r="AD43" s="208">
        <f>IF($AB43=1,$AC43*'Verwerking Bouwdelen'!DL27,$AC43*'Verwerking Bouwdelen'!T27)</f>
        <v>0</v>
      </c>
      <c r="AE43" s="208">
        <f>IF($AB43=1,$AC43*'Verwerking Bouwdelen'!DM27,$AC43*'Verwerking Bouwdelen'!U27)</f>
        <v>0</v>
      </c>
      <c r="AF43" s="208">
        <f>IF($AB43=1,$AC43*'Verwerking Bouwdelen'!DN27,$AC43*'Verwerking Bouwdelen'!V27)</f>
        <v>0</v>
      </c>
      <c r="AG43" s="208">
        <f>IF($AB43=1,$AC43*'Verwerking Bouwdelen'!DO27,$AC43*'Verwerking Bouwdelen'!W27)</f>
        <v>0</v>
      </c>
      <c r="AH43" s="208">
        <f>IF($AB43=1,$AC43*'Verwerking Bouwdelen'!DP27,$AC43*'Verwerking Bouwdelen'!X27)</f>
        <v>0</v>
      </c>
      <c r="AI43" s="208">
        <f>IF($AB43=1,$AC43*'Verwerking Bouwdelen'!DQ27,$AC43*'Verwerking Bouwdelen'!Y27)</f>
        <v>0</v>
      </c>
      <c r="AJ43" s="208">
        <f>IF($AB43=1,$AC43*'Verwerking Bouwdelen'!DR27,$AC43*'Verwerking Bouwdelen'!Z27)</f>
        <v>0</v>
      </c>
      <c r="AK43" s="208">
        <f>IF($AB43=1,$AC43*'Verwerking Bouwdelen'!DS27,$AC43*'Verwerking Bouwdelen'!AA27)</f>
        <v>0</v>
      </c>
      <c r="AL43" s="208">
        <f>IF($AB43=1,$AC43*'Verwerking Bouwdelen'!DT27,$AC43*'Verwerking Bouwdelen'!AB27)</f>
        <v>0</v>
      </c>
      <c r="AM43" s="208">
        <f>IF($AB43=1,$AC43*'Verwerking Bouwdelen'!DU27,$AC43*'Verwerking Bouwdelen'!AC27)</f>
        <v>0</v>
      </c>
      <c r="AN43" s="208">
        <f>IF($AB43=1,$AC43*'Verwerking Bouwdelen'!DV27,$AC43*'Verwerking Bouwdelen'!AD27)</f>
        <v>0</v>
      </c>
      <c r="AO43" s="208">
        <f>IF($AB43=1,$AC43*'Verwerking Bouwdelen'!DW27,$AC43*'Verwerking Bouwdelen'!AE27)</f>
        <v>0</v>
      </c>
      <c r="AP43" s="10">
        <f>IF(AD43=B43,0,'Verwerking Bouwdelen'!D27*AB43*AC43)</f>
        <v>0</v>
      </c>
      <c r="AQ43" s="10">
        <f>AB43*AC43*'Verwerking Bouwdelen'!GH27</f>
        <v>0</v>
      </c>
      <c r="AR43" s="10"/>
      <c r="AS43" s="248"/>
      <c r="AT43" s="125">
        <f>IF('Verwerking Bouwdelen'!C27=4,1,0)</f>
        <v>0</v>
      </c>
      <c r="AU43" s="130">
        <f>IF('Verwerking Bouwdelen'!A27=3,1,0)</f>
        <v>0</v>
      </c>
      <c r="AV43" s="208">
        <f>IF($AT43=1,$AU43*'Verwerking Bouwdelen'!DL27,$AU43*'Verwerking Bouwdelen'!T27)</f>
        <v>0</v>
      </c>
      <c r="AW43" s="208">
        <f>IF($AT43=1,$AU43*'Verwerking Bouwdelen'!DM27,$AU43*'Verwerking Bouwdelen'!U27)</f>
        <v>0</v>
      </c>
      <c r="AX43" s="208">
        <f>IF($AT43=1,$AU43*'Verwerking Bouwdelen'!DN27,$AU43*'Verwerking Bouwdelen'!V27)</f>
        <v>0</v>
      </c>
      <c r="AY43" s="208">
        <f>IF($AT43=1,$AU43*'Verwerking Bouwdelen'!DO27,$AU43*'Verwerking Bouwdelen'!W27)</f>
        <v>0</v>
      </c>
      <c r="AZ43" s="208">
        <f>IF($AT43=1,$AU43*'Verwerking Bouwdelen'!DP27,$AU43*'Verwerking Bouwdelen'!X27)</f>
        <v>0</v>
      </c>
      <c r="BA43" s="208">
        <f>IF($AT43=1,$AU43*'Verwerking Bouwdelen'!DQ27,$AU43*'Verwerking Bouwdelen'!Y27)</f>
        <v>0</v>
      </c>
      <c r="BB43" s="208">
        <f>IF($AT43=1,$AU43*'Verwerking Bouwdelen'!DR27,$AU43*'Verwerking Bouwdelen'!Z27)</f>
        <v>0</v>
      </c>
      <c r="BC43" s="208">
        <f>IF($AT43=1,$AU43*'Verwerking Bouwdelen'!DS27,$AU43*'Verwerking Bouwdelen'!AA27)</f>
        <v>0</v>
      </c>
      <c r="BD43" s="208">
        <f>IF($AT43=1,$AU43*'Verwerking Bouwdelen'!DT27,$AU43*'Verwerking Bouwdelen'!AB27)</f>
        <v>0</v>
      </c>
      <c r="BE43" s="208">
        <f>IF($AT43=1,$AU43*'Verwerking Bouwdelen'!DU27,$AU43*'Verwerking Bouwdelen'!AC27)</f>
        <v>0</v>
      </c>
      <c r="BF43" s="208">
        <f>IF($AT43=1,$AU43*'Verwerking Bouwdelen'!DV27,$AU43*'Verwerking Bouwdelen'!AD27)</f>
        <v>0</v>
      </c>
      <c r="BG43" s="208">
        <f>IF($AT43=1,$AU43*'Verwerking Bouwdelen'!DW27,$AU43*'Verwerking Bouwdelen'!AE27)</f>
        <v>0</v>
      </c>
      <c r="BH43" s="10">
        <f>IF(AV43=B43,0,'Verwerking Bouwdelen'!D27*AT43*AU43)</f>
        <v>0</v>
      </c>
      <c r="BI43" s="10">
        <f>AT43*AU43*'Verwerking Bouwdelen'!GH27</f>
        <v>0</v>
      </c>
      <c r="BJ43" s="10"/>
      <c r="BK43" s="10"/>
      <c r="BM43" s="125">
        <f>IF('Verwerking Bouwdelen'!C27=5,1,0)</f>
        <v>0</v>
      </c>
      <c r="BN43" s="130">
        <f>IF('Verwerking Bouwdelen'!A27=3,1,0)</f>
        <v>0</v>
      </c>
      <c r="BO43" s="208">
        <f>IF($BM43=1,$BN43*'Verwerking Bouwdelen'!DL27,$BN43*'Verwerking Bouwdelen'!T27)</f>
        <v>0</v>
      </c>
      <c r="BP43" s="208">
        <f>IF($BM43=1,$BN43*'Verwerking Bouwdelen'!DM27,$BN43*'Verwerking Bouwdelen'!U27)</f>
        <v>0</v>
      </c>
      <c r="BQ43" s="208">
        <f>IF($BM43=1,$BN43*'Verwerking Bouwdelen'!DN27,$BN43*'Verwerking Bouwdelen'!V27)</f>
        <v>0</v>
      </c>
      <c r="BR43" s="208">
        <f>IF($BM43=1,$BN43*'Verwerking Bouwdelen'!DO27,$BN43*'Verwerking Bouwdelen'!W27)</f>
        <v>0</v>
      </c>
      <c r="BS43" s="208">
        <f>IF($BM43=1,$BN43*'Verwerking Bouwdelen'!DP27,$BN43*'Verwerking Bouwdelen'!X27)</f>
        <v>0</v>
      </c>
      <c r="BT43" s="208">
        <f>IF($BM43=1,$BN43*'Verwerking Bouwdelen'!DQ27,$BN43*'Verwerking Bouwdelen'!Y27)</f>
        <v>0</v>
      </c>
      <c r="BU43" s="208">
        <f>IF($BM43=1,$BN43*'Verwerking Bouwdelen'!DR27,$BN43*'Verwerking Bouwdelen'!Z27)</f>
        <v>0</v>
      </c>
      <c r="BV43" s="208">
        <f>IF($BM43=1,$BN43*'Verwerking Bouwdelen'!DS27,$BN43*'Verwerking Bouwdelen'!AA27)</f>
        <v>0</v>
      </c>
      <c r="BW43" s="208">
        <f>IF($BM43=1,$BN43*'Verwerking Bouwdelen'!DT27,$BN43*'Verwerking Bouwdelen'!AB27)</f>
        <v>0</v>
      </c>
      <c r="BX43" s="208">
        <f>IF($BM43=1,$BN43*'Verwerking Bouwdelen'!DU27,$BN43*'Verwerking Bouwdelen'!AC27)</f>
        <v>0</v>
      </c>
      <c r="BY43" s="208">
        <f>IF($BM43=1,$BN43*'Verwerking Bouwdelen'!DV27,$BN43*'Verwerking Bouwdelen'!AD27)</f>
        <v>0</v>
      </c>
      <c r="BZ43" s="208">
        <f>IF($BM43=1,$BN43*'Verwerking Bouwdelen'!DW27,$BN43*'Verwerking Bouwdelen'!AE27)</f>
        <v>0</v>
      </c>
      <c r="CA43" s="10">
        <f>IF(BO43=$B43,0,'Verwerking Bouwdelen'!$D27*BM43*BN43)</f>
        <v>0</v>
      </c>
      <c r="CB43" s="10">
        <f>BM43*BN43*'Verwerking Bouwdelen'!GH27</f>
        <v>0</v>
      </c>
      <c r="CC43" s="10"/>
      <c r="CD43" s="248"/>
      <c r="CE43" s="125">
        <f>IF('Verwerking Bouwdelen'!C27=2,1,0)</f>
        <v>0</v>
      </c>
      <c r="CF43" s="130">
        <f>IF('Verwerking Bouwdelen'!A27=3,1,0)</f>
        <v>0</v>
      </c>
      <c r="CG43" s="208">
        <f>IF($CE43=1,$CF43*'Verwerking Bouwdelen'!DL27,$CF43*'Verwerking Bouwdelen'!T27)</f>
        <v>0</v>
      </c>
      <c r="CH43" s="208">
        <f>IF($CE43=1,$CF43*'Verwerking Bouwdelen'!DM27,$CF43*'Verwerking Bouwdelen'!U27)</f>
        <v>0</v>
      </c>
      <c r="CI43" s="208">
        <f>IF($CE43=1,$CF43*'Verwerking Bouwdelen'!DN27,$CF43*'Verwerking Bouwdelen'!V27)</f>
        <v>0</v>
      </c>
      <c r="CJ43" s="208">
        <f>IF($CE43=1,$CF43*'Verwerking Bouwdelen'!DO27,$CF43*'Verwerking Bouwdelen'!W27)</f>
        <v>0</v>
      </c>
      <c r="CK43" s="208">
        <f>IF($CE43=1,$CF43*'Verwerking Bouwdelen'!DP27,$CF43*'Verwerking Bouwdelen'!X27)</f>
        <v>0</v>
      </c>
      <c r="CL43" s="208">
        <f>IF($CE43=1,$CF43*'Verwerking Bouwdelen'!DQ27,$CF43*'Verwerking Bouwdelen'!Y27)</f>
        <v>0</v>
      </c>
      <c r="CM43" s="208">
        <f>IF($CE43=1,$CF43*'Verwerking Bouwdelen'!DR27,$CF43*'Verwerking Bouwdelen'!Z27)</f>
        <v>0</v>
      </c>
      <c r="CN43" s="208">
        <f>IF($CE43=1,$CF43*'Verwerking Bouwdelen'!DS27,$CF43*'Verwerking Bouwdelen'!AA27)</f>
        <v>0</v>
      </c>
      <c r="CO43" s="208">
        <f>IF($CE43=1,$CF43*'Verwerking Bouwdelen'!DT27,$CF43*'Verwerking Bouwdelen'!AB27)</f>
        <v>0</v>
      </c>
      <c r="CP43" s="208">
        <f>IF($CE43=1,$CF43*'Verwerking Bouwdelen'!DU27,$CF43*'Verwerking Bouwdelen'!AC27)</f>
        <v>0</v>
      </c>
      <c r="CQ43" s="208">
        <f>IF($CE43=1,$CF43*'Verwerking Bouwdelen'!DV27,$CF43*'Verwerking Bouwdelen'!AD27)</f>
        <v>0</v>
      </c>
      <c r="CR43" s="208">
        <f>IF($CE43=1,$CF43*'Verwerking Bouwdelen'!DW27,$CF43*'Verwerking Bouwdelen'!AE27)</f>
        <v>0</v>
      </c>
      <c r="CS43" s="10">
        <f>IF(CG43=$B43,0,('Verwerking Bouwdelen'!$D27-'Verwerking Bouwdelen'!G27)*CE43*CF43)</f>
        <v>0</v>
      </c>
      <c r="CT43" s="260">
        <f>CE43*CF43*'Verwerking Bouwdelen'!GH27</f>
        <v>0</v>
      </c>
      <c r="CU43" s="261">
        <f>CE43*CF43*'Verwerking Bouwdelen'!GI27</f>
        <v>0</v>
      </c>
      <c r="CW43" s="209">
        <f>$AC43*'Verwerking Bouwdelen'!EE27</f>
        <v>0</v>
      </c>
      <c r="CX43" s="209">
        <f>$AC43*'Verwerking Bouwdelen'!EF27</f>
        <v>0</v>
      </c>
      <c r="CY43" s="209">
        <f>$AC43*'Verwerking Bouwdelen'!EG27</f>
        <v>0</v>
      </c>
      <c r="CZ43" s="209">
        <f>$AC43*'Verwerking Bouwdelen'!EH27</f>
        <v>0</v>
      </c>
      <c r="DA43" s="209">
        <f>$AC43*'Verwerking Bouwdelen'!EI27</f>
        <v>0</v>
      </c>
      <c r="DB43" s="209">
        <f>$AC43*'Verwerking Bouwdelen'!EJ27</f>
        <v>0</v>
      </c>
      <c r="DC43" s="209">
        <f>$AC43*'Verwerking Bouwdelen'!EK27</f>
        <v>0</v>
      </c>
      <c r="DD43" s="209">
        <f>$AC43*'Verwerking Bouwdelen'!EL27</f>
        <v>0</v>
      </c>
      <c r="DE43" s="209">
        <f>$AC43*'Verwerking Bouwdelen'!EM27</f>
        <v>0</v>
      </c>
      <c r="DF43" s="209">
        <f>$AC43*'Verwerking Bouwdelen'!EN27</f>
        <v>0</v>
      </c>
      <c r="DG43" s="209">
        <f>$AC43*'Verwerking Bouwdelen'!EO27</f>
        <v>0</v>
      </c>
      <c r="DH43" s="209">
        <f>$AC43*'Verwerking Bouwdelen'!EP27</f>
        <v>0</v>
      </c>
      <c r="DI43" s="10">
        <f>IF(CW43=$O43,0,'Verwerking Bouwdelen'!G27)</f>
        <v>0</v>
      </c>
      <c r="DJ43" s="259">
        <f>'Verwerking Bouwdelen'!GK27*CF43</f>
        <v>0</v>
      </c>
      <c r="DK43" s="259">
        <f>'Verwerking Bouwdelen'!GL27*CF43</f>
        <v>0</v>
      </c>
      <c r="DL43" s="125"/>
      <c r="GM43" s="89">
        <f t="shared" si="13"/>
        <v>0</v>
      </c>
      <c r="GN43" s="89">
        <f t="shared" si="14"/>
        <v>0</v>
      </c>
      <c r="GO43" s="208">
        <f>IF($GN43=1,$GN43*$GM43*'Verwerking Bouwdelen'!DL27,$GN43*$GM43*'Verwerking Bouwdelen'!T27)</f>
        <v>0</v>
      </c>
      <c r="GP43" s="208">
        <f>IF($GN43=1,$GN43*$GM43*'Verwerking Bouwdelen'!DM27,$GN43*$GM43*'Verwerking Bouwdelen'!U27)</f>
        <v>0</v>
      </c>
      <c r="GQ43" s="208">
        <f>IF($GN43=1,$GN43*$GM43*'Verwerking Bouwdelen'!DN27,$GN43*$GM43*'Verwerking Bouwdelen'!V27)</f>
        <v>0</v>
      </c>
      <c r="GR43" s="208">
        <f>IF($GN43=1,$GN43*$GM43*'Verwerking Bouwdelen'!DO27,$GN43*$GM43*'Verwerking Bouwdelen'!W27)</f>
        <v>0</v>
      </c>
      <c r="GS43" s="208">
        <f>IF($GN43=1,$GN43*$GM43*'Verwerking Bouwdelen'!DP27,$GN43*$GM43*'Verwerking Bouwdelen'!X27)</f>
        <v>0</v>
      </c>
      <c r="GT43" s="208">
        <f>IF($GN43=1,$GN43*$GM43*'Verwerking Bouwdelen'!DQ27,$GN43*$GM43*'Verwerking Bouwdelen'!Y27)</f>
        <v>0</v>
      </c>
      <c r="GU43" s="208">
        <f>IF($GN43=1,$GN43*$GM43*'Verwerking Bouwdelen'!DR27,$GN43*$GM43*'Verwerking Bouwdelen'!Z27)</f>
        <v>0</v>
      </c>
      <c r="GV43" s="208">
        <f>IF($GN43=1,$GN43*$GM43*'Verwerking Bouwdelen'!DS27,$GN43*$GM43*'Verwerking Bouwdelen'!AA27)</f>
        <v>0</v>
      </c>
      <c r="GW43" s="208">
        <f>IF($GN43=1,$GN43*$GM43*'Verwerking Bouwdelen'!DT27,$GN43*$GM43*'Verwerking Bouwdelen'!AB27)</f>
        <v>0</v>
      </c>
      <c r="GX43" s="208">
        <f>IF($GN43=1,$GN43*$GM43*'Verwerking Bouwdelen'!DU27,$GN43*$GM43*'Verwerking Bouwdelen'!AC27)</f>
        <v>0</v>
      </c>
      <c r="GY43" s="208">
        <f>IF($GN43=1,$GN43*$GM43*'Verwerking Bouwdelen'!DV27,$GN43*$GM43*'Verwerking Bouwdelen'!AD27)</f>
        <v>0</v>
      </c>
      <c r="GZ43" s="208">
        <f>IF($GN43=1,$GN43*$GM43*'Verwerking Bouwdelen'!DW27,$GN43*$GM43*'Verwerking Bouwdelen'!AE27)</f>
        <v>0</v>
      </c>
      <c r="HB43" s="89">
        <f t="shared" si="16"/>
        <v>0</v>
      </c>
      <c r="HC43" s="89">
        <f t="shared" si="17"/>
        <v>0</v>
      </c>
      <c r="HD43" s="89">
        <f t="shared" si="18"/>
        <v>0</v>
      </c>
      <c r="HE43" s="89">
        <f t="shared" si="19"/>
        <v>0</v>
      </c>
      <c r="HF43" s="89">
        <f t="shared" si="19"/>
        <v>0</v>
      </c>
      <c r="HG43" s="89">
        <f t="shared" si="19"/>
        <v>0</v>
      </c>
      <c r="HH43" s="89">
        <f t="shared" si="19"/>
        <v>0</v>
      </c>
      <c r="HI43" s="89">
        <f t="shared" si="19"/>
        <v>0</v>
      </c>
      <c r="HJ43" s="89">
        <f t="shared" si="19"/>
        <v>0</v>
      </c>
      <c r="HK43" s="89">
        <f t="shared" si="19"/>
        <v>0</v>
      </c>
      <c r="HL43" s="89">
        <f t="shared" si="19"/>
        <v>0</v>
      </c>
      <c r="HM43" s="89">
        <f t="shared" si="19"/>
        <v>0</v>
      </c>
    </row>
    <row r="44" spans="1:221" x14ac:dyDescent="0.2">
      <c r="A44" s="130">
        <f>IF('Verwerking Bouwdelen'!A28=3,1,0)</f>
        <v>0</v>
      </c>
      <c r="B44" s="208">
        <f>$A44*'Verwerking Bouwdelen'!T28</f>
        <v>0</v>
      </c>
      <c r="C44" s="208">
        <f>$A44*'Verwerking Bouwdelen'!U28</f>
        <v>0</v>
      </c>
      <c r="D44" s="208">
        <f>$A44*'Verwerking Bouwdelen'!V28</f>
        <v>0</v>
      </c>
      <c r="E44" s="208">
        <f>$A44*'Verwerking Bouwdelen'!W28</f>
        <v>0</v>
      </c>
      <c r="F44" s="208">
        <f>$A44*'Verwerking Bouwdelen'!X28</f>
        <v>0</v>
      </c>
      <c r="G44" s="208">
        <f>$A44*'Verwerking Bouwdelen'!Y28</f>
        <v>0</v>
      </c>
      <c r="H44" s="208">
        <f>$A44*'Verwerking Bouwdelen'!Z28</f>
        <v>0</v>
      </c>
      <c r="I44" s="208">
        <f>$A44*'Verwerking Bouwdelen'!AA28</f>
        <v>0</v>
      </c>
      <c r="J44" s="208">
        <f>$A44*'Verwerking Bouwdelen'!AB28</f>
        <v>0</v>
      </c>
      <c r="K44" s="208">
        <f>$A44*'Verwerking Bouwdelen'!AC28</f>
        <v>0</v>
      </c>
      <c r="L44" s="208">
        <f>$A44*'Verwerking Bouwdelen'!AD28</f>
        <v>0</v>
      </c>
      <c r="M44" s="208">
        <f>$A44*'Verwerking Bouwdelen'!AE28</f>
        <v>0</v>
      </c>
      <c r="O44" s="114">
        <f>$A44*'Verwerking Bouwdelen'!AU28</f>
        <v>0</v>
      </c>
      <c r="P44" s="125">
        <f>$A44*'Verwerking Bouwdelen'!AV28</f>
        <v>0</v>
      </c>
      <c r="Q44" s="125">
        <f>$A44*'Verwerking Bouwdelen'!AW28</f>
        <v>0</v>
      </c>
      <c r="R44" s="125">
        <f>$A44*'Verwerking Bouwdelen'!AX28</f>
        <v>0</v>
      </c>
      <c r="S44" s="125">
        <f>$A44*'Verwerking Bouwdelen'!AY28</f>
        <v>0</v>
      </c>
      <c r="T44" s="125">
        <f>$A44*'Verwerking Bouwdelen'!AZ28</f>
        <v>0</v>
      </c>
      <c r="U44" s="125">
        <f>$A44*'Verwerking Bouwdelen'!BA28</f>
        <v>0</v>
      </c>
      <c r="V44" s="125">
        <f>$A44*'Verwerking Bouwdelen'!BB28</f>
        <v>0</v>
      </c>
      <c r="W44" s="125">
        <f>$A44*'Verwerking Bouwdelen'!BC28</f>
        <v>0</v>
      </c>
      <c r="X44" s="125">
        <f>$A44*'Verwerking Bouwdelen'!BD28</f>
        <v>0</v>
      </c>
      <c r="Y44" s="125">
        <f>$A44*'Verwerking Bouwdelen'!BE28</f>
        <v>0</v>
      </c>
      <c r="Z44" s="195">
        <f>$A44*'Verwerking Bouwdelen'!BF28</f>
        <v>0</v>
      </c>
      <c r="AB44" s="125">
        <f>IF(OR('Verwerking Bouwdelen'!C28=3,'Verwerking Bouwdelen'!C28=6),1,0)</f>
        <v>0</v>
      </c>
      <c r="AC44" s="130">
        <f>IF('Verwerking Bouwdelen'!A28=3,1,0)</f>
        <v>0</v>
      </c>
      <c r="AD44" s="208">
        <f>IF($AB44=1,$AC44*'Verwerking Bouwdelen'!DL28,$AC44*'Verwerking Bouwdelen'!T28)</f>
        <v>0</v>
      </c>
      <c r="AE44" s="208">
        <f>IF($AB44=1,$AC44*'Verwerking Bouwdelen'!DM28,$AC44*'Verwerking Bouwdelen'!U28)</f>
        <v>0</v>
      </c>
      <c r="AF44" s="208">
        <f>IF($AB44=1,$AC44*'Verwerking Bouwdelen'!DN28,$AC44*'Verwerking Bouwdelen'!V28)</f>
        <v>0</v>
      </c>
      <c r="AG44" s="208">
        <f>IF($AB44=1,$AC44*'Verwerking Bouwdelen'!DO28,$AC44*'Verwerking Bouwdelen'!W28)</f>
        <v>0</v>
      </c>
      <c r="AH44" s="208">
        <f>IF($AB44=1,$AC44*'Verwerking Bouwdelen'!DP28,$AC44*'Verwerking Bouwdelen'!X28)</f>
        <v>0</v>
      </c>
      <c r="AI44" s="208">
        <f>IF($AB44=1,$AC44*'Verwerking Bouwdelen'!DQ28,$AC44*'Verwerking Bouwdelen'!Y28)</f>
        <v>0</v>
      </c>
      <c r="AJ44" s="208">
        <f>IF($AB44=1,$AC44*'Verwerking Bouwdelen'!DR28,$AC44*'Verwerking Bouwdelen'!Z28)</f>
        <v>0</v>
      </c>
      <c r="AK44" s="208">
        <f>IF($AB44=1,$AC44*'Verwerking Bouwdelen'!DS28,$AC44*'Verwerking Bouwdelen'!AA28)</f>
        <v>0</v>
      </c>
      <c r="AL44" s="208">
        <f>IF($AB44=1,$AC44*'Verwerking Bouwdelen'!DT28,$AC44*'Verwerking Bouwdelen'!AB28)</f>
        <v>0</v>
      </c>
      <c r="AM44" s="208">
        <f>IF($AB44=1,$AC44*'Verwerking Bouwdelen'!DU28,$AC44*'Verwerking Bouwdelen'!AC28)</f>
        <v>0</v>
      </c>
      <c r="AN44" s="208">
        <f>IF($AB44=1,$AC44*'Verwerking Bouwdelen'!DV28,$AC44*'Verwerking Bouwdelen'!AD28)</f>
        <v>0</v>
      </c>
      <c r="AO44" s="208">
        <f>IF($AB44=1,$AC44*'Verwerking Bouwdelen'!DW28,$AC44*'Verwerking Bouwdelen'!AE28)</f>
        <v>0</v>
      </c>
      <c r="AP44" s="10">
        <f>IF(AD44=B44,0,'Verwerking Bouwdelen'!D28*AB44*AC44)</f>
        <v>0</v>
      </c>
      <c r="AQ44" s="10">
        <f>AB44*AC44*'Verwerking Bouwdelen'!GH28</f>
        <v>0</v>
      </c>
      <c r="AR44" s="10"/>
      <c r="AS44" s="248"/>
      <c r="AT44" s="125">
        <f>IF('Verwerking Bouwdelen'!C28=4,1,0)</f>
        <v>0</v>
      </c>
      <c r="AU44" s="130">
        <f>IF('Verwerking Bouwdelen'!A28=3,1,0)</f>
        <v>0</v>
      </c>
      <c r="AV44" s="208">
        <f>IF($AT44=1,$AU44*'Verwerking Bouwdelen'!DL28,$AU44*'Verwerking Bouwdelen'!T28)</f>
        <v>0</v>
      </c>
      <c r="AW44" s="208">
        <f>IF($AT44=1,$AU44*'Verwerking Bouwdelen'!DM28,$AU44*'Verwerking Bouwdelen'!U28)</f>
        <v>0</v>
      </c>
      <c r="AX44" s="208">
        <f>IF($AT44=1,$AU44*'Verwerking Bouwdelen'!DN28,$AU44*'Verwerking Bouwdelen'!V28)</f>
        <v>0</v>
      </c>
      <c r="AY44" s="208">
        <f>IF($AT44=1,$AU44*'Verwerking Bouwdelen'!DO28,$AU44*'Verwerking Bouwdelen'!W28)</f>
        <v>0</v>
      </c>
      <c r="AZ44" s="208">
        <f>IF($AT44=1,$AU44*'Verwerking Bouwdelen'!DP28,$AU44*'Verwerking Bouwdelen'!X28)</f>
        <v>0</v>
      </c>
      <c r="BA44" s="208">
        <f>IF($AT44=1,$AU44*'Verwerking Bouwdelen'!DQ28,$AU44*'Verwerking Bouwdelen'!Y28)</f>
        <v>0</v>
      </c>
      <c r="BB44" s="208">
        <f>IF($AT44=1,$AU44*'Verwerking Bouwdelen'!DR28,$AU44*'Verwerking Bouwdelen'!Z28)</f>
        <v>0</v>
      </c>
      <c r="BC44" s="208">
        <f>IF($AT44=1,$AU44*'Verwerking Bouwdelen'!DS28,$AU44*'Verwerking Bouwdelen'!AA28)</f>
        <v>0</v>
      </c>
      <c r="BD44" s="208">
        <f>IF($AT44=1,$AU44*'Verwerking Bouwdelen'!DT28,$AU44*'Verwerking Bouwdelen'!AB28)</f>
        <v>0</v>
      </c>
      <c r="BE44" s="208">
        <f>IF($AT44=1,$AU44*'Verwerking Bouwdelen'!DU28,$AU44*'Verwerking Bouwdelen'!AC28)</f>
        <v>0</v>
      </c>
      <c r="BF44" s="208">
        <f>IF($AT44=1,$AU44*'Verwerking Bouwdelen'!DV28,$AU44*'Verwerking Bouwdelen'!AD28)</f>
        <v>0</v>
      </c>
      <c r="BG44" s="208">
        <f>IF($AT44=1,$AU44*'Verwerking Bouwdelen'!DW28,$AU44*'Verwerking Bouwdelen'!AE28)</f>
        <v>0</v>
      </c>
      <c r="BH44" s="10">
        <f>IF(AV44=B44,0,'Verwerking Bouwdelen'!D28*AT44*AU44)</f>
        <v>0</v>
      </c>
      <c r="BI44" s="10">
        <f>AT44*AU44*'Verwerking Bouwdelen'!GH28</f>
        <v>0</v>
      </c>
      <c r="BJ44" s="10"/>
      <c r="BK44" s="10"/>
      <c r="BM44" s="125">
        <f>IF('Verwerking Bouwdelen'!C28=5,1,0)</f>
        <v>0</v>
      </c>
      <c r="BN44" s="130">
        <f>IF('Verwerking Bouwdelen'!A28=3,1,0)</f>
        <v>0</v>
      </c>
      <c r="BO44" s="208">
        <f>IF($BM44=1,$BN44*'Verwerking Bouwdelen'!DL28,$BN44*'Verwerking Bouwdelen'!T28)</f>
        <v>0</v>
      </c>
      <c r="BP44" s="208">
        <f>IF($BM44=1,$BN44*'Verwerking Bouwdelen'!DM28,$BN44*'Verwerking Bouwdelen'!U28)</f>
        <v>0</v>
      </c>
      <c r="BQ44" s="208">
        <f>IF($BM44=1,$BN44*'Verwerking Bouwdelen'!DN28,$BN44*'Verwerking Bouwdelen'!V28)</f>
        <v>0</v>
      </c>
      <c r="BR44" s="208">
        <f>IF($BM44=1,$BN44*'Verwerking Bouwdelen'!DO28,$BN44*'Verwerking Bouwdelen'!W28)</f>
        <v>0</v>
      </c>
      <c r="BS44" s="208">
        <f>IF($BM44=1,$BN44*'Verwerking Bouwdelen'!DP28,$BN44*'Verwerking Bouwdelen'!X28)</f>
        <v>0</v>
      </c>
      <c r="BT44" s="208">
        <f>IF($BM44=1,$BN44*'Verwerking Bouwdelen'!DQ28,$BN44*'Verwerking Bouwdelen'!Y28)</f>
        <v>0</v>
      </c>
      <c r="BU44" s="208">
        <f>IF($BM44=1,$BN44*'Verwerking Bouwdelen'!DR28,$BN44*'Verwerking Bouwdelen'!Z28)</f>
        <v>0</v>
      </c>
      <c r="BV44" s="208">
        <f>IF($BM44=1,$BN44*'Verwerking Bouwdelen'!DS28,$BN44*'Verwerking Bouwdelen'!AA28)</f>
        <v>0</v>
      </c>
      <c r="BW44" s="208">
        <f>IF($BM44=1,$BN44*'Verwerking Bouwdelen'!DT28,$BN44*'Verwerking Bouwdelen'!AB28)</f>
        <v>0</v>
      </c>
      <c r="BX44" s="208">
        <f>IF($BM44=1,$BN44*'Verwerking Bouwdelen'!DU28,$BN44*'Verwerking Bouwdelen'!AC28)</f>
        <v>0</v>
      </c>
      <c r="BY44" s="208">
        <f>IF($BM44=1,$BN44*'Verwerking Bouwdelen'!DV28,$BN44*'Verwerking Bouwdelen'!AD28)</f>
        <v>0</v>
      </c>
      <c r="BZ44" s="208">
        <f>IF($BM44=1,$BN44*'Verwerking Bouwdelen'!DW28,$BN44*'Verwerking Bouwdelen'!AE28)</f>
        <v>0</v>
      </c>
      <c r="CA44" s="10">
        <f>IF(BO44=$B44,0,'Verwerking Bouwdelen'!$D28*BM44*BN44)</f>
        <v>0</v>
      </c>
      <c r="CB44" s="10">
        <f>BM44*BN44*'Verwerking Bouwdelen'!GH28</f>
        <v>0</v>
      </c>
      <c r="CC44" s="10"/>
      <c r="CD44" s="248"/>
      <c r="CE44" s="125">
        <f>IF('Verwerking Bouwdelen'!C28=2,1,0)</f>
        <v>0</v>
      </c>
      <c r="CF44" s="130">
        <f>IF('Verwerking Bouwdelen'!A28=3,1,0)</f>
        <v>0</v>
      </c>
      <c r="CG44" s="208">
        <f>IF($CE44=1,$CF44*'Verwerking Bouwdelen'!DL28,$CF44*'Verwerking Bouwdelen'!T28)</f>
        <v>0</v>
      </c>
      <c r="CH44" s="208">
        <f>IF($CE44=1,$CF44*'Verwerking Bouwdelen'!DM28,$CF44*'Verwerking Bouwdelen'!U28)</f>
        <v>0</v>
      </c>
      <c r="CI44" s="208">
        <f>IF($CE44=1,$CF44*'Verwerking Bouwdelen'!DN28,$CF44*'Verwerking Bouwdelen'!V28)</f>
        <v>0</v>
      </c>
      <c r="CJ44" s="208">
        <f>IF($CE44=1,$CF44*'Verwerking Bouwdelen'!DO28,$CF44*'Verwerking Bouwdelen'!W28)</f>
        <v>0</v>
      </c>
      <c r="CK44" s="208">
        <f>IF($CE44=1,$CF44*'Verwerking Bouwdelen'!DP28,$CF44*'Verwerking Bouwdelen'!X28)</f>
        <v>0</v>
      </c>
      <c r="CL44" s="208">
        <f>IF($CE44=1,$CF44*'Verwerking Bouwdelen'!DQ28,$CF44*'Verwerking Bouwdelen'!Y28)</f>
        <v>0</v>
      </c>
      <c r="CM44" s="208">
        <f>IF($CE44=1,$CF44*'Verwerking Bouwdelen'!DR28,$CF44*'Verwerking Bouwdelen'!Z28)</f>
        <v>0</v>
      </c>
      <c r="CN44" s="208">
        <f>IF($CE44=1,$CF44*'Verwerking Bouwdelen'!DS28,$CF44*'Verwerking Bouwdelen'!AA28)</f>
        <v>0</v>
      </c>
      <c r="CO44" s="208">
        <f>IF($CE44=1,$CF44*'Verwerking Bouwdelen'!DT28,$CF44*'Verwerking Bouwdelen'!AB28)</f>
        <v>0</v>
      </c>
      <c r="CP44" s="208">
        <f>IF($CE44=1,$CF44*'Verwerking Bouwdelen'!DU28,$CF44*'Verwerking Bouwdelen'!AC28)</f>
        <v>0</v>
      </c>
      <c r="CQ44" s="208">
        <f>IF($CE44=1,$CF44*'Verwerking Bouwdelen'!DV28,$CF44*'Verwerking Bouwdelen'!AD28)</f>
        <v>0</v>
      </c>
      <c r="CR44" s="208">
        <f>IF($CE44=1,$CF44*'Verwerking Bouwdelen'!DW28,$CF44*'Verwerking Bouwdelen'!AE28)</f>
        <v>0</v>
      </c>
      <c r="CS44" s="10">
        <f>IF(CG44=$B44,0,('Verwerking Bouwdelen'!$D28-'Verwerking Bouwdelen'!G28)*CE44*CF44)</f>
        <v>0</v>
      </c>
      <c r="CT44" s="260">
        <f>CE44*CF44*'Verwerking Bouwdelen'!GH28</f>
        <v>0</v>
      </c>
      <c r="CU44" s="261">
        <f>CE44*CF44*'Verwerking Bouwdelen'!GI28</f>
        <v>0</v>
      </c>
      <c r="CW44" s="209">
        <f>$AC44*'Verwerking Bouwdelen'!EE28</f>
        <v>0</v>
      </c>
      <c r="CX44" s="209">
        <f>$AC44*'Verwerking Bouwdelen'!EF28</f>
        <v>0</v>
      </c>
      <c r="CY44" s="209">
        <f>$AC44*'Verwerking Bouwdelen'!EG28</f>
        <v>0</v>
      </c>
      <c r="CZ44" s="209">
        <f>$AC44*'Verwerking Bouwdelen'!EH28</f>
        <v>0</v>
      </c>
      <c r="DA44" s="209">
        <f>$AC44*'Verwerking Bouwdelen'!EI28</f>
        <v>0</v>
      </c>
      <c r="DB44" s="209">
        <f>$AC44*'Verwerking Bouwdelen'!EJ28</f>
        <v>0</v>
      </c>
      <c r="DC44" s="209">
        <f>$AC44*'Verwerking Bouwdelen'!EK28</f>
        <v>0</v>
      </c>
      <c r="DD44" s="209">
        <f>$AC44*'Verwerking Bouwdelen'!EL28</f>
        <v>0</v>
      </c>
      <c r="DE44" s="209">
        <f>$AC44*'Verwerking Bouwdelen'!EM28</f>
        <v>0</v>
      </c>
      <c r="DF44" s="209">
        <f>$AC44*'Verwerking Bouwdelen'!EN28</f>
        <v>0</v>
      </c>
      <c r="DG44" s="209">
        <f>$AC44*'Verwerking Bouwdelen'!EO28</f>
        <v>0</v>
      </c>
      <c r="DH44" s="209">
        <f>$AC44*'Verwerking Bouwdelen'!EP28</f>
        <v>0</v>
      </c>
      <c r="DI44" s="10">
        <f>IF(CW44=$O44,0,'Verwerking Bouwdelen'!G28)</f>
        <v>0</v>
      </c>
      <c r="DJ44" s="259">
        <f>'Verwerking Bouwdelen'!GK28*CF44</f>
        <v>0</v>
      </c>
      <c r="DK44" s="259">
        <f>'Verwerking Bouwdelen'!GL28*CF44</f>
        <v>0</v>
      </c>
      <c r="DL44" s="125"/>
      <c r="GM44" s="89">
        <f t="shared" si="13"/>
        <v>0</v>
      </c>
      <c r="GN44" s="89">
        <f t="shared" si="14"/>
        <v>0</v>
      </c>
      <c r="GO44" s="208">
        <f>IF($GN44=1,$GN44*$GM44*'Verwerking Bouwdelen'!DL28,$GN44*$GM44*'Verwerking Bouwdelen'!T28)</f>
        <v>0</v>
      </c>
      <c r="GP44" s="208">
        <f>IF($GN44=1,$GN44*$GM44*'Verwerking Bouwdelen'!DM28,$GN44*$GM44*'Verwerking Bouwdelen'!U28)</f>
        <v>0</v>
      </c>
      <c r="GQ44" s="208">
        <f>IF($GN44=1,$GN44*$GM44*'Verwerking Bouwdelen'!DN28,$GN44*$GM44*'Verwerking Bouwdelen'!V28)</f>
        <v>0</v>
      </c>
      <c r="GR44" s="208">
        <f>IF($GN44=1,$GN44*$GM44*'Verwerking Bouwdelen'!DO28,$GN44*$GM44*'Verwerking Bouwdelen'!W28)</f>
        <v>0</v>
      </c>
      <c r="GS44" s="208">
        <f>IF($GN44=1,$GN44*$GM44*'Verwerking Bouwdelen'!DP28,$GN44*$GM44*'Verwerking Bouwdelen'!X28)</f>
        <v>0</v>
      </c>
      <c r="GT44" s="208">
        <f>IF($GN44=1,$GN44*$GM44*'Verwerking Bouwdelen'!DQ28,$GN44*$GM44*'Verwerking Bouwdelen'!Y28)</f>
        <v>0</v>
      </c>
      <c r="GU44" s="208">
        <f>IF($GN44=1,$GN44*$GM44*'Verwerking Bouwdelen'!DR28,$GN44*$GM44*'Verwerking Bouwdelen'!Z28)</f>
        <v>0</v>
      </c>
      <c r="GV44" s="208">
        <f>IF($GN44=1,$GN44*$GM44*'Verwerking Bouwdelen'!DS28,$GN44*$GM44*'Verwerking Bouwdelen'!AA28)</f>
        <v>0</v>
      </c>
      <c r="GW44" s="208">
        <f>IF($GN44=1,$GN44*$GM44*'Verwerking Bouwdelen'!DT28,$GN44*$GM44*'Verwerking Bouwdelen'!AB28)</f>
        <v>0</v>
      </c>
      <c r="GX44" s="208">
        <f>IF($GN44=1,$GN44*$GM44*'Verwerking Bouwdelen'!DU28,$GN44*$GM44*'Verwerking Bouwdelen'!AC28)</f>
        <v>0</v>
      </c>
      <c r="GY44" s="208">
        <f>IF($GN44=1,$GN44*$GM44*'Verwerking Bouwdelen'!DV28,$GN44*$GM44*'Verwerking Bouwdelen'!AD28)</f>
        <v>0</v>
      </c>
      <c r="GZ44" s="208">
        <f>IF($GN44=1,$GN44*$GM44*'Verwerking Bouwdelen'!DW28,$GN44*$GM44*'Verwerking Bouwdelen'!AE28)</f>
        <v>0</v>
      </c>
      <c r="HB44" s="89">
        <f t="shared" si="16"/>
        <v>0</v>
      </c>
      <c r="HC44" s="89">
        <f t="shared" si="17"/>
        <v>0</v>
      </c>
      <c r="HD44" s="89">
        <f t="shared" si="18"/>
        <v>0</v>
      </c>
      <c r="HE44" s="89">
        <f t="shared" si="19"/>
        <v>0</v>
      </c>
      <c r="HF44" s="89">
        <f t="shared" si="19"/>
        <v>0</v>
      </c>
      <c r="HG44" s="89">
        <f t="shared" si="19"/>
        <v>0</v>
      </c>
      <c r="HH44" s="89">
        <f t="shared" si="19"/>
        <v>0</v>
      </c>
      <c r="HI44" s="89">
        <f t="shared" si="19"/>
        <v>0</v>
      </c>
      <c r="HJ44" s="89">
        <f t="shared" si="19"/>
        <v>0</v>
      </c>
      <c r="HK44" s="89">
        <f t="shared" si="19"/>
        <v>0</v>
      </c>
      <c r="HL44" s="89">
        <f t="shared" si="19"/>
        <v>0</v>
      </c>
      <c r="HM44" s="89">
        <f t="shared" si="19"/>
        <v>0</v>
      </c>
    </row>
    <row r="45" spans="1:221" x14ac:dyDescent="0.2">
      <c r="A45" s="130">
        <f>IF('Verwerking Bouwdelen'!A29=3,1,0)</f>
        <v>0</v>
      </c>
      <c r="B45" s="208">
        <f>$A45*'Verwerking Bouwdelen'!T29</f>
        <v>0</v>
      </c>
      <c r="C45" s="208">
        <f>$A45*'Verwerking Bouwdelen'!U29</f>
        <v>0</v>
      </c>
      <c r="D45" s="208">
        <f>$A45*'Verwerking Bouwdelen'!V29</f>
        <v>0</v>
      </c>
      <c r="E45" s="208">
        <f>$A45*'Verwerking Bouwdelen'!W29</f>
        <v>0</v>
      </c>
      <c r="F45" s="208">
        <f>$A45*'Verwerking Bouwdelen'!X29</f>
        <v>0</v>
      </c>
      <c r="G45" s="208">
        <f>$A45*'Verwerking Bouwdelen'!Y29</f>
        <v>0</v>
      </c>
      <c r="H45" s="208">
        <f>$A45*'Verwerking Bouwdelen'!Z29</f>
        <v>0</v>
      </c>
      <c r="I45" s="208">
        <f>$A45*'Verwerking Bouwdelen'!AA29</f>
        <v>0</v>
      </c>
      <c r="J45" s="208">
        <f>$A45*'Verwerking Bouwdelen'!AB29</f>
        <v>0</v>
      </c>
      <c r="K45" s="208">
        <f>$A45*'Verwerking Bouwdelen'!AC29</f>
        <v>0</v>
      </c>
      <c r="L45" s="208">
        <f>$A45*'Verwerking Bouwdelen'!AD29</f>
        <v>0</v>
      </c>
      <c r="M45" s="208">
        <f>$A45*'Verwerking Bouwdelen'!AE29</f>
        <v>0</v>
      </c>
      <c r="O45" s="114">
        <f>$A45*'Verwerking Bouwdelen'!AU29</f>
        <v>0</v>
      </c>
      <c r="P45" s="125">
        <f>$A45*'Verwerking Bouwdelen'!AV29</f>
        <v>0</v>
      </c>
      <c r="Q45" s="125">
        <f>$A45*'Verwerking Bouwdelen'!AW29</f>
        <v>0</v>
      </c>
      <c r="R45" s="125">
        <f>$A45*'Verwerking Bouwdelen'!AX29</f>
        <v>0</v>
      </c>
      <c r="S45" s="125">
        <f>$A45*'Verwerking Bouwdelen'!AY29</f>
        <v>0</v>
      </c>
      <c r="T45" s="125">
        <f>$A45*'Verwerking Bouwdelen'!AZ29</f>
        <v>0</v>
      </c>
      <c r="U45" s="125">
        <f>$A45*'Verwerking Bouwdelen'!BA29</f>
        <v>0</v>
      </c>
      <c r="V45" s="125">
        <f>$A45*'Verwerking Bouwdelen'!BB29</f>
        <v>0</v>
      </c>
      <c r="W45" s="125">
        <f>$A45*'Verwerking Bouwdelen'!BC29</f>
        <v>0</v>
      </c>
      <c r="X45" s="125">
        <f>$A45*'Verwerking Bouwdelen'!BD29</f>
        <v>0</v>
      </c>
      <c r="Y45" s="125">
        <f>$A45*'Verwerking Bouwdelen'!BE29</f>
        <v>0</v>
      </c>
      <c r="Z45" s="195">
        <f>$A45*'Verwerking Bouwdelen'!BF29</f>
        <v>0</v>
      </c>
      <c r="AB45" s="125">
        <f>IF(OR('Verwerking Bouwdelen'!C29=3,'Verwerking Bouwdelen'!C29=6),1,0)</f>
        <v>0</v>
      </c>
      <c r="AC45" s="130">
        <f>IF('Verwerking Bouwdelen'!A29=3,1,0)</f>
        <v>0</v>
      </c>
      <c r="AD45" s="208">
        <f>IF($AB45=1,$AC45*'Verwerking Bouwdelen'!DL29,$AC45*'Verwerking Bouwdelen'!T29)</f>
        <v>0</v>
      </c>
      <c r="AE45" s="208">
        <f>IF($AB45=1,$AC45*'Verwerking Bouwdelen'!DM29,$AC45*'Verwerking Bouwdelen'!U29)</f>
        <v>0</v>
      </c>
      <c r="AF45" s="208">
        <f>IF($AB45=1,$AC45*'Verwerking Bouwdelen'!DN29,$AC45*'Verwerking Bouwdelen'!V29)</f>
        <v>0</v>
      </c>
      <c r="AG45" s="208">
        <f>IF($AB45=1,$AC45*'Verwerking Bouwdelen'!DO29,$AC45*'Verwerking Bouwdelen'!W29)</f>
        <v>0</v>
      </c>
      <c r="AH45" s="208">
        <f>IF($AB45=1,$AC45*'Verwerking Bouwdelen'!DP29,$AC45*'Verwerking Bouwdelen'!X29)</f>
        <v>0</v>
      </c>
      <c r="AI45" s="208">
        <f>IF($AB45=1,$AC45*'Verwerking Bouwdelen'!DQ29,$AC45*'Verwerking Bouwdelen'!Y29)</f>
        <v>0</v>
      </c>
      <c r="AJ45" s="208">
        <f>IF($AB45=1,$AC45*'Verwerking Bouwdelen'!DR29,$AC45*'Verwerking Bouwdelen'!Z29)</f>
        <v>0</v>
      </c>
      <c r="AK45" s="208">
        <f>IF($AB45=1,$AC45*'Verwerking Bouwdelen'!DS29,$AC45*'Verwerking Bouwdelen'!AA29)</f>
        <v>0</v>
      </c>
      <c r="AL45" s="208">
        <f>IF($AB45=1,$AC45*'Verwerking Bouwdelen'!DT29,$AC45*'Verwerking Bouwdelen'!AB29)</f>
        <v>0</v>
      </c>
      <c r="AM45" s="208">
        <f>IF($AB45=1,$AC45*'Verwerking Bouwdelen'!DU29,$AC45*'Verwerking Bouwdelen'!AC29)</f>
        <v>0</v>
      </c>
      <c r="AN45" s="208">
        <f>IF($AB45=1,$AC45*'Verwerking Bouwdelen'!DV29,$AC45*'Verwerking Bouwdelen'!AD29)</f>
        <v>0</v>
      </c>
      <c r="AO45" s="208">
        <f>IF($AB45=1,$AC45*'Verwerking Bouwdelen'!DW29,$AC45*'Verwerking Bouwdelen'!AE29)</f>
        <v>0</v>
      </c>
      <c r="AP45" s="10">
        <f>IF(AD45=B45,0,'Verwerking Bouwdelen'!D29*AB45*AC45)</f>
        <v>0</v>
      </c>
      <c r="AQ45" s="10">
        <f>AB45*AC45*'Verwerking Bouwdelen'!GH29</f>
        <v>0</v>
      </c>
      <c r="AR45" s="10"/>
      <c r="AS45" s="248"/>
      <c r="AT45" s="125">
        <f>IF('Verwerking Bouwdelen'!C29=4,1,0)</f>
        <v>0</v>
      </c>
      <c r="AU45" s="130">
        <f>IF('Verwerking Bouwdelen'!A29=3,1,0)</f>
        <v>0</v>
      </c>
      <c r="AV45" s="208">
        <f>IF($AT45=1,$AU45*'Verwerking Bouwdelen'!DL29,$AU45*'Verwerking Bouwdelen'!T29)</f>
        <v>0</v>
      </c>
      <c r="AW45" s="208">
        <f>IF($AT45=1,$AU45*'Verwerking Bouwdelen'!DM29,$AU45*'Verwerking Bouwdelen'!U29)</f>
        <v>0</v>
      </c>
      <c r="AX45" s="208">
        <f>IF($AT45=1,$AU45*'Verwerking Bouwdelen'!DN29,$AU45*'Verwerking Bouwdelen'!V29)</f>
        <v>0</v>
      </c>
      <c r="AY45" s="208">
        <f>IF($AT45=1,$AU45*'Verwerking Bouwdelen'!DO29,$AU45*'Verwerking Bouwdelen'!W29)</f>
        <v>0</v>
      </c>
      <c r="AZ45" s="208">
        <f>IF($AT45=1,$AU45*'Verwerking Bouwdelen'!DP29,$AU45*'Verwerking Bouwdelen'!X29)</f>
        <v>0</v>
      </c>
      <c r="BA45" s="208">
        <f>IF($AT45=1,$AU45*'Verwerking Bouwdelen'!DQ29,$AU45*'Verwerking Bouwdelen'!Y29)</f>
        <v>0</v>
      </c>
      <c r="BB45" s="208">
        <f>IF($AT45=1,$AU45*'Verwerking Bouwdelen'!DR29,$AU45*'Verwerking Bouwdelen'!Z29)</f>
        <v>0</v>
      </c>
      <c r="BC45" s="208">
        <f>IF($AT45=1,$AU45*'Verwerking Bouwdelen'!DS29,$AU45*'Verwerking Bouwdelen'!AA29)</f>
        <v>0</v>
      </c>
      <c r="BD45" s="208">
        <f>IF($AT45=1,$AU45*'Verwerking Bouwdelen'!DT29,$AU45*'Verwerking Bouwdelen'!AB29)</f>
        <v>0</v>
      </c>
      <c r="BE45" s="208">
        <f>IF($AT45=1,$AU45*'Verwerking Bouwdelen'!DU29,$AU45*'Verwerking Bouwdelen'!AC29)</f>
        <v>0</v>
      </c>
      <c r="BF45" s="208">
        <f>IF($AT45=1,$AU45*'Verwerking Bouwdelen'!DV29,$AU45*'Verwerking Bouwdelen'!AD29)</f>
        <v>0</v>
      </c>
      <c r="BG45" s="208">
        <f>IF($AT45=1,$AU45*'Verwerking Bouwdelen'!DW29,$AU45*'Verwerking Bouwdelen'!AE29)</f>
        <v>0</v>
      </c>
      <c r="BH45" s="10">
        <f>IF(AV45=B45,0,'Verwerking Bouwdelen'!D29*AT45*AU45)</f>
        <v>0</v>
      </c>
      <c r="BI45" s="10">
        <f>AT45*AU45*'Verwerking Bouwdelen'!GH29</f>
        <v>0</v>
      </c>
      <c r="BJ45" s="10"/>
      <c r="BK45" s="10"/>
      <c r="BM45" s="125">
        <f>IF('Verwerking Bouwdelen'!C29=5,1,0)</f>
        <v>0</v>
      </c>
      <c r="BN45" s="130">
        <f>IF('Verwerking Bouwdelen'!A29=3,1,0)</f>
        <v>0</v>
      </c>
      <c r="BO45" s="208">
        <f>IF($BM45=1,$BN45*'Verwerking Bouwdelen'!DL29,$BN45*'Verwerking Bouwdelen'!T29)</f>
        <v>0</v>
      </c>
      <c r="BP45" s="208">
        <f>IF($BM45=1,$BN45*'Verwerking Bouwdelen'!DM29,$BN45*'Verwerking Bouwdelen'!U29)</f>
        <v>0</v>
      </c>
      <c r="BQ45" s="208">
        <f>IF($BM45=1,$BN45*'Verwerking Bouwdelen'!DN29,$BN45*'Verwerking Bouwdelen'!V29)</f>
        <v>0</v>
      </c>
      <c r="BR45" s="208">
        <f>IF($BM45=1,$BN45*'Verwerking Bouwdelen'!DO29,$BN45*'Verwerking Bouwdelen'!W29)</f>
        <v>0</v>
      </c>
      <c r="BS45" s="208">
        <f>IF($BM45=1,$BN45*'Verwerking Bouwdelen'!DP29,$BN45*'Verwerking Bouwdelen'!X29)</f>
        <v>0</v>
      </c>
      <c r="BT45" s="208">
        <f>IF($BM45=1,$BN45*'Verwerking Bouwdelen'!DQ29,$BN45*'Verwerking Bouwdelen'!Y29)</f>
        <v>0</v>
      </c>
      <c r="BU45" s="208">
        <f>IF($BM45=1,$BN45*'Verwerking Bouwdelen'!DR29,$BN45*'Verwerking Bouwdelen'!Z29)</f>
        <v>0</v>
      </c>
      <c r="BV45" s="208">
        <f>IF($BM45=1,$BN45*'Verwerking Bouwdelen'!DS29,$BN45*'Verwerking Bouwdelen'!AA29)</f>
        <v>0</v>
      </c>
      <c r="BW45" s="208">
        <f>IF($BM45=1,$BN45*'Verwerking Bouwdelen'!DT29,$BN45*'Verwerking Bouwdelen'!AB29)</f>
        <v>0</v>
      </c>
      <c r="BX45" s="208">
        <f>IF($BM45=1,$BN45*'Verwerking Bouwdelen'!DU29,$BN45*'Verwerking Bouwdelen'!AC29)</f>
        <v>0</v>
      </c>
      <c r="BY45" s="208">
        <f>IF($BM45=1,$BN45*'Verwerking Bouwdelen'!DV29,$BN45*'Verwerking Bouwdelen'!AD29)</f>
        <v>0</v>
      </c>
      <c r="BZ45" s="208">
        <f>IF($BM45=1,$BN45*'Verwerking Bouwdelen'!DW29,$BN45*'Verwerking Bouwdelen'!AE29)</f>
        <v>0</v>
      </c>
      <c r="CA45" s="10">
        <f>IF(BO45=$B45,0,'Verwerking Bouwdelen'!$D29*BM45*BN45)</f>
        <v>0</v>
      </c>
      <c r="CB45" s="10">
        <f>BM45*BN45*'Verwerking Bouwdelen'!GH29</f>
        <v>0</v>
      </c>
      <c r="CC45" s="10"/>
      <c r="CD45" s="248"/>
      <c r="CE45" s="125">
        <f>IF('Verwerking Bouwdelen'!C29=2,1,0)</f>
        <v>0</v>
      </c>
      <c r="CF45" s="130">
        <f>IF('Verwerking Bouwdelen'!A29=3,1,0)</f>
        <v>0</v>
      </c>
      <c r="CG45" s="208">
        <f>IF($CE45=1,$CF45*'Verwerking Bouwdelen'!DL29,$CF45*'Verwerking Bouwdelen'!T29)</f>
        <v>0</v>
      </c>
      <c r="CH45" s="208">
        <f>IF($CE45=1,$CF45*'Verwerking Bouwdelen'!DM29,$CF45*'Verwerking Bouwdelen'!U29)</f>
        <v>0</v>
      </c>
      <c r="CI45" s="208">
        <f>IF($CE45=1,$CF45*'Verwerking Bouwdelen'!DN29,$CF45*'Verwerking Bouwdelen'!V29)</f>
        <v>0</v>
      </c>
      <c r="CJ45" s="208">
        <f>IF($CE45=1,$CF45*'Verwerking Bouwdelen'!DO29,$CF45*'Verwerking Bouwdelen'!W29)</f>
        <v>0</v>
      </c>
      <c r="CK45" s="208">
        <f>IF($CE45=1,$CF45*'Verwerking Bouwdelen'!DP29,$CF45*'Verwerking Bouwdelen'!X29)</f>
        <v>0</v>
      </c>
      <c r="CL45" s="208">
        <f>IF($CE45=1,$CF45*'Verwerking Bouwdelen'!DQ29,$CF45*'Verwerking Bouwdelen'!Y29)</f>
        <v>0</v>
      </c>
      <c r="CM45" s="208">
        <f>IF($CE45=1,$CF45*'Verwerking Bouwdelen'!DR29,$CF45*'Verwerking Bouwdelen'!Z29)</f>
        <v>0</v>
      </c>
      <c r="CN45" s="208">
        <f>IF($CE45=1,$CF45*'Verwerking Bouwdelen'!DS29,$CF45*'Verwerking Bouwdelen'!AA29)</f>
        <v>0</v>
      </c>
      <c r="CO45" s="208">
        <f>IF($CE45=1,$CF45*'Verwerking Bouwdelen'!DT29,$CF45*'Verwerking Bouwdelen'!AB29)</f>
        <v>0</v>
      </c>
      <c r="CP45" s="208">
        <f>IF($CE45=1,$CF45*'Verwerking Bouwdelen'!DU29,$CF45*'Verwerking Bouwdelen'!AC29)</f>
        <v>0</v>
      </c>
      <c r="CQ45" s="208">
        <f>IF($CE45=1,$CF45*'Verwerking Bouwdelen'!DV29,$CF45*'Verwerking Bouwdelen'!AD29)</f>
        <v>0</v>
      </c>
      <c r="CR45" s="208">
        <f>IF($CE45=1,$CF45*'Verwerking Bouwdelen'!DW29,$CF45*'Verwerking Bouwdelen'!AE29)</f>
        <v>0</v>
      </c>
      <c r="CS45" s="10">
        <f>IF(CG45=$B45,0,('Verwerking Bouwdelen'!$D29-'Verwerking Bouwdelen'!G29)*CE45*CF45)</f>
        <v>0</v>
      </c>
      <c r="CT45" s="260">
        <f>CE45*CF45*'Verwerking Bouwdelen'!GH29</f>
        <v>0</v>
      </c>
      <c r="CU45" s="261">
        <f>CE45*CF45*'Verwerking Bouwdelen'!GI29</f>
        <v>0</v>
      </c>
      <c r="CW45" s="209">
        <f>$AC45*'Verwerking Bouwdelen'!EE29</f>
        <v>0</v>
      </c>
      <c r="CX45" s="209">
        <f>$AC45*'Verwerking Bouwdelen'!EF29</f>
        <v>0</v>
      </c>
      <c r="CY45" s="209">
        <f>$AC45*'Verwerking Bouwdelen'!EG29</f>
        <v>0</v>
      </c>
      <c r="CZ45" s="209">
        <f>$AC45*'Verwerking Bouwdelen'!EH29</f>
        <v>0</v>
      </c>
      <c r="DA45" s="209">
        <f>$AC45*'Verwerking Bouwdelen'!EI29</f>
        <v>0</v>
      </c>
      <c r="DB45" s="209">
        <f>$AC45*'Verwerking Bouwdelen'!EJ29</f>
        <v>0</v>
      </c>
      <c r="DC45" s="209">
        <f>$AC45*'Verwerking Bouwdelen'!EK29</f>
        <v>0</v>
      </c>
      <c r="DD45" s="209">
        <f>$AC45*'Verwerking Bouwdelen'!EL29</f>
        <v>0</v>
      </c>
      <c r="DE45" s="209">
        <f>$AC45*'Verwerking Bouwdelen'!EM29</f>
        <v>0</v>
      </c>
      <c r="DF45" s="209">
        <f>$AC45*'Verwerking Bouwdelen'!EN29</f>
        <v>0</v>
      </c>
      <c r="DG45" s="209">
        <f>$AC45*'Verwerking Bouwdelen'!EO29</f>
        <v>0</v>
      </c>
      <c r="DH45" s="209">
        <f>$AC45*'Verwerking Bouwdelen'!EP29</f>
        <v>0</v>
      </c>
      <c r="DI45" s="10">
        <f>IF(CW45=$O45,0,'Verwerking Bouwdelen'!G29)</f>
        <v>0</v>
      </c>
      <c r="DJ45" s="259">
        <f>'Verwerking Bouwdelen'!GK29*CF45</f>
        <v>0</v>
      </c>
      <c r="DK45" s="259">
        <f>'Verwerking Bouwdelen'!GL29*CF45</f>
        <v>0</v>
      </c>
      <c r="DL45" s="125"/>
      <c r="GM45" s="89">
        <f t="shared" si="13"/>
        <v>0</v>
      </c>
      <c r="GN45" s="89">
        <f t="shared" si="14"/>
        <v>0</v>
      </c>
      <c r="GO45" s="208">
        <f>IF($GN45=1,$GN45*$GM45*'Verwerking Bouwdelen'!DL29,$GN45*$GM45*'Verwerking Bouwdelen'!T29)</f>
        <v>0</v>
      </c>
      <c r="GP45" s="208">
        <f>IF($GN45=1,$GN45*$GM45*'Verwerking Bouwdelen'!DM29,$GN45*$GM45*'Verwerking Bouwdelen'!U29)</f>
        <v>0</v>
      </c>
      <c r="GQ45" s="208">
        <f>IF($GN45=1,$GN45*$GM45*'Verwerking Bouwdelen'!DN29,$GN45*$GM45*'Verwerking Bouwdelen'!V29)</f>
        <v>0</v>
      </c>
      <c r="GR45" s="208">
        <f>IF($GN45=1,$GN45*$GM45*'Verwerking Bouwdelen'!DO29,$GN45*$GM45*'Verwerking Bouwdelen'!W29)</f>
        <v>0</v>
      </c>
      <c r="GS45" s="208">
        <f>IF($GN45=1,$GN45*$GM45*'Verwerking Bouwdelen'!DP29,$GN45*$GM45*'Verwerking Bouwdelen'!X29)</f>
        <v>0</v>
      </c>
      <c r="GT45" s="208">
        <f>IF($GN45=1,$GN45*$GM45*'Verwerking Bouwdelen'!DQ29,$GN45*$GM45*'Verwerking Bouwdelen'!Y29)</f>
        <v>0</v>
      </c>
      <c r="GU45" s="208">
        <f>IF($GN45=1,$GN45*$GM45*'Verwerking Bouwdelen'!DR29,$GN45*$GM45*'Verwerking Bouwdelen'!Z29)</f>
        <v>0</v>
      </c>
      <c r="GV45" s="208">
        <f>IF($GN45=1,$GN45*$GM45*'Verwerking Bouwdelen'!DS29,$GN45*$GM45*'Verwerking Bouwdelen'!AA29)</f>
        <v>0</v>
      </c>
      <c r="GW45" s="208">
        <f>IF($GN45=1,$GN45*$GM45*'Verwerking Bouwdelen'!DT29,$GN45*$GM45*'Verwerking Bouwdelen'!AB29)</f>
        <v>0</v>
      </c>
      <c r="GX45" s="208">
        <f>IF($GN45=1,$GN45*$GM45*'Verwerking Bouwdelen'!DU29,$GN45*$GM45*'Verwerking Bouwdelen'!AC29)</f>
        <v>0</v>
      </c>
      <c r="GY45" s="208">
        <f>IF($GN45=1,$GN45*$GM45*'Verwerking Bouwdelen'!DV29,$GN45*$GM45*'Verwerking Bouwdelen'!AD29)</f>
        <v>0</v>
      </c>
      <c r="GZ45" s="208">
        <f>IF($GN45=1,$GN45*$GM45*'Verwerking Bouwdelen'!DW29,$GN45*$GM45*'Verwerking Bouwdelen'!AE29)</f>
        <v>0</v>
      </c>
      <c r="HB45" s="89">
        <f t="shared" si="16"/>
        <v>0</v>
      </c>
      <c r="HC45" s="89">
        <f t="shared" si="17"/>
        <v>0</v>
      </c>
      <c r="HD45" s="89">
        <f t="shared" si="18"/>
        <v>0</v>
      </c>
      <c r="HE45" s="89">
        <f t="shared" si="19"/>
        <v>0</v>
      </c>
      <c r="HF45" s="89">
        <f t="shared" si="19"/>
        <v>0</v>
      </c>
      <c r="HG45" s="89">
        <f t="shared" si="19"/>
        <v>0</v>
      </c>
      <c r="HH45" s="89">
        <f t="shared" si="19"/>
        <v>0</v>
      </c>
      <c r="HI45" s="89">
        <f t="shared" si="19"/>
        <v>0</v>
      </c>
      <c r="HJ45" s="89">
        <f t="shared" si="19"/>
        <v>0</v>
      </c>
      <c r="HK45" s="89">
        <f t="shared" si="19"/>
        <v>0</v>
      </c>
      <c r="HL45" s="89">
        <f t="shared" si="19"/>
        <v>0</v>
      </c>
      <c r="HM45" s="89">
        <f t="shared" si="19"/>
        <v>0</v>
      </c>
    </row>
    <row r="46" spans="1:221" x14ac:dyDescent="0.2">
      <c r="A46" s="130">
        <f>IF('Verwerking Bouwdelen'!A30=3,1,0)</f>
        <v>0</v>
      </c>
      <c r="B46" s="208">
        <f>$A46*'Verwerking Bouwdelen'!T30</f>
        <v>0</v>
      </c>
      <c r="C46" s="208">
        <f>$A46*'Verwerking Bouwdelen'!U30</f>
        <v>0</v>
      </c>
      <c r="D46" s="208">
        <f>$A46*'Verwerking Bouwdelen'!V30</f>
        <v>0</v>
      </c>
      <c r="E46" s="208">
        <f>$A46*'Verwerking Bouwdelen'!W30</f>
        <v>0</v>
      </c>
      <c r="F46" s="208">
        <f>$A46*'Verwerking Bouwdelen'!X30</f>
        <v>0</v>
      </c>
      <c r="G46" s="208">
        <f>$A46*'Verwerking Bouwdelen'!Y30</f>
        <v>0</v>
      </c>
      <c r="H46" s="208">
        <f>$A46*'Verwerking Bouwdelen'!Z30</f>
        <v>0</v>
      </c>
      <c r="I46" s="208">
        <f>$A46*'Verwerking Bouwdelen'!AA30</f>
        <v>0</v>
      </c>
      <c r="J46" s="208">
        <f>$A46*'Verwerking Bouwdelen'!AB30</f>
        <v>0</v>
      </c>
      <c r="K46" s="208">
        <f>$A46*'Verwerking Bouwdelen'!AC30</f>
        <v>0</v>
      </c>
      <c r="L46" s="208">
        <f>$A46*'Verwerking Bouwdelen'!AD30</f>
        <v>0</v>
      </c>
      <c r="M46" s="208">
        <f>$A46*'Verwerking Bouwdelen'!AE30</f>
        <v>0</v>
      </c>
      <c r="O46" s="114">
        <f>$A46*'Verwerking Bouwdelen'!AU30</f>
        <v>0</v>
      </c>
      <c r="P46" s="125">
        <f>$A46*'Verwerking Bouwdelen'!AV30</f>
        <v>0</v>
      </c>
      <c r="Q46" s="125">
        <f>$A46*'Verwerking Bouwdelen'!AW30</f>
        <v>0</v>
      </c>
      <c r="R46" s="125">
        <f>$A46*'Verwerking Bouwdelen'!AX30</f>
        <v>0</v>
      </c>
      <c r="S46" s="125">
        <f>$A46*'Verwerking Bouwdelen'!AY30</f>
        <v>0</v>
      </c>
      <c r="T46" s="125">
        <f>$A46*'Verwerking Bouwdelen'!AZ30</f>
        <v>0</v>
      </c>
      <c r="U46" s="125">
        <f>$A46*'Verwerking Bouwdelen'!BA30</f>
        <v>0</v>
      </c>
      <c r="V46" s="125">
        <f>$A46*'Verwerking Bouwdelen'!BB30</f>
        <v>0</v>
      </c>
      <c r="W46" s="125">
        <f>$A46*'Verwerking Bouwdelen'!BC30</f>
        <v>0</v>
      </c>
      <c r="X46" s="125">
        <f>$A46*'Verwerking Bouwdelen'!BD30</f>
        <v>0</v>
      </c>
      <c r="Y46" s="125">
        <f>$A46*'Verwerking Bouwdelen'!BE30</f>
        <v>0</v>
      </c>
      <c r="Z46" s="195">
        <f>$A46*'Verwerking Bouwdelen'!BF30</f>
        <v>0</v>
      </c>
      <c r="AB46" s="125">
        <f>IF(OR('Verwerking Bouwdelen'!C30=3,'Verwerking Bouwdelen'!C30=6),1,0)</f>
        <v>0</v>
      </c>
      <c r="AC46" s="130">
        <f>IF('Verwerking Bouwdelen'!A30=3,1,0)</f>
        <v>0</v>
      </c>
      <c r="AD46" s="208">
        <f>IF($AB46=1,$AC46*'Verwerking Bouwdelen'!DL30,$AC46*'Verwerking Bouwdelen'!T30)</f>
        <v>0</v>
      </c>
      <c r="AE46" s="208">
        <f>IF($AB46=1,$AC46*'Verwerking Bouwdelen'!DM30,$AC46*'Verwerking Bouwdelen'!U30)</f>
        <v>0</v>
      </c>
      <c r="AF46" s="208">
        <f>IF($AB46=1,$AC46*'Verwerking Bouwdelen'!DN30,$AC46*'Verwerking Bouwdelen'!V30)</f>
        <v>0</v>
      </c>
      <c r="AG46" s="208">
        <f>IF($AB46=1,$AC46*'Verwerking Bouwdelen'!DO30,$AC46*'Verwerking Bouwdelen'!W30)</f>
        <v>0</v>
      </c>
      <c r="AH46" s="208">
        <f>IF($AB46=1,$AC46*'Verwerking Bouwdelen'!DP30,$AC46*'Verwerking Bouwdelen'!X30)</f>
        <v>0</v>
      </c>
      <c r="AI46" s="208">
        <f>IF($AB46=1,$AC46*'Verwerking Bouwdelen'!DQ30,$AC46*'Verwerking Bouwdelen'!Y30)</f>
        <v>0</v>
      </c>
      <c r="AJ46" s="208">
        <f>IF($AB46=1,$AC46*'Verwerking Bouwdelen'!DR30,$AC46*'Verwerking Bouwdelen'!Z30)</f>
        <v>0</v>
      </c>
      <c r="AK46" s="208">
        <f>IF($AB46=1,$AC46*'Verwerking Bouwdelen'!DS30,$AC46*'Verwerking Bouwdelen'!AA30)</f>
        <v>0</v>
      </c>
      <c r="AL46" s="208">
        <f>IF($AB46=1,$AC46*'Verwerking Bouwdelen'!DT30,$AC46*'Verwerking Bouwdelen'!AB30)</f>
        <v>0</v>
      </c>
      <c r="AM46" s="208">
        <f>IF($AB46=1,$AC46*'Verwerking Bouwdelen'!DU30,$AC46*'Verwerking Bouwdelen'!AC30)</f>
        <v>0</v>
      </c>
      <c r="AN46" s="208">
        <f>IF($AB46=1,$AC46*'Verwerking Bouwdelen'!DV30,$AC46*'Verwerking Bouwdelen'!AD30)</f>
        <v>0</v>
      </c>
      <c r="AO46" s="208">
        <f>IF($AB46=1,$AC46*'Verwerking Bouwdelen'!DW30,$AC46*'Verwerking Bouwdelen'!AE30)</f>
        <v>0</v>
      </c>
      <c r="AP46" s="10">
        <f>IF(AD46=B46,0,'Verwerking Bouwdelen'!D30*AB46*AC46)</f>
        <v>0</v>
      </c>
      <c r="AQ46" s="10">
        <f>AB46*AC46*'Verwerking Bouwdelen'!GH30</f>
        <v>0</v>
      </c>
      <c r="AR46" s="10"/>
      <c r="AS46" s="248"/>
      <c r="AT46" s="125">
        <f>IF('Verwerking Bouwdelen'!C30=4,1,0)</f>
        <v>0</v>
      </c>
      <c r="AU46" s="130">
        <f>IF('Verwerking Bouwdelen'!A30=3,1,0)</f>
        <v>0</v>
      </c>
      <c r="AV46" s="208">
        <f>IF($AT46=1,$AU46*'Verwerking Bouwdelen'!DL30,$AU46*'Verwerking Bouwdelen'!T30)</f>
        <v>0</v>
      </c>
      <c r="AW46" s="208">
        <f>IF($AT46=1,$AU46*'Verwerking Bouwdelen'!DM30,$AU46*'Verwerking Bouwdelen'!U30)</f>
        <v>0</v>
      </c>
      <c r="AX46" s="208">
        <f>IF($AT46=1,$AU46*'Verwerking Bouwdelen'!DN30,$AU46*'Verwerking Bouwdelen'!V30)</f>
        <v>0</v>
      </c>
      <c r="AY46" s="208">
        <f>IF($AT46=1,$AU46*'Verwerking Bouwdelen'!DO30,$AU46*'Verwerking Bouwdelen'!W30)</f>
        <v>0</v>
      </c>
      <c r="AZ46" s="208">
        <f>IF($AT46=1,$AU46*'Verwerking Bouwdelen'!DP30,$AU46*'Verwerking Bouwdelen'!X30)</f>
        <v>0</v>
      </c>
      <c r="BA46" s="208">
        <f>IF($AT46=1,$AU46*'Verwerking Bouwdelen'!DQ30,$AU46*'Verwerking Bouwdelen'!Y30)</f>
        <v>0</v>
      </c>
      <c r="BB46" s="208">
        <f>IF($AT46=1,$AU46*'Verwerking Bouwdelen'!DR30,$AU46*'Verwerking Bouwdelen'!Z30)</f>
        <v>0</v>
      </c>
      <c r="BC46" s="208">
        <f>IF($AT46=1,$AU46*'Verwerking Bouwdelen'!DS30,$AU46*'Verwerking Bouwdelen'!AA30)</f>
        <v>0</v>
      </c>
      <c r="BD46" s="208">
        <f>IF($AT46=1,$AU46*'Verwerking Bouwdelen'!DT30,$AU46*'Verwerking Bouwdelen'!AB30)</f>
        <v>0</v>
      </c>
      <c r="BE46" s="208">
        <f>IF($AT46=1,$AU46*'Verwerking Bouwdelen'!DU30,$AU46*'Verwerking Bouwdelen'!AC30)</f>
        <v>0</v>
      </c>
      <c r="BF46" s="208">
        <f>IF($AT46=1,$AU46*'Verwerking Bouwdelen'!DV30,$AU46*'Verwerking Bouwdelen'!AD30)</f>
        <v>0</v>
      </c>
      <c r="BG46" s="208">
        <f>IF($AT46=1,$AU46*'Verwerking Bouwdelen'!DW30,$AU46*'Verwerking Bouwdelen'!AE30)</f>
        <v>0</v>
      </c>
      <c r="BH46" s="10">
        <f>IF(AV46=B46,0,'Verwerking Bouwdelen'!D30*AT46*AU46)</f>
        <v>0</v>
      </c>
      <c r="BI46" s="10">
        <f>AT46*AU46*'Verwerking Bouwdelen'!GH30</f>
        <v>0</v>
      </c>
      <c r="BJ46" s="10"/>
      <c r="BK46" s="10"/>
      <c r="BM46" s="125">
        <f>IF('Verwerking Bouwdelen'!C30=5,1,0)</f>
        <v>0</v>
      </c>
      <c r="BN46" s="130">
        <f>IF('Verwerking Bouwdelen'!A30=3,1,0)</f>
        <v>0</v>
      </c>
      <c r="BO46" s="208">
        <f>IF($BM46=1,$BN46*'Verwerking Bouwdelen'!DL30,$BN46*'Verwerking Bouwdelen'!T30)</f>
        <v>0</v>
      </c>
      <c r="BP46" s="208">
        <f>IF($BM46=1,$BN46*'Verwerking Bouwdelen'!DM30,$BN46*'Verwerking Bouwdelen'!U30)</f>
        <v>0</v>
      </c>
      <c r="BQ46" s="208">
        <f>IF($BM46=1,$BN46*'Verwerking Bouwdelen'!DN30,$BN46*'Verwerking Bouwdelen'!V30)</f>
        <v>0</v>
      </c>
      <c r="BR46" s="208">
        <f>IF($BM46=1,$BN46*'Verwerking Bouwdelen'!DO30,$BN46*'Verwerking Bouwdelen'!W30)</f>
        <v>0</v>
      </c>
      <c r="BS46" s="208">
        <f>IF($BM46=1,$BN46*'Verwerking Bouwdelen'!DP30,$BN46*'Verwerking Bouwdelen'!X30)</f>
        <v>0</v>
      </c>
      <c r="BT46" s="208">
        <f>IF($BM46=1,$BN46*'Verwerking Bouwdelen'!DQ30,$BN46*'Verwerking Bouwdelen'!Y30)</f>
        <v>0</v>
      </c>
      <c r="BU46" s="208">
        <f>IF($BM46=1,$BN46*'Verwerking Bouwdelen'!DR30,$BN46*'Verwerking Bouwdelen'!Z30)</f>
        <v>0</v>
      </c>
      <c r="BV46" s="208">
        <f>IF($BM46=1,$BN46*'Verwerking Bouwdelen'!DS30,$BN46*'Verwerking Bouwdelen'!AA30)</f>
        <v>0</v>
      </c>
      <c r="BW46" s="208">
        <f>IF($BM46=1,$BN46*'Verwerking Bouwdelen'!DT30,$BN46*'Verwerking Bouwdelen'!AB30)</f>
        <v>0</v>
      </c>
      <c r="BX46" s="208">
        <f>IF($BM46=1,$BN46*'Verwerking Bouwdelen'!DU30,$BN46*'Verwerking Bouwdelen'!AC30)</f>
        <v>0</v>
      </c>
      <c r="BY46" s="208">
        <f>IF($BM46=1,$BN46*'Verwerking Bouwdelen'!DV30,$BN46*'Verwerking Bouwdelen'!AD30)</f>
        <v>0</v>
      </c>
      <c r="BZ46" s="208">
        <f>IF($BM46=1,$BN46*'Verwerking Bouwdelen'!DW30,$BN46*'Verwerking Bouwdelen'!AE30)</f>
        <v>0</v>
      </c>
      <c r="CA46" s="10">
        <f>IF(BO46=$B46,0,'Verwerking Bouwdelen'!$D30*BM46*BN46)</f>
        <v>0</v>
      </c>
      <c r="CB46" s="10">
        <f>BM46*BN46*'Verwerking Bouwdelen'!GH30</f>
        <v>0</v>
      </c>
      <c r="CC46" s="10"/>
      <c r="CD46" s="248"/>
      <c r="CE46" s="125">
        <f>IF('Verwerking Bouwdelen'!C30=2,1,0)</f>
        <v>0</v>
      </c>
      <c r="CF46" s="130">
        <f>IF('Verwerking Bouwdelen'!A30=3,1,0)</f>
        <v>0</v>
      </c>
      <c r="CG46" s="208">
        <f>IF($CE46=1,$CF46*'Verwerking Bouwdelen'!DL30,$CF46*'Verwerking Bouwdelen'!T30)</f>
        <v>0</v>
      </c>
      <c r="CH46" s="208">
        <f>IF($CE46=1,$CF46*'Verwerking Bouwdelen'!DM30,$CF46*'Verwerking Bouwdelen'!U30)</f>
        <v>0</v>
      </c>
      <c r="CI46" s="208">
        <f>IF($CE46=1,$CF46*'Verwerking Bouwdelen'!DN30,$CF46*'Verwerking Bouwdelen'!V30)</f>
        <v>0</v>
      </c>
      <c r="CJ46" s="208">
        <f>IF($CE46=1,$CF46*'Verwerking Bouwdelen'!DO30,$CF46*'Verwerking Bouwdelen'!W30)</f>
        <v>0</v>
      </c>
      <c r="CK46" s="208">
        <f>IF($CE46=1,$CF46*'Verwerking Bouwdelen'!DP30,$CF46*'Verwerking Bouwdelen'!X30)</f>
        <v>0</v>
      </c>
      <c r="CL46" s="208">
        <f>IF($CE46=1,$CF46*'Verwerking Bouwdelen'!DQ30,$CF46*'Verwerking Bouwdelen'!Y30)</f>
        <v>0</v>
      </c>
      <c r="CM46" s="208">
        <f>IF($CE46=1,$CF46*'Verwerking Bouwdelen'!DR30,$CF46*'Verwerking Bouwdelen'!Z30)</f>
        <v>0</v>
      </c>
      <c r="CN46" s="208">
        <f>IF($CE46=1,$CF46*'Verwerking Bouwdelen'!DS30,$CF46*'Verwerking Bouwdelen'!AA30)</f>
        <v>0</v>
      </c>
      <c r="CO46" s="208">
        <f>IF($CE46=1,$CF46*'Verwerking Bouwdelen'!DT30,$CF46*'Verwerking Bouwdelen'!AB30)</f>
        <v>0</v>
      </c>
      <c r="CP46" s="208">
        <f>IF($CE46=1,$CF46*'Verwerking Bouwdelen'!DU30,$CF46*'Verwerking Bouwdelen'!AC30)</f>
        <v>0</v>
      </c>
      <c r="CQ46" s="208">
        <f>IF($CE46=1,$CF46*'Verwerking Bouwdelen'!DV30,$CF46*'Verwerking Bouwdelen'!AD30)</f>
        <v>0</v>
      </c>
      <c r="CR46" s="208">
        <f>IF($CE46=1,$CF46*'Verwerking Bouwdelen'!DW30,$CF46*'Verwerking Bouwdelen'!AE30)</f>
        <v>0</v>
      </c>
      <c r="CS46" s="10">
        <f>IF(CG46=$B46,0,('Verwerking Bouwdelen'!$D30-'Verwerking Bouwdelen'!G30)*CE46*CF46)</f>
        <v>0</v>
      </c>
      <c r="CT46" s="260">
        <f>CE46*CF46*'Verwerking Bouwdelen'!GH30</f>
        <v>0</v>
      </c>
      <c r="CU46" s="261">
        <f>CE46*CF46*'Verwerking Bouwdelen'!GI30</f>
        <v>0</v>
      </c>
      <c r="CW46" s="209">
        <f>$AC46*'Verwerking Bouwdelen'!EE30</f>
        <v>0</v>
      </c>
      <c r="CX46" s="209">
        <f>$AC46*'Verwerking Bouwdelen'!EF30</f>
        <v>0</v>
      </c>
      <c r="CY46" s="209">
        <f>$AC46*'Verwerking Bouwdelen'!EG30</f>
        <v>0</v>
      </c>
      <c r="CZ46" s="209">
        <f>$AC46*'Verwerking Bouwdelen'!EH30</f>
        <v>0</v>
      </c>
      <c r="DA46" s="209">
        <f>$AC46*'Verwerking Bouwdelen'!EI30</f>
        <v>0</v>
      </c>
      <c r="DB46" s="209">
        <f>$AC46*'Verwerking Bouwdelen'!EJ30</f>
        <v>0</v>
      </c>
      <c r="DC46" s="209">
        <f>$AC46*'Verwerking Bouwdelen'!EK30</f>
        <v>0</v>
      </c>
      <c r="DD46" s="209">
        <f>$AC46*'Verwerking Bouwdelen'!EL30</f>
        <v>0</v>
      </c>
      <c r="DE46" s="209">
        <f>$AC46*'Verwerking Bouwdelen'!EM30</f>
        <v>0</v>
      </c>
      <c r="DF46" s="209">
        <f>$AC46*'Verwerking Bouwdelen'!EN30</f>
        <v>0</v>
      </c>
      <c r="DG46" s="209">
        <f>$AC46*'Verwerking Bouwdelen'!EO30</f>
        <v>0</v>
      </c>
      <c r="DH46" s="209">
        <f>$AC46*'Verwerking Bouwdelen'!EP30</f>
        <v>0</v>
      </c>
      <c r="DI46" s="10">
        <f>IF(CW46=$O46,0,'Verwerking Bouwdelen'!G30)</f>
        <v>0</v>
      </c>
      <c r="DJ46" s="259">
        <f>'Verwerking Bouwdelen'!GK30*CF46</f>
        <v>0</v>
      </c>
      <c r="DK46" s="259">
        <f>'Verwerking Bouwdelen'!GL30*CF46</f>
        <v>0</v>
      </c>
      <c r="DL46" s="125"/>
      <c r="GM46" s="89">
        <f t="shared" si="13"/>
        <v>0</v>
      </c>
      <c r="GN46" s="89">
        <f t="shared" si="14"/>
        <v>0</v>
      </c>
      <c r="GO46" s="208">
        <f>IF($GN46=1,$GN46*$GM46*'Verwerking Bouwdelen'!DL30,$GN46*$GM46*'Verwerking Bouwdelen'!T30)</f>
        <v>0</v>
      </c>
      <c r="GP46" s="208">
        <f>IF($GN46=1,$GN46*$GM46*'Verwerking Bouwdelen'!DM30,$GN46*$GM46*'Verwerking Bouwdelen'!U30)</f>
        <v>0</v>
      </c>
      <c r="GQ46" s="208">
        <f>IF($GN46=1,$GN46*$GM46*'Verwerking Bouwdelen'!DN30,$GN46*$GM46*'Verwerking Bouwdelen'!V30)</f>
        <v>0</v>
      </c>
      <c r="GR46" s="208">
        <f>IF($GN46=1,$GN46*$GM46*'Verwerking Bouwdelen'!DO30,$GN46*$GM46*'Verwerking Bouwdelen'!W30)</f>
        <v>0</v>
      </c>
      <c r="GS46" s="208">
        <f>IF($GN46=1,$GN46*$GM46*'Verwerking Bouwdelen'!DP30,$GN46*$GM46*'Verwerking Bouwdelen'!X30)</f>
        <v>0</v>
      </c>
      <c r="GT46" s="208">
        <f>IF($GN46=1,$GN46*$GM46*'Verwerking Bouwdelen'!DQ30,$GN46*$GM46*'Verwerking Bouwdelen'!Y30)</f>
        <v>0</v>
      </c>
      <c r="GU46" s="208">
        <f>IF($GN46=1,$GN46*$GM46*'Verwerking Bouwdelen'!DR30,$GN46*$GM46*'Verwerking Bouwdelen'!Z30)</f>
        <v>0</v>
      </c>
      <c r="GV46" s="208">
        <f>IF($GN46=1,$GN46*$GM46*'Verwerking Bouwdelen'!DS30,$GN46*$GM46*'Verwerking Bouwdelen'!AA30)</f>
        <v>0</v>
      </c>
      <c r="GW46" s="208">
        <f>IF($GN46=1,$GN46*$GM46*'Verwerking Bouwdelen'!DT30,$GN46*$GM46*'Verwerking Bouwdelen'!AB30)</f>
        <v>0</v>
      </c>
      <c r="GX46" s="208">
        <f>IF($GN46=1,$GN46*$GM46*'Verwerking Bouwdelen'!DU30,$GN46*$GM46*'Verwerking Bouwdelen'!AC30)</f>
        <v>0</v>
      </c>
      <c r="GY46" s="208">
        <f>IF($GN46=1,$GN46*$GM46*'Verwerking Bouwdelen'!DV30,$GN46*$GM46*'Verwerking Bouwdelen'!AD30)</f>
        <v>0</v>
      </c>
      <c r="GZ46" s="208">
        <f>IF($GN46=1,$GN46*$GM46*'Verwerking Bouwdelen'!DW30,$GN46*$GM46*'Verwerking Bouwdelen'!AE30)</f>
        <v>0</v>
      </c>
      <c r="HB46" s="89">
        <f t="shared" si="16"/>
        <v>0</v>
      </c>
      <c r="HC46" s="89">
        <f t="shared" si="17"/>
        <v>0</v>
      </c>
      <c r="HD46" s="89">
        <f t="shared" si="18"/>
        <v>0</v>
      </c>
      <c r="HE46" s="89">
        <f t="shared" si="19"/>
        <v>0</v>
      </c>
      <c r="HF46" s="89">
        <f t="shared" si="19"/>
        <v>0</v>
      </c>
      <c r="HG46" s="89">
        <f t="shared" si="19"/>
        <v>0</v>
      </c>
      <c r="HH46" s="89">
        <f t="shared" si="19"/>
        <v>0</v>
      </c>
      <c r="HI46" s="89">
        <f t="shared" si="19"/>
        <v>0</v>
      </c>
      <c r="HJ46" s="89">
        <f t="shared" si="19"/>
        <v>0</v>
      </c>
      <c r="HK46" s="89">
        <f t="shared" si="19"/>
        <v>0</v>
      </c>
      <c r="HL46" s="89">
        <f t="shared" si="19"/>
        <v>0</v>
      </c>
      <c r="HM46" s="89">
        <f t="shared" si="19"/>
        <v>0</v>
      </c>
    </row>
    <row r="47" spans="1:221" x14ac:dyDescent="0.2">
      <c r="A47" s="130">
        <f>IF('Verwerking Bouwdelen'!A31=3,1,0)</f>
        <v>0</v>
      </c>
      <c r="B47" s="208">
        <f>$A47*'Verwerking Bouwdelen'!T31</f>
        <v>0</v>
      </c>
      <c r="C47" s="208">
        <f>$A47*'Verwerking Bouwdelen'!U31</f>
        <v>0</v>
      </c>
      <c r="D47" s="208">
        <f>$A47*'Verwerking Bouwdelen'!V31</f>
        <v>0</v>
      </c>
      <c r="E47" s="208">
        <f>$A47*'Verwerking Bouwdelen'!W31</f>
        <v>0</v>
      </c>
      <c r="F47" s="208">
        <f>$A47*'Verwerking Bouwdelen'!X31</f>
        <v>0</v>
      </c>
      <c r="G47" s="208">
        <f>$A47*'Verwerking Bouwdelen'!Y31</f>
        <v>0</v>
      </c>
      <c r="H47" s="208">
        <f>$A47*'Verwerking Bouwdelen'!Z31</f>
        <v>0</v>
      </c>
      <c r="I47" s="208">
        <f>$A47*'Verwerking Bouwdelen'!AA31</f>
        <v>0</v>
      </c>
      <c r="J47" s="208">
        <f>$A47*'Verwerking Bouwdelen'!AB31</f>
        <v>0</v>
      </c>
      <c r="K47" s="208">
        <f>$A47*'Verwerking Bouwdelen'!AC31</f>
        <v>0</v>
      </c>
      <c r="L47" s="208">
        <f>$A47*'Verwerking Bouwdelen'!AD31</f>
        <v>0</v>
      </c>
      <c r="M47" s="208">
        <f>$A47*'Verwerking Bouwdelen'!AE31</f>
        <v>0</v>
      </c>
      <c r="O47" s="114">
        <f>$A47*'Verwerking Bouwdelen'!AU31</f>
        <v>0</v>
      </c>
      <c r="P47" s="125">
        <f>$A47*'Verwerking Bouwdelen'!AV31</f>
        <v>0</v>
      </c>
      <c r="Q47" s="125">
        <f>$A47*'Verwerking Bouwdelen'!AW31</f>
        <v>0</v>
      </c>
      <c r="R47" s="125">
        <f>$A47*'Verwerking Bouwdelen'!AX31</f>
        <v>0</v>
      </c>
      <c r="S47" s="125">
        <f>$A47*'Verwerking Bouwdelen'!AY31</f>
        <v>0</v>
      </c>
      <c r="T47" s="125">
        <f>$A47*'Verwerking Bouwdelen'!AZ31</f>
        <v>0</v>
      </c>
      <c r="U47" s="125">
        <f>$A47*'Verwerking Bouwdelen'!BA31</f>
        <v>0</v>
      </c>
      <c r="V47" s="125">
        <f>$A47*'Verwerking Bouwdelen'!BB31</f>
        <v>0</v>
      </c>
      <c r="W47" s="125">
        <f>$A47*'Verwerking Bouwdelen'!BC31</f>
        <v>0</v>
      </c>
      <c r="X47" s="125">
        <f>$A47*'Verwerking Bouwdelen'!BD31</f>
        <v>0</v>
      </c>
      <c r="Y47" s="125">
        <f>$A47*'Verwerking Bouwdelen'!BE31</f>
        <v>0</v>
      </c>
      <c r="Z47" s="195">
        <f>$A47*'Verwerking Bouwdelen'!BF31</f>
        <v>0</v>
      </c>
      <c r="AB47" s="125">
        <f>IF(OR('Verwerking Bouwdelen'!C31=3,'Verwerking Bouwdelen'!C31=6),1,0)</f>
        <v>0</v>
      </c>
      <c r="AC47" s="130">
        <f>IF('Verwerking Bouwdelen'!A31=3,1,0)</f>
        <v>0</v>
      </c>
      <c r="AD47" s="208">
        <f>IF($AB47=1,$AC47*'Verwerking Bouwdelen'!DL31,$AC47*'Verwerking Bouwdelen'!T31)</f>
        <v>0</v>
      </c>
      <c r="AE47" s="208">
        <f>IF($AB47=1,$AC47*'Verwerking Bouwdelen'!DM31,$AC47*'Verwerking Bouwdelen'!U31)</f>
        <v>0</v>
      </c>
      <c r="AF47" s="208">
        <f>IF($AB47=1,$AC47*'Verwerking Bouwdelen'!DN31,$AC47*'Verwerking Bouwdelen'!V31)</f>
        <v>0</v>
      </c>
      <c r="AG47" s="208">
        <f>IF($AB47=1,$AC47*'Verwerking Bouwdelen'!DO31,$AC47*'Verwerking Bouwdelen'!W31)</f>
        <v>0</v>
      </c>
      <c r="AH47" s="208">
        <f>IF($AB47=1,$AC47*'Verwerking Bouwdelen'!DP31,$AC47*'Verwerking Bouwdelen'!X31)</f>
        <v>0</v>
      </c>
      <c r="AI47" s="208">
        <f>IF($AB47=1,$AC47*'Verwerking Bouwdelen'!DQ31,$AC47*'Verwerking Bouwdelen'!Y31)</f>
        <v>0</v>
      </c>
      <c r="AJ47" s="208">
        <f>IF($AB47=1,$AC47*'Verwerking Bouwdelen'!DR31,$AC47*'Verwerking Bouwdelen'!Z31)</f>
        <v>0</v>
      </c>
      <c r="AK47" s="208">
        <f>IF($AB47=1,$AC47*'Verwerking Bouwdelen'!DS31,$AC47*'Verwerking Bouwdelen'!AA31)</f>
        <v>0</v>
      </c>
      <c r="AL47" s="208">
        <f>IF($AB47=1,$AC47*'Verwerking Bouwdelen'!DT31,$AC47*'Verwerking Bouwdelen'!AB31)</f>
        <v>0</v>
      </c>
      <c r="AM47" s="208">
        <f>IF($AB47=1,$AC47*'Verwerking Bouwdelen'!DU31,$AC47*'Verwerking Bouwdelen'!AC31)</f>
        <v>0</v>
      </c>
      <c r="AN47" s="208">
        <f>IF($AB47=1,$AC47*'Verwerking Bouwdelen'!DV31,$AC47*'Verwerking Bouwdelen'!AD31)</f>
        <v>0</v>
      </c>
      <c r="AO47" s="208">
        <f>IF($AB47=1,$AC47*'Verwerking Bouwdelen'!DW31,$AC47*'Verwerking Bouwdelen'!AE31)</f>
        <v>0</v>
      </c>
      <c r="AP47" s="10">
        <f>IF(AD47=B47,0,'Verwerking Bouwdelen'!D31*AB47*AC47)</f>
        <v>0</v>
      </c>
      <c r="AQ47" s="10">
        <f>AB47*AC47*'Verwerking Bouwdelen'!GH31</f>
        <v>0</v>
      </c>
      <c r="AR47" s="10"/>
      <c r="AS47" s="248"/>
      <c r="AT47" s="125">
        <f>IF('Verwerking Bouwdelen'!C31=4,1,0)</f>
        <v>0</v>
      </c>
      <c r="AU47" s="130">
        <f>IF('Verwerking Bouwdelen'!A31=3,1,0)</f>
        <v>0</v>
      </c>
      <c r="AV47" s="208">
        <f>IF($AT47=1,$AU47*'Verwerking Bouwdelen'!DL31,$AU47*'Verwerking Bouwdelen'!T31)</f>
        <v>0</v>
      </c>
      <c r="AW47" s="208">
        <f>IF($AT47=1,$AU47*'Verwerking Bouwdelen'!DM31,$AU47*'Verwerking Bouwdelen'!U31)</f>
        <v>0</v>
      </c>
      <c r="AX47" s="208">
        <f>IF($AT47=1,$AU47*'Verwerking Bouwdelen'!DN31,$AU47*'Verwerking Bouwdelen'!V31)</f>
        <v>0</v>
      </c>
      <c r="AY47" s="208">
        <f>IF($AT47=1,$AU47*'Verwerking Bouwdelen'!DO31,$AU47*'Verwerking Bouwdelen'!W31)</f>
        <v>0</v>
      </c>
      <c r="AZ47" s="208">
        <f>IF($AT47=1,$AU47*'Verwerking Bouwdelen'!DP31,$AU47*'Verwerking Bouwdelen'!X31)</f>
        <v>0</v>
      </c>
      <c r="BA47" s="208">
        <f>IF($AT47=1,$AU47*'Verwerking Bouwdelen'!DQ31,$AU47*'Verwerking Bouwdelen'!Y31)</f>
        <v>0</v>
      </c>
      <c r="BB47" s="208">
        <f>IF($AT47=1,$AU47*'Verwerking Bouwdelen'!DR31,$AU47*'Verwerking Bouwdelen'!Z31)</f>
        <v>0</v>
      </c>
      <c r="BC47" s="208">
        <f>IF($AT47=1,$AU47*'Verwerking Bouwdelen'!DS31,$AU47*'Verwerking Bouwdelen'!AA31)</f>
        <v>0</v>
      </c>
      <c r="BD47" s="208">
        <f>IF($AT47=1,$AU47*'Verwerking Bouwdelen'!DT31,$AU47*'Verwerking Bouwdelen'!AB31)</f>
        <v>0</v>
      </c>
      <c r="BE47" s="208">
        <f>IF($AT47=1,$AU47*'Verwerking Bouwdelen'!DU31,$AU47*'Verwerking Bouwdelen'!AC31)</f>
        <v>0</v>
      </c>
      <c r="BF47" s="208">
        <f>IF($AT47=1,$AU47*'Verwerking Bouwdelen'!DV31,$AU47*'Verwerking Bouwdelen'!AD31)</f>
        <v>0</v>
      </c>
      <c r="BG47" s="208">
        <f>IF($AT47=1,$AU47*'Verwerking Bouwdelen'!DW31,$AU47*'Verwerking Bouwdelen'!AE31)</f>
        <v>0</v>
      </c>
      <c r="BH47" s="10">
        <f>IF(AV47=B47,0,'Verwerking Bouwdelen'!D31*AT47*AU47)</f>
        <v>0</v>
      </c>
      <c r="BI47" s="10">
        <f>AT47*AU47*'Verwerking Bouwdelen'!GH31</f>
        <v>0</v>
      </c>
      <c r="BJ47" s="10"/>
      <c r="BK47" s="10"/>
      <c r="BM47" s="125">
        <f>IF('Verwerking Bouwdelen'!C31=5,1,0)</f>
        <v>0</v>
      </c>
      <c r="BN47" s="130">
        <f>IF('Verwerking Bouwdelen'!A31=3,1,0)</f>
        <v>0</v>
      </c>
      <c r="BO47" s="208">
        <f>IF($BM47=1,$BN47*'Verwerking Bouwdelen'!DL31,$BN47*'Verwerking Bouwdelen'!T31)</f>
        <v>0</v>
      </c>
      <c r="BP47" s="208">
        <f>IF($BM47=1,$BN47*'Verwerking Bouwdelen'!DM31,$BN47*'Verwerking Bouwdelen'!U31)</f>
        <v>0</v>
      </c>
      <c r="BQ47" s="208">
        <f>IF($BM47=1,$BN47*'Verwerking Bouwdelen'!DN31,$BN47*'Verwerking Bouwdelen'!V31)</f>
        <v>0</v>
      </c>
      <c r="BR47" s="208">
        <f>IF($BM47=1,$BN47*'Verwerking Bouwdelen'!DO31,$BN47*'Verwerking Bouwdelen'!W31)</f>
        <v>0</v>
      </c>
      <c r="BS47" s="208">
        <f>IF($BM47=1,$BN47*'Verwerking Bouwdelen'!DP31,$BN47*'Verwerking Bouwdelen'!X31)</f>
        <v>0</v>
      </c>
      <c r="BT47" s="208">
        <f>IF($BM47=1,$BN47*'Verwerking Bouwdelen'!DQ31,$BN47*'Verwerking Bouwdelen'!Y31)</f>
        <v>0</v>
      </c>
      <c r="BU47" s="208">
        <f>IF($BM47=1,$BN47*'Verwerking Bouwdelen'!DR31,$BN47*'Verwerking Bouwdelen'!Z31)</f>
        <v>0</v>
      </c>
      <c r="BV47" s="208">
        <f>IF($BM47=1,$BN47*'Verwerking Bouwdelen'!DS31,$BN47*'Verwerking Bouwdelen'!AA31)</f>
        <v>0</v>
      </c>
      <c r="BW47" s="208">
        <f>IF($BM47=1,$BN47*'Verwerking Bouwdelen'!DT31,$BN47*'Verwerking Bouwdelen'!AB31)</f>
        <v>0</v>
      </c>
      <c r="BX47" s="208">
        <f>IF($BM47=1,$BN47*'Verwerking Bouwdelen'!DU31,$BN47*'Verwerking Bouwdelen'!AC31)</f>
        <v>0</v>
      </c>
      <c r="BY47" s="208">
        <f>IF($BM47=1,$BN47*'Verwerking Bouwdelen'!DV31,$BN47*'Verwerking Bouwdelen'!AD31)</f>
        <v>0</v>
      </c>
      <c r="BZ47" s="208">
        <f>IF($BM47=1,$BN47*'Verwerking Bouwdelen'!DW31,$BN47*'Verwerking Bouwdelen'!AE31)</f>
        <v>0</v>
      </c>
      <c r="CA47" s="10">
        <f>IF(BO47=$B47,0,'Verwerking Bouwdelen'!$D31*BM47*BN47)</f>
        <v>0</v>
      </c>
      <c r="CB47" s="10">
        <f>BM47*BN47*'Verwerking Bouwdelen'!GH31</f>
        <v>0</v>
      </c>
      <c r="CC47" s="10"/>
      <c r="CD47" s="248"/>
      <c r="CE47" s="125">
        <f>IF('Verwerking Bouwdelen'!C31=2,1,0)</f>
        <v>0</v>
      </c>
      <c r="CF47" s="130">
        <f>IF('Verwerking Bouwdelen'!A31=3,1,0)</f>
        <v>0</v>
      </c>
      <c r="CG47" s="208">
        <f>IF($CE47=1,$CF47*'Verwerking Bouwdelen'!DL31,$CF47*'Verwerking Bouwdelen'!T31)</f>
        <v>0</v>
      </c>
      <c r="CH47" s="208">
        <f>IF($CE47=1,$CF47*'Verwerking Bouwdelen'!DM31,$CF47*'Verwerking Bouwdelen'!U31)</f>
        <v>0</v>
      </c>
      <c r="CI47" s="208">
        <f>IF($CE47=1,$CF47*'Verwerking Bouwdelen'!DN31,$CF47*'Verwerking Bouwdelen'!V31)</f>
        <v>0</v>
      </c>
      <c r="CJ47" s="208">
        <f>IF($CE47=1,$CF47*'Verwerking Bouwdelen'!DO31,$CF47*'Verwerking Bouwdelen'!W31)</f>
        <v>0</v>
      </c>
      <c r="CK47" s="208">
        <f>IF($CE47=1,$CF47*'Verwerking Bouwdelen'!DP31,$CF47*'Verwerking Bouwdelen'!X31)</f>
        <v>0</v>
      </c>
      <c r="CL47" s="208">
        <f>IF($CE47=1,$CF47*'Verwerking Bouwdelen'!DQ31,$CF47*'Verwerking Bouwdelen'!Y31)</f>
        <v>0</v>
      </c>
      <c r="CM47" s="208">
        <f>IF($CE47=1,$CF47*'Verwerking Bouwdelen'!DR31,$CF47*'Verwerking Bouwdelen'!Z31)</f>
        <v>0</v>
      </c>
      <c r="CN47" s="208">
        <f>IF($CE47=1,$CF47*'Verwerking Bouwdelen'!DS31,$CF47*'Verwerking Bouwdelen'!AA31)</f>
        <v>0</v>
      </c>
      <c r="CO47" s="208">
        <f>IF($CE47=1,$CF47*'Verwerking Bouwdelen'!DT31,$CF47*'Verwerking Bouwdelen'!AB31)</f>
        <v>0</v>
      </c>
      <c r="CP47" s="208">
        <f>IF($CE47=1,$CF47*'Verwerking Bouwdelen'!DU31,$CF47*'Verwerking Bouwdelen'!AC31)</f>
        <v>0</v>
      </c>
      <c r="CQ47" s="208">
        <f>IF($CE47=1,$CF47*'Verwerking Bouwdelen'!DV31,$CF47*'Verwerking Bouwdelen'!AD31)</f>
        <v>0</v>
      </c>
      <c r="CR47" s="208">
        <f>IF($CE47=1,$CF47*'Verwerking Bouwdelen'!DW31,$CF47*'Verwerking Bouwdelen'!AE31)</f>
        <v>0</v>
      </c>
      <c r="CS47" s="10">
        <f>IF(CG47=$B47,0,('Verwerking Bouwdelen'!$D31-'Verwerking Bouwdelen'!G31)*CE47*CF47)</f>
        <v>0</v>
      </c>
      <c r="CT47" s="260">
        <f>CE47*CF47*'Verwerking Bouwdelen'!GH31</f>
        <v>0</v>
      </c>
      <c r="CU47" s="261">
        <f>CE47*CF47*'Verwerking Bouwdelen'!GI31</f>
        <v>0</v>
      </c>
      <c r="CW47" s="209">
        <f>$AC47*'Verwerking Bouwdelen'!EE31</f>
        <v>0</v>
      </c>
      <c r="CX47" s="209">
        <f>$AC47*'Verwerking Bouwdelen'!EF31</f>
        <v>0</v>
      </c>
      <c r="CY47" s="209">
        <f>$AC47*'Verwerking Bouwdelen'!EG31</f>
        <v>0</v>
      </c>
      <c r="CZ47" s="209">
        <f>$AC47*'Verwerking Bouwdelen'!EH31</f>
        <v>0</v>
      </c>
      <c r="DA47" s="209">
        <f>$AC47*'Verwerking Bouwdelen'!EI31</f>
        <v>0</v>
      </c>
      <c r="DB47" s="209">
        <f>$AC47*'Verwerking Bouwdelen'!EJ31</f>
        <v>0</v>
      </c>
      <c r="DC47" s="209">
        <f>$AC47*'Verwerking Bouwdelen'!EK31</f>
        <v>0</v>
      </c>
      <c r="DD47" s="209">
        <f>$AC47*'Verwerking Bouwdelen'!EL31</f>
        <v>0</v>
      </c>
      <c r="DE47" s="209">
        <f>$AC47*'Verwerking Bouwdelen'!EM31</f>
        <v>0</v>
      </c>
      <c r="DF47" s="209">
        <f>$AC47*'Verwerking Bouwdelen'!EN31</f>
        <v>0</v>
      </c>
      <c r="DG47" s="209">
        <f>$AC47*'Verwerking Bouwdelen'!EO31</f>
        <v>0</v>
      </c>
      <c r="DH47" s="209">
        <f>$AC47*'Verwerking Bouwdelen'!EP31</f>
        <v>0</v>
      </c>
      <c r="DI47" s="10">
        <f>IF(CW47=$O47,0,'Verwerking Bouwdelen'!G31)</f>
        <v>0</v>
      </c>
      <c r="DJ47" s="259">
        <f>'Verwerking Bouwdelen'!GK31*CF47</f>
        <v>0</v>
      </c>
      <c r="DK47" s="259">
        <f>'Verwerking Bouwdelen'!GL31*CF47</f>
        <v>0</v>
      </c>
      <c r="DL47" s="125"/>
      <c r="GM47" s="89">
        <f t="shared" si="13"/>
        <v>0</v>
      </c>
      <c r="GN47" s="89">
        <f t="shared" si="14"/>
        <v>0</v>
      </c>
      <c r="GO47" s="208">
        <f>IF($GN47=1,$GN47*$GM47*'Verwerking Bouwdelen'!DL31,$GN47*$GM47*'Verwerking Bouwdelen'!T31)</f>
        <v>0</v>
      </c>
      <c r="GP47" s="208">
        <f>IF($GN47=1,$GN47*$GM47*'Verwerking Bouwdelen'!DM31,$GN47*$GM47*'Verwerking Bouwdelen'!U31)</f>
        <v>0</v>
      </c>
      <c r="GQ47" s="208">
        <f>IF($GN47=1,$GN47*$GM47*'Verwerking Bouwdelen'!DN31,$GN47*$GM47*'Verwerking Bouwdelen'!V31)</f>
        <v>0</v>
      </c>
      <c r="GR47" s="208">
        <f>IF($GN47=1,$GN47*$GM47*'Verwerking Bouwdelen'!DO31,$GN47*$GM47*'Verwerking Bouwdelen'!W31)</f>
        <v>0</v>
      </c>
      <c r="GS47" s="208">
        <f>IF($GN47=1,$GN47*$GM47*'Verwerking Bouwdelen'!DP31,$GN47*$GM47*'Verwerking Bouwdelen'!X31)</f>
        <v>0</v>
      </c>
      <c r="GT47" s="208">
        <f>IF($GN47=1,$GN47*$GM47*'Verwerking Bouwdelen'!DQ31,$GN47*$GM47*'Verwerking Bouwdelen'!Y31)</f>
        <v>0</v>
      </c>
      <c r="GU47" s="208">
        <f>IF($GN47=1,$GN47*$GM47*'Verwerking Bouwdelen'!DR31,$GN47*$GM47*'Verwerking Bouwdelen'!Z31)</f>
        <v>0</v>
      </c>
      <c r="GV47" s="208">
        <f>IF($GN47=1,$GN47*$GM47*'Verwerking Bouwdelen'!DS31,$GN47*$GM47*'Verwerking Bouwdelen'!AA31)</f>
        <v>0</v>
      </c>
      <c r="GW47" s="208">
        <f>IF($GN47=1,$GN47*$GM47*'Verwerking Bouwdelen'!DT31,$GN47*$GM47*'Verwerking Bouwdelen'!AB31)</f>
        <v>0</v>
      </c>
      <c r="GX47" s="208">
        <f>IF($GN47=1,$GN47*$GM47*'Verwerking Bouwdelen'!DU31,$GN47*$GM47*'Verwerking Bouwdelen'!AC31)</f>
        <v>0</v>
      </c>
      <c r="GY47" s="208">
        <f>IF($GN47=1,$GN47*$GM47*'Verwerking Bouwdelen'!DV31,$GN47*$GM47*'Verwerking Bouwdelen'!AD31)</f>
        <v>0</v>
      </c>
      <c r="GZ47" s="208">
        <f>IF($GN47=1,$GN47*$GM47*'Verwerking Bouwdelen'!DW31,$GN47*$GM47*'Verwerking Bouwdelen'!AE31)</f>
        <v>0</v>
      </c>
      <c r="HB47" s="89">
        <f t="shared" si="16"/>
        <v>0</v>
      </c>
      <c r="HC47" s="89">
        <f t="shared" si="17"/>
        <v>0</v>
      </c>
      <c r="HD47" s="89">
        <f t="shared" si="18"/>
        <v>0</v>
      </c>
      <c r="HE47" s="89">
        <f t="shared" si="19"/>
        <v>0</v>
      </c>
      <c r="HF47" s="89">
        <f t="shared" si="19"/>
        <v>0</v>
      </c>
      <c r="HG47" s="89">
        <f t="shared" si="19"/>
        <v>0</v>
      </c>
      <c r="HH47" s="89">
        <f t="shared" si="19"/>
        <v>0</v>
      </c>
      <c r="HI47" s="89">
        <f t="shared" si="19"/>
        <v>0</v>
      </c>
      <c r="HJ47" s="89">
        <f t="shared" si="19"/>
        <v>0</v>
      </c>
      <c r="HK47" s="89">
        <f t="shared" si="19"/>
        <v>0</v>
      </c>
      <c r="HL47" s="89">
        <f t="shared" si="19"/>
        <v>0</v>
      </c>
      <c r="HM47" s="89">
        <f t="shared" si="19"/>
        <v>0</v>
      </c>
    </row>
    <row r="48" spans="1:221" x14ac:dyDescent="0.2">
      <c r="A48" s="130">
        <f>IF('Verwerking Bouwdelen'!A32=3,1,0)</f>
        <v>0</v>
      </c>
      <c r="B48" s="208">
        <f>$A48*'Verwerking Bouwdelen'!T32</f>
        <v>0</v>
      </c>
      <c r="C48" s="208">
        <f>$A48*'Verwerking Bouwdelen'!U32</f>
        <v>0</v>
      </c>
      <c r="D48" s="208">
        <f>$A48*'Verwerking Bouwdelen'!V32</f>
        <v>0</v>
      </c>
      <c r="E48" s="208">
        <f>$A48*'Verwerking Bouwdelen'!W32</f>
        <v>0</v>
      </c>
      <c r="F48" s="208">
        <f>$A48*'Verwerking Bouwdelen'!X32</f>
        <v>0</v>
      </c>
      <c r="G48" s="208">
        <f>$A48*'Verwerking Bouwdelen'!Y32</f>
        <v>0</v>
      </c>
      <c r="H48" s="208">
        <f>$A48*'Verwerking Bouwdelen'!Z32</f>
        <v>0</v>
      </c>
      <c r="I48" s="208">
        <f>$A48*'Verwerking Bouwdelen'!AA32</f>
        <v>0</v>
      </c>
      <c r="J48" s="208">
        <f>$A48*'Verwerking Bouwdelen'!AB32</f>
        <v>0</v>
      </c>
      <c r="K48" s="208">
        <f>$A48*'Verwerking Bouwdelen'!AC32</f>
        <v>0</v>
      </c>
      <c r="L48" s="208">
        <f>$A48*'Verwerking Bouwdelen'!AD32</f>
        <v>0</v>
      </c>
      <c r="M48" s="208">
        <f>$A48*'Verwerking Bouwdelen'!AE32</f>
        <v>0</v>
      </c>
      <c r="O48" s="114">
        <f>$A48*'Verwerking Bouwdelen'!AU32</f>
        <v>0</v>
      </c>
      <c r="P48" s="125">
        <f>$A48*'Verwerking Bouwdelen'!AV32</f>
        <v>0</v>
      </c>
      <c r="Q48" s="125">
        <f>$A48*'Verwerking Bouwdelen'!AW32</f>
        <v>0</v>
      </c>
      <c r="R48" s="125">
        <f>$A48*'Verwerking Bouwdelen'!AX32</f>
        <v>0</v>
      </c>
      <c r="S48" s="125">
        <f>$A48*'Verwerking Bouwdelen'!AY32</f>
        <v>0</v>
      </c>
      <c r="T48" s="125">
        <f>$A48*'Verwerking Bouwdelen'!AZ32</f>
        <v>0</v>
      </c>
      <c r="U48" s="125">
        <f>$A48*'Verwerking Bouwdelen'!BA32</f>
        <v>0</v>
      </c>
      <c r="V48" s="125">
        <f>$A48*'Verwerking Bouwdelen'!BB32</f>
        <v>0</v>
      </c>
      <c r="W48" s="125">
        <f>$A48*'Verwerking Bouwdelen'!BC32</f>
        <v>0</v>
      </c>
      <c r="X48" s="125">
        <f>$A48*'Verwerking Bouwdelen'!BD32</f>
        <v>0</v>
      </c>
      <c r="Y48" s="125">
        <f>$A48*'Verwerking Bouwdelen'!BE32</f>
        <v>0</v>
      </c>
      <c r="Z48" s="195">
        <f>$A48*'Verwerking Bouwdelen'!BF32</f>
        <v>0</v>
      </c>
      <c r="AB48" s="125">
        <f>IF(OR('Verwerking Bouwdelen'!C32=3,'Verwerking Bouwdelen'!C32=6),1,0)</f>
        <v>0</v>
      </c>
      <c r="AC48" s="130">
        <f>IF('Verwerking Bouwdelen'!A32=3,1,0)</f>
        <v>0</v>
      </c>
      <c r="AD48" s="208">
        <f>IF($AB48=1,$AC48*'Verwerking Bouwdelen'!DL32,$AC48*'Verwerking Bouwdelen'!T32)</f>
        <v>0</v>
      </c>
      <c r="AE48" s="208">
        <f>IF($AB48=1,$AC48*'Verwerking Bouwdelen'!DM32,$AC48*'Verwerking Bouwdelen'!U32)</f>
        <v>0</v>
      </c>
      <c r="AF48" s="208">
        <f>IF($AB48=1,$AC48*'Verwerking Bouwdelen'!DN32,$AC48*'Verwerking Bouwdelen'!V32)</f>
        <v>0</v>
      </c>
      <c r="AG48" s="208">
        <f>IF($AB48=1,$AC48*'Verwerking Bouwdelen'!DO32,$AC48*'Verwerking Bouwdelen'!W32)</f>
        <v>0</v>
      </c>
      <c r="AH48" s="208">
        <f>IF($AB48=1,$AC48*'Verwerking Bouwdelen'!DP32,$AC48*'Verwerking Bouwdelen'!X32)</f>
        <v>0</v>
      </c>
      <c r="AI48" s="208">
        <f>IF($AB48=1,$AC48*'Verwerking Bouwdelen'!DQ32,$AC48*'Verwerking Bouwdelen'!Y32)</f>
        <v>0</v>
      </c>
      <c r="AJ48" s="208">
        <f>IF($AB48=1,$AC48*'Verwerking Bouwdelen'!DR32,$AC48*'Verwerking Bouwdelen'!Z32)</f>
        <v>0</v>
      </c>
      <c r="AK48" s="208">
        <f>IF($AB48=1,$AC48*'Verwerking Bouwdelen'!DS32,$AC48*'Verwerking Bouwdelen'!AA32)</f>
        <v>0</v>
      </c>
      <c r="AL48" s="208">
        <f>IF($AB48=1,$AC48*'Verwerking Bouwdelen'!DT32,$AC48*'Verwerking Bouwdelen'!AB32)</f>
        <v>0</v>
      </c>
      <c r="AM48" s="208">
        <f>IF($AB48=1,$AC48*'Verwerking Bouwdelen'!DU32,$AC48*'Verwerking Bouwdelen'!AC32)</f>
        <v>0</v>
      </c>
      <c r="AN48" s="208">
        <f>IF($AB48=1,$AC48*'Verwerking Bouwdelen'!DV32,$AC48*'Verwerking Bouwdelen'!AD32)</f>
        <v>0</v>
      </c>
      <c r="AO48" s="208">
        <f>IF($AB48=1,$AC48*'Verwerking Bouwdelen'!DW32,$AC48*'Verwerking Bouwdelen'!AE32)</f>
        <v>0</v>
      </c>
      <c r="AP48" s="10">
        <f>IF(AD48=B48,0,'Verwerking Bouwdelen'!D32*AB48*AC48)</f>
        <v>0</v>
      </c>
      <c r="AQ48" s="10">
        <f>AB48*AC48*'Verwerking Bouwdelen'!GH32</f>
        <v>0</v>
      </c>
      <c r="AR48" s="10"/>
      <c r="AS48" s="248"/>
      <c r="AT48" s="125">
        <f>IF('Verwerking Bouwdelen'!C32=4,1,0)</f>
        <v>0</v>
      </c>
      <c r="AU48" s="130">
        <f>IF('Verwerking Bouwdelen'!A32=3,1,0)</f>
        <v>0</v>
      </c>
      <c r="AV48" s="208">
        <f>IF($AT48=1,$AU48*'Verwerking Bouwdelen'!DL32,$AU48*'Verwerking Bouwdelen'!T32)</f>
        <v>0</v>
      </c>
      <c r="AW48" s="208">
        <f>IF($AT48=1,$AU48*'Verwerking Bouwdelen'!DM32,$AU48*'Verwerking Bouwdelen'!U32)</f>
        <v>0</v>
      </c>
      <c r="AX48" s="208">
        <f>IF($AT48=1,$AU48*'Verwerking Bouwdelen'!DN32,$AU48*'Verwerking Bouwdelen'!V32)</f>
        <v>0</v>
      </c>
      <c r="AY48" s="208">
        <f>IF($AT48=1,$AU48*'Verwerking Bouwdelen'!DO32,$AU48*'Verwerking Bouwdelen'!W32)</f>
        <v>0</v>
      </c>
      <c r="AZ48" s="208">
        <f>IF($AT48=1,$AU48*'Verwerking Bouwdelen'!DP32,$AU48*'Verwerking Bouwdelen'!X32)</f>
        <v>0</v>
      </c>
      <c r="BA48" s="208">
        <f>IF($AT48=1,$AU48*'Verwerking Bouwdelen'!DQ32,$AU48*'Verwerking Bouwdelen'!Y32)</f>
        <v>0</v>
      </c>
      <c r="BB48" s="208">
        <f>IF($AT48=1,$AU48*'Verwerking Bouwdelen'!DR32,$AU48*'Verwerking Bouwdelen'!Z32)</f>
        <v>0</v>
      </c>
      <c r="BC48" s="208">
        <f>IF($AT48=1,$AU48*'Verwerking Bouwdelen'!DS32,$AU48*'Verwerking Bouwdelen'!AA32)</f>
        <v>0</v>
      </c>
      <c r="BD48" s="208">
        <f>IF($AT48=1,$AU48*'Verwerking Bouwdelen'!DT32,$AU48*'Verwerking Bouwdelen'!AB32)</f>
        <v>0</v>
      </c>
      <c r="BE48" s="208">
        <f>IF($AT48=1,$AU48*'Verwerking Bouwdelen'!DU32,$AU48*'Verwerking Bouwdelen'!AC32)</f>
        <v>0</v>
      </c>
      <c r="BF48" s="208">
        <f>IF($AT48=1,$AU48*'Verwerking Bouwdelen'!DV32,$AU48*'Verwerking Bouwdelen'!AD32)</f>
        <v>0</v>
      </c>
      <c r="BG48" s="208">
        <f>IF($AT48=1,$AU48*'Verwerking Bouwdelen'!DW32,$AU48*'Verwerking Bouwdelen'!AE32)</f>
        <v>0</v>
      </c>
      <c r="BH48" s="10">
        <f>IF(AV48=B48,0,'Verwerking Bouwdelen'!D32*AT48*AU48)</f>
        <v>0</v>
      </c>
      <c r="BI48" s="10">
        <f>AT48*AU48*'Verwerking Bouwdelen'!GH32</f>
        <v>0</v>
      </c>
      <c r="BJ48" s="10"/>
      <c r="BK48" s="10"/>
      <c r="BM48" s="125">
        <f>IF('Verwerking Bouwdelen'!C32=5,1,0)</f>
        <v>0</v>
      </c>
      <c r="BN48" s="130">
        <f>IF('Verwerking Bouwdelen'!A32=3,1,0)</f>
        <v>0</v>
      </c>
      <c r="BO48" s="208">
        <f>IF($BM48=1,$BN48*'Verwerking Bouwdelen'!DL32,$BN48*'Verwerking Bouwdelen'!T32)</f>
        <v>0</v>
      </c>
      <c r="BP48" s="208">
        <f>IF($BM48=1,$BN48*'Verwerking Bouwdelen'!DM32,$BN48*'Verwerking Bouwdelen'!U32)</f>
        <v>0</v>
      </c>
      <c r="BQ48" s="208">
        <f>IF($BM48=1,$BN48*'Verwerking Bouwdelen'!DN32,$BN48*'Verwerking Bouwdelen'!V32)</f>
        <v>0</v>
      </c>
      <c r="BR48" s="208">
        <f>IF($BM48=1,$BN48*'Verwerking Bouwdelen'!DO32,$BN48*'Verwerking Bouwdelen'!W32)</f>
        <v>0</v>
      </c>
      <c r="BS48" s="208">
        <f>IF($BM48=1,$BN48*'Verwerking Bouwdelen'!DP32,$BN48*'Verwerking Bouwdelen'!X32)</f>
        <v>0</v>
      </c>
      <c r="BT48" s="208">
        <f>IF($BM48=1,$BN48*'Verwerking Bouwdelen'!DQ32,$BN48*'Verwerking Bouwdelen'!Y32)</f>
        <v>0</v>
      </c>
      <c r="BU48" s="208">
        <f>IF($BM48=1,$BN48*'Verwerking Bouwdelen'!DR32,$BN48*'Verwerking Bouwdelen'!Z32)</f>
        <v>0</v>
      </c>
      <c r="BV48" s="208">
        <f>IF($BM48=1,$BN48*'Verwerking Bouwdelen'!DS32,$BN48*'Verwerking Bouwdelen'!AA32)</f>
        <v>0</v>
      </c>
      <c r="BW48" s="208">
        <f>IF($BM48=1,$BN48*'Verwerking Bouwdelen'!DT32,$BN48*'Verwerking Bouwdelen'!AB32)</f>
        <v>0</v>
      </c>
      <c r="BX48" s="208">
        <f>IF($BM48=1,$BN48*'Verwerking Bouwdelen'!DU32,$BN48*'Verwerking Bouwdelen'!AC32)</f>
        <v>0</v>
      </c>
      <c r="BY48" s="208">
        <f>IF($BM48=1,$BN48*'Verwerking Bouwdelen'!DV32,$BN48*'Verwerking Bouwdelen'!AD32)</f>
        <v>0</v>
      </c>
      <c r="BZ48" s="208">
        <f>IF($BM48=1,$BN48*'Verwerking Bouwdelen'!DW32,$BN48*'Verwerking Bouwdelen'!AE32)</f>
        <v>0</v>
      </c>
      <c r="CA48" s="10">
        <f>IF(BO48=$B48,0,'Verwerking Bouwdelen'!$D32*BM48*BN48)</f>
        <v>0</v>
      </c>
      <c r="CB48" s="10">
        <f>BM48*BN48*'Verwerking Bouwdelen'!GH32</f>
        <v>0</v>
      </c>
      <c r="CC48" s="10"/>
      <c r="CD48" s="248"/>
      <c r="CE48" s="125">
        <f>IF('Verwerking Bouwdelen'!C32=2,1,0)</f>
        <v>0</v>
      </c>
      <c r="CF48" s="130">
        <f>IF('Verwerking Bouwdelen'!A32=3,1,0)</f>
        <v>0</v>
      </c>
      <c r="CG48" s="208">
        <f>IF($CE48=1,$CF48*'Verwerking Bouwdelen'!DL32,$CF48*'Verwerking Bouwdelen'!T32)</f>
        <v>0</v>
      </c>
      <c r="CH48" s="208">
        <f>IF($CE48=1,$CF48*'Verwerking Bouwdelen'!DM32,$CF48*'Verwerking Bouwdelen'!U32)</f>
        <v>0</v>
      </c>
      <c r="CI48" s="208">
        <f>IF($CE48=1,$CF48*'Verwerking Bouwdelen'!DN32,$CF48*'Verwerking Bouwdelen'!V32)</f>
        <v>0</v>
      </c>
      <c r="CJ48" s="208">
        <f>IF($CE48=1,$CF48*'Verwerking Bouwdelen'!DO32,$CF48*'Verwerking Bouwdelen'!W32)</f>
        <v>0</v>
      </c>
      <c r="CK48" s="208">
        <f>IF($CE48=1,$CF48*'Verwerking Bouwdelen'!DP32,$CF48*'Verwerking Bouwdelen'!X32)</f>
        <v>0</v>
      </c>
      <c r="CL48" s="208">
        <f>IF($CE48=1,$CF48*'Verwerking Bouwdelen'!DQ32,$CF48*'Verwerking Bouwdelen'!Y32)</f>
        <v>0</v>
      </c>
      <c r="CM48" s="208">
        <f>IF($CE48=1,$CF48*'Verwerking Bouwdelen'!DR32,$CF48*'Verwerking Bouwdelen'!Z32)</f>
        <v>0</v>
      </c>
      <c r="CN48" s="208">
        <f>IF($CE48=1,$CF48*'Verwerking Bouwdelen'!DS32,$CF48*'Verwerking Bouwdelen'!AA32)</f>
        <v>0</v>
      </c>
      <c r="CO48" s="208">
        <f>IF($CE48=1,$CF48*'Verwerking Bouwdelen'!DT32,$CF48*'Verwerking Bouwdelen'!AB32)</f>
        <v>0</v>
      </c>
      <c r="CP48" s="208">
        <f>IF($CE48=1,$CF48*'Verwerking Bouwdelen'!DU32,$CF48*'Verwerking Bouwdelen'!AC32)</f>
        <v>0</v>
      </c>
      <c r="CQ48" s="208">
        <f>IF($CE48=1,$CF48*'Verwerking Bouwdelen'!DV32,$CF48*'Verwerking Bouwdelen'!AD32)</f>
        <v>0</v>
      </c>
      <c r="CR48" s="208">
        <f>IF($CE48=1,$CF48*'Verwerking Bouwdelen'!DW32,$CF48*'Verwerking Bouwdelen'!AE32)</f>
        <v>0</v>
      </c>
      <c r="CS48" s="10">
        <f>IF(CG48=$B48,0,('Verwerking Bouwdelen'!$D32-'Verwerking Bouwdelen'!G32)*CE48*CF48)</f>
        <v>0</v>
      </c>
      <c r="CT48" s="260">
        <f>CE48*CF48*'Verwerking Bouwdelen'!GH32</f>
        <v>0</v>
      </c>
      <c r="CU48" s="261">
        <f>CE48*CF48*'Verwerking Bouwdelen'!GI32</f>
        <v>0</v>
      </c>
      <c r="CW48" s="209">
        <f>$AC48*'Verwerking Bouwdelen'!EE32</f>
        <v>0</v>
      </c>
      <c r="CX48" s="209">
        <f>$AC48*'Verwerking Bouwdelen'!EF32</f>
        <v>0</v>
      </c>
      <c r="CY48" s="209">
        <f>$AC48*'Verwerking Bouwdelen'!EG32</f>
        <v>0</v>
      </c>
      <c r="CZ48" s="209">
        <f>$AC48*'Verwerking Bouwdelen'!EH32</f>
        <v>0</v>
      </c>
      <c r="DA48" s="209">
        <f>$AC48*'Verwerking Bouwdelen'!EI32</f>
        <v>0</v>
      </c>
      <c r="DB48" s="209">
        <f>$AC48*'Verwerking Bouwdelen'!EJ32</f>
        <v>0</v>
      </c>
      <c r="DC48" s="209">
        <f>$AC48*'Verwerking Bouwdelen'!EK32</f>
        <v>0</v>
      </c>
      <c r="DD48" s="209">
        <f>$AC48*'Verwerking Bouwdelen'!EL32</f>
        <v>0</v>
      </c>
      <c r="DE48" s="209">
        <f>$AC48*'Verwerking Bouwdelen'!EM32</f>
        <v>0</v>
      </c>
      <c r="DF48" s="209">
        <f>$AC48*'Verwerking Bouwdelen'!EN32</f>
        <v>0</v>
      </c>
      <c r="DG48" s="209">
        <f>$AC48*'Verwerking Bouwdelen'!EO32</f>
        <v>0</v>
      </c>
      <c r="DH48" s="209">
        <f>$AC48*'Verwerking Bouwdelen'!EP32</f>
        <v>0</v>
      </c>
      <c r="DI48" s="10">
        <f>IF(CW48=$O48,0,'Verwerking Bouwdelen'!G32)</f>
        <v>0</v>
      </c>
      <c r="DJ48" s="259">
        <f>'Verwerking Bouwdelen'!GK32*CF48</f>
        <v>0</v>
      </c>
      <c r="DK48" s="259">
        <f>'Verwerking Bouwdelen'!GL32*CF48</f>
        <v>0</v>
      </c>
      <c r="DL48" s="125"/>
      <c r="GM48" s="89">
        <f t="shared" si="13"/>
        <v>0</v>
      </c>
      <c r="GN48" s="89">
        <f t="shared" si="14"/>
        <v>0</v>
      </c>
      <c r="GO48" s="208">
        <f>IF($GN48=1,$GN48*$GM48*'Verwerking Bouwdelen'!DL32,$GN48*$GM48*'Verwerking Bouwdelen'!T32)</f>
        <v>0</v>
      </c>
      <c r="GP48" s="208">
        <f>IF($GN48=1,$GN48*$GM48*'Verwerking Bouwdelen'!DM32,$GN48*$GM48*'Verwerking Bouwdelen'!U32)</f>
        <v>0</v>
      </c>
      <c r="GQ48" s="208">
        <f>IF($GN48=1,$GN48*$GM48*'Verwerking Bouwdelen'!DN32,$GN48*$GM48*'Verwerking Bouwdelen'!V32)</f>
        <v>0</v>
      </c>
      <c r="GR48" s="208">
        <f>IF($GN48=1,$GN48*$GM48*'Verwerking Bouwdelen'!DO32,$GN48*$GM48*'Verwerking Bouwdelen'!W32)</f>
        <v>0</v>
      </c>
      <c r="GS48" s="208">
        <f>IF($GN48=1,$GN48*$GM48*'Verwerking Bouwdelen'!DP32,$GN48*$GM48*'Verwerking Bouwdelen'!X32)</f>
        <v>0</v>
      </c>
      <c r="GT48" s="208">
        <f>IF($GN48=1,$GN48*$GM48*'Verwerking Bouwdelen'!DQ32,$GN48*$GM48*'Verwerking Bouwdelen'!Y32)</f>
        <v>0</v>
      </c>
      <c r="GU48" s="208">
        <f>IF($GN48=1,$GN48*$GM48*'Verwerking Bouwdelen'!DR32,$GN48*$GM48*'Verwerking Bouwdelen'!Z32)</f>
        <v>0</v>
      </c>
      <c r="GV48" s="208">
        <f>IF($GN48=1,$GN48*$GM48*'Verwerking Bouwdelen'!DS32,$GN48*$GM48*'Verwerking Bouwdelen'!AA32)</f>
        <v>0</v>
      </c>
      <c r="GW48" s="208">
        <f>IF($GN48=1,$GN48*$GM48*'Verwerking Bouwdelen'!DT32,$GN48*$GM48*'Verwerking Bouwdelen'!AB32)</f>
        <v>0</v>
      </c>
      <c r="GX48" s="208">
        <f>IF($GN48=1,$GN48*$GM48*'Verwerking Bouwdelen'!DU32,$GN48*$GM48*'Verwerking Bouwdelen'!AC32)</f>
        <v>0</v>
      </c>
      <c r="GY48" s="208">
        <f>IF($GN48=1,$GN48*$GM48*'Verwerking Bouwdelen'!DV32,$GN48*$GM48*'Verwerking Bouwdelen'!AD32)</f>
        <v>0</v>
      </c>
      <c r="GZ48" s="208">
        <f>IF($GN48=1,$GN48*$GM48*'Verwerking Bouwdelen'!DW32,$GN48*$GM48*'Verwerking Bouwdelen'!AE32)</f>
        <v>0</v>
      </c>
      <c r="HB48" s="89">
        <f t="shared" si="16"/>
        <v>0</v>
      </c>
      <c r="HC48" s="89">
        <f t="shared" si="17"/>
        <v>0</v>
      </c>
      <c r="HD48" s="89">
        <f t="shared" si="18"/>
        <v>0</v>
      </c>
      <c r="HE48" s="89">
        <f t="shared" si="19"/>
        <v>0</v>
      </c>
      <c r="HF48" s="89">
        <f t="shared" si="19"/>
        <v>0</v>
      </c>
      <c r="HG48" s="89">
        <f t="shared" si="19"/>
        <v>0</v>
      </c>
      <c r="HH48" s="89">
        <f t="shared" si="19"/>
        <v>0</v>
      </c>
      <c r="HI48" s="89">
        <f t="shared" si="19"/>
        <v>0</v>
      </c>
      <c r="HJ48" s="89">
        <f t="shared" si="19"/>
        <v>0</v>
      </c>
      <c r="HK48" s="89">
        <f t="shared" si="19"/>
        <v>0</v>
      </c>
      <c r="HL48" s="89">
        <f t="shared" si="19"/>
        <v>0</v>
      </c>
      <c r="HM48" s="89">
        <f t="shared" si="19"/>
        <v>0</v>
      </c>
    </row>
    <row r="49" spans="1:221" x14ac:dyDescent="0.2">
      <c r="A49" s="130">
        <f>IF('Verwerking Bouwdelen'!A33=3,1,0)</f>
        <v>0</v>
      </c>
      <c r="B49" s="208">
        <f>$A49*'Verwerking Bouwdelen'!T33</f>
        <v>0</v>
      </c>
      <c r="C49" s="208">
        <f>$A49*'Verwerking Bouwdelen'!U33</f>
        <v>0</v>
      </c>
      <c r="D49" s="208">
        <f>$A49*'Verwerking Bouwdelen'!V33</f>
        <v>0</v>
      </c>
      <c r="E49" s="208">
        <f>$A49*'Verwerking Bouwdelen'!W33</f>
        <v>0</v>
      </c>
      <c r="F49" s="208">
        <f>$A49*'Verwerking Bouwdelen'!X33</f>
        <v>0</v>
      </c>
      <c r="G49" s="208">
        <f>$A49*'Verwerking Bouwdelen'!Y33</f>
        <v>0</v>
      </c>
      <c r="H49" s="208">
        <f>$A49*'Verwerking Bouwdelen'!Z33</f>
        <v>0</v>
      </c>
      <c r="I49" s="208">
        <f>$A49*'Verwerking Bouwdelen'!AA33</f>
        <v>0</v>
      </c>
      <c r="J49" s="208">
        <f>$A49*'Verwerking Bouwdelen'!AB33</f>
        <v>0</v>
      </c>
      <c r="K49" s="208">
        <f>$A49*'Verwerking Bouwdelen'!AC33</f>
        <v>0</v>
      </c>
      <c r="L49" s="208">
        <f>$A49*'Verwerking Bouwdelen'!AD33</f>
        <v>0</v>
      </c>
      <c r="M49" s="208">
        <f>$A49*'Verwerking Bouwdelen'!AE33</f>
        <v>0</v>
      </c>
      <c r="O49" s="114">
        <f>$A49*'Verwerking Bouwdelen'!AU33</f>
        <v>0</v>
      </c>
      <c r="P49" s="125">
        <f>$A49*'Verwerking Bouwdelen'!AV33</f>
        <v>0</v>
      </c>
      <c r="Q49" s="125">
        <f>$A49*'Verwerking Bouwdelen'!AW33</f>
        <v>0</v>
      </c>
      <c r="R49" s="125">
        <f>$A49*'Verwerking Bouwdelen'!AX33</f>
        <v>0</v>
      </c>
      <c r="S49" s="125">
        <f>$A49*'Verwerking Bouwdelen'!AY33</f>
        <v>0</v>
      </c>
      <c r="T49" s="125">
        <f>$A49*'Verwerking Bouwdelen'!AZ33</f>
        <v>0</v>
      </c>
      <c r="U49" s="125">
        <f>$A49*'Verwerking Bouwdelen'!BA33</f>
        <v>0</v>
      </c>
      <c r="V49" s="125">
        <f>$A49*'Verwerking Bouwdelen'!BB33</f>
        <v>0</v>
      </c>
      <c r="W49" s="125">
        <f>$A49*'Verwerking Bouwdelen'!BC33</f>
        <v>0</v>
      </c>
      <c r="X49" s="125">
        <f>$A49*'Verwerking Bouwdelen'!BD33</f>
        <v>0</v>
      </c>
      <c r="Y49" s="125">
        <f>$A49*'Verwerking Bouwdelen'!BE33</f>
        <v>0</v>
      </c>
      <c r="Z49" s="195">
        <f>$A49*'Verwerking Bouwdelen'!BF33</f>
        <v>0</v>
      </c>
      <c r="AB49" s="125">
        <f>IF(OR('Verwerking Bouwdelen'!C33=3,'Verwerking Bouwdelen'!C33=6),1,0)</f>
        <v>0</v>
      </c>
      <c r="AC49" s="130">
        <f>IF('Verwerking Bouwdelen'!A33=3,1,0)</f>
        <v>0</v>
      </c>
      <c r="AD49" s="208">
        <f>IF($AB49=1,$AC49*'Verwerking Bouwdelen'!DL33,$AC49*'Verwerking Bouwdelen'!T33)</f>
        <v>0</v>
      </c>
      <c r="AE49" s="208">
        <f>IF($AB49=1,$AC49*'Verwerking Bouwdelen'!DM33,$AC49*'Verwerking Bouwdelen'!U33)</f>
        <v>0</v>
      </c>
      <c r="AF49" s="208">
        <f>IF($AB49=1,$AC49*'Verwerking Bouwdelen'!DN33,$AC49*'Verwerking Bouwdelen'!V33)</f>
        <v>0</v>
      </c>
      <c r="AG49" s="208">
        <f>IF($AB49=1,$AC49*'Verwerking Bouwdelen'!DO33,$AC49*'Verwerking Bouwdelen'!W33)</f>
        <v>0</v>
      </c>
      <c r="AH49" s="208">
        <f>IF($AB49=1,$AC49*'Verwerking Bouwdelen'!DP33,$AC49*'Verwerking Bouwdelen'!X33)</f>
        <v>0</v>
      </c>
      <c r="AI49" s="208">
        <f>IF($AB49=1,$AC49*'Verwerking Bouwdelen'!DQ33,$AC49*'Verwerking Bouwdelen'!Y33)</f>
        <v>0</v>
      </c>
      <c r="AJ49" s="208">
        <f>IF($AB49=1,$AC49*'Verwerking Bouwdelen'!DR33,$AC49*'Verwerking Bouwdelen'!Z33)</f>
        <v>0</v>
      </c>
      <c r="AK49" s="208">
        <f>IF($AB49=1,$AC49*'Verwerking Bouwdelen'!DS33,$AC49*'Verwerking Bouwdelen'!AA33)</f>
        <v>0</v>
      </c>
      <c r="AL49" s="208">
        <f>IF($AB49=1,$AC49*'Verwerking Bouwdelen'!DT33,$AC49*'Verwerking Bouwdelen'!AB33)</f>
        <v>0</v>
      </c>
      <c r="AM49" s="208">
        <f>IF($AB49=1,$AC49*'Verwerking Bouwdelen'!DU33,$AC49*'Verwerking Bouwdelen'!AC33)</f>
        <v>0</v>
      </c>
      <c r="AN49" s="208">
        <f>IF($AB49=1,$AC49*'Verwerking Bouwdelen'!DV33,$AC49*'Verwerking Bouwdelen'!AD33)</f>
        <v>0</v>
      </c>
      <c r="AO49" s="208">
        <f>IF($AB49=1,$AC49*'Verwerking Bouwdelen'!DW33,$AC49*'Verwerking Bouwdelen'!AE33)</f>
        <v>0</v>
      </c>
      <c r="AP49" s="10">
        <f>IF(AD49=B49,0,'Verwerking Bouwdelen'!D33*AB49*AC49)</f>
        <v>0</v>
      </c>
      <c r="AQ49" s="10">
        <f>AB49*AC49*'Verwerking Bouwdelen'!GH33</f>
        <v>0</v>
      </c>
      <c r="AR49" s="10"/>
      <c r="AS49" s="248"/>
      <c r="AT49" s="125">
        <f>IF('Verwerking Bouwdelen'!C33=4,1,0)</f>
        <v>0</v>
      </c>
      <c r="AU49" s="130">
        <f>IF('Verwerking Bouwdelen'!A33=3,1,0)</f>
        <v>0</v>
      </c>
      <c r="AV49" s="208">
        <f>IF($AT49=1,$AU49*'Verwerking Bouwdelen'!DL33,$AU49*'Verwerking Bouwdelen'!T33)</f>
        <v>0</v>
      </c>
      <c r="AW49" s="208">
        <f>IF($AT49=1,$AU49*'Verwerking Bouwdelen'!DM33,$AU49*'Verwerking Bouwdelen'!U33)</f>
        <v>0</v>
      </c>
      <c r="AX49" s="208">
        <f>IF($AT49=1,$AU49*'Verwerking Bouwdelen'!DN33,$AU49*'Verwerking Bouwdelen'!V33)</f>
        <v>0</v>
      </c>
      <c r="AY49" s="208">
        <f>IF($AT49=1,$AU49*'Verwerking Bouwdelen'!DO33,$AU49*'Verwerking Bouwdelen'!W33)</f>
        <v>0</v>
      </c>
      <c r="AZ49" s="208">
        <f>IF($AT49=1,$AU49*'Verwerking Bouwdelen'!DP33,$AU49*'Verwerking Bouwdelen'!X33)</f>
        <v>0</v>
      </c>
      <c r="BA49" s="208">
        <f>IF($AT49=1,$AU49*'Verwerking Bouwdelen'!DQ33,$AU49*'Verwerking Bouwdelen'!Y33)</f>
        <v>0</v>
      </c>
      <c r="BB49" s="208">
        <f>IF($AT49=1,$AU49*'Verwerking Bouwdelen'!DR33,$AU49*'Verwerking Bouwdelen'!Z33)</f>
        <v>0</v>
      </c>
      <c r="BC49" s="208">
        <f>IF($AT49=1,$AU49*'Verwerking Bouwdelen'!DS33,$AU49*'Verwerking Bouwdelen'!AA33)</f>
        <v>0</v>
      </c>
      <c r="BD49" s="208">
        <f>IF($AT49=1,$AU49*'Verwerking Bouwdelen'!DT33,$AU49*'Verwerking Bouwdelen'!AB33)</f>
        <v>0</v>
      </c>
      <c r="BE49" s="208">
        <f>IF($AT49=1,$AU49*'Verwerking Bouwdelen'!DU33,$AU49*'Verwerking Bouwdelen'!AC33)</f>
        <v>0</v>
      </c>
      <c r="BF49" s="208">
        <f>IF($AT49=1,$AU49*'Verwerking Bouwdelen'!DV33,$AU49*'Verwerking Bouwdelen'!AD33)</f>
        <v>0</v>
      </c>
      <c r="BG49" s="208">
        <f>IF($AT49=1,$AU49*'Verwerking Bouwdelen'!DW33,$AU49*'Verwerking Bouwdelen'!AE33)</f>
        <v>0</v>
      </c>
      <c r="BH49" s="10">
        <f>IF(AV49=B49,0,'Verwerking Bouwdelen'!D33*AT49*AU49)</f>
        <v>0</v>
      </c>
      <c r="BI49" s="10">
        <f>AT49*AU49*'Verwerking Bouwdelen'!GH33</f>
        <v>0</v>
      </c>
      <c r="BJ49" s="10"/>
      <c r="BK49" s="10"/>
      <c r="BM49" s="125">
        <f>IF('Verwerking Bouwdelen'!C33=5,1,0)</f>
        <v>0</v>
      </c>
      <c r="BN49" s="130">
        <f>IF('Verwerking Bouwdelen'!A33=3,1,0)</f>
        <v>0</v>
      </c>
      <c r="BO49" s="208">
        <f>IF($BM49=1,$BN49*'Verwerking Bouwdelen'!DL33,$BN49*'Verwerking Bouwdelen'!T33)</f>
        <v>0</v>
      </c>
      <c r="BP49" s="208">
        <f>IF($BM49=1,$BN49*'Verwerking Bouwdelen'!DM33,$BN49*'Verwerking Bouwdelen'!U33)</f>
        <v>0</v>
      </c>
      <c r="BQ49" s="208">
        <f>IF($BM49=1,$BN49*'Verwerking Bouwdelen'!DN33,$BN49*'Verwerking Bouwdelen'!V33)</f>
        <v>0</v>
      </c>
      <c r="BR49" s="208">
        <f>IF($BM49=1,$BN49*'Verwerking Bouwdelen'!DO33,$BN49*'Verwerking Bouwdelen'!W33)</f>
        <v>0</v>
      </c>
      <c r="BS49" s="208">
        <f>IF($BM49=1,$BN49*'Verwerking Bouwdelen'!DP33,$BN49*'Verwerking Bouwdelen'!X33)</f>
        <v>0</v>
      </c>
      <c r="BT49" s="208">
        <f>IF($BM49=1,$BN49*'Verwerking Bouwdelen'!DQ33,$BN49*'Verwerking Bouwdelen'!Y33)</f>
        <v>0</v>
      </c>
      <c r="BU49" s="208">
        <f>IF($BM49=1,$BN49*'Verwerking Bouwdelen'!DR33,$BN49*'Verwerking Bouwdelen'!Z33)</f>
        <v>0</v>
      </c>
      <c r="BV49" s="208">
        <f>IF($BM49=1,$BN49*'Verwerking Bouwdelen'!DS33,$BN49*'Verwerking Bouwdelen'!AA33)</f>
        <v>0</v>
      </c>
      <c r="BW49" s="208">
        <f>IF($BM49=1,$BN49*'Verwerking Bouwdelen'!DT33,$BN49*'Verwerking Bouwdelen'!AB33)</f>
        <v>0</v>
      </c>
      <c r="BX49" s="208">
        <f>IF($BM49=1,$BN49*'Verwerking Bouwdelen'!DU33,$BN49*'Verwerking Bouwdelen'!AC33)</f>
        <v>0</v>
      </c>
      <c r="BY49" s="208">
        <f>IF($BM49=1,$BN49*'Verwerking Bouwdelen'!DV33,$BN49*'Verwerking Bouwdelen'!AD33)</f>
        <v>0</v>
      </c>
      <c r="BZ49" s="208">
        <f>IF($BM49=1,$BN49*'Verwerking Bouwdelen'!DW33,$BN49*'Verwerking Bouwdelen'!AE33)</f>
        <v>0</v>
      </c>
      <c r="CA49" s="10">
        <f>IF(BO49=$B49,0,'Verwerking Bouwdelen'!$D33*BM49*BN49)</f>
        <v>0</v>
      </c>
      <c r="CB49" s="10">
        <f>BM49*BN49*'Verwerking Bouwdelen'!GH33</f>
        <v>0</v>
      </c>
      <c r="CC49" s="10"/>
      <c r="CD49" s="248"/>
      <c r="CE49" s="125">
        <f>IF('Verwerking Bouwdelen'!C33=2,1,0)</f>
        <v>0</v>
      </c>
      <c r="CF49" s="130">
        <f>IF('Verwerking Bouwdelen'!A33=3,1,0)</f>
        <v>0</v>
      </c>
      <c r="CG49" s="208">
        <f>IF($CE49=1,$CF49*'Verwerking Bouwdelen'!DL33,$CF49*'Verwerking Bouwdelen'!T33)</f>
        <v>0</v>
      </c>
      <c r="CH49" s="208">
        <f>IF($CE49=1,$CF49*'Verwerking Bouwdelen'!DM33,$CF49*'Verwerking Bouwdelen'!U33)</f>
        <v>0</v>
      </c>
      <c r="CI49" s="208">
        <f>IF($CE49=1,$CF49*'Verwerking Bouwdelen'!DN33,$CF49*'Verwerking Bouwdelen'!V33)</f>
        <v>0</v>
      </c>
      <c r="CJ49" s="208">
        <f>IF($CE49=1,$CF49*'Verwerking Bouwdelen'!DO33,$CF49*'Verwerking Bouwdelen'!W33)</f>
        <v>0</v>
      </c>
      <c r="CK49" s="208">
        <f>IF($CE49=1,$CF49*'Verwerking Bouwdelen'!DP33,$CF49*'Verwerking Bouwdelen'!X33)</f>
        <v>0</v>
      </c>
      <c r="CL49" s="208">
        <f>IF($CE49=1,$CF49*'Verwerking Bouwdelen'!DQ33,$CF49*'Verwerking Bouwdelen'!Y33)</f>
        <v>0</v>
      </c>
      <c r="CM49" s="208">
        <f>IF($CE49=1,$CF49*'Verwerking Bouwdelen'!DR33,$CF49*'Verwerking Bouwdelen'!Z33)</f>
        <v>0</v>
      </c>
      <c r="CN49" s="208">
        <f>IF($CE49=1,$CF49*'Verwerking Bouwdelen'!DS33,$CF49*'Verwerking Bouwdelen'!AA33)</f>
        <v>0</v>
      </c>
      <c r="CO49" s="208">
        <f>IF($CE49=1,$CF49*'Verwerking Bouwdelen'!DT33,$CF49*'Verwerking Bouwdelen'!AB33)</f>
        <v>0</v>
      </c>
      <c r="CP49" s="208">
        <f>IF($CE49=1,$CF49*'Verwerking Bouwdelen'!DU33,$CF49*'Verwerking Bouwdelen'!AC33)</f>
        <v>0</v>
      </c>
      <c r="CQ49" s="208">
        <f>IF($CE49=1,$CF49*'Verwerking Bouwdelen'!DV33,$CF49*'Verwerking Bouwdelen'!AD33)</f>
        <v>0</v>
      </c>
      <c r="CR49" s="208">
        <f>IF($CE49=1,$CF49*'Verwerking Bouwdelen'!DW33,$CF49*'Verwerking Bouwdelen'!AE33)</f>
        <v>0</v>
      </c>
      <c r="CS49" s="10">
        <f>IF(CG49=$B49,0,('Verwerking Bouwdelen'!$D33-'Verwerking Bouwdelen'!G33)*CE49*CF49)</f>
        <v>0</v>
      </c>
      <c r="CT49" s="260">
        <f>CE49*CF49*'Verwerking Bouwdelen'!GH33</f>
        <v>0</v>
      </c>
      <c r="CU49" s="261">
        <f>CE49*CF49*'Verwerking Bouwdelen'!GI33</f>
        <v>0</v>
      </c>
      <c r="CW49" s="209">
        <f>$AC49*'Verwerking Bouwdelen'!EE33</f>
        <v>0</v>
      </c>
      <c r="CX49" s="209">
        <f>$AC49*'Verwerking Bouwdelen'!EF33</f>
        <v>0</v>
      </c>
      <c r="CY49" s="209">
        <f>$AC49*'Verwerking Bouwdelen'!EG33</f>
        <v>0</v>
      </c>
      <c r="CZ49" s="209">
        <f>$AC49*'Verwerking Bouwdelen'!EH33</f>
        <v>0</v>
      </c>
      <c r="DA49" s="209">
        <f>$AC49*'Verwerking Bouwdelen'!EI33</f>
        <v>0</v>
      </c>
      <c r="DB49" s="209">
        <f>$AC49*'Verwerking Bouwdelen'!EJ33</f>
        <v>0</v>
      </c>
      <c r="DC49" s="209">
        <f>$AC49*'Verwerking Bouwdelen'!EK33</f>
        <v>0</v>
      </c>
      <c r="DD49" s="209">
        <f>$AC49*'Verwerking Bouwdelen'!EL33</f>
        <v>0</v>
      </c>
      <c r="DE49" s="209">
        <f>$AC49*'Verwerking Bouwdelen'!EM33</f>
        <v>0</v>
      </c>
      <c r="DF49" s="209">
        <f>$AC49*'Verwerking Bouwdelen'!EN33</f>
        <v>0</v>
      </c>
      <c r="DG49" s="209">
        <f>$AC49*'Verwerking Bouwdelen'!EO33</f>
        <v>0</v>
      </c>
      <c r="DH49" s="209">
        <f>$AC49*'Verwerking Bouwdelen'!EP33</f>
        <v>0</v>
      </c>
      <c r="DI49" s="10">
        <f>IF(CW49=$O49,0,'Verwerking Bouwdelen'!G33)</f>
        <v>0</v>
      </c>
      <c r="DJ49" s="259">
        <f>'Verwerking Bouwdelen'!GK33*CF49</f>
        <v>0</v>
      </c>
      <c r="DK49" s="259">
        <f>'Verwerking Bouwdelen'!GL33*CF49</f>
        <v>0</v>
      </c>
      <c r="DL49" s="125"/>
      <c r="GM49" s="89">
        <f t="shared" si="13"/>
        <v>0</v>
      </c>
      <c r="GN49" s="89">
        <f t="shared" si="14"/>
        <v>0</v>
      </c>
      <c r="GO49" s="208">
        <f>IF($GN49=1,$GN49*$GM49*'Verwerking Bouwdelen'!DL33,$GN49*$GM49*'Verwerking Bouwdelen'!T33)</f>
        <v>0</v>
      </c>
      <c r="GP49" s="208">
        <f>IF($GN49=1,$GN49*$GM49*'Verwerking Bouwdelen'!DM33,$GN49*$GM49*'Verwerking Bouwdelen'!U33)</f>
        <v>0</v>
      </c>
      <c r="GQ49" s="208">
        <f>IF($GN49=1,$GN49*$GM49*'Verwerking Bouwdelen'!DN33,$GN49*$GM49*'Verwerking Bouwdelen'!V33)</f>
        <v>0</v>
      </c>
      <c r="GR49" s="208">
        <f>IF($GN49=1,$GN49*$GM49*'Verwerking Bouwdelen'!DO33,$GN49*$GM49*'Verwerking Bouwdelen'!W33)</f>
        <v>0</v>
      </c>
      <c r="GS49" s="208">
        <f>IF($GN49=1,$GN49*$GM49*'Verwerking Bouwdelen'!DP33,$GN49*$GM49*'Verwerking Bouwdelen'!X33)</f>
        <v>0</v>
      </c>
      <c r="GT49" s="208">
        <f>IF($GN49=1,$GN49*$GM49*'Verwerking Bouwdelen'!DQ33,$GN49*$GM49*'Verwerking Bouwdelen'!Y33)</f>
        <v>0</v>
      </c>
      <c r="GU49" s="208">
        <f>IF($GN49=1,$GN49*$GM49*'Verwerking Bouwdelen'!DR33,$GN49*$GM49*'Verwerking Bouwdelen'!Z33)</f>
        <v>0</v>
      </c>
      <c r="GV49" s="208">
        <f>IF($GN49=1,$GN49*$GM49*'Verwerking Bouwdelen'!DS33,$GN49*$GM49*'Verwerking Bouwdelen'!AA33)</f>
        <v>0</v>
      </c>
      <c r="GW49" s="208">
        <f>IF($GN49=1,$GN49*$GM49*'Verwerking Bouwdelen'!DT33,$GN49*$GM49*'Verwerking Bouwdelen'!AB33)</f>
        <v>0</v>
      </c>
      <c r="GX49" s="208">
        <f>IF($GN49=1,$GN49*$GM49*'Verwerking Bouwdelen'!DU33,$GN49*$GM49*'Verwerking Bouwdelen'!AC33)</f>
        <v>0</v>
      </c>
      <c r="GY49" s="208">
        <f>IF($GN49=1,$GN49*$GM49*'Verwerking Bouwdelen'!DV33,$GN49*$GM49*'Verwerking Bouwdelen'!AD33)</f>
        <v>0</v>
      </c>
      <c r="GZ49" s="208">
        <f>IF($GN49=1,$GN49*$GM49*'Verwerking Bouwdelen'!DW33,$GN49*$GM49*'Verwerking Bouwdelen'!AE33)</f>
        <v>0</v>
      </c>
      <c r="HB49" s="89">
        <f t="shared" si="16"/>
        <v>0</v>
      </c>
      <c r="HC49" s="89">
        <f t="shared" si="17"/>
        <v>0</v>
      </c>
      <c r="HD49" s="89">
        <f t="shared" si="18"/>
        <v>0</v>
      </c>
      <c r="HE49" s="89">
        <f t="shared" si="19"/>
        <v>0</v>
      </c>
      <c r="HF49" s="89">
        <f t="shared" si="19"/>
        <v>0</v>
      </c>
      <c r="HG49" s="89">
        <f t="shared" si="19"/>
        <v>0</v>
      </c>
      <c r="HH49" s="89">
        <f t="shared" si="19"/>
        <v>0</v>
      </c>
      <c r="HI49" s="89">
        <f t="shared" si="19"/>
        <v>0</v>
      </c>
      <c r="HJ49" s="89">
        <f t="shared" si="19"/>
        <v>0</v>
      </c>
      <c r="HK49" s="89">
        <f t="shared" si="19"/>
        <v>0</v>
      </c>
      <c r="HL49" s="89">
        <f t="shared" si="19"/>
        <v>0</v>
      </c>
      <c r="HM49" s="89">
        <f t="shared" si="19"/>
        <v>0</v>
      </c>
    </row>
    <row r="50" spans="1:221" x14ac:dyDescent="0.2">
      <c r="A50" s="130">
        <f>IF('Verwerking Bouwdelen'!A34=3,1,0)</f>
        <v>0</v>
      </c>
      <c r="B50" s="208">
        <f>$A50*'Verwerking Bouwdelen'!T34</f>
        <v>0</v>
      </c>
      <c r="C50" s="208">
        <f>$A50*'Verwerking Bouwdelen'!U34</f>
        <v>0</v>
      </c>
      <c r="D50" s="208">
        <f>$A50*'Verwerking Bouwdelen'!V34</f>
        <v>0</v>
      </c>
      <c r="E50" s="208">
        <f>$A50*'Verwerking Bouwdelen'!W34</f>
        <v>0</v>
      </c>
      <c r="F50" s="208">
        <f>$A50*'Verwerking Bouwdelen'!X34</f>
        <v>0</v>
      </c>
      <c r="G50" s="208">
        <f>$A50*'Verwerking Bouwdelen'!Y34</f>
        <v>0</v>
      </c>
      <c r="H50" s="208">
        <f>$A50*'Verwerking Bouwdelen'!Z34</f>
        <v>0</v>
      </c>
      <c r="I50" s="208">
        <f>$A50*'Verwerking Bouwdelen'!AA34</f>
        <v>0</v>
      </c>
      <c r="J50" s="208">
        <f>$A50*'Verwerking Bouwdelen'!AB34</f>
        <v>0</v>
      </c>
      <c r="K50" s="208">
        <f>$A50*'Verwerking Bouwdelen'!AC34</f>
        <v>0</v>
      </c>
      <c r="L50" s="208">
        <f>$A50*'Verwerking Bouwdelen'!AD34</f>
        <v>0</v>
      </c>
      <c r="M50" s="208">
        <f>$A50*'Verwerking Bouwdelen'!AE34</f>
        <v>0</v>
      </c>
      <c r="O50" s="114">
        <f>$A50*'Verwerking Bouwdelen'!AU34</f>
        <v>0</v>
      </c>
      <c r="P50" s="125">
        <f>$A50*'Verwerking Bouwdelen'!AV34</f>
        <v>0</v>
      </c>
      <c r="Q50" s="125">
        <f>$A50*'Verwerking Bouwdelen'!AW34</f>
        <v>0</v>
      </c>
      <c r="R50" s="125">
        <f>$A50*'Verwerking Bouwdelen'!AX34</f>
        <v>0</v>
      </c>
      <c r="S50" s="125">
        <f>$A50*'Verwerking Bouwdelen'!AY34</f>
        <v>0</v>
      </c>
      <c r="T50" s="125">
        <f>$A50*'Verwerking Bouwdelen'!AZ34</f>
        <v>0</v>
      </c>
      <c r="U50" s="125">
        <f>$A50*'Verwerking Bouwdelen'!BA34</f>
        <v>0</v>
      </c>
      <c r="V50" s="125">
        <f>$A50*'Verwerking Bouwdelen'!BB34</f>
        <v>0</v>
      </c>
      <c r="W50" s="125">
        <f>$A50*'Verwerking Bouwdelen'!BC34</f>
        <v>0</v>
      </c>
      <c r="X50" s="125">
        <f>$A50*'Verwerking Bouwdelen'!BD34</f>
        <v>0</v>
      </c>
      <c r="Y50" s="125">
        <f>$A50*'Verwerking Bouwdelen'!BE34</f>
        <v>0</v>
      </c>
      <c r="Z50" s="195">
        <f>$A50*'Verwerking Bouwdelen'!BF34</f>
        <v>0</v>
      </c>
      <c r="AB50" s="125">
        <f>IF(OR('Verwerking Bouwdelen'!C34=3,'Verwerking Bouwdelen'!C34=6),1,0)</f>
        <v>0</v>
      </c>
      <c r="AC50" s="130">
        <f>IF('Verwerking Bouwdelen'!A34=3,1,0)</f>
        <v>0</v>
      </c>
      <c r="AD50" s="208">
        <f>IF($AB50=1,$AC50*'Verwerking Bouwdelen'!DL34,$AC50*'Verwerking Bouwdelen'!T34)</f>
        <v>0</v>
      </c>
      <c r="AE50" s="208">
        <f>IF($AB50=1,$AC50*'Verwerking Bouwdelen'!DM34,$AC50*'Verwerking Bouwdelen'!U34)</f>
        <v>0</v>
      </c>
      <c r="AF50" s="208">
        <f>IF($AB50=1,$AC50*'Verwerking Bouwdelen'!DN34,$AC50*'Verwerking Bouwdelen'!V34)</f>
        <v>0</v>
      </c>
      <c r="AG50" s="208">
        <f>IF($AB50=1,$AC50*'Verwerking Bouwdelen'!DO34,$AC50*'Verwerking Bouwdelen'!W34)</f>
        <v>0</v>
      </c>
      <c r="AH50" s="208">
        <f>IF($AB50=1,$AC50*'Verwerking Bouwdelen'!DP34,$AC50*'Verwerking Bouwdelen'!X34)</f>
        <v>0</v>
      </c>
      <c r="AI50" s="208">
        <f>IF($AB50=1,$AC50*'Verwerking Bouwdelen'!DQ34,$AC50*'Verwerking Bouwdelen'!Y34)</f>
        <v>0</v>
      </c>
      <c r="AJ50" s="208">
        <f>IF($AB50=1,$AC50*'Verwerking Bouwdelen'!DR34,$AC50*'Verwerking Bouwdelen'!Z34)</f>
        <v>0</v>
      </c>
      <c r="AK50" s="208">
        <f>IF($AB50=1,$AC50*'Verwerking Bouwdelen'!DS34,$AC50*'Verwerking Bouwdelen'!AA34)</f>
        <v>0</v>
      </c>
      <c r="AL50" s="208">
        <f>IF($AB50=1,$AC50*'Verwerking Bouwdelen'!DT34,$AC50*'Verwerking Bouwdelen'!AB34)</f>
        <v>0</v>
      </c>
      <c r="AM50" s="208">
        <f>IF($AB50=1,$AC50*'Verwerking Bouwdelen'!DU34,$AC50*'Verwerking Bouwdelen'!AC34)</f>
        <v>0</v>
      </c>
      <c r="AN50" s="208">
        <f>IF($AB50=1,$AC50*'Verwerking Bouwdelen'!DV34,$AC50*'Verwerking Bouwdelen'!AD34)</f>
        <v>0</v>
      </c>
      <c r="AO50" s="208">
        <f>IF($AB50=1,$AC50*'Verwerking Bouwdelen'!DW34,$AC50*'Verwerking Bouwdelen'!AE34)</f>
        <v>0</v>
      </c>
      <c r="AP50" s="10">
        <f>IF(AD50=B50,0,'Verwerking Bouwdelen'!D34*AB50*AC50)</f>
        <v>0</v>
      </c>
      <c r="AQ50" s="10">
        <f>AB50*AC50*'Verwerking Bouwdelen'!GH34</f>
        <v>0</v>
      </c>
      <c r="AR50" s="10"/>
      <c r="AS50" s="248"/>
      <c r="AT50" s="125">
        <f>IF('Verwerking Bouwdelen'!C34=4,1,0)</f>
        <v>0</v>
      </c>
      <c r="AU50" s="130">
        <f>IF('Verwerking Bouwdelen'!A34=3,1,0)</f>
        <v>0</v>
      </c>
      <c r="AV50" s="208">
        <f>IF($AT50=1,$AU50*'Verwerking Bouwdelen'!DL34,$AU50*'Verwerking Bouwdelen'!T34)</f>
        <v>0</v>
      </c>
      <c r="AW50" s="208">
        <f>IF($AT50=1,$AU50*'Verwerking Bouwdelen'!DM34,$AU50*'Verwerking Bouwdelen'!U34)</f>
        <v>0</v>
      </c>
      <c r="AX50" s="208">
        <f>IF($AT50=1,$AU50*'Verwerking Bouwdelen'!DN34,$AU50*'Verwerking Bouwdelen'!V34)</f>
        <v>0</v>
      </c>
      <c r="AY50" s="208">
        <f>IF($AT50=1,$AU50*'Verwerking Bouwdelen'!DO34,$AU50*'Verwerking Bouwdelen'!W34)</f>
        <v>0</v>
      </c>
      <c r="AZ50" s="208">
        <f>IF($AT50=1,$AU50*'Verwerking Bouwdelen'!DP34,$AU50*'Verwerking Bouwdelen'!X34)</f>
        <v>0</v>
      </c>
      <c r="BA50" s="208">
        <f>IF($AT50=1,$AU50*'Verwerking Bouwdelen'!DQ34,$AU50*'Verwerking Bouwdelen'!Y34)</f>
        <v>0</v>
      </c>
      <c r="BB50" s="208">
        <f>IF($AT50=1,$AU50*'Verwerking Bouwdelen'!DR34,$AU50*'Verwerking Bouwdelen'!Z34)</f>
        <v>0</v>
      </c>
      <c r="BC50" s="208">
        <f>IF($AT50=1,$AU50*'Verwerking Bouwdelen'!DS34,$AU50*'Verwerking Bouwdelen'!AA34)</f>
        <v>0</v>
      </c>
      <c r="BD50" s="208">
        <f>IF($AT50=1,$AU50*'Verwerking Bouwdelen'!DT34,$AU50*'Verwerking Bouwdelen'!AB34)</f>
        <v>0</v>
      </c>
      <c r="BE50" s="208">
        <f>IF($AT50=1,$AU50*'Verwerking Bouwdelen'!DU34,$AU50*'Verwerking Bouwdelen'!AC34)</f>
        <v>0</v>
      </c>
      <c r="BF50" s="208">
        <f>IF($AT50=1,$AU50*'Verwerking Bouwdelen'!DV34,$AU50*'Verwerking Bouwdelen'!AD34)</f>
        <v>0</v>
      </c>
      <c r="BG50" s="208">
        <f>IF($AT50=1,$AU50*'Verwerking Bouwdelen'!DW34,$AU50*'Verwerking Bouwdelen'!AE34)</f>
        <v>0</v>
      </c>
      <c r="BH50" s="10">
        <f>IF(AV50=B50,0,'Verwerking Bouwdelen'!D34*AT50*AU50)</f>
        <v>0</v>
      </c>
      <c r="BI50" s="10">
        <f>AT50*AU50*'Verwerking Bouwdelen'!GH34</f>
        <v>0</v>
      </c>
      <c r="BJ50" s="10"/>
      <c r="BK50" s="10"/>
      <c r="BM50" s="125">
        <f>IF('Verwerking Bouwdelen'!C34=5,1,0)</f>
        <v>0</v>
      </c>
      <c r="BN50" s="130">
        <f>IF('Verwerking Bouwdelen'!A34=3,1,0)</f>
        <v>0</v>
      </c>
      <c r="BO50" s="208">
        <f>IF($BM50=1,$BN50*'Verwerking Bouwdelen'!DL34,$BN50*'Verwerking Bouwdelen'!T34)</f>
        <v>0</v>
      </c>
      <c r="BP50" s="208">
        <f>IF($BM50=1,$BN50*'Verwerking Bouwdelen'!DM34,$BN50*'Verwerking Bouwdelen'!U34)</f>
        <v>0</v>
      </c>
      <c r="BQ50" s="208">
        <f>IF($BM50=1,$BN50*'Verwerking Bouwdelen'!DN34,$BN50*'Verwerking Bouwdelen'!V34)</f>
        <v>0</v>
      </c>
      <c r="BR50" s="208">
        <f>IF($BM50=1,$BN50*'Verwerking Bouwdelen'!DO34,$BN50*'Verwerking Bouwdelen'!W34)</f>
        <v>0</v>
      </c>
      <c r="BS50" s="208">
        <f>IF($BM50=1,$BN50*'Verwerking Bouwdelen'!DP34,$BN50*'Verwerking Bouwdelen'!X34)</f>
        <v>0</v>
      </c>
      <c r="BT50" s="208">
        <f>IF($BM50=1,$BN50*'Verwerking Bouwdelen'!DQ34,$BN50*'Verwerking Bouwdelen'!Y34)</f>
        <v>0</v>
      </c>
      <c r="BU50" s="208">
        <f>IF($BM50=1,$BN50*'Verwerking Bouwdelen'!DR34,$BN50*'Verwerking Bouwdelen'!Z34)</f>
        <v>0</v>
      </c>
      <c r="BV50" s="208">
        <f>IF($BM50=1,$BN50*'Verwerking Bouwdelen'!DS34,$BN50*'Verwerking Bouwdelen'!AA34)</f>
        <v>0</v>
      </c>
      <c r="BW50" s="208">
        <f>IF($BM50=1,$BN50*'Verwerking Bouwdelen'!DT34,$BN50*'Verwerking Bouwdelen'!AB34)</f>
        <v>0</v>
      </c>
      <c r="BX50" s="208">
        <f>IF($BM50=1,$BN50*'Verwerking Bouwdelen'!DU34,$BN50*'Verwerking Bouwdelen'!AC34)</f>
        <v>0</v>
      </c>
      <c r="BY50" s="208">
        <f>IF($BM50=1,$BN50*'Verwerking Bouwdelen'!DV34,$BN50*'Verwerking Bouwdelen'!AD34)</f>
        <v>0</v>
      </c>
      <c r="BZ50" s="208">
        <f>IF($BM50=1,$BN50*'Verwerking Bouwdelen'!DW34,$BN50*'Verwerking Bouwdelen'!AE34)</f>
        <v>0</v>
      </c>
      <c r="CA50" s="10">
        <f>IF(BO50=$B50,0,'Verwerking Bouwdelen'!$D34*BM50*BN50)</f>
        <v>0</v>
      </c>
      <c r="CB50" s="10">
        <f>BM50*BN50*'Verwerking Bouwdelen'!GH34</f>
        <v>0</v>
      </c>
      <c r="CC50" s="10"/>
      <c r="CD50" s="248"/>
      <c r="CE50" s="125">
        <f>IF('Verwerking Bouwdelen'!C34=2,1,0)</f>
        <v>0</v>
      </c>
      <c r="CF50" s="130">
        <f>IF('Verwerking Bouwdelen'!A34=3,1,0)</f>
        <v>0</v>
      </c>
      <c r="CG50" s="208">
        <f>IF($CE50=1,$CF50*'Verwerking Bouwdelen'!DL34,$CF50*'Verwerking Bouwdelen'!T34)</f>
        <v>0</v>
      </c>
      <c r="CH50" s="208">
        <f>IF($CE50=1,$CF50*'Verwerking Bouwdelen'!DM34,$CF50*'Verwerking Bouwdelen'!U34)</f>
        <v>0</v>
      </c>
      <c r="CI50" s="208">
        <f>IF($CE50=1,$CF50*'Verwerking Bouwdelen'!DN34,$CF50*'Verwerking Bouwdelen'!V34)</f>
        <v>0</v>
      </c>
      <c r="CJ50" s="208">
        <f>IF($CE50=1,$CF50*'Verwerking Bouwdelen'!DO34,$CF50*'Verwerking Bouwdelen'!W34)</f>
        <v>0</v>
      </c>
      <c r="CK50" s="208">
        <f>IF($CE50=1,$CF50*'Verwerking Bouwdelen'!DP34,$CF50*'Verwerking Bouwdelen'!X34)</f>
        <v>0</v>
      </c>
      <c r="CL50" s="208">
        <f>IF($CE50=1,$CF50*'Verwerking Bouwdelen'!DQ34,$CF50*'Verwerking Bouwdelen'!Y34)</f>
        <v>0</v>
      </c>
      <c r="CM50" s="208">
        <f>IF($CE50=1,$CF50*'Verwerking Bouwdelen'!DR34,$CF50*'Verwerking Bouwdelen'!Z34)</f>
        <v>0</v>
      </c>
      <c r="CN50" s="208">
        <f>IF($CE50=1,$CF50*'Verwerking Bouwdelen'!DS34,$CF50*'Verwerking Bouwdelen'!AA34)</f>
        <v>0</v>
      </c>
      <c r="CO50" s="208">
        <f>IF($CE50=1,$CF50*'Verwerking Bouwdelen'!DT34,$CF50*'Verwerking Bouwdelen'!AB34)</f>
        <v>0</v>
      </c>
      <c r="CP50" s="208">
        <f>IF($CE50=1,$CF50*'Verwerking Bouwdelen'!DU34,$CF50*'Verwerking Bouwdelen'!AC34)</f>
        <v>0</v>
      </c>
      <c r="CQ50" s="208">
        <f>IF($CE50=1,$CF50*'Verwerking Bouwdelen'!DV34,$CF50*'Verwerking Bouwdelen'!AD34)</f>
        <v>0</v>
      </c>
      <c r="CR50" s="208">
        <f>IF($CE50=1,$CF50*'Verwerking Bouwdelen'!DW34,$CF50*'Verwerking Bouwdelen'!AE34)</f>
        <v>0</v>
      </c>
      <c r="CS50" s="10">
        <f>IF(CG50=$B50,0,('Verwerking Bouwdelen'!$D34-'Verwerking Bouwdelen'!G34)*CE50*CF50)</f>
        <v>0</v>
      </c>
      <c r="CT50" s="260">
        <f>CE50*CF50*'Verwerking Bouwdelen'!GH34</f>
        <v>0</v>
      </c>
      <c r="CU50" s="261">
        <f>CE50*CF50*'Verwerking Bouwdelen'!GI34</f>
        <v>0</v>
      </c>
      <c r="CW50" s="209">
        <f>$AC50*'Verwerking Bouwdelen'!EE34</f>
        <v>0</v>
      </c>
      <c r="CX50" s="209">
        <f>$AC50*'Verwerking Bouwdelen'!EF34</f>
        <v>0</v>
      </c>
      <c r="CY50" s="209">
        <f>$AC50*'Verwerking Bouwdelen'!EG34</f>
        <v>0</v>
      </c>
      <c r="CZ50" s="209">
        <f>$AC50*'Verwerking Bouwdelen'!EH34</f>
        <v>0</v>
      </c>
      <c r="DA50" s="209">
        <f>$AC50*'Verwerking Bouwdelen'!EI34</f>
        <v>0</v>
      </c>
      <c r="DB50" s="209">
        <f>$AC50*'Verwerking Bouwdelen'!EJ34</f>
        <v>0</v>
      </c>
      <c r="DC50" s="209">
        <f>$AC50*'Verwerking Bouwdelen'!EK34</f>
        <v>0</v>
      </c>
      <c r="DD50" s="209">
        <f>$AC50*'Verwerking Bouwdelen'!EL34</f>
        <v>0</v>
      </c>
      <c r="DE50" s="209">
        <f>$AC50*'Verwerking Bouwdelen'!EM34</f>
        <v>0</v>
      </c>
      <c r="DF50" s="209">
        <f>$AC50*'Verwerking Bouwdelen'!EN34</f>
        <v>0</v>
      </c>
      <c r="DG50" s="209">
        <f>$AC50*'Verwerking Bouwdelen'!EO34</f>
        <v>0</v>
      </c>
      <c r="DH50" s="209">
        <f>$AC50*'Verwerking Bouwdelen'!EP34</f>
        <v>0</v>
      </c>
      <c r="DI50" s="10">
        <f>IF(CW50=$O50,0,'Verwerking Bouwdelen'!G34)</f>
        <v>0</v>
      </c>
      <c r="DJ50" s="259">
        <f>'Verwerking Bouwdelen'!GK34*CF50</f>
        <v>0</v>
      </c>
      <c r="DK50" s="259">
        <f>'Verwerking Bouwdelen'!GL34*CF50</f>
        <v>0</v>
      </c>
      <c r="DL50" s="125"/>
      <c r="GM50" s="89">
        <f t="shared" si="13"/>
        <v>0</v>
      </c>
      <c r="GN50" s="89">
        <f t="shared" si="14"/>
        <v>0</v>
      </c>
      <c r="GO50" s="208">
        <f>IF($GN50=1,$GN50*$GM50*'Verwerking Bouwdelen'!DL34,$GN50*$GM50*'Verwerking Bouwdelen'!T34)</f>
        <v>0</v>
      </c>
      <c r="GP50" s="208">
        <f>IF($GN50=1,$GN50*$GM50*'Verwerking Bouwdelen'!DM34,$GN50*$GM50*'Verwerking Bouwdelen'!U34)</f>
        <v>0</v>
      </c>
      <c r="GQ50" s="208">
        <f>IF($GN50=1,$GN50*$GM50*'Verwerking Bouwdelen'!DN34,$GN50*$GM50*'Verwerking Bouwdelen'!V34)</f>
        <v>0</v>
      </c>
      <c r="GR50" s="208">
        <f>IF($GN50=1,$GN50*$GM50*'Verwerking Bouwdelen'!DO34,$GN50*$GM50*'Verwerking Bouwdelen'!W34)</f>
        <v>0</v>
      </c>
      <c r="GS50" s="208">
        <f>IF($GN50=1,$GN50*$GM50*'Verwerking Bouwdelen'!DP34,$GN50*$GM50*'Verwerking Bouwdelen'!X34)</f>
        <v>0</v>
      </c>
      <c r="GT50" s="208">
        <f>IF($GN50=1,$GN50*$GM50*'Verwerking Bouwdelen'!DQ34,$GN50*$GM50*'Verwerking Bouwdelen'!Y34)</f>
        <v>0</v>
      </c>
      <c r="GU50" s="208">
        <f>IF($GN50=1,$GN50*$GM50*'Verwerking Bouwdelen'!DR34,$GN50*$GM50*'Verwerking Bouwdelen'!Z34)</f>
        <v>0</v>
      </c>
      <c r="GV50" s="208">
        <f>IF($GN50=1,$GN50*$GM50*'Verwerking Bouwdelen'!DS34,$GN50*$GM50*'Verwerking Bouwdelen'!AA34)</f>
        <v>0</v>
      </c>
      <c r="GW50" s="208">
        <f>IF($GN50=1,$GN50*$GM50*'Verwerking Bouwdelen'!DT34,$GN50*$GM50*'Verwerking Bouwdelen'!AB34)</f>
        <v>0</v>
      </c>
      <c r="GX50" s="208">
        <f>IF($GN50=1,$GN50*$GM50*'Verwerking Bouwdelen'!DU34,$GN50*$GM50*'Verwerking Bouwdelen'!AC34)</f>
        <v>0</v>
      </c>
      <c r="GY50" s="208">
        <f>IF($GN50=1,$GN50*$GM50*'Verwerking Bouwdelen'!DV34,$GN50*$GM50*'Verwerking Bouwdelen'!AD34)</f>
        <v>0</v>
      </c>
      <c r="GZ50" s="208">
        <f>IF($GN50=1,$GN50*$GM50*'Verwerking Bouwdelen'!DW34,$GN50*$GM50*'Verwerking Bouwdelen'!AE34)</f>
        <v>0</v>
      </c>
      <c r="HB50" s="89">
        <f t="shared" si="16"/>
        <v>0</v>
      </c>
      <c r="HC50" s="89">
        <f t="shared" si="17"/>
        <v>0</v>
      </c>
      <c r="HD50" s="89">
        <f t="shared" si="18"/>
        <v>0</v>
      </c>
      <c r="HE50" s="89">
        <f t="shared" si="19"/>
        <v>0</v>
      </c>
      <c r="HF50" s="89">
        <f t="shared" si="19"/>
        <v>0</v>
      </c>
      <c r="HG50" s="89">
        <f t="shared" si="19"/>
        <v>0</v>
      </c>
      <c r="HH50" s="89">
        <f t="shared" si="19"/>
        <v>0</v>
      </c>
      <c r="HI50" s="89">
        <f t="shared" si="19"/>
        <v>0</v>
      </c>
      <c r="HJ50" s="89">
        <f t="shared" si="19"/>
        <v>0</v>
      </c>
      <c r="HK50" s="89">
        <f t="shared" si="19"/>
        <v>0</v>
      </c>
      <c r="HL50" s="89">
        <f t="shared" si="19"/>
        <v>0</v>
      </c>
      <c r="HM50" s="89">
        <f t="shared" si="19"/>
        <v>0</v>
      </c>
    </row>
    <row r="51" spans="1:221" x14ac:dyDescent="0.2">
      <c r="A51" s="130">
        <f>IF('Verwerking Bouwdelen'!A35=3,1,0)</f>
        <v>0</v>
      </c>
      <c r="B51" s="208">
        <f>$A51*'Verwerking Bouwdelen'!T35</f>
        <v>0</v>
      </c>
      <c r="C51" s="208">
        <f>$A51*'Verwerking Bouwdelen'!U35</f>
        <v>0</v>
      </c>
      <c r="D51" s="208">
        <f>$A51*'Verwerking Bouwdelen'!V35</f>
        <v>0</v>
      </c>
      <c r="E51" s="208">
        <f>$A51*'Verwerking Bouwdelen'!W35</f>
        <v>0</v>
      </c>
      <c r="F51" s="208">
        <f>$A51*'Verwerking Bouwdelen'!X35</f>
        <v>0</v>
      </c>
      <c r="G51" s="208">
        <f>$A51*'Verwerking Bouwdelen'!Y35</f>
        <v>0</v>
      </c>
      <c r="H51" s="208">
        <f>$A51*'Verwerking Bouwdelen'!Z35</f>
        <v>0</v>
      </c>
      <c r="I51" s="208">
        <f>$A51*'Verwerking Bouwdelen'!AA35</f>
        <v>0</v>
      </c>
      <c r="J51" s="208">
        <f>$A51*'Verwerking Bouwdelen'!AB35</f>
        <v>0</v>
      </c>
      <c r="K51" s="208">
        <f>$A51*'Verwerking Bouwdelen'!AC35</f>
        <v>0</v>
      </c>
      <c r="L51" s="208">
        <f>$A51*'Verwerking Bouwdelen'!AD35</f>
        <v>0</v>
      </c>
      <c r="M51" s="208">
        <f>$A51*'Verwerking Bouwdelen'!AE35</f>
        <v>0</v>
      </c>
      <c r="O51" s="114">
        <f>$A51*'Verwerking Bouwdelen'!AU35</f>
        <v>0</v>
      </c>
      <c r="P51" s="125">
        <f>$A51*'Verwerking Bouwdelen'!AV35</f>
        <v>0</v>
      </c>
      <c r="Q51" s="125">
        <f>$A51*'Verwerking Bouwdelen'!AW35</f>
        <v>0</v>
      </c>
      <c r="R51" s="125">
        <f>$A51*'Verwerking Bouwdelen'!AX35</f>
        <v>0</v>
      </c>
      <c r="S51" s="125">
        <f>$A51*'Verwerking Bouwdelen'!AY35</f>
        <v>0</v>
      </c>
      <c r="T51" s="125">
        <f>$A51*'Verwerking Bouwdelen'!AZ35</f>
        <v>0</v>
      </c>
      <c r="U51" s="125">
        <f>$A51*'Verwerking Bouwdelen'!BA35</f>
        <v>0</v>
      </c>
      <c r="V51" s="125">
        <f>$A51*'Verwerking Bouwdelen'!BB35</f>
        <v>0</v>
      </c>
      <c r="W51" s="125">
        <f>$A51*'Verwerking Bouwdelen'!BC35</f>
        <v>0</v>
      </c>
      <c r="X51" s="125">
        <f>$A51*'Verwerking Bouwdelen'!BD35</f>
        <v>0</v>
      </c>
      <c r="Y51" s="125">
        <f>$A51*'Verwerking Bouwdelen'!BE35</f>
        <v>0</v>
      </c>
      <c r="Z51" s="195">
        <f>$A51*'Verwerking Bouwdelen'!BF35</f>
        <v>0</v>
      </c>
      <c r="AB51" s="125">
        <f>IF(OR('Verwerking Bouwdelen'!C35=3,'Verwerking Bouwdelen'!C35=6),1,0)</f>
        <v>0</v>
      </c>
      <c r="AC51" s="130">
        <f>IF('Verwerking Bouwdelen'!A35=3,1,0)</f>
        <v>0</v>
      </c>
      <c r="AD51" s="208">
        <f>IF($AB51=1,$AC51*'Verwerking Bouwdelen'!DL35,$AC51*'Verwerking Bouwdelen'!T35)</f>
        <v>0</v>
      </c>
      <c r="AE51" s="208">
        <f>IF($AB51=1,$AC51*'Verwerking Bouwdelen'!DM35,$AC51*'Verwerking Bouwdelen'!U35)</f>
        <v>0</v>
      </c>
      <c r="AF51" s="208">
        <f>IF($AB51=1,$AC51*'Verwerking Bouwdelen'!DN35,$AC51*'Verwerking Bouwdelen'!V35)</f>
        <v>0</v>
      </c>
      <c r="AG51" s="208">
        <f>IF($AB51=1,$AC51*'Verwerking Bouwdelen'!DO35,$AC51*'Verwerking Bouwdelen'!W35)</f>
        <v>0</v>
      </c>
      <c r="AH51" s="208">
        <f>IF($AB51=1,$AC51*'Verwerking Bouwdelen'!DP35,$AC51*'Verwerking Bouwdelen'!X35)</f>
        <v>0</v>
      </c>
      <c r="AI51" s="208">
        <f>IF($AB51=1,$AC51*'Verwerking Bouwdelen'!DQ35,$AC51*'Verwerking Bouwdelen'!Y35)</f>
        <v>0</v>
      </c>
      <c r="AJ51" s="208">
        <f>IF($AB51=1,$AC51*'Verwerking Bouwdelen'!DR35,$AC51*'Verwerking Bouwdelen'!Z35)</f>
        <v>0</v>
      </c>
      <c r="AK51" s="208">
        <f>IF($AB51=1,$AC51*'Verwerking Bouwdelen'!DS35,$AC51*'Verwerking Bouwdelen'!AA35)</f>
        <v>0</v>
      </c>
      <c r="AL51" s="208">
        <f>IF($AB51=1,$AC51*'Verwerking Bouwdelen'!DT35,$AC51*'Verwerking Bouwdelen'!AB35)</f>
        <v>0</v>
      </c>
      <c r="AM51" s="208">
        <f>IF($AB51=1,$AC51*'Verwerking Bouwdelen'!DU35,$AC51*'Verwerking Bouwdelen'!AC35)</f>
        <v>0</v>
      </c>
      <c r="AN51" s="208">
        <f>IF($AB51=1,$AC51*'Verwerking Bouwdelen'!DV35,$AC51*'Verwerking Bouwdelen'!AD35)</f>
        <v>0</v>
      </c>
      <c r="AO51" s="208">
        <f>IF($AB51=1,$AC51*'Verwerking Bouwdelen'!DW35,$AC51*'Verwerking Bouwdelen'!AE35)</f>
        <v>0</v>
      </c>
      <c r="AP51" s="10">
        <f>IF(AD51=B51,0,'Verwerking Bouwdelen'!D35*AB51*AC51)</f>
        <v>0</v>
      </c>
      <c r="AQ51" s="10">
        <f>AB51*AC51*'Verwerking Bouwdelen'!GH35</f>
        <v>0</v>
      </c>
      <c r="AR51" s="10"/>
      <c r="AS51" s="248"/>
      <c r="AT51" s="125">
        <f>IF('Verwerking Bouwdelen'!C35=4,1,0)</f>
        <v>0</v>
      </c>
      <c r="AU51" s="130">
        <f>IF('Verwerking Bouwdelen'!A35=3,1,0)</f>
        <v>0</v>
      </c>
      <c r="AV51" s="208">
        <f>IF($AT51=1,$AU51*'Verwerking Bouwdelen'!DL35,$AU51*'Verwerking Bouwdelen'!T35)</f>
        <v>0</v>
      </c>
      <c r="AW51" s="208">
        <f>IF($AT51=1,$AU51*'Verwerking Bouwdelen'!DM35,$AU51*'Verwerking Bouwdelen'!U35)</f>
        <v>0</v>
      </c>
      <c r="AX51" s="208">
        <f>IF($AT51=1,$AU51*'Verwerking Bouwdelen'!DN35,$AU51*'Verwerking Bouwdelen'!V35)</f>
        <v>0</v>
      </c>
      <c r="AY51" s="208">
        <f>IF($AT51=1,$AU51*'Verwerking Bouwdelen'!DO35,$AU51*'Verwerking Bouwdelen'!W35)</f>
        <v>0</v>
      </c>
      <c r="AZ51" s="208">
        <f>IF($AT51=1,$AU51*'Verwerking Bouwdelen'!DP35,$AU51*'Verwerking Bouwdelen'!X35)</f>
        <v>0</v>
      </c>
      <c r="BA51" s="208">
        <f>IF($AT51=1,$AU51*'Verwerking Bouwdelen'!DQ35,$AU51*'Verwerking Bouwdelen'!Y35)</f>
        <v>0</v>
      </c>
      <c r="BB51" s="208">
        <f>IF($AT51=1,$AU51*'Verwerking Bouwdelen'!DR35,$AU51*'Verwerking Bouwdelen'!Z35)</f>
        <v>0</v>
      </c>
      <c r="BC51" s="208">
        <f>IF($AT51=1,$AU51*'Verwerking Bouwdelen'!DS35,$AU51*'Verwerking Bouwdelen'!AA35)</f>
        <v>0</v>
      </c>
      <c r="BD51" s="208">
        <f>IF($AT51=1,$AU51*'Verwerking Bouwdelen'!DT35,$AU51*'Verwerking Bouwdelen'!AB35)</f>
        <v>0</v>
      </c>
      <c r="BE51" s="208">
        <f>IF($AT51=1,$AU51*'Verwerking Bouwdelen'!DU35,$AU51*'Verwerking Bouwdelen'!AC35)</f>
        <v>0</v>
      </c>
      <c r="BF51" s="208">
        <f>IF($AT51=1,$AU51*'Verwerking Bouwdelen'!DV35,$AU51*'Verwerking Bouwdelen'!AD35)</f>
        <v>0</v>
      </c>
      <c r="BG51" s="208">
        <f>IF($AT51=1,$AU51*'Verwerking Bouwdelen'!DW35,$AU51*'Verwerking Bouwdelen'!AE35)</f>
        <v>0</v>
      </c>
      <c r="BH51" s="10">
        <f>IF(AV51=B51,0,'Verwerking Bouwdelen'!D35*AT51*AU51)</f>
        <v>0</v>
      </c>
      <c r="BI51" s="10">
        <f>AT51*AU51*'Verwerking Bouwdelen'!GH35</f>
        <v>0</v>
      </c>
      <c r="BJ51" s="10"/>
      <c r="BK51" s="10"/>
      <c r="BM51" s="125">
        <f>IF('Verwerking Bouwdelen'!C35=5,1,0)</f>
        <v>0</v>
      </c>
      <c r="BN51" s="130">
        <f>IF('Verwerking Bouwdelen'!A35=3,1,0)</f>
        <v>0</v>
      </c>
      <c r="BO51" s="208">
        <f>IF($BM51=1,$BN51*'Verwerking Bouwdelen'!DL35,$BN51*'Verwerking Bouwdelen'!T35)</f>
        <v>0</v>
      </c>
      <c r="BP51" s="208">
        <f>IF($BM51=1,$BN51*'Verwerking Bouwdelen'!DM35,$BN51*'Verwerking Bouwdelen'!U35)</f>
        <v>0</v>
      </c>
      <c r="BQ51" s="208">
        <f>IF($BM51=1,$BN51*'Verwerking Bouwdelen'!DN35,$BN51*'Verwerking Bouwdelen'!V35)</f>
        <v>0</v>
      </c>
      <c r="BR51" s="208">
        <f>IF($BM51=1,$BN51*'Verwerking Bouwdelen'!DO35,$BN51*'Verwerking Bouwdelen'!W35)</f>
        <v>0</v>
      </c>
      <c r="BS51" s="208">
        <f>IF($BM51=1,$BN51*'Verwerking Bouwdelen'!DP35,$BN51*'Verwerking Bouwdelen'!X35)</f>
        <v>0</v>
      </c>
      <c r="BT51" s="208">
        <f>IF($BM51=1,$BN51*'Verwerking Bouwdelen'!DQ35,$BN51*'Verwerking Bouwdelen'!Y35)</f>
        <v>0</v>
      </c>
      <c r="BU51" s="208">
        <f>IF($BM51=1,$BN51*'Verwerking Bouwdelen'!DR35,$BN51*'Verwerking Bouwdelen'!Z35)</f>
        <v>0</v>
      </c>
      <c r="BV51" s="208">
        <f>IF($BM51=1,$BN51*'Verwerking Bouwdelen'!DS35,$BN51*'Verwerking Bouwdelen'!AA35)</f>
        <v>0</v>
      </c>
      <c r="BW51" s="208">
        <f>IF($BM51=1,$BN51*'Verwerking Bouwdelen'!DT35,$BN51*'Verwerking Bouwdelen'!AB35)</f>
        <v>0</v>
      </c>
      <c r="BX51" s="208">
        <f>IF($BM51=1,$BN51*'Verwerking Bouwdelen'!DU35,$BN51*'Verwerking Bouwdelen'!AC35)</f>
        <v>0</v>
      </c>
      <c r="BY51" s="208">
        <f>IF($BM51=1,$BN51*'Verwerking Bouwdelen'!DV35,$BN51*'Verwerking Bouwdelen'!AD35)</f>
        <v>0</v>
      </c>
      <c r="BZ51" s="208">
        <f>IF($BM51=1,$BN51*'Verwerking Bouwdelen'!DW35,$BN51*'Verwerking Bouwdelen'!AE35)</f>
        <v>0</v>
      </c>
      <c r="CA51" s="10">
        <f>IF(BO51=$B51,0,'Verwerking Bouwdelen'!$D35*BM51*BN51)</f>
        <v>0</v>
      </c>
      <c r="CB51" s="10">
        <f>BM51*BN51*'Verwerking Bouwdelen'!GH35</f>
        <v>0</v>
      </c>
      <c r="CC51" s="10"/>
      <c r="CD51" s="248"/>
      <c r="CE51" s="125">
        <f>IF('Verwerking Bouwdelen'!C35=2,1,0)</f>
        <v>0</v>
      </c>
      <c r="CF51" s="130">
        <f>IF('Verwerking Bouwdelen'!A35=3,1,0)</f>
        <v>0</v>
      </c>
      <c r="CG51" s="208">
        <f>IF($CE51=1,$CF51*'Verwerking Bouwdelen'!DL35,$CF51*'Verwerking Bouwdelen'!T35)</f>
        <v>0</v>
      </c>
      <c r="CH51" s="208">
        <f>IF($CE51=1,$CF51*'Verwerking Bouwdelen'!DM35,$CF51*'Verwerking Bouwdelen'!U35)</f>
        <v>0</v>
      </c>
      <c r="CI51" s="208">
        <f>IF($CE51=1,$CF51*'Verwerking Bouwdelen'!DN35,$CF51*'Verwerking Bouwdelen'!V35)</f>
        <v>0</v>
      </c>
      <c r="CJ51" s="208">
        <f>IF($CE51=1,$CF51*'Verwerking Bouwdelen'!DO35,$CF51*'Verwerking Bouwdelen'!W35)</f>
        <v>0</v>
      </c>
      <c r="CK51" s="208">
        <f>IF($CE51=1,$CF51*'Verwerking Bouwdelen'!DP35,$CF51*'Verwerking Bouwdelen'!X35)</f>
        <v>0</v>
      </c>
      <c r="CL51" s="208">
        <f>IF($CE51=1,$CF51*'Verwerking Bouwdelen'!DQ35,$CF51*'Verwerking Bouwdelen'!Y35)</f>
        <v>0</v>
      </c>
      <c r="CM51" s="208">
        <f>IF($CE51=1,$CF51*'Verwerking Bouwdelen'!DR35,$CF51*'Verwerking Bouwdelen'!Z35)</f>
        <v>0</v>
      </c>
      <c r="CN51" s="208">
        <f>IF($CE51=1,$CF51*'Verwerking Bouwdelen'!DS35,$CF51*'Verwerking Bouwdelen'!AA35)</f>
        <v>0</v>
      </c>
      <c r="CO51" s="208">
        <f>IF($CE51=1,$CF51*'Verwerking Bouwdelen'!DT35,$CF51*'Verwerking Bouwdelen'!AB35)</f>
        <v>0</v>
      </c>
      <c r="CP51" s="208">
        <f>IF($CE51=1,$CF51*'Verwerking Bouwdelen'!DU35,$CF51*'Verwerking Bouwdelen'!AC35)</f>
        <v>0</v>
      </c>
      <c r="CQ51" s="208">
        <f>IF($CE51=1,$CF51*'Verwerking Bouwdelen'!DV35,$CF51*'Verwerking Bouwdelen'!AD35)</f>
        <v>0</v>
      </c>
      <c r="CR51" s="208">
        <f>IF($CE51=1,$CF51*'Verwerking Bouwdelen'!DW35,$CF51*'Verwerking Bouwdelen'!AE35)</f>
        <v>0</v>
      </c>
      <c r="CS51" s="10">
        <f>IF(CG51=$B51,0,('Verwerking Bouwdelen'!$D35-'Verwerking Bouwdelen'!G35)*CE51*CF51)</f>
        <v>0</v>
      </c>
      <c r="CT51" s="260">
        <f>CE51*CF51*'Verwerking Bouwdelen'!GH35</f>
        <v>0</v>
      </c>
      <c r="CU51" s="261">
        <f>CE51*CF51*'Verwerking Bouwdelen'!GI35</f>
        <v>0</v>
      </c>
      <c r="CW51" s="209">
        <f>$AC51*'Verwerking Bouwdelen'!EE35</f>
        <v>0</v>
      </c>
      <c r="CX51" s="209">
        <f>$AC51*'Verwerking Bouwdelen'!EF35</f>
        <v>0</v>
      </c>
      <c r="CY51" s="209">
        <f>$AC51*'Verwerking Bouwdelen'!EG35</f>
        <v>0</v>
      </c>
      <c r="CZ51" s="209">
        <f>$AC51*'Verwerking Bouwdelen'!EH35</f>
        <v>0</v>
      </c>
      <c r="DA51" s="209">
        <f>$AC51*'Verwerking Bouwdelen'!EI35</f>
        <v>0</v>
      </c>
      <c r="DB51" s="209">
        <f>$AC51*'Verwerking Bouwdelen'!EJ35</f>
        <v>0</v>
      </c>
      <c r="DC51" s="209">
        <f>$AC51*'Verwerking Bouwdelen'!EK35</f>
        <v>0</v>
      </c>
      <c r="DD51" s="209">
        <f>$AC51*'Verwerking Bouwdelen'!EL35</f>
        <v>0</v>
      </c>
      <c r="DE51" s="209">
        <f>$AC51*'Verwerking Bouwdelen'!EM35</f>
        <v>0</v>
      </c>
      <c r="DF51" s="209">
        <f>$AC51*'Verwerking Bouwdelen'!EN35</f>
        <v>0</v>
      </c>
      <c r="DG51" s="209">
        <f>$AC51*'Verwerking Bouwdelen'!EO35</f>
        <v>0</v>
      </c>
      <c r="DH51" s="209">
        <f>$AC51*'Verwerking Bouwdelen'!EP35</f>
        <v>0</v>
      </c>
      <c r="DI51" s="10">
        <f>IF(CW51=$O51,0,'Verwerking Bouwdelen'!G35)</f>
        <v>0</v>
      </c>
      <c r="DJ51" s="259">
        <f>'Verwerking Bouwdelen'!GK35*CF51</f>
        <v>0</v>
      </c>
      <c r="DK51" s="259">
        <f>'Verwerking Bouwdelen'!GL35*CF51</f>
        <v>0</v>
      </c>
      <c r="DL51" s="125"/>
      <c r="GM51" s="89">
        <f t="shared" si="13"/>
        <v>0</v>
      </c>
      <c r="GN51" s="89">
        <f t="shared" si="14"/>
        <v>0</v>
      </c>
      <c r="GO51" s="208">
        <f>IF($GN51=1,$GN51*$GM51*'Verwerking Bouwdelen'!DL35,$GN51*$GM51*'Verwerking Bouwdelen'!T35)</f>
        <v>0</v>
      </c>
      <c r="GP51" s="208">
        <f>IF($GN51=1,$GN51*$GM51*'Verwerking Bouwdelen'!DM35,$GN51*$GM51*'Verwerking Bouwdelen'!U35)</f>
        <v>0</v>
      </c>
      <c r="GQ51" s="208">
        <f>IF($GN51=1,$GN51*$GM51*'Verwerking Bouwdelen'!DN35,$GN51*$GM51*'Verwerking Bouwdelen'!V35)</f>
        <v>0</v>
      </c>
      <c r="GR51" s="208">
        <f>IF($GN51=1,$GN51*$GM51*'Verwerking Bouwdelen'!DO35,$GN51*$GM51*'Verwerking Bouwdelen'!W35)</f>
        <v>0</v>
      </c>
      <c r="GS51" s="208">
        <f>IF($GN51=1,$GN51*$GM51*'Verwerking Bouwdelen'!DP35,$GN51*$GM51*'Verwerking Bouwdelen'!X35)</f>
        <v>0</v>
      </c>
      <c r="GT51" s="208">
        <f>IF($GN51=1,$GN51*$GM51*'Verwerking Bouwdelen'!DQ35,$GN51*$GM51*'Verwerking Bouwdelen'!Y35)</f>
        <v>0</v>
      </c>
      <c r="GU51" s="208">
        <f>IF($GN51=1,$GN51*$GM51*'Verwerking Bouwdelen'!DR35,$GN51*$GM51*'Verwerking Bouwdelen'!Z35)</f>
        <v>0</v>
      </c>
      <c r="GV51" s="208">
        <f>IF($GN51=1,$GN51*$GM51*'Verwerking Bouwdelen'!DS35,$GN51*$GM51*'Verwerking Bouwdelen'!AA35)</f>
        <v>0</v>
      </c>
      <c r="GW51" s="208">
        <f>IF($GN51=1,$GN51*$GM51*'Verwerking Bouwdelen'!DT35,$GN51*$GM51*'Verwerking Bouwdelen'!AB35)</f>
        <v>0</v>
      </c>
      <c r="GX51" s="208">
        <f>IF($GN51=1,$GN51*$GM51*'Verwerking Bouwdelen'!DU35,$GN51*$GM51*'Verwerking Bouwdelen'!AC35)</f>
        <v>0</v>
      </c>
      <c r="GY51" s="208">
        <f>IF($GN51=1,$GN51*$GM51*'Verwerking Bouwdelen'!DV35,$GN51*$GM51*'Verwerking Bouwdelen'!AD35)</f>
        <v>0</v>
      </c>
      <c r="GZ51" s="208">
        <f>IF($GN51=1,$GN51*$GM51*'Verwerking Bouwdelen'!DW35,$GN51*$GM51*'Verwerking Bouwdelen'!AE35)</f>
        <v>0</v>
      </c>
      <c r="HB51" s="89">
        <f t="shared" si="16"/>
        <v>0</v>
      </c>
      <c r="HC51" s="89">
        <f t="shared" si="17"/>
        <v>0</v>
      </c>
      <c r="HD51" s="89">
        <f t="shared" si="18"/>
        <v>0</v>
      </c>
      <c r="HE51" s="89">
        <f t="shared" si="19"/>
        <v>0</v>
      </c>
      <c r="HF51" s="89">
        <f t="shared" si="19"/>
        <v>0</v>
      </c>
      <c r="HG51" s="89">
        <f t="shared" si="19"/>
        <v>0</v>
      </c>
      <c r="HH51" s="89">
        <f t="shared" si="19"/>
        <v>0</v>
      </c>
      <c r="HI51" s="89">
        <f t="shared" si="19"/>
        <v>0</v>
      </c>
      <c r="HJ51" s="89">
        <f t="shared" si="19"/>
        <v>0</v>
      </c>
      <c r="HK51" s="89">
        <f t="shared" si="19"/>
        <v>0</v>
      </c>
      <c r="HL51" s="89">
        <f t="shared" si="19"/>
        <v>0</v>
      </c>
      <c r="HM51" s="89">
        <f t="shared" si="19"/>
        <v>0</v>
      </c>
    </row>
    <row r="52" spans="1:221" x14ac:dyDescent="0.2">
      <c r="A52" s="130">
        <f>IF('Verwerking Bouwdelen'!A36=3,1,0)</f>
        <v>0</v>
      </c>
      <c r="B52" s="208">
        <f>$A52*'Verwerking Bouwdelen'!T36</f>
        <v>0</v>
      </c>
      <c r="C52" s="208">
        <f>$A52*'Verwerking Bouwdelen'!U36</f>
        <v>0</v>
      </c>
      <c r="D52" s="208">
        <f>$A52*'Verwerking Bouwdelen'!V36</f>
        <v>0</v>
      </c>
      <c r="E52" s="208">
        <f>$A52*'Verwerking Bouwdelen'!W36</f>
        <v>0</v>
      </c>
      <c r="F52" s="208">
        <f>$A52*'Verwerking Bouwdelen'!X36</f>
        <v>0</v>
      </c>
      <c r="G52" s="208">
        <f>$A52*'Verwerking Bouwdelen'!Y36</f>
        <v>0</v>
      </c>
      <c r="H52" s="208">
        <f>$A52*'Verwerking Bouwdelen'!Z36</f>
        <v>0</v>
      </c>
      <c r="I52" s="208">
        <f>$A52*'Verwerking Bouwdelen'!AA36</f>
        <v>0</v>
      </c>
      <c r="J52" s="208">
        <f>$A52*'Verwerking Bouwdelen'!AB36</f>
        <v>0</v>
      </c>
      <c r="K52" s="208">
        <f>$A52*'Verwerking Bouwdelen'!AC36</f>
        <v>0</v>
      </c>
      <c r="L52" s="208">
        <f>$A52*'Verwerking Bouwdelen'!AD36</f>
        <v>0</v>
      </c>
      <c r="M52" s="208">
        <f>$A52*'Verwerking Bouwdelen'!AE36</f>
        <v>0</v>
      </c>
      <c r="O52" s="114">
        <f>$A52*'Verwerking Bouwdelen'!AU36</f>
        <v>0</v>
      </c>
      <c r="P52" s="125">
        <f>$A52*'Verwerking Bouwdelen'!AV36</f>
        <v>0</v>
      </c>
      <c r="Q52" s="125">
        <f>$A52*'Verwerking Bouwdelen'!AW36</f>
        <v>0</v>
      </c>
      <c r="R52" s="125">
        <f>$A52*'Verwerking Bouwdelen'!AX36</f>
        <v>0</v>
      </c>
      <c r="S52" s="125">
        <f>$A52*'Verwerking Bouwdelen'!AY36</f>
        <v>0</v>
      </c>
      <c r="T52" s="125">
        <f>$A52*'Verwerking Bouwdelen'!AZ36</f>
        <v>0</v>
      </c>
      <c r="U52" s="125">
        <f>$A52*'Verwerking Bouwdelen'!BA36</f>
        <v>0</v>
      </c>
      <c r="V52" s="125">
        <f>$A52*'Verwerking Bouwdelen'!BB36</f>
        <v>0</v>
      </c>
      <c r="W52" s="125">
        <f>$A52*'Verwerking Bouwdelen'!BC36</f>
        <v>0</v>
      </c>
      <c r="X52" s="125">
        <f>$A52*'Verwerking Bouwdelen'!BD36</f>
        <v>0</v>
      </c>
      <c r="Y52" s="125">
        <f>$A52*'Verwerking Bouwdelen'!BE36</f>
        <v>0</v>
      </c>
      <c r="Z52" s="195">
        <f>$A52*'Verwerking Bouwdelen'!BF36</f>
        <v>0</v>
      </c>
      <c r="AB52" s="125">
        <f>IF(OR('Verwerking Bouwdelen'!C36=3,'Verwerking Bouwdelen'!C36=6),1,0)</f>
        <v>0</v>
      </c>
      <c r="AC52" s="130">
        <f>IF('Verwerking Bouwdelen'!A36=3,1,0)</f>
        <v>0</v>
      </c>
      <c r="AD52" s="208">
        <f>IF($AB52=1,$AC52*'Verwerking Bouwdelen'!DL36,$AC52*'Verwerking Bouwdelen'!T36)</f>
        <v>0</v>
      </c>
      <c r="AE52" s="208">
        <f>IF($AB52=1,$AC52*'Verwerking Bouwdelen'!DM36,$AC52*'Verwerking Bouwdelen'!U36)</f>
        <v>0</v>
      </c>
      <c r="AF52" s="208">
        <f>IF($AB52=1,$AC52*'Verwerking Bouwdelen'!DN36,$AC52*'Verwerking Bouwdelen'!V36)</f>
        <v>0</v>
      </c>
      <c r="AG52" s="208">
        <f>IF($AB52=1,$AC52*'Verwerking Bouwdelen'!DO36,$AC52*'Verwerking Bouwdelen'!W36)</f>
        <v>0</v>
      </c>
      <c r="AH52" s="208">
        <f>IF($AB52=1,$AC52*'Verwerking Bouwdelen'!DP36,$AC52*'Verwerking Bouwdelen'!X36)</f>
        <v>0</v>
      </c>
      <c r="AI52" s="208">
        <f>IF($AB52=1,$AC52*'Verwerking Bouwdelen'!DQ36,$AC52*'Verwerking Bouwdelen'!Y36)</f>
        <v>0</v>
      </c>
      <c r="AJ52" s="208">
        <f>IF($AB52=1,$AC52*'Verwerking Bouwdelen'!DR36,$AC52*'Verwerking Bouwdelen'!Z36)</f>
        <v>0</v>
      </c>
      <c r="AK52" s="208">
        <f>IF($AB52=1,$AC52*'Verwerking Bouwdelen'!DS36,$AC52*'Verwerking Bouwdelen'!AA36)</f>
        <v>0</v>
      </c>
      <c r="AL52" s="208">
        <f>IF($AB52=1,$AC52*'Verwerking Bouwdelen'!DT36,$AC52*'Verwerking Bouwdelen'!AB36)</f>
        <v>0</v>
      </c>
      <c r="AM52" s="208">
        <f>IF($AB52=1,$AC52*'Verwerking Bouwdelen'!DU36,$AC52*'Verwerking Bouwdelen'!AC36)</f>
        <v>0</v>
      </c>
      <c r="AN52" s="208">
        <f>IF($AB52=1,$AC52*'Verwerking Bouwdelen'!DV36,$AC52*'Verwerking Bouwdelen'!AD36)</f>
        <v>0</v>
      </c>
      <c r="AO52" s="208">
        <f>IF($AB52=1,$AC52*'Verwerking Bouwdelen'!DW36,$AC52*'Verwerking Bouwdelen'!AE36)</f>
        <v>0</v>
      </c>
      <c r="AP52" s="10">
        <f>IF(AD52=B52,0,'Verwerking Bouwdelen'!D36*AB52*AC52)</f>
        <v>0</v>
      </c>
      <c r="AQ52" s="10">
        <f>AB52*AC52*'Verwerking Bouwdelen'!GH36</f>
        <v>0</v>
      </c>
      <c r="AR52" s="10"/>
      <c r="AS52" s="248"/>
      <c r="AT52" s="125">
        <f>IF('Verwerking Bouwdelen'!C36=4,1,0)</f>
        <v>0</v>
      </c>
      <c r="AU52" s="130">
        <f>IF('Verwerking Bouwdelen'!A36=3,1,0)</f>
        <v>0</v>
      </c>
      <c r="AV52" s="208">
        <f>IF($AT52=1,$AU52*'Verwerking Bouwdelen'!DL36,$AU52*'Verwerking Bouwdelen'!T36)</f>
        <v>0</v>
      </c>
      <c r="AW52" s="208">
        <f>IF($AT52=1,$AU52*'Verwerking Bouwdelen'!DM36,$AU52*'Verwerking Bouwdelen'!U36)</f>
        <v>0</v>
      </c>
      <c r="AX52" s="208">
        <f>IF($AT52=1,$AU52*'Verwerking Bouwdelen'!DN36,$AU52*'Verwerking Bouwdelen'!V36)</f>
        <v>0</v>
      </c>
      <c r="AY52" s="208">
        <f>IF($AT52=1,$AU52*'Verwerking Bouwdelen'!DO36,$AU52*'Verwerking Bouwdelen'!W36)</f>
        <v>0</v>
      </c>
      <c r="AZ52" s="208">
        <f>IF($AT52=1,$AU52*'Verwerking Bouwdelen'!DP36,$AU52*'Verwerking Bouwdelen'!X36)</f>
        <v>0</v>
      </c>
      <c r="BA52" s="208">
        <f>IF($AT52=1,$AU52*'Verwerking Bouwdelen'!DQ36,$AU52*'Verwerking Bouwdelen'!Y36)</f>
        <v>0</v>
      </c>
      <c r="BB52" s="208">
        <f>IF($AT52=1,$AU52*'Verwerking Bouwdelen'!DR36,$AU52*'Verwerking Bouwdelen'!Z36)</f>
        <v>0</v>
      </c>
      <c r="BC52" s="208">
        <f>IF($AT52=1,$AU52*'Verwerking Bouwdelen'!DS36,$AU52*'Verwerking Bouwdelen'!AA36)</f>
        <v>0</v>
      </c>
      <c r="BD52" s="208">
        <f>IF($AT52=1,$AU52*'Verwerking Bouwdelen'!DT36,$AU52*'Verwerking Bouwdelen'!AB36)</f>
        <v>0</v>
      </c>
      <c r="BE52" s="208">
        <f>IF($AT52=1,$AU52*'Verwerking Bouwdelen'!DU36,$AU52*'Verwerking Bouwdelen'!AC36)</f>
        <v>0</v>
      </c>
      <c r="BF52" s="208">
        <f>IF($AT52=1,$AU52*'Verwerking Bouwdelen'!DV36,$AU52*'Verwerking Bouwdelen'!AD36)</f>
        <v>0</v>
      </c>
      <c r="BG52" s="208">
        <f>IF($AT52=1,$AU52*'Verwerking Bouwdelen'!DW36,$AU52*'Verwerking Bouwdelen'!AE36)</f>
        <v>0</v>
      </c>
      <c r="BH52" s="10">
        <f>IF(AV52=B52,0,'Verwerking Bouwdelen'!D36*AT52*AU52)</f>
        <v>0</v>
      </c>
      <c r="BI52" s="10">
        <f>AT52*AU52*'Verwerking Bouwdelen'!GH36</f>
        <v>0</v>
      </c>
      <c r="BJ52" s="10"/>
      <c r="BK52" s="10"/>
      <c r="BM52" s="125">
        <f>IF('Verwerking Bouwdelen'!C36=5,1,0)</f>
        <v>0</v>
      </c>
      <c r="BN52" s="130">
        <f>IF('Verwerking Bouwdelen'!A36=3,1,0)</f>
        <v>0</v>
      </c>
      <c r="BO52" s="208">
        <f>IF($BM52=1,$BN52*'Verwerking Bouwdelen'!DL36,$BN52*'Verwerking Bouwdelen'!T36)</f>
        <v>0</v>
      </c>
      <c r="BP52" s="208">
        <f>IF($BM52=1,$BN52*'Verwerking Bouwdelen'!DM36,$BN52*'Verwerking Bouwdelen'!U36)</f>
        <v>0</v>
      </c>
      <c r="BQ52" s="208">
        <f>IF($BM52=1,$BN52*'Verwerking Bouwdelen'!DN36,$BN52*'Verwerking Bouwdelen'!V36)</f>
        <v>0</v>
      </c>
      <c r="BR52" s="208">
        <f>IF($BM52=1,$BN52*'Verwerking Bouwdelen'!DO36,$BN52*'Verwerking Bouwdelen'!W36)</f>
        <v>0</v>
      </c>
      <c r="BS52" s="208">
        <f>IF($BM52=1,$BN52*'Verwerking Bouwdelen'!DP36,$BN52*'Verwerking Bouwdelen'!X36)</f>
        <v>0</v>
      </c>
      <c r="BT52" s="208">
        <f>IF($BM52=1,$BN52*'Verwerking Bouwdelen'!DQ36,$BN52*'Verwerking Bouwdelen'!Y36)</f>
        <v>0</v>
      </c>
      <c r="BU52" s="208">
        <f>IF($BM52=1,$BN52*'Verwerking Bouwdelen'!DR36,$BN52*'Verwerking Bouwdelen'!Z36)</f>
        <v>0</v>
      </c>
      <c r="BV52" s="208">
        <f>IF($BM52=1,$BN52*'Verwerking Bouwdelen'!DS36,$BN52*'Verwerking Bouwdelen'!AA36)</f>
        <v>0</v>
      </c>
      <c r="BW52" s="208">
        <f>IF($BM52=1,$BN52*'Verwerking Bouwdelen'!DT36,$BN52*'Verwerking Bouwdelen'!AB36)</f>
        <v>0</v>
      </c>
      <c r="BX52" s="208">
        <f>IF($BM52=1,$BN52*'Verwerking Bouwdelen'!DU36,$BN52*'Verwerking Bouwdelen'!AC36)</f>
        <v>0</v>
      </c>
      <c r="BY52" s="208">
        <f>IF($BM52=1,$BN52*'Verwerking Bouwdelen'!DV36,$BN52*'Verwerking Bouwdelen'!AD36)</f>
        <v>0</v>
      </c>
      <c r="BZ52" s="208">
        <f>IF($BM52=1,$BN52*'Verwerking Bouwdelen'!DW36,$BN52*'Verwerking Bouwdelen'!AE36)</f>
        <v>0</v>
      </c>
      <c r="CA52" s="10">
        <f>IF(BO52=$B52,0,'Verwerking Bouwdelen'!$D36*BM52*BN52)</f>
        <v>0</v>
      </c>
      <c r="CB52" s="10">
        <f>BM52*BN52*'Verwerking Bouwdelen'!GH36</f>
        <v>0</v>
      </c>
      <c r="CC52" s="10"/>
      <c r="CD52" s="248"/>
      <c r="CE52" s="125">
        <f>IF('Verwerking Bouwdelen'!C36=2,1,0)</f>
        <v>0</v>
      </c>
      <c r="CF52" s="130">
        <f>IF('Verwerking Bouwdelen'!A36=3,1,0)</f>
        <v>0</v>
      </c>
      <c r="CG52" s="208">
        <f>IF($CE52=1,$CF52*'Verwerking Bouwdelen'!DL36,$CF52*'Verwerking Bouwdelen'!T36)</f>
        <v>0</v>
      </c>
      <c r="CH52" s="208">
        <f>IF($CE52=1,$CF52*'Verwerking Bouwdelen'!DM36,$CF52*'Verwerking Bouwdelen'!U36)</f>
        <v>0</v>
      </c>
      <c r="CI52" s="208">
        <f>IF($CE52=1,$CF52*'Verwerking Bouwdelen'!DN36,$CF52*'Verwerking Bouwdelen'!V36)</f>
        <v>0</v>
      </c>
      <c r="CJ52" s="208">
        <f>IF($CE52=1,$CF52*'Verwerking Bouwdelen'!DO36,$CF52*'Verwerking Bouwdelen'!W36)</f>
        <v>0</v>
      </c>
      <c r="CK52" s="208">
        <f>IF($CE52=1,$CF52*'Verwerking Bouwdelen'!DP36,$CF52*'Verwerking Bouwdelen'!X36)</f>
        <v>0</v>
      </c>
      <c r="CL52" s="208">
        <f>IF($CE52=1,$CF52*'Verwerking Bouwdelen'!DQ36,$CF52*'Verwerking Bouwdelen'!Y36)</f>
        <v>0</v>
      </c>
      <c r="CM52" s="208">
        <f>IF($CE52=1,$CF52*'Verwerking Bouwdelen'!DR36,$CF52*'Verwerking Bouwdelen'!Z36)</f>
        <v>0</v>
      </c>
      <c r="CN52" s="208">
        <f>IF($CE52=1,$CF52*'Verwerking Bouwdelen'!DS36,$CF52*'Verwerking Bouwdelen'!AA36)</f>
        <v>0</v>
      </c>
      <c r="CO52" s="208">
        <f>IF($CE52=1,$CF52*'Verwerking Bouwdelen'!DT36,$CF52*'Verwerking Bouwdelen'!AB36)</f>
        <v>0</v>
      </c>
      <c r="CP52" s="208">
        <f>IF($CE52=1,$CF52*'Verwerking Bouwdelen'!DU36,$CF52*'Verwerking Bouwdelen'!AC36)</f>
        <v>0</v>
      </c>
      <c r="CQ52" s="208">
        <f>IF($CE52=1,$CF52*'Verwerking Bouwdelen'!DV36,$CF52*'Verwerking Bouwdelen'!AD36)</f>
        <v>0</v>
      </c>
      <c r="CR52" s="208">
        <f>IF($CE52=1,$CF52*'Verwerking Bouwdelen'!DW36,$CF52*'Verwerking Bouwdelen'!AE36)</f>
        <v>0</v>
      </c>
      <c r="CS52" s="10">
        <f>IF(CG52=$B52,0,('Verwerking Bouwdelen'!$D36-'Verwerking Bouwdelen'!G36)*CE52*CF52)</f>
        <v>0</v>
      </c>
      <c r="CT52" s="260">
        <f>CE52*CF52*'Verwerking Bouwdelen'!GH36</f>
        <v>0</v>
      </c>
      <c r="CU52" s="261">
        <f>CE52*CF52*'Verwerking Bouwdelen'!GI36</f>
        <v>0</v>
      </c>
      <c r="CW52" s="209">
        <f>$AC52*'Verwerking Bouwdelen'!EE36</f>
        <v>0</v>
      </c>
      <c r="CX52" s="209">
        <f>$AC52*'Verwerking Bouwdelen'!EF36</f>
        <v>0</v>
      </c>
      <c r="CY52" s="209">
        <f>$AC52*'Verwerking Bouwdelen'!EG36</f>
        <v>0</v>
      </c>
      <c r="CZ52" s="209">
        <f>$AC52*'Verwerking Bouwdelen'!EH36</f>
        <v>0</v>
      </c>
      <c r="DA52" s="209">
        <f>$AC52*'Verwerking Bouwdelen'!EI36</f>
        <v>0</v>
      </c>
      <c r="DB52" s="209">
        <f>$AC52*'Verwerking Bouwdelen'!EJ36</f>
        <v>0</v>
      </c>
      <c r="DC52" s="209">
        <f>$AC52*'Verwerking Bouwdelen'!EK36</f>
        <v>0</v>
      </c>
      <c r="DD52" s="209">
        <f>$AC52*'Verwerking Bouwdelen'!EL36</f>
        <v>0</v>
      </c>
      <c r="DE52" s="209">
        <f>$AC52*'Verwerking Bouwdelen'!EM36</f>
        <v>0</v>
      </c>
      <c r="DF52" s="209">
        <f>$AC52*'Verwerking Bouwdelen'!EN36</f>
        <v>0</v>
      </c>
      <c r="DG52" s="209">
        <f>$AC52*'Verwerking Bouwdelen'!EO36</f>
        <v>0</v>
      </c>
      <c r="DH52" s="209">
        <f>$AC52*'Verwerking Bouwdelen'!EP36</f>
        <v>0</v>
      </c>
      <c r="DI52" s="10">
        <f>IF(CW52=$O52,0,'Verwerking Bouwdelen'!G36)</f>
        <v>0</v>
      </c>
      <c r="DJ52" s="259">
        <f>'Verwerking Bouwdelen'!GK36*CF52</f>
        <v>0</v>
      </c>
      <c r="DK52" s="259">
        <f>'Verwerking Bouwdelen'!GL36*CF52</f>
        <v>0</v>
      </c>
      <c r="DL52" s="125"/>
      <c r="GM52" s="89">
        <f t="shared" si="13"/>
        <v>0</v>
      </c>
      <c r="GN52" s="89">
        <f t="shared" si="14"/>
        <v>0</v>
      </c>
      <c r="GO52" s="208">
        <f>IF($GN52=1,$GN52*$GM52*'Verwerking Bouwdelen'!DL36,$GN52*$GM52*'Verwerking Bouwdelen'!T36)</f>
        <v>0</v>
      </c>
      <c r="GP52" s="208">
        <f>IF($GN52=1,$GN52*$GM52*'Verwerking Bouwdelen'!DM36,$GN52*$GM52*'Verwerking Bouwdelen'!U36)</f>
        <v>0</v>
      </c>
      <c r="GQ52" s="208">
        <f>IF($GN52=1,$GN52*$GM52*'Verwerking Bouwdelen'!DN36,$GN52*$GM52*'Verwerking Bouwdelen'!V36)</f>
        <v>0</v>
      </c>
      <c r="GR52" s="208">
        <f>IF($GN52=1,$GN52*$GM52*'Verwerking Bouwdelen'!DO36,$GN52*$GM52*'Verwerking Bouwdelen'!W36)</f>
        <v>0</v>
      </c>
      <c r="GS52" s="208">
        <f>IF($GN52=1,$GN52*$GM52*'Verwerking Bouwdelen'!DP36,$GN52*$GM52*'Verwerking Bouwdelen'!X36)</f>
        <v>0</v>
      </c>
      <c r="GT52" s="208">
        <f>IF($GN52=1,$GN52*$GM52*'Verwerking Bouwdelen'!DQ36,$GN52*$GM52*'Verwerking Bouwdelen'!Y36)</f>
        <v>0</v>
      </c>
      <c r="GU52" s="208">
        <f>IF($GN52=1,$GN52*$GM52*'Verwerking Bouwdelen'!DR36,$GN52*$GM52*'Verwerking Bouwdelen'!Z36)</f>
        <v>0</v>
      </c>
      <c r="GV52" s="208">
        <f>IF($GN52=1,$GN52*$GM52*'Verwerking Bouwdelen'!DS36,$GN52*$GM52*'Verwerking Bouwdelen'!AA36)</f>
        <v>0</v>
      </c>
      <c r="GW52" s="208">
        <f>IF($GN52=1,$GN52*$GM52*'Verwerking Bouwdelen'!DT36,$GN52*$GM52*'Verwerking Bouwdelen'!AB36)</f>
        <v>0</v>
      </c>
      <c r="GX52" s="208">
        <f>IF($GN52=1,$GN52*$GM52*'Verwerking Bouwdelen'!DU36,$GN52*$GM52*'Verwerking Bouwdelen'!AC36)</f>
        <v>0</v>
      </c>
      <c r="GY52" s="208">
        <f>IF($GN52=1,$GN52*$GM52*'Verwerking Bouwdelen'!DV36,$GN52*$GM52*'Verwerking Bouwdelen'!AD36)</f>
        <v>0</v>
      </c>
      <c r="GZ52" s="208">
        <f>IF($GN52=1,$GN52*$GM52*'Verwerking Bouwdelen'!DW36,$GN52*$GM52*'Verwerking Bouwdelen'!AE36)</f>
        <v>0</v>
      </c>
      <c r="HB52" s="89">
        <f t="shared" si="16"/>
        <v>0</v>
      </c>
      <c r="HC52" s="89">
        <f t="shared" si="17"/>
        <v>0</v>
      </c>
      <c r="HD52" s="89">
        <f t="shared" si="18"/>
        <v>0</v>
      </c>
      <c r="HE52" s="89">
        <f t="shared" si="19"/>
        <v>0</v>
      </c>
      <c r="HF52" s="89">
        <f t="shared" si="19"/>
        <v>0</v>
      </c>
      <c r="HG52" s="89">
        <f t="shared" si="19"/>
        <v>0</v>
      </c>
      <c r="HH52" s="89">
        <f t="shared" si="19"/>
        <v>0</v>
      </c>
      <c r="HI52" s="89">
        <f t="shared" si="19"/>
        <v>0</v>
      </c>
      <c r="HJ52" s="89">
        <f t="shared" si="19"/>
        <v>0</v>
      </c>
      <c r="HK52" s="89">
        <f t="shared" si="19"/>
        <v>0</v>
      </c>
      <c r="HL52" s="89">
        <f t="shared" si="19"/>
        <v>0</v>
      </c>
      <c r="HM52" s="89">
        <f t="shared" si="19"/>
        <v>0</v>
      </c>
    </row>
    <row r="53" spans="1:221" x14ac:dyDescent="0.2">
      <c r="A53" s="130">
        <f>IF('Verwerking Bouwdelen'!A37=3,1,0)</f>
        <v>0</v>
      </c>
      <c r="B53" s="208">
        <f>$A53*'Verwerking Bouwdelen'!T37</f>
        <v>0</v>
      </c>
      <c r="C53" s="208">
        <f>$A53*'Verwerking Bouwdelen'!U37</f>
        <v>0</v>
      </c>
      <c r="D53" s="208">
        <f>$A53*'Verwerking Bouwdelen'!V37</f>
        <v>0</v>
      </c>
      <c r="E53" s="208">
        <f>$A53*'Verwerking Bouwdelen'!W37</f>
        <v>0</v>
      </c>
      <c r="F53" s="208">
        <f>$A53*'Verwerking Bouwdelen'!X37</f>
        <v>0</v>
      </c>
      <c r="G53" s="208">
        <f>$A53*'Verwerking Bouwdelen'!Y37</f>
        <v>0</v>
      </c>
      <c r="H53" s="208">
        <f>$A53*'Verwerking Bouwdelen'!Z37</f>
        <v>0</v>
      </c>
      <c r="I53" s="208">
        <f>$A53*'Verwerking Bouwdelen'!AA37</f>
        <v>0</v>
      </c>
      <c r="J53" s="208">
        <f>$A53*'Verwerking Bouwdelen'!AB37</f>
        <v>0</v>
      </c>
      <c r="K53" s="208">
        <f>$A53*'Verwerking Bouwdelen'!AC37</f>
        <v>0</v>
      </c>
      <c r="L53" s="208">
        <f>$A53*'Verwerking Bouwdelen'!AD37</f>
        <v>0</v>
      </c>
      <c r="M53" s="208">
        <f>$A53*'Verwerking Bouwdelen'!AE37</f>
        <v>0</v>
      </c>
      <c r="O53" s="114">
        <f>$A53*'Verwerking Bouwdelen'!AU37</f>
        <v>0</v>
      </c>
      <c r="P53" s="125">
        <f>$A53*'Verwerking Bouwdelen'!AV37</f>
        <v>0</v>
      </c>
      <c r="Q53" s="125">
        <f>$A53*'Verwerking Bouwdelen'!AW37</f>
        <v>0</v>
      </c>
      <c r="R53" s="125">
        <f>$A53*'Verwerking Bouwdelen'!AX37</f>
        <v>0</v>
      </c>
      <c r="S53" s="125">
        <f>$A53*'Verwerking Bouwdelen'!AY37</f>
        <v>0</v>
      </c>
      <c r="T53" s="125">
        <f>$A53*'Verwerking Bouwdelen'!AZ37</f>
        <v>0</v>
      </c>
      <c r="U53" s="125">
        <f>$A53*'Verwerking Bouwdelen'!BA37</f>
        <v>0</v>
      </c>
      <c r="V53" s="125">
        <f>$A53*'Verwerking Bouwdelen'!BB37</f>
        <v>0</v>
      </c>
      <c r="W53" s="125">
        <f>$A53*'Verwerking Bouwdelen'!BC37</f>
        <v>0</v>
      </c>
      <c r="X53" s="125">
        <f>$A53*'Verwerking Bouwdelen'!BD37</f>
        <v>0</v>
      </c>
      <c r="Y53" s="125">
        <f>$A53*'Verwerking Bouwdelen'!BE37</f>
        <v>0</v>
      </c>
      <c r="Z53" s="195">
        <f>$A53*'Verwerking Bouwdelen'!BF37</f>
        <v>0</v>
      </c>
      <c r="AB53" s="125">
        <f>IF(OR('Verwerking Bouwdelen'!C37=3,'Verwerking Bouwdelen'!C37=6),1,0)</f>
        <v>0</v>
      </c>
      <c r="AC53" s="130">
        <f>IF('Verwerking Bouwdelen'!A37=3,1,0)</f>
        <v>0</v>
      </c>
      <c r="AD53" s="208">
        <f>IF($AB53=1,$AC53*'Verwerking Bouwdelen'!DL37,$AC53*'Verwerking Bouwdelen'!T37)</f>
        <v>0</v>
      </c>
      <c r="AE53" s="208">
        <f>IF($AB53=1,$AC53*'Verwerking Bouwdelen'!DM37,$AC53*'Verwerking Bouwdelen'!U37)</f>
        <v>0</v>
      </c>
      <c r="AF53" s="208">
        <f>IF($AB53=1,$AC53*'Verwerking Bouwdelen'!DN37,$AC53*'Verwerking Bouwdelen'!V37)</f>
        <v>0</v>
      </c>
      <c r="AG53" s="208">
        <f>IF($AB53=1,$AC53*'Verwerking Bouwdelen'!DO37,$AC53*'Verwerking Bouwdelen'!W37)</f>
        <v>0</v>
      </c>
      <c r="AH53" s="208">
        <f>IF($AB53=1,$AC53*'Verwerking Bouwdelen'!DP37,$AC53*'Verwerking Bouwdelen'!X37)</f>
        <v>0</v>
      </c>
      <c r="AI53" s="208">
        <f>IF($AB53=1,$AC53*'Verwerking Bouwdelen'!DQ37,$AC53*'Verwerking Bouwdelen'!Y37)</f>
        <v>0</v>
      </c>
      <c r="AJ53" s="208">
        <f>IF($AB53=1,$AC53*'Verwerking Bouwdelen'!DR37,$AC53*'Verwerking Bouwdelen'!Z37)</f>
        <v>0</v>
      </c>
      <c r="AK53" s="208">
        <f>IF($AB53=1,$AC53*'Verwerking Bouwdelen'!DS37,$AC53*'Verwerking Bouwdelen'!AA37)</f>
        <v>0</v>
      </c>
      <c r="AL53" s="208">
        <f>IF($AB53=1,$AC53*'Verwerking Bouwdelen'!DT37,$AC53*'Verwerking Bouwdelen'!AB37)</f>
        <v>0</v>
      </c>
      <c r="AM53" s="208">
        <f>IF($AB53=1,$AC53*'Verwerking Bouwdelen'!DU37,$AC53*'Verwerking Bouwdelen'!AC37)</f>
        <v>0</v>
      </c>
      <c r="AN53" s="208">
        <f>IF($AB53=1,$AC53*'Verwerking Bouwdelen'!DV37,$AC53*'Verwerking Bouwdelen'!AD37)</f>
        <v>0</v>
      </c>
      <c r="AO53" s="208">
        <f>IF($AB53=1,$AC53*'Verwerking Bouwdelen'!DW37,$AC53*'Verwerking Bouwdelen'!AE37)</f>
        <v>0</v>
      </c>
      <c r="AP53" s="10">
        <f>IF(AD53=B53,0,'Verwerking Bouwdelen'!D37*AB53*AC53)</f>
        <v>0</v>
      </c>
      <c r="AQ53" s="10">
        <f>AB53*AC53*'Verwerking Bouwdelen'!GH37</f>
        <v>0</v>
      </c>
      <c r="AR53" s="10"/>
      <c r="AS53" s="248"/>
      <c r="AT53" s="125">
        <f>IF('Verwerking Bouwdelen'!C37=4,1,0)</f>
        <v>0</v>
      </c>
      <c r="AU53" s="130">
        <f>IF('Verwerking Bouwdelen'!A37=3,1,0)</f>
        <v>0</v>
      </c>
      <c r="AV53" s="208">
        <f>IF($AT53=1,$AU53*'Verwerking Bouwdelen'!DL37,$AU53*'Verwerking Bouwdelen'!T37)</f>
        <v>0</v>
      </c>
      <c r="AW53" s="208">
        <f>IF($AT53=1,$AU53*'Verwerking Bouwdelen'!DM37,$AU53*'Verwerking Bouwdelen'!U37)</f>
        <v>0</v>
      </c>
      <c r="AX53" s="208">
        <f>IF($AT53=1,$AU53*'Verwerking Bouwdelen'!DN37,$AU53*'Verwerking Bouwdelen'!V37)</f>
        <v>0</v>
      </c>
      <c r="AY53" s="208">
        <f>IF($AT53=1,$AU53*'Verwerking Bouwdelen'!DO37,$AU53*'Verwerking Bouwdelen'!W37)</f>
        <v>0</v>
      </c>
      <c r="AZ53" s="208">
        <f>IF($AT53=1,$AU53*'Verwerking Bouwdelen'!DP37,$AU53*'Verwerking Bouwdelen'!X37)</f>
        <v>0</v>
      </c>
      <c r="BA53" s="208">
        <f>IF($AT53=1,$AU53*'Verwerking Bouwdelen'!DQ37,$AU53*'Verwerking Bouwdelen'!Y37)</f>
        <v>0</v>
      </c>
      <c r="BB53" s="208">
        <f>IF($AT53=1,$AU53*'Verwerking Bouwdelen'!DR37,$AU53*'Verwerking Bouwdelen'!Z37)</f>
        <v>0</v>
      </c>
      <c r="BC53" s="208">
        <f>IF($AT53=1,$AU53*'Verwerking Bouwdelen'!DS37,$AU53*'Verwerking Bouwdelen'!AA37)</f>
        <v>0</v>
      </c>
      <c r="BD53" s="208">
        <f>IF($AT53=1,$AU53*'Verwerking Bouwdelen'!DT37,$AU53*'Verwerking Bouwdelen'!AB37)</f>
        <v>0</v>
      </c>
      <c r="BE53" s="208">
        <f>IF($AT53=1,$AU53*'Verwerking Bouwdelen'!DU37,$AU53*'Verwerking Bouwdelen'!AC37)</f>
        <v>0</v>
      </c>
      <c r="BF53" s="208">
        <f>IF($AT53=1,$AU53*'Verwerking Bouwdelen'!DV37,$AU53*'Verwerking Bouwdelen'!AD37)</f>
        <v>0</v>
      </c>
      <c r="BG53" s="208">
        <f>IF($AT53=1,$AU53*'Verwerking Bouwdelen'!DW37,$AU53*'Verwerking Bouwdelen'!AE37)</f>
        <v>0</v>
      </c>
      <c r="BH53" s="10">
        <f>IF(AV53=B53,0,'Verwerking Bouwdelen'!D37*AT53*AU53)</f>
        <v>0</v>
      </c>
      <c r="BI53" s="10">
        <f>AT53*AU53*'Verwerking Bouwdelen'!GH37</f>
        <v>0</v>
      </c>
      <c r="BJ53" s="10"/>
      <c r="BK53" s="10"/>
      <c r="BM53" s="125">
        <f>IF('Verwerking Bouwdelen'!C37=5,1,0)</f>
        <v>0</v>
      </c>
      <c r="BN53" s="130">
        <f>IF('Verwerking Bouwdelen'!A37=3,1,0)</f>
        <v>0</v>
      </c>
      <c r="BO53" s="208">
        <f>IF($BM53=1,$BN53*'Verwerking Bouwdelen'!DL37,$BN53*'Verwerking Bouwdelen'!T37)</f>
        <v>0</v>
      </c>
      <c r="BP53" s="208">
        <f>IF($BM53=1,$BN53*'Verwerking Bouwdelen'!DM37,$BN53*'Verwerking Bouwdelen'!U37)</f>
        <v>0</v>
      </c>
      <c r="BQ53" s="208">
        <f>IF($BM53=1,$BN53*'Verwerking Bouwdelen'!DN37,$BN53*'Verwerking Bouwdelen'!V37)</f>
        <v>0</v>
      </c>
      <c r="BR53" s="208">
        <f>IF($BM53=1,$BN53*'Verwerking Bouwdelen'!DO37,$BN53*'Verwerking Bouwdelen'!W37)</f>
        <v>0</v>
      </c>
      <c r="BS53" s="208">
        <f>IF($BM53=1,$BN53*'Verwerking Bouwdelen'!DP37,$BN53*'Verwerking Bouwdelen'!X37)</f>
        <v>0</v>
      </c>
      <c r="BT53" s="208">
        <f>IF($BM53=1,$BN53*'Verwerking Bouwdelen'!DQ37,$BN53*'Verwerking Bouwdelen'!Y37)</f>
        <v>0</v>
      </c>
      <c r="BU53" s="208">
        <f>IF($BM53=1,$BN53*'Verwerking Bouwdelen'!DR37,$BN53*'Verwerking Bouwdelen'!Z37)</f>
        <v>0</v>
      </c>
      <c r="BV53" s="208">
        <f>IF($BM53=1,$BN53*'Verwerking Bouwdelen'!DS37,$BN53*'Verwerking Bouwdelen'!AA37)</f>
        <v>0</v>
      </c>
      <c r="BW53" s="208">
        <f>IF($BM53=1,$BN53*'Verwerking Bouwdelen'!DT37,$BN53*'Verwerking Bouwdelen'!AB37)</f>
        <v>0</v>
      </c>
      <c r="BX53" s="208">
        <f>IF($BM53=1,$BN53*'Verwerking Bouwdelen'!DU37,$BN53*'Verwerking Bouwdelen'!AC37)</f>
        <v>0</v>
      </c>
      <c r="BY53" s="208">
        <f>IF($BM53=1,$BN53*'Verwerking Bouwdelen'!DV37,$BN53*'Verwerking Bouwdelen'!AD37)</f>
        <v>0</v>
      </c>
      <c r="BZ53" s="208">
        <f>IF($BM53=1,$BN53*'Verwerking Bouwdelen'!DW37,$BN53*'Verwerking Bouwdelen'!AE37)</f>
        <v>0</v>
      </c>
      <c r="CA53" s="10">
        <f>IF(BO53=$B53,0,'Verwerking Bouwdelen'!$D37*BM53*BN53)</f>
        <v>0</v>
      </c>
      <c r="CB53" s="10">
        <f>BM53*BN53*'Verwerking Bouwdelen'!GH37</f>
        <v>0</v>
      </c>
      <c r="CC53" s="10"/>
      <c r="CD53" s="248"/>
      <c r="CE53" s="125">
        <f>IF('Verwerking Bouwdelen'!C37=2,1,0)</f>
        <v>0</v>
      </c>
      <c r="CF53" s="130">
        <f>IF('Verwerking Bouwdelen'!A37=3,1,0)</f>
        <v>0</v>
      </c>
      <c r="CG53" s="208">
        <f>IF($CE53=1,$CF53*'Verwerking Bouwdelen'!DL37,$CF53*'Verwerking Bouwdelen'!T37)</f>
        <v>0</v>
      </c>
      <c r="CH53" s="208">
        <f>IF($CE53=1,$CF53*'Verwerking Bouwdelen'!DM37,$CF53*'Verwerking Bouwdelen'!U37)</f>
        <v>0</v>
      </c>
      <c r="CI53" s="208">
        <f>IF($CE53=1,$CF53*'Verwerking Bouwdelen'!DN37,$CF53*'Verwerking Bouwdelen'!V37)</f>
        <v>0</v>
      </c>
      <c r="CJ53" s="208">
        <f>IF($CE53=1,$CF53*'Verwerking Bouwdelen'!DO37,$CF53*'Verwerking Bouwdelen'!W37)</f>
        <v>0</v>
      </c>
      <c r="CK53" s="208">
        <f>IF($CE53=1,$CF53*'Verwerking Bouwdelen'!DP37,$CF53*'Verwerking Bouwdelen'!X37)</f>
        <v>0</v>
      </c>
      <c r="CL53" s="208">
        <f>IF($CE53=1,$CF53*'Verwerking Bouwdelen'!DQ37,$CF53*'Verwerking Bouwdelen'!Y37)</f>
        <v>0</v>
      </c>
      <c r="CM53" s="208">
        <f>IF($CE53=1,$CF53*'Verwerking Bouwdelen'!DR37,$CF53*'Verwerking Bouwdelen'!Z37)</f>
        <v>0</v>
      </c>
      <c r="CN53" s="208">
        <f>IF($CE53=1,$CF53*'Verwerking Bouwdelen'!DS37,$CF53*'Verwerking Bouwdelen'!AA37)</f>
        <v>0</v>
      </c>
      <c r="CO53" s="208">
        <f>IF($CE53=1,$CF53*'Verwerking Bouwdelen'!DT37,$CF53*'Verwerking Bouwdelen'!AB37)</f>
        <v>0</v>
      </c>
      <c r="CP53" s="208">
        <f>IF($CE53=1,$CF53*'Verwerking Bouwdelen'!DU37,$CF53*'Verwerking Bouwdelen'!AC37)</f>
        <v>0</v>
      </c>
      <c r="CQ53" s="208">
        <f>IF($CE53=1,$CF53*'Verwerking Bouwdelen'!DV37,$CF53*'Verwerking Bouwdelen'!AD37)</f>
        <v>0</v>
      </c>
      <c r="CR53" s="208">
        <f>IF($CE53=1,$CF53*'Verwerking Bouwdelen'!DW37,$CF53*'Verwerking Bouwdelen'!AE37)</f>
        <v>0</v>
      </c>
      <c r="CS53" s="10">
        <f>IF(CG53=$B53,0,('Verwerking Bouwdelen'!$D37-'Verwerking Bouwdelen'!G37)*CE53*CF53)</f>
        <v>0</v>
      </c>
      <c r="CT53" s="260">
        <f>CE53*CF53*'Verwerking Bouwdelen'!GH37</f>
        <v>0</v>
      </c>
      <c r="CU53" s="261">
        <f>CE53*CF53*'Verwerking Bouwdelen'!GI37</f>
        <v>0</v>
      </c>
      <c r="CW53" s="209">
        <f>$AC53*'Verwerking Bouwdelen'!EE37</f>
        <v>0</v>
      </c>
      <c r="CX53" s="209">
        <f>$AC53*'Verwerking Bouwdelen'!EF37</f>
        <v>0</v>
      </c>
      <c r="CY53" s="209">
        <f>$AC53*'Verwerking Bouwdelen'!EG37</f>
        <v>0</v>
      </c>
      <c r="CZ53" s="209">
        <f>$AC53*'Verwerking Bouwdelen'!EH37</f>
        <v>0</v>
      </c>
      <c r="DA53" s="209">
        <f>$AC53*'Verwerking Bouwdelen'!EI37</f>
        <v>0</v>
      </c>
      <c r="DB53" s="209">
        <f>$AC53*'Verwerking Bouwdelen'!EJ37</f>
        <v>0</v>
      </c>
      <c r="DC53" s="209">
        <f>$AC53*'Verwerking Bouwdelen'!EK37</f>
        <v>0</v>
      </c>
      <c r="DD53" s="209">
        <f>$AC53*'Verwerking Bouwdelen'!EL37</f>
        <v>0</v>
      </c>
      <c r="DE53" s="209">
        <f>$AC53*'Verwerking Bouwdelen'!EM37</f>
        <v>0</v>
      </c>
      <c r="DF53" s="209">
        <f>$AC53*'Verwerking Bouwdelen'!EN37</f>
        <v>0</v>
      </c>
      <c r="DG53" s="209">
        <f>$AC53*'Verwerking Bouwdelen'!EO37</f>
        <v>0</v>
      </c>
      <c r="DH53" s="209">
        <f>$AC53*'Verwerking Bouwdelen'!EP37</f>
        <v>0</v>
      </c>
      <c r="DI53" s="10">
        <f>IF(CW53=$O53,0,'Verwerking Bouwdelen'!G37)</f>
        <v>0</v>
      </c>
      <c r="DJ53" s="259">
        <f>'Verwerking Bouwdelen'!GK37*CF53</f>
        <v>0</v>
      </c>
      <c r="DK53" s="259">
        <f>'Verwerking Bouwdelen'!GL37*CF53</f>
        <v>0</v>
      </c>
      <c r="DL53" s="125"/>
      <c r="GM53" s="89">
        <f t="shared" si="13"/>
        <v>0</v>
      </c>
      <c r="GN53" s="89">
        <f t="shared" si="14"/>
        <v>0</v>
      </c>
      <c r="GO53" s="208">
        <f>IF($GN53=1,$GN53*$GM53*'Verwerking Bouwdelen'!DL37,$GN53*$GM53*'Verwerking Bouwdelen'!T37)</f>
        <v>0</v>
      </c>
      <c r="GP53" s="208">
        <f>IF($GN53=1,$GN53*$GM53*'Verwerking Bouwdelen'!DM37,$GN53*$GM53*'Verwerking Bouwdelen'!U37)</f>
        <v>0</v>
      </c>
      <c r="GQ53" s="208">
        <f>IF($GN53=1,$GN53*$GM53*'Verwerking Bouwdelen'!DN37,$GN53*$GM53*'Verwerking Bouwdelen'!V37)</f>
        <v>0</v>
      </c>
      <c r="GR53" s="208">
        <f>IF($GN53=1,$GN53*$GM53*'Verwerking Bouwdelen'!DO37,$GN53*$GM53*'Verwerking Bouwdelen'!W37)</f>
        <v>0</v>
      </c>
      <c r="GS53" s="208">
        <f>IF($GN53=1,$GN53*$GM53*'Verwerking Bouwdelen'!DP37,$GN53*$GM53*'Verwerking Bouwdelen'!X37)</f>
        <v>0</v>
      </c>
      <c r="GT53" s="208">
        <f>IF($GN53=1,$GN53*$GM53*'Verwerking Bouwdelen'!DQ37,$GN53*$GM53*'Verwerking Bouwdelen'!Y37)</f>
        <v>0</v>
      </c>
      <c r="GU53" s="208">
        <f>IF($GN53=1,$GN53*$GM53*'Verwerking Bouwdelen'!DR37,$GN53*$GM53*'Verwerking Bouwdelen'!Z37)</f>
        <v>0</v>
      </c>
      <c r="GV53" s="208">
        <f>IF($GN53=1,$GN53*$GM53*'Verwerking Bouwdelen'!DS37,$GN53*$GM53*'Verwerking Bouwdelen'!AA37)</f>
        <v>0</v>
      </c>
      <c r="GW53" s="208">
        <f>IF($GN53=1,$GN53*$GM53*'Verwerking Bouwdelen'!DT37,$GN53*$GM53*'Verwerking Bouwdelen'!AB37)</f>
        <v>0</v>
      </c>
      <c r="GX53" s="208">
        <f>IF($GN53=1,$GN53*$GM53*'Verwerking Bouwdelen'!DU37,$GN53*$GM53*'Verwerking Bouwdelen'!AC37)</f>
        <v>0</v>
      </c>
      <c r="GY53" s="208">
        <f>IF($GN53=1,$GN53*$GM53*'Verwerking Bouwdelen'!DV37,$GN53*$GM53*'Verwerking Bouwdelen'!AD37)</f>
        <v>0</v>
      </c>
      <c r="GZ53" s="208">
        <f>IF($GN53=1,$GN53*$GM53*'Verwerking Bouwdelen'!DW37,$GN53*$GM53*'Verwerking Bouwdelen'!AE37)</f>
        <v>0</v>
      </c>
      <c r="HB53" s="89">
        <f t="shared" si="16"/>
        <v>0</v>
      </c>
      <c r="HC53" s="89">
        <f t="shared" si="17"/>
        <v>0</v>
      </c>
      <c r="HD53" s="89">
        <f t="shared" si="18"/>
        <v>0</v>
      </c>
      <c r="HE53" s="89">
        <f t="shared" si="19"/>
        <v>0</v>
      </c>
      <c r="HF53" s="89">
        <f t="shared" si="19"/>
        <v>0</v>
      </c>
      <c r="HG53" s="89">
        <f t="shared" si="19"/>
        <v>0</v>
      </c>
      <c r="HH53" s="89">
        <f t="shared" si="19"/>
        <v>0</v>
      </c>
      <c r="HI53" s="89">
        <f t="shared" si="19"/>
        <v>0</v>
      </c>
      <c r="HJ53" s="89">
        <f t="shared" si="19"/>
        <v>0</v>
      </c>
      <c r="HK53" s="89">
        <f t="shared" si="19"/>
        <v>0</v>
      </c>
      <c r="HL53" s="89">
        <f t="shared" si="19"/>
        <v>0</v>
      </c>
      <c r="HM53" s="89">
        <f t="shared" si="19"/>
        <v>0</v>
      </c>
    </row>
    <row r="54" spans="1:221" x14ac:dyDescent="0.2">
      <c r="A54" s="130">
        <f>IF('Verwerking Bouwdelen'!A38=3,1,0)</f>
        <v>0</v>
      </c>
      <c r="B54" s="208">
        <f>$A54*'Verwerking Bouwdelen'!T38</f>
        <v>0</v>
      </c>
      <c r="C54" s="208">
        <f>$A54*'Verwerking Bouwdelen'!U38</f>
        <v>0</v>
      </c>
      <c r="D54" s="208">
        <f>$A54*'Verwerking Bouwdelen'!V38</f>
        <v>0</v>
      </c>
      <c r="E54" s="208">
        <f>$A54*'Verwerking Bouwdelen'!W38</f>
        <v>0</v>
      </c>
      <c r="F54" s="208">
        <f>$A54*'Verwerking Bouwdelen'!X38</f>
        <v>0</v>
      </c>
      <c r="G54" s="208">
        <f>$A54*'Verwerking Bouwdelen'!Y38</f>
        <v>0</v>
      </c>
      <c r="H54" s="208">
        <f>$A54*'Verwerking Bouwdelen'!Z38</f>
        <v>0</v>
      </c>
      <c r="I54" s="208">
        <f>$A54*'Verwerking Bouwdelen'!AA38</f>
        <v>0</v>
      </c>
      <c r="J54" s="208">
        <f>$A54*'Verwerking Bouwdelen'!AB38</f>
        <v>0</v>
      </c>
      <c r="K54" s="208">
        <f>$A54*'Verwerking Bouwdelen'!AC38</f>
        <v>0</v>
      </c>
      <c r="L54" s="208">
        <f>$A54*'Verwerking Bouwdelen'!AD38</f>
        <v>0</v>
      </c>
      <c r="M54" s="208">
        <f>$A54*'Verwerking Bouwdelen'!AE38</f>
        <v>0</v>
      </c>
      <c r="O54" s="114">
        <f>$A54*'Verwerking Bouwdelen'!AU38</f>
        <v>0</v>
      </c>
      <c r="P54" s="125">
        <f>$A54*'Verwerking Bouwdelen'!AV38</f>
        <v>0</v>
      </c>
      <c r="Q54" s="125">
        <f>$A54*'Verwerking Bouwdelen'!AW38</f>
        <v>0</v>
      </c>
      <c r="R54" s="125">
        <f>$A54*'Verwerking Bouwdelen'!AX38</f>
        <v>0</v>
      </c>
      <c r="S54" s="125">
        <f>$A54*'Verwerking Bouwdelen'!AY38</f>
        <v>0</v>
      </c>
      <c r="T54" s="125">
        <f>$A54*'Verwerking Bouwdelen'!AZ38</f>
        <v>0</v>
      </c>
      <c r="U54" s="125">
        <f>$A54*'Verwerking Bouwdelen'!BA38</f>
        <v>0</v>
      </c>
      <c r="V54" s="125">
        <f>$A54*'Verwerking Bouwdelen'!BB38</f>
        <v>0</v>
      </c>
      <c r="W54" s="125">
        <f>$A54*'Verwerking Bouwdelen'!BC38</f>
        <v>0</v>
      </c>
      <c r="X54" s="125">
        <f>$A54*'Verwerking Bouwdelen'!BD38</f>
        <v>0</v>
      </c>
      <c r="Y54" s="125">
        <f>$A54*'Verwerking Bouwdelen'!BE38</f>
        <v>0</v>
      </c>
      <c r="Z54" s="195">
        <f>$A54*'Verwerking Bouwdelen'!BF38</f>
        <v>0</v>
      </c>
      <c r="AB54" s="125">
        <f>IF(OR('Verwerking Bouwdelen'!C38=3,'Verwerking Bouwdelen'!C38=6),1,0)</f>
        <v>0</v>
      </c>
      <c r="AC54" s="130">
        <f>IF('Verwerking Bouwdelen'!A38=3,1,0)</f>
        <v>0</v>
      </c>
      <c r="AD54" s="208">
        <f>IF($AB54=1,$AC54*'Verwerking Bouwdelen'!DL38,$AC54*'Verwerking Bouwdelen'!T38)</f>
        <v>0</v>
      </c>
      <c r="AE54" s="208">
        <f>IF($AB54=1,$AC54*'Verwerking Bouwdelen'!DM38,$AC54*'Verwerking Bouwdelen'!U38)</f>
        <v>0</v>
      </c>
      <c r="AF54" s="208">
        <f>IF($AB54=1,$AC54*'Verwerking Bouwdelen'!DN38,$AC54*'Verwerking Bouwdelen'!V38)</f>
        <v>0</v>
      </c>
      <c r="AG54" s="208">
        <f>IF($AB54=1,$AC54*'Verwerking Bouwdelen'!DO38,$AC54*'Verwerking Bouwdelen'!W38)</f>
        <v>0</v>
      </c>
      <c r="AH54" s="208">
        <f>IF($AB54=1,$AC54*'Verwerking Bouwdelen'!DP38,$AC54*'Verwerking Bouwdelen'!X38)</f>
        <v>0</v>
      </c>
      <c r="AI54" s="208">
        <f>IF($AB54=1,$AC54*'Verwerking Bouwdelen'!DQ38,$AC54*'Verwerking Bouwdelen'!Y38)</f>
        <v>0</v>
      </c>
      <c r="AJ54" s="208">
        <f>IF($AB54=1,$AC54*'Verwerking Bouwdelen'!DR38,$AC54*'Verwerking Bouwdelen'!Z38)</f>
        <v>0</v>
      </c>
      <c r="AK54" s="208">
        <f>IF($AB54=1,$AC54*'Verwerking Bouwdelen'!DS38,$AC54*'Verwerking Bouwdelen'!AA38)</f>
        <v>0</v>
      </c>
      <c r="AL54" s="208">
        <f>IF($AB54=1,$AC54*'Verwerking Bouwdelen'!DT38,$AC54*'Verwerking Bouwdelen'!AB38)</f>
        <v>0</v>
      </c>
      <c r="AM54" s="208">
        <f>IF($AB54=1,$AC54*'Verwerking Bouwdelen'!DU38,$AC54*'Verwerking Bouwdelen'!AC38)</f>
        <v>0</v>
      </c>
      <c r="AN54" s="208">
        <f>IF($AB54=1,$AC54*'Verwerking Bouwdelen'!DV38,$AC54*'Verwerking Bouwdelen'!AD38)</f>
        <v>0</v>
      </c>
      <c r="AO54" s="208">
        <f>IF($AB54=1,$AC54*'Verwerking Bouwdelen'!DW38,$AC54*'Verwerking Bouwdelen'!AE38)</f>
        <v>0</v>
      </c>
      <c r="AP54" s="10">
        <f>IF(AD54=B54,0,'Verwerking Bouwdelen'!D38*AB54*AC54)</f>
        <v>0</v>
      </c>
      <c r="AQ54" s="10">
        <f>AB54*AC54*'Verwerking Bouwdelen'!GH38</f>
        <v>0</v>
      </c>
      <c r="AR54" s="10"/>
      <c r="AS54" s="248"/>
      <c r="AT54" s="125">
        <f>IF('Verwerking Bouwdelen'!C38=4,1,0)</f>
        <v>0</v>
      </c>
      <c r="AU54" s="130">
        <f>IF('Verwerking Bouwdelen'!A38=3,1,0)</f>
        <v>0</v>
      </c>
      <c r="AV54" s="208">
        <f>IF($AT54=1,$AU54*'Verwerking Bouwdelen'!DL38,$AU54*'Verwerking Bouwdelen'!T38)</f>
        <v>0</v>
      </c>
      <c r="AW54" s="208">
        <f>IF($AT54=1,$AU54*'Verwerking Bouwdelen'!DM38,$AU54*'Verwerking Bouwdelen'!U38)</f>
        <v>0</v>
      </c>
      <c r="AX54" s="208">
        <f>IF($AT54=1,$AU54*'Verwerking Bouwdelen'!DN38,$AU54*'Verwerking Bouwdelen'!V38)</f>
        <v>0</v>
      </c>
      <c r="AY54" s="208">
        <f>IF($AT54=1,$AU54*'Verwerking Bouwdelen'!DO38,$AU54*'Verwerking Bouwdelen'!W38)</f>
        <v>0</v>
      </c>
      <c r="AZ54" s="208">
        <f>IF($AT54=1,$AU54*'Verwerking Bouwdelen'!DP38,$AU54*'Verwerking Bouwdelen'!X38)</f>
        <v>0</v>
      </c>
      <c r="BA54" s="208">
        <f>IF($AT54=1,$AU54*'Verwerking Bouwdelen'!DQ38,$AU54*'Verwerking Bouwdelen'!Y38)</f>
        <v>0</v>
      </c>
      <c r="BB54" s="208">
        <f>IF($AT54=1,$AU54*'Verwerking Bouwdelen'!DR38,$AU54*'Verwerking Bouwdelen'!Z38)</f>
        <v>0</v>
      </c>
      <c r="BC54" s="208">
        <f>IF($AT54=1,$AU54*'Verwerking Bouwdelen'!DS38,$AU54*'Verwerking Bouwdelen'!AA38)</f>
        <v>0</v>
      </c>
      <c r="BD54" s="208">
        <f>IF($AT54=1,$AU54*'Verwerking Bouwdelen'!DT38,$AU54*'Verwerking Bouwdelen'!AB38)</f>
        <v>0</v>
      </c>
      <c r="BE54" s="208">
        <f>IF($AT54=1,$AU54*'Verwerking Bouwdelen'!DU38,$AU54*'Verwerking Bouwdelen'!AC38)</f>
        <v>0</v>
      </c>
      <c r="BF54" s="208">
        <f>IF($AT54=1,$AU54*'Verwerking Bouwdelen'!DV38,$AU54*'Verwerking Bouwdelen'!AD38)</f>
        <v>0</v>
      </c>
      <c r="BG54" s="208">
        <f>IF($AT54=1,$AU54*'Verwerking Bouwdelen'!DW38,$AU54*'Verwerking Bouwdelen'!AE38)</f>
        <v>0</v>
      </c>
      <c r="BH54" s="10">
        <f>IF(AV54=B54,0,'Verwerking Bouwdelen'!D38*AT54*AU54)</f>
        <v>0</v>
      </c>
      <c r="BI54" s="10">
        <f>AT54*AU54*'Verwerking Bouwdelen'!GH38</f>
        <v>0</v>
      </c>
      <c r="BJ54" s="10"/>
      <c r="BK54" s="10"/>
      <c r="BM54" s="125">
        <f>IF('Verwerking Bouwdelen'!C38=5,1,0)</f>
        <v>0</v>
      </c>
      <c r="BN54" s="130">
        <f>IF('Verwerking Bouwdelen'!A38=3,1,0)</f>
        <v>0</v>
      </c>
      <c r="BO54" s="208">
        <f>IF($BM54=1,$BN54*'Verwerking Bouwdelen'!DL38,$BN54*'Verwerking Bouwdelen'!T38)</f>
        <v>0</v>
      </c>
      <c r="BP54" s="208">
        <f>IF($BM54=1,$BN54*'Verwerking Bouwdelen'!DM38,$BN54*'Verwerking Bouwdelen'!U38)</f>
        <v>0</v>
      </c>
      <c r="BQ54" s="208">
        <f>IF($BM54=1,$BN54*'Verwerking Bouwdelen'!DN38,$BN54*'Verwerking Bouwdelen'!V38)</f>
        <v>0</v>
      </c>
      <c r="BR54" s="208">
        <f>IF($BM54=1,$BN54*'Verwerking Bouwdelen'!DO38,$BN54*'Verwerking Bouwdelen'!W38)</f>
        <v>0</v>
      </c>
      <c r="BS54" s="208">
        <f>IF($BM54=1,$BN54*'Verwerking Bouwdelen'!DP38,$BN54*'Verwerking Bouwdelen'!X38)</f>
        <v>0</v>
      </c>
      <c r="BT54" s="208">
        <f>IF($BM54=1,$BN54*'Verwerking Bouwdelen'!DQ38,$BN54*'Verwerking Bouwdelen'!Y38)</f>
        <v>0</v>
      </c>
      <c r="BU54" s="208">
        <f>IF($BM54=1,$BN54*'Verwerking Bouwdelen'!DR38,$BN54*'Verwerking Bouwdelen'!Z38)</f>
        <v>0</v>
      </c>
      <c r="BV54" s="208">
        <f>IF($BM54=1,$BN54*'Verwerking Bouwdelen'!DS38,$BN54*'Verwerking Bouwdelen'!AA38)</f>
        <v>0</v>
      </c>
      <c r="BW54" s="208">
        <f>IF($BM54=1,$BN54*'Verwerking Bouwdelen'!DT38,$BN54*'Verwerking Bouwdelen'!AB38)</f>
        <v>0</v>
      </c>
      <c r="BX54" s="208">
        <f>IF($BM54=1,$BN54*'Verwerking Bouwdelen'!DU38,$BN54*'Verwerking Bouwdelen'!AC38)</f>
        <v>0</v>
      </c>
      <c r="BY54" s="208">
        <f>IF($BM54=1,$BN54*'Verwerking Bouwdelen'!DV38,$BN54*'Verwerking Bouwdelen'!AD38)</f>
        <v>0</v>
      </c>
      <c r="BZ54" s="208">
        <f>IF($BM54=1,$BN54*'Verwerking Bouwdelen'!DW38,$BN54*'Verwerking Bouwdelen'!AE38)</f>
        <v>0</v>
      </c>
      <c r="CA54" s="10">
        <f>IF(BO54=$B54,0,'Verwerking Bouwdelen'!$D38*BM54*BN54)</f>
        <v>0</v>
      </c>
      <c r="CB54" s="10">
        <f>BM54*BN54*'Verwerking Bouwdelen'!GH38</f>
        <v>0</v>
      </c>
      <c r="CC54" s="10"/>
      <c r="CD54" s="248"/>
      <c r="CE54" s="125">
        <f>IF('Verwerking Bouwdelen'!C38=2,1,0)</f>
        <v>0</v>
      </c>
      <c r="CF54" s="130">
        <f>IF('Verwerking Bouwdelen'!A38=3,1,0)</f>
        <v>0</v>
      </c>
      <c r="CG54" s="208">
        <f>IF($CE54=1,$CF54*'Verwerking Bouwdelen'!DL38,$CF54*'Verwerking Bouwdelen'!T38)</f>
        <v>0</v>
      </c>
      <c r="CH54" s="208">
        <f>IF($CE54=1,$CF54*'Verwerking Bouwdelen'!DM38,$CF54*'Verwerking Bouwdelen'!U38)</f>
        <v>0</v>
      </c>
      <c r="CI54" s="208">
        <f>IF($CE54=1,$CF54*'Verwerking Bouwdelen'!DN38,$CF54*'Verwerking Bouwdelen'!V38)</f>
        <v>0</v>
      </c>
      <c r="CJ54" s="208">
        <f>IF($CE54=1,$CF54*'Verwerking Bouwdelen'!DO38,$CF54*'Verwerking Bouwdelen'!W38)</f>
        <v>0</v>
      </c>
      <c r="CK54" s="208">
        <f>IF($CE54=1,$CF54*'Verwerking Bouwdelen'!DP38,$CF54*'Verwerking Bouwdelen'!X38)</f>
        <v>0</v>
      </c>
      <c r="CL54" s="208">
        <f>IF($CE54=1,$CF54*'Verwerking Bouwdelen'!DQ38,$CF54*'Verwerking Bouwdelen'!Y38)</f>
        <v>0</v>
      </c>
      <c r="CM54" s="208">
        <f>IF($CE54=1,$CF54*'Verwerking Bouwdelen'!DR38,$CF54*'Verwerking Bouwdelen'!Z38)</f>
        <v>0</v>
      </c>
      <c r="CN54" s="208">
        <f>IF($CE54=1,$CF54*'Verwerking Bouwdelen'!DS38,$CF54*'Verwerking Bouwdelen'!AA38)</f>
        <v>0</v>
      </c>
      <c r="CO54" s="208">
        <f>IF($CE54=1,$CF54*'Verwerking Bouwdelen'!DT38,$CF54*'Verwerking Bouwdelen'!AB38)</f>
        <v>0</v>
      </c>
      <c r="CP54" s="208">
        <f>IF($CE54=1,$CF54*'Verwerking Bouwdelen'!DU38,$CF54*'Verwerking Bouwdelen'!AC38)</f>
        <v>0</v>
      </c>
      <c r="CQ54" s="208">
        <f>IF($CE54=1,$CF54*'Verwerking Bouwdelen'!DV38,$CF54*'Verwerking Bouwdelen'!AD38)</f>
        <v>0</v>
      </c>
      <c r="CR54" s="208">
        <f>IF($CE54=1,$CF54*'Verwerking Bouwdelen'!DW38,$CF54*'Verwerking Bouwdelen'!AE38)</f>
        <v>0</v>
      </c>
      <c r="CS54" s="10">
        <f>IF(CG54=$B54,0,('Verwerking Bouwdelen'!$D38-'Verwerking Bouwdelen'!G38)*CE54*CF54)</f>
        <v>0</v>
      </c>
      <c r="CT54" s="260">
        <f>CE54*CF54*'Verwerking Bouwdelen'!GH38</f>
        <v>0</v>
      </c>
      <c r="CU54" s="261">
        <f>CE54*CF54*'Verwerking Bouwdelen'!GI38</f>
        <v>0</v>
      </c>
      <c r="CW54" s="209">
        <f>$AC54*'Verwerking Bouwdelen'!EE38</f>
        <v>0</v>
      </c>
      <c r="CX54" s="209">
        <f>$AC54*'Verwerking Bouwdelen'!EF38</f>
        <v>0</v>
      </c>
      <c r="CY54" s="209">
        <f>$AC54*'Verwerking Bouwdelen'!EG38</f>
        <v>0</v>
      </c>
      <c r="CZ54" s="209">
        <f>$AC54*'Verwerking Bouwdelen'!EH38</f>
        <v>0</v>
      </c>
      <c r="DA54" s="209">
        <f>$AC54*'Verwerking Bouwdelen'!EI38</f>
        <v>0</v>
      </c>
      <c r="DB54" s="209">
        <f>$AC54*'Verwerking Bouwdelen'!EJ38</f>
        <v>0</v>
      </c>
      <c r="DC54" s="209">
        <f>$AC54*'Verwerking Bouwdelen'!EK38</f>
        <v>0</v>
      </c>
      <c r="DD54" s="209">
        <f>$AC54*'Verwerking Bouwdelen'!EL38</f>
        <v>0</v>
      </c>
      <c r="DE54" s="209">
        <f>$AC54*'Verwerking Bouwdelen'!EM38</f>
        <v>0</v>
      </c>
      <c r="DF54" s="209">
        <f>$AC54*'Verwerking Bouwdelen'!EN38</f>
        <v>0</v>
      </c>
      <c r="DG54" s="209">
        <f>$AC54*'Verwerking Bouwdelen'!EO38</f>
        <v>0</v>
      </c>
      <c r="DH54" s="209">
        <f>$AC54*'Verwerking Bouwdelen'!EP38</f>
        <v>0</v>
      </c>
      <c r="DI54" s="10">
        <f>IF(CW54=$O54,0,'Verwerking Bouwdelen'!G38)</f>
        <v>0</v>
      </c>
      <c r="DJ54" s="259">
        <f>'Verwerking Bouwdelen'!GK38*CF54</f>
        <v>0</v>
      </c>
      <c r="DK54" s="259">
        <f>'Verwerking Bouwdelen'!GL38*CF54</f>
        <v>0</v>
      </c>
      <c r="DL54" s="125"/>
      <c r="GM54" s="89">
        <f t="shared" si="13"/>
        <v>0</v>
      </c>
      <c r="GN54" s="89">
        <f t="shared" si="14"/>
        <v>0</v>
      </c>
      <c r="GO54" s="208">
        <f>IF($GN54=1,$GN54*$GM54*'Verwerking Bouwdelen'!DL38,$GN54*$GM54*'Verwerking Bouwdelen'!T38)</f>
        <v>0</v>
      </c>
      <c r="GP54" s="208">
        <f>IF($GN54=1,$GN54*$GM54*'Verwerking Bouwdelen'!DM38,$GN54*$GM54*'Verwerking Bouwdelen'!U38)</f>
        <v>0</v>
      </c>
      <c r="GQ54" s="208">
        <f>IF($GN54=1,$GN54*$GM54*'Verwerking Bouwdelen'!DN38,$GN54*$GM54*'Verwerking Bouwdelen'!V38)</f>
        <v>0</v>
      </c>
      <c r="GR54" s="208">
        <f>IF($GN54=1,$GN54*$GM54*'Verwerking Bouwdelen'!DO38,$GN54*$GM54*'Verwerking Bouwdelen'!W38)</f>
        <v>0</v>
      </c>
      <c r="GS54" s="208">
        <f>IF($GN54=1,$GN54*$GM54*'Verwerking Bouwdelen'!DP38,$GN54*$GM54*'Verwerking Bouwdelen'!X38)</f>
        <v>0</v>
      </c>
      <c r="GT54" s="208">
        <f>IF($GN54=1,$GN54*$GM54*'Verwerking Bouwdelen'!DQ38,$GN54*$GM54*'Verwerking Bouwdelen'!Y38)</f>
        <v>0</v>
      </c>
      <c r="GU54" s="208">
        <f>IF($GN54=1,$GN54*$GM54*'Verwerking Bouwdelen'!DR38,$GN54*$GM54*'Verwerking Bouwdelen'!Z38)</f>
        <v>0</v>
      </c>
      <c r="GV54" s="208">
        <f>IF($GN54=1,$GN54*$GM54*'Verwerking Bouwdelen'!DS38,$GN54*$GM54*'Verwerking Bouwdelen'!AA38)</f>
        <v>0</v>
      </c>
      <c r="GW54" s="208">
        <f>IF($GN54=1,$GN54*$GM54*'Verwerking Bouwdelen'!DT38,$GN54*$GM54*'Verwerking Bouwdelen'!AB38)</f>
        <v>0</v>
      </c>
      <c r="GX54" s="208">
        <f>IF($GN54=1,$GN54*$GM54*'Verwerking Bouwdelen'!DU38,$GN54*$GM54*'Verwerking Bouwdelen'!AC38)</f>
        <v>0</v>
      </c>
      <c r="GY54" s="208">
        <f>IF($GN54=1,$GN54*$GM54*'Verwerking Bouwdelen'!DV38,$GN54*$GM54*'Verwerking Bouwdelen'!AD38)</f>
        <v>0</v>
      </c>
      <c r="GZ54" s="208">
        <f>IF($GN54=1,$GN54*$GM54*'Verwerking Bouwdelen'!DW38,$GN54*$GM54*'Verwerking Bouwdelen'!AE38)</f>
        <v>0</v>
      </c>
      <c r="HB54" s="89">
        <f t="shared" si="16"/>
        <v>0</v>
      </c>
      <c r="HC54" s="89">
        <f t="shared" si="17"/>
        <v>0</v>
      </c>
      <c r="HD54" s="89">
        <f t="shared" si="18"/>
        <v>0</v>
      </c>
      <c r="HE54" s="89">
        <f t="shared" si="19"/>
        <v>0</v>
      </c>
      <c r="HF54" s="89">
        <f t="shared" si="19"/>
        <v>0</v>
      </c>
      <c r="HG54" s="89">
        <f t="shared" si="19"/>
        <v>0</v>
      </c>
      <c r="HH54" s="89">
        <f t="shared" si="19"/>
        <v>0</v>
      </c>
      <c r="HI54" s="89">
        <f t="shared" si="19"/>
        <v>0</v>
      </c>
      <c r="HJ54" s="89">
        <f t="shared" si="19"/>
        <v>0</v>
      </c>
      <c r="HK54" s="89">
        <f t="shared" si="19"/>
        <v>0</v>
      </c>
      <c r="HL54" s="89">
        <f t="shared" si="19"/>
        <v>0</v>
      </c>
      <c r="HM54" s="89">
        <f t="shared" si="19"/>
        <v>0</v>
      </c>
    </row>
    <row r="55" spans="1:221" x14ac:dyDescent="0.2">
      <c r="A55" s="130">
        <f>IF('Verwerking Bouwdelen'!A39=3,1,0)</f>
        <v>0</v>
      </c>
      <c r="B55" s="208">
        <f>$A55*'Verwerking Bouwdelen'!T39</f>
        <v>0</v>
      </c>
      <c r="C55" s="208">
        <f>$A55*'Verwerking Bouwdelen'!U39</f>
        <v>0</v>
      </c>
      <c r="D55" s="208">
        <f>$A55*'Verwerking Bouwdelen'!V39</f>
        <v>0</v>
      </c>
      <c r="E55" s="208">
        <f>$A55*'Verwerking Bouwdelen'!W39</f>
        <v>0</v>
      </c>
      <c r="F55" s="208">
        <f>$A55*'Verwerking Bouwdelen'!X39</f>
        <v>0</v>
      </c>
      <c r="G55" s="208">
        <f>$A55*'Verwerking Bouwdelen'!Y39</f>
        <v>0</v>
      </c>
      <c r="H55" s="208">
        <f>$A55*'Verwerking Bouwdelen'!Z39</f>
        <v>0</v>
      </c>
      <c r="I55" s="208">
        <f>$A55*'Verwerking Bouwdelen'!AA39</f>
        <v>0</v>
      </c>
      <c r="J55" s="208">
        <f>$A55*'Verwerking Bouwdelen'!AB39</f>
        <v>0</v>
      </c>
      <c r="K55" s="208">
        <f>$A55*'Verwerking Bouwdelen'!AC39</f>
        <v>0</v>
      </c>
      <c r="L55" s="208">
        <f>$A55*'Verwerking Bouwdelen'!AD39</f>
        <v>0</v>
      </c>
      <c r="M55" s="208">
        <f>$A55*'Verwerking Bouwdelen'!AE39</f>
        <v>0</v>
      </c>
      <c r="O55" s="114">
        <f>$A55*'Verwerking Bouwdelen'!AU39</f>
        <v>0</v>
      </c>
      <c r="P55" s="125">
        <f>$A55*'Verwerking Bouwdelen'!AV39</f>
        <v>0</v>
      </c>
      <c r="Q55" s="125">
        <f>$A55*'Verwerking Bouwdelen'!AW39</f>
        <v>0</v>
      </c>
      <c r="R55" s="125">
        <f>$A55*'Verwerking Bouwdelen'!AX39</f>
        <v>0</v>
      </c>
      <c r="S55" s="125">
        <f>$A55*'Verwerking Bouwdelen'!AY39</f>
        <v>0</v>
      </c>
      <c r="T55" s="125">
        <f>$A55*'Verwerking Bouwdelen'!AZ39</f>
        <v>0</v>
      </c>
      <c r="U55" s="125">
        <f>$A55*'Verwerking Bouwdelen'!BA39</f>
        <v>0</v>
      </c>
      <c r="V55" s="125">
        <f>$A55*'Verwerking Bouwdelen'!BB39</f>
        <v>0</v>
      </c>
      <c r="W55" s="125">
        <f>$A55*'Verwerking Bouwdelen'!BC39</f>
        <v>0</v>
      </c>
      <c r="X55" s="125">
        <f>$A55*'Verwerking Bouwdelen'!BD39</f>
        <v>0</v>
      </c>
      <c r="Y55" s="125">
        <f>$A55*'Verwerking Bouwdelen'!BE39</f>
        <v>0</v>
      </c>
      <c r="Z55" s="195">
        <f>$A55*'Verwerking Bouwdelen'!BF39</f>
        <v>0</v>
      </c>
      <c r="AB55" s="125">
        <f>IF(OR('Verwerking Bouwdelen'!C39=3,'Verwerking Bouwdelen'!C39=6),1,0)</f>
        <v>0</v>
      </c>
      <c r="AC55" s="130">
        <f>IF('Verwerking Bouwdelen'!A39=3,1,0)</f>
        <v>0</v>
      </c>
      <c r="AD55" s="208">
        <f>IF($AB55=1,$AC55*'Verwerking Bouwdelen'!DL39,$AC55*'Verwerking Bouwdelen'!T39)</f>
        <v>0</v>
      </c>
      <c r="AE55" s="208">
        <f>IF($AB55=1,$AC55*'Verwerking Bouwdelen'!DM39,$AC55*'Verwerking Bouwdelen'!U39)</f>
        <v>0</v>
      </c>
      <c r="AF55" s="208">
        <f>IF($AB55=1,$AC55*'Verwerking Bouwdelen'!DN39,$AC55*'Verwerking Bouwdelen'!V39)</f>
        <v>0</v>
      </c>
      <c r="AG55" s="208">
        <f>IF($AB55=1,$AC55*'Verwerking Bouwdelen'!DO39,$AC55*'Verwerking Bouwdelen'!W39)</f>
        <v>0</v>
      </c>
      <c r="AH55" s="208">
        <f>IF($AB55=1,$AC55*'Verwerking Bouwdelen'!DP39,$AC55*'Verwerking Bouwdelen'!X39)</f>
        <v>0</v>
      </c>
      <c r="AI55" s="208">
        <f>IF($AB55=1,$AC55*'Verwerking Bouwdelen'!DQ39,$AC55*'Verwerking Bouwdelen'!Y39)</f>
        <v>0</v>
      </c>
      <c r="AJ55" s="208">
        <f>IF($AB55=1,$AC55*'Verwerking Bouwdelen'!DR39,$AC55*'Verwerking Bouwdelen'!Z39)</f>
        <v>0</v>
      </c>
      <c r="AK55" s="208">
        <f>IF($AB55=1,$AC55*'Verwerking Bouwdelen'!DS39,$AC55*'Verwerking Bouwdelen'!AA39)</f>
        <v>0</v>
      </c>
      <c r="AL55" s="208">
        <f>IF($AB55=1,$AC55*'Verwerking Bouwdelen'!DT39,$AC55*'Verwerking Bouwdelen'!AB39)</f>
        <v>0</v>
      </c>
      <c r="AM55" s="208">
        <f>IF($AB55=1,$AC55*'Verwerking Bouwdelen'!DU39,$AC55*'Verwerking Bouwdelen'!AC39)</f>
        <v>0</v>
      </c>
      <c r="AN55" s="208">
        <f>IF($AB55=1,$AC55*'Verwerking Bouwdelen'!DV39,$AC55*'Verwerking Bouwdelen'!AD39)</f>
        <v>0</v>
      </c>
      <c r="AO55" s="208">
        <f>IF($AB55=1,$AC55*'Verwerking Bouwdelen'!DW39,$AC55*'Verwerking Bouwdelen'!AE39)</f>
        <v>0</v>
      </c>
      <c r="AP55" s="10">
        <f>IF(AD55=B55,0,'Verwerking Bouwdelen'!D39*AB55*AC55)</f>
        <v>0</v>
      </c>
      <c r="AQ55" s="10">
        <f>AB55*AC55*'Verwerking Bouwdelen'!GH39</f>
        <v>0</v>
      </c>
      <c r="AR55" s="10"/>
      <c r="AS55" s="248"/>
      <c r="AT55" s="125">
        <f>IF('Verwerking Bouwdelen'!C39=4,1,0)</f>
        <v>0</v>
      </c>
      <c r="AU55" s="130">
        <f>IF('Verwerking Bouwdelen'!A39=3,1,0)</f>
        <v>0</v>
      </c>
      <c r="AV55" s="208">
        <f>IF($AT55=1,$AU55*'Verwerking Bouwdelen'!DL39,$AU55*'Verwerking Bouwdelen'!T39)</f>
        <v>0</v>
      </c>
      <c r="AW55" s="208">
        <f>IF($AT55=1,$AU55*'Verwerking Bouwdelen'!DM39,$AU55*'Verwerking Bouwdelen'!U39)</f>
        <v>0</v>
      </c>
      <c r="AX55" s="208">
        <f>IF($AT55=1,$AU55*'Verwerking Bouwdelen'!DN39,$AU55*'Verwerking Bouwdelen'!V39)</f>
        <v>0</v>
      </c>
      <c r="AY55" s="208">
        <f>IF($AT55=1,$AU55*'Verwerking Bouwdelen'!DO39,$AU55*'Verwerking Bouwdelen'!W39)</f>
        <v>0</v>
      </c>
      <c r="AZ55" s="208">
        <f>IF($AT55=1,$AU55*'Verwerking Bouwdelen'!DP39,$AU55*'Verwerking Bouwdelen'!X39)</f>
        <v>0</v>
      </c>
      <c r="BA55" s="208">
        <f>IF($AT55=1,$AU55*'Verwerking Bouwdelen'!DQ39,$AU55*'Verwerking Bouwdelen'!Y39)</f>
        <v>0</v>
      </c>
      <c r="BB55" s="208">
        <f>IF($AT55=1,$AU55*'Verwerking Bouwdelen'!DR39,$AU55*'Verwerking Bouwdelen'!Z39)</f>
        <v>0</v>
      </c>
      <c r="BC55" s="208">
        <f>IF($AT55=1,$AU55*'Verwerking Bouwdelen'!DS39,$AU55*'Verwerking Bouwdelen'!AA39)</f>
        <v>0</v>
      </c>
      <c r="BD55" s="208">
        <f>IF($AT55=1,$AU55*'Verwerking Bouwdelen'!DT39,$AU55*'Verwerking Bouwdelen'!AB39)</f>
        <v>0</v>
      </c>
      <c r="BE55" s="208">
        <f>IF($AT55=1,$AU55*'Verwerking Bouwdelen'!DU39,$AU55*'Verwerking Bouwdelen'!AC39)</f>
        <v>0</v>
      </c>
      <c r="BF55" s="208">
        <f>IF($AT55=1,$AU55*'Verwerking Bouwdelen'!DV39,$AU55*'Verwerking Bouwdelen'!AD39)</f>
        <v>0</v>
      </c>
      <c r="BG55" s="208">
        <f>IF($AT55=1,$AU55*'Verwerking Bouwdelen'!DW39,$AU55*'Verwerking Bouwdelen'!AE39)</f>
        <v>0</v>
      </c>
      <c r="BH55" s="10">
        <f>IF(AV55=B55,0,'Verwerking Bouwdelen'!D39*AT55*AU55)</f>
        <v>0</v>
      </c>
      <c r="BI55" s="10">
        <f>AT55*AU55*'Verwerking Bouwdelen'!GH39</f>
        <v>0</v>
      </c>
      <c r="BJ55" s="10"/>
      <c r="BK55" s="10"/>
      <c r="BM55" s="125">
        <f>IF('Verwerking Bouwdelen'!C39=5,1,0)</f>
        <v>0</v>
      </c>
      <c r="BN55" s="130">
        <f>IF('Verwerking Bouwdelen'!A39=3,1,0)</f>
        <v>0</v>
      </c>
      <c r="BO55" s="208">
        <f>IF($BM55=1,$BN55*'Verwerking Bouwdelen'!DL39,$BN55*'Verwerking Bouwdelen'!T39)</f>
        <v>0</v>
      </c>
      <c r="BP55" s="208">
        <f>IF($BM55=1,$BN55*'Verwerking Bouwdelen'!DM39,$BN55*'Verwerking Bouwdelen'!U39)</f>
        <v>0</v>
      </c>
      <c r="BQ55" s="208">
        <f>IF($BM55=1,$BN55*'Verwerking Bouwdelen'!DN39,$BN55*'Verwerking Bouwdelen'!V39)</f>
        <v>0</v>
      </c>
      <c r="BR55" s="208">
        <f>IF($BM55=1,$BN55*'Verwerking Bouwdelen'!DO39,$BN55*'Verwerking Bouwdelen'!W39)</f>
        <v>0</v>
      </c>
      <c r="BS55" s="208">
        <f>IF($BM55=1,$BN55*'Verwerking Bouwdelen'!DP39,$BN55*'Verwerking Bouwdelen'!X39)</f>
        <v>0</v>
      </c>
      <c r="BT55" s="208">
        <f>IF($BM55=1,$BN55*'Verwerking Bouwdelen'!DQ39,$BN55*'Verwerking Bouwdelen'!Y39)</f>
        <v>0</v>
      </c>
      <c r="BU55" s="208">
        <f>IF($BM55=1,$BN55*'Verwerking Bouwdelen'!DR39,$BN55*'Verwerking Bouwdelen'!Z39)</f>
        <v>0</v>
      </c>
      <c r="BV55" s="208">
        <f>IF($BM55=1,$BN55*'Verwerking Bouwdelen'!DS39,$BN55*'Verwerking Bouwdelen'!AA39)</f>
        <v>0</v>
      </c>
      <c r="BW55" s="208">
        <f>IF($BM55=1,$BN55*'Verwerking Bouwdelen'!DT39,$BN55*'Verwerking Bouwdelen'!AB39)</f>
        <v>0</v>
      </c>
      <c r="BX55" s="208">
        <f>IF($BM55=1,$BN55*'Verwerking Bouwdelen'!DU39,$BN55*'Verwerking Bouwdelen'!AC39)</f>
        <v>0</v>
      </c>
      <c r="BY55" s="208">
        <f>IF($BM55=1,$BN55*'Verwerking Bouwdelen'!DV39,$BN55*'Verwerking Bouwdelen'!AD39)</f>
        <v>0</v>
      </c>
      <c r="BZ55" s="208">
        <f>IF($BM55=1,$BN55*'Verwerking Bouwdelen'!DW39,$BN55*'Verwerking Bouwdelen'!AE39)</f>
        <v>0</v>
      </c>
      <c r="CA55" s="10">
        <f>IF(BO55=$B55,0,'Verwerking Bouwdelen'!$D39*BM55*BN55)</f>
        <v>0</v>
      </c>
      <c r="CB55" s="10">
        <f>BM55*BN55*'Verwerking Bouwdelen'!GH39</f>
        <v>0</v>
      </c>
      <c r="CC55" s="10"/>
      <c r="CD55" s="248"/>
      <c r="CE55" s="125">
        <f>IF('Verwerking Bouwdelen'!C39=2,1,0)</f>
        <v>0</v>
      </c>
      <c r="CF55" s="130">
        <f>IF('Verwerking Bouwdelen'!A39=3,1,0)</f>
        <v>0</v>
      </c>
      <c r="CG55" s="208">
        <f>IF($CE55=1,$CF55*'Verwerking Bouwdelen'!DL39,$CF55*'Verwerking Bouwdelen'!T39)</f>
        <v>0</v>
      </c>
      <c r="CH55" s="208">
        <f>IF($CE55=1,$CF55*'Verwerking Bouwdelen'!DM39,$CF55*'Verwerking Bouwdelen'!U39)</f>
        <v>0</v>
      </c>
      <c r="CI55" s="208">
        <f>IF($CE55=1,$CF55*'Verwerking Bouwdelen'!DN39,$CF55*'Verwerking Bouwdelen'!V39)</f>
        <v>0</v>
      </c>
      <c r="CJ55" s="208">
        <f>IF($CE55=1,$CF55*'Verwerking Bouwdelen'!DO39,$CF55*'Verwerking Bouwdelen'!W39)</f>
        <v>0</v>
      </c>
      <c r="CK55" s="208">
        <f>IF($CE55=1,$CF55*'Verwerking Bouwdelen'!DP39,$CF55*'Verwerking Bouwdelen'!X39)</f>
        <v>0</v>
      </c>
      <c r="CL55" s="208">
        <f>IF($CE55=1,$CF55*'Verwerking Bouwdelen'!DQ39,$CF55*'Verwerking Bouwdelen'!Y39)</f>
        <v>0</v>
      </c>
      <c r="CM55" s="208">
        <f>IF($CE55=1,$CF55*'Verwerking Bouwdelen'!DR39,$CF55*'Verwerking Bouwdelen'!Z39)</f>
        <v>0</v>
      </c>
      <c r="CN55" s="208">
        <f>IF($CE55=1,$CF55*'Verwerking Bouwdelen'!DS39,$CF55*'Verwerking Bouwdelen'!AA39)</f>
        <v>0</v>
      </c>
      <c r="CO55" s="208">
        <f>IF($CE55=1,$CF55*'Verwerking Bouwdelen'!DT39,$CF55*'Verwerking Bouwdelen'!AB39)</f>
        <v>0</v>
      </c>
      <c r="CP55" s="208">
        <f>IF($CE55=1,$CF55*'Verwerking Bouwdelen'!DU39,$CF55*'Verwerking Bouwdelen'!AC39)</f>
        <v>0</v>
      </c>
      <c r="CQ55" s="208">
        <f>IF($CE55=1,$CF55*'Verwerking Bouwdelen'!DV39,$CF55*'Verwerking Bouwdelen'!AD39)</f>
        <v>0</v>
      </c>
      <c r="CR55" s="208">
        <f>IF($CE55=1,$CF55*'Verwerking Bouwdelen'!DW39,$CF55*'Verwerking Bouwdelen'!AE39)</f>
        <v>0</v>
      </c>
      <c r="CS55" s="10">
        <f>IF(CG55=$B55,0,('Verwerking Bouwdelen'!$D39-'Verwerking Bouwdelen'!G39)*CE55*CF55)</f>
        <v>0</v>
      </c>
      <c r="CT55" s="260">
        <f>CE55*CF55*'Verwerking Bouwdelen'!GH39</f>
        <v>0</v>
      </c>
      <c r="CU55" s="261">
        <f>CE55*CF55*'Verwerking Bouwdelen'!GI39</f>
        <v>0</v>
      </c>
      <c r="CW55" s="209">
        <f>$AC55*'Verwerking Bouwdelen'!EE39</f>
        <v>0</v>
      </c>
      <c r="CX55" s="209">
        <f>$AC55*'Verwerking Bouwdelen'!EF39</f>
        <v>0</v>
      </c>
      <c r="CY55" s="209">
        <f>$AC55*'Verwerking Bouwdelen'!EG39</f>
        <v>0</v>
      </c>
      <c r="CZ55" s="209">
        <f>$AC55*'Verwerking Bouwdelen'!EH39</f>
        <v>0</v>
      </c>
      <c r="DA55" s="209">
        <f>$AC55*'Verwerking Bouwdelen'!EI39</f>
        <v>0</v>
      </c>
      <c r="DB55" s="209">
        <f>$AC55*'Verwerking Bouwdelen'!EJ39</f>
        <v>0</v>
      </c>
      <c r="DC55" s="209">
        <f>$AC55*'Verwerking Bouwdelen'!EK39</f>
        <v>0</v>
      </c>
      <c r="DD55" s="209">
        <f>$AC55*'Verwerking Bouwdelen'!EL39</f>
        <v>0</v>
      </c>
      <c r="DE55" s="209">
        <f>$AC55*'Verwerking Bouwdelen'!EM39</f>
        <v>0</v>
      </c>
      <c r="DF55" s="209">
        <f>$AC55*'Verwerking Bouwdelen'!EN39</f>
        <v>0</v>
      </c>
      <c r="DG55" s="209">
        <f>$AC55*'Verwerking Bouwdelen'!EO39</f>
        <v>0</v>
      </c>
      <c r="DH55" s="209">
        <f>$AC55*'Verwerking Bouwdelen'!EP39</f>
        <v>0</v>
      </c>
      <c r="DI55" s="10">
        <f>IF(CW55=$O55,0,'Verwerking Bouwdelen'!G39)</f>
        <v>0</v>
      </c>
      <c r="DJ55" s="259">
        <f>'Verwerking Bouwdelen'!GK39*CF55</f>
        <v>0</v>
      </c>
      <c r="DK55" s="259">
        <f>'Verwerking Bouwdelen'!GL39*CF55</f>
        <v>0</v>
      </c>
      <c r="DL55" s="125"/>
      <c r="GM55" s="89">
        <f t="shared" si="13"/>
        <v>0</v>
      </c>
      <c r="GN55" s="89">
        <f t="shared" si="14"/>
        <v>0</v>
      </c>
      <c r="GO55" s="208">
        <f>IF($GN55=1,$GN55*$GM55*'Verwerking Bouwdelen'!DL39,$GN55*$GM55*'Verwerking Bouwdelen'!T39)</f>
        <v>0</v>
      </c>
      <c r="GP55" s="208">
        <f>IF($GN55=1,$GN55*$GM55*'Verwerking Bouwdelen'!DM39,$GN55*$GM55*'Verwerking Bouwdelen'!U39)</f>
        <v>0</v>
      </c>
      <c r="GQ55" s="208">
        <f>IF($GN55=1,$GN55*$GM55*'Verwerking Bouwdelen'!DN39,$GN55*$GM55*'Verwerking Bouwdelen'!V39)</f>
        <v>0</v>
      </c>
      <c r="GR55" s="208">
        <f>IF($GN55=1,$GN55*$GM55*'Verwerking Bouwdelen'!DO39,$GN55*$GM55*'Verwerking Bouwdelen'!W39)</f>
        <v>0</v>
      </c>
      <c r="GS55" s="208">
        <f>IF($GN55=1,$GN55*$GM55*'Verwerking Bouwdelen'!DP39,$GN55*$GM55*'Verwerking Bouwdelen'!X39)</f>
        <v>0</v>
      </c>
      <c r="GT55" s="208">
        <f>IF($GN55=1,$GN55*$GM55*'Verwerking Bouwdelen'!DQ39,$GN55*$GM55*'Verwerking Bouwdelen'!Y39)</f>
        <v>0</v>
      </c>
      <c r="GU55" s="208">
        <f>IF($GN55=1,$GN55*$GM55*'Verwerking Bouwdelen'!DR39,$GN55*$GM55*'Verwerking Bouwdelen'!Z39)</f>
        <v>0</v>
      </c>
      <c r="GV55" s="208">
        <f>IF($GN55=1,$GN55*$GM55*'Verwerking Bouwdelen'!DS39,$GN55*$GM55*'Verwerking Bouwdelen'!AA39)</f>
        <v>0</v>
      </c>
      <c r="GW55" s="208">
        <f>IF($GN55=1,$GN55*$GM55*'Verwerking Bouwdelen'!DT39,$GN55*$GM55*'Verwerking Bouwdelen'!AB39)</f>
        <v>0</v>
      </c>
      <c r="GX55" s="208">
        <f>IF($GN55=1,$GN55*$GM55*'Verwerking Bouwdelen'!DU39,$GN55*$GM55*'Verwerking Bouwdelen'!AC39)</f>
        <v>0</v>
      </c>
      <c r="GY55" s="208">
        <f>IF($GN55=1,$GN55*$GM55*'Verwerking Bouwdelen'!DV39,$GN55*$GM55*'Verwerking Bouwdelen'!AD39)</f>
        <v>0</v>
      </c>
      <c r="GZ55" s="208">
        <f>IF($GN55=1,$GN55*$GM55*'Verwerking Bouwdelen'!DW39,$GN55*$GM55*'Verwerking Bouwdelen'!AE39)</f>
        <v>0</v>
      </c>
      <c r="HB55" s="89">
        <f t="shared" si="16"/>
        <v>0</v>
      </c>
      <c r="HC55" s="89">
        <f t="shared" si="17"/>
        <v>0</v>
      </c>
      <c r="HD55" s="89">
        <f t="shared" si="18"/>
        <v>0</v>
      </c>
      <c r="HE55" s="89">
        <f t="shared" si="19"/>
        <v>0</v>
      </c>
      <c r="HF55" s="89">
        <f t="shared" si="19"/>
        <v>0</v>
      </c>
      <c r="HG55" s="89">
        <f t="shared" si="19"/>
        <v>0</v>
      </c>
      <c r="HH55" s="89">
        <f t="shared" si="19"/>
        <v>0</v>
      </c>
      <c r="HI55" s="89">
        <f t="shared" si="19"/>
        <v>0</v>
      </c>
      <c r="HJ55" s="89">
        <f t="shared" si="19"/>
        <v>0</v>
      </c>
      <c r="HK55" s="89">
        <f t="shared" si="19"/>
        <v>0</v>
      </c>
      <c r="HL55" s="89">
        <f t="shared" si="19"/>
        <v>0</v>
      </c>
      <c r="HM55" s="89">
        <f t="shared" si="19"/>
        <v>0</v>
      </c>
    </row>
    <row r="56" spans="1:221" x14ac:dyDescent="0.2">
      <c r="A56" s="130">
        <f>IF('Verwerking Bouwdelen'!A40=3,1,0)</f>
        <v>0</v>
      </c>
      <c r="B56" s="208">
        <f>$A56*'Verwerking Bouwdelen'!T40</f>
        <v>0</v>
      </c>
      <c r="C56" s="208">
        <f>$A56*'Verwerking Bouwdelen'!U40</f>
        <v>0</v>
      </c>
      <c r="D56" s="208">
        <f>$A56*'Verwerking Bouwdelen'!V40</f>
        <v>0</v>
      </c>
      <c r="E56" s="208">
        <f>$A56*'Verwerking Bouwdelen'!W40</f>
        <v>0</v>
      </c>
      <c r="F56" s="208">
        <f>$A56*'Verwerking Bouwdelen'!X40</f>
        <v>0</v>
      </c>
      <c r="G56" s="208">
        <f>$A56*'Verwerking Bouwdelen'!Y40</f>
        <v>0</v>
      </c>
      <c r="H56" s="208">
        <f>$A56*'Verwerking Bouwdelen'!Z40</f>
        <v>0</v>
      </c>
      <c r="I56" s="208">
        <f>$A56*'Verwerking Bouwdelen'!AA40</f>
        <v>0</v>
      </c>
      <c r="J56" s="208">
        <f>$A56*'Verwerking Bouwdelen'!AB40</f>
        <v>0</v>
      </c>
      <c r="K56" s="208">
        <f>$A56*'Verwerking Bouwdelen'!AC40</f>
        <v>0</v>
      </c>
      <c r="L56" s="208">
        <f>$A56*'Verwerking Bouwdelen'!AD40</f>
        <v>0</v>
      </c>
      <c r="M56" s="208">
        <f>$A56*'Verwerking Bouwdelen'!AE40</f>
        <v>0</v>
      </c>
      <c r="O56" s="114">
        <f>$A56*'Verwerking Bouwdelen'!AU40</f>
        <v>0</v>
      </c>
      <c r="P56" s="125">
        <f>$A56*'Verwerking Bouwdelen'!AV40</f>
        <v>0</v>
      </c>
      <c r="Q56" s="125">
        <f>$A56*'Verwerking Bouwdelen'!AW40</f>
        <v>0</v>
      </c>
      <c r="R56" s="125">
        <f>$A56*'Verwerking Bouwdelen'!AX40</f>
        <v>0</v>
      </c>
      <c r="S56" s="125">
        <f>$A56*'Verwerking Bouwdelen'!AY40</f>
        <v>0</v>
      </c>
      <c r="T56" s="125">
        <f>$A56*'Verwerking Bouwdelen'!AZ40</f>
        <v>0</v>
      </c>
      <c r="U56" s="125">
        <f>$A56*'Verwerking Bouwdelen'!BA40</f>
        <v>0</v>
      </c>
      <c r="V56" s="125">
        <f>$A56*'Verwerking Bouwdelen'!BB40</f>
        <v>0</v>
      </c>
      <c r="W56" s="125">
        <f>$A56*'Verwerking Bouwdelen'!BC40</f>
        <v>0</v>
      </c>
      <c r="X56" s="125">
        <f>$A56*'Verwerking Bouwdelen'!BD40</f>
        <v>0</v>
      </c>
      <c r="Y56" s="125">
        <f>$A56*'Verwerking Bouwdelen'!BE40</f>
        <v>0</v>
      </c>
      <c r="Z56" s="195">
        <f>$A56*'Verwerking Bouwdelen'!BF40</f>
        <v>0</v>
      </c>
      <c r="AB56" s="125">
        <f>IF(OR('Verwerking Bouwdelen'!C40=3,'Verwerking Bouwdelen'!C40=6),1,0)</f>
        <v>0</v>
      </c>
      <c r="AC56" s="130">
        <f>IF('Verwerking Bouwdelen'!A40=3,1,0)</f>
        <v>0</v>
      </c>
      <c r="AD56" s="208">
        <f>IF($AB56=1,$AC56*'Verwerking Bouwdelen'!DL40,$AC56*'Verwerking Bouwdelen'!T40)</f>
        <v>0</v>
      </c>
      <c r="AE56" s="208">
        <f>IF($AB56=1,$AC56*'Verwerking Bouwdelen'!DM40,$AC56*'Verwerking Bouwdelen'!U40)</f>
        <v>0</v>
      </c>
      <c r="AF56" s="208">
        <f>IF($AB56=1,$AC56*'Verwerking Bouwdelen'!DN40,$AC56*'Verwerking Bouwdelen'!V40)</f>
        <v>0</v>
      </c>
      <c r="AG56" s="208">
        <f>IF($AB56=1,$AC56*'Verwerking Bouwdelen'!DO40,$AC56*'Verwerking Bouwdelen'!W40)</f>
        <v>0</v>
      </c>
      <c r="AH56" s="208">
        <f>IF($AB56=1,$AC56*'Verwerking Bouwdelen'!DP40,$AC56*'Verwerking Bouwdelen'!X40)</f>
        <v>0</v>
      </c>
      <c r="AI56" s="208">
        <f>IF($AB56=1,$AC56*'Verwerking Bouwdelen'!DQ40,$AC56*'Verwerking Bouwdelen'!Y40)</f>
        <v>0</v>
      </c>
      <c r="AJ56" s="208">
        <f>IF($AB56=1,$AC56*'Verwerking Bouwdelen'!DR40,$AC56*'Verwerking Bouwdelen'!Z40)</f>
        <v>0</v>
      </c>
      <c r="AK56" s="208">
        <f>IF($AB56=1,$AC56*'Verwerking Bouwdelen'!DS40,$AC56*'Verwerking Bouwdelen'!AA40)</f>
        <v>0</v>
      </c>
      <c r="AL56" s="208">
        <f>IF($AB56=1,$AC56*'Verwerking Bouwdelen'!DT40,$AC56*'Verwerking Bouwdelen'!AB40)</f>
        <v>0</v>
      </c>
      <c r="AM56" s="208">
        <f>IF($AB56=1,$AC56*'Verwerking Bouwdelen'!DU40,$AC56*'Verwerking Bouwdelen'!AC40)</f>
        <v>0</v>
      </c>
      <c r="AN56" s="208">
        <f>IF($AB56=1,$AC56*'Verwerking Bouwdelen'!DV40,$AC56*'Verwerking Bouwdelen'!AD40)</f>
        <v>0</v>
      </c>
      <c r="AO56" s="208">
        <f>IF($AB56=1,$AC56*'Verwerking Bouwdelen'!DW40,$AC56*'Verwerking Bouwdelen'!AE40)</f>
        <v>0</v>
      </c>
      <c r="AP56" s="10">
        <f>IF(AD56=B56,0,'Verwerking Bouwdelen'!D40*AB56*AC56)</f>
        <v>0</v>
      </c>
      <c r="AQ56" s="10">
        <f>AB56*AC56*'Verwerking Bouwdelen'!GH40</f>
        <v>0</v>
      </c>
      <c r="AR56" s="10"/>
      <c r="AS56" s="248"/>
      <c r="AT56" s="125">
        <f>IF('Verwerking Bouwdelen'!C40=4,1,0)</f>
        <v>0</v>
      </c>
      <c r="AU56" s="130">
        <f>IF('Verwerking Bouwdelen'!A40=3,1,0)</f>
        <v>0</v>
      </c>
      <c r="AV56" s="208">
        <f>IF($AT56=1,$AU56*'Verwerking Bouwdelen'!DL40,$AU56*'Verwerking Bouwdelen'!T40)</f>
        <v>0</v>
      </c>
      <c r="AW56" s="208">
        <f>IF($AT56=1,$AU56*'Verwerking Bouwdelen'!DM40,$AU56*'Verwerking Bouwdelen'!U40)</f>
        <v>0</v>
      </c>
      <c r="AX56" s="208">
        <f>IF($AT56=1,$AU56*'Verwerking Bouwdelen'!DN40,$AU56*'Verwerking Bouwdelen'!V40)</f>
        <v>0</v>
      </c>
      <c r="AY56" s="208">
        <f>IF($AT56=1,$AU56*'Verwerking Bouwdelen'!DO40,$AU56*'Verwerking Bouwdelen'!W40)</f>
        <v>0</v>
      </c>
      <c r="AZ56" s="208">
        <f>IF($AT56=1,$AU56*'Verwerking Bouwdelen'!DP40,$AU56*'Verwerking Bouwdelen'!X40)</f>
        <v>0</v>
      </c>
      <c r="BA56" s="208">
        <f>IF($AT56=1,$AU56*'Verwerking Bouwdelen'!DQ40,$AU56*'Verwerking Bouwdelen'!Y40)</f>
        <v>0</v>
      </c>
      <c r="BB56" s="208">
        <f>IF($AT56=1,$AU56*'Verwerking Bouwdelen'!DR40,$AU56*'Verwerking Bouwdelen'!Z40)</f>
        <v>0</v>
      </c>
      <c r="BC56" s="208">
        <f>IF($AT56=1,$AU56*'Verwerking Bouwdelen'!DS40,$AU56*'Verwerking Bouwdelen'!AA40)</f>
        <v>0</v>
      </c>
      <c r="BD56" s="208">
        <f>IF($AT56=1,$AU56*'Verwerking Bouwdelen'!DT40,$AU56*'Verwerking Bouwdelen'!AB40)</f>
        <v>0</v>
      </c>
      <c r="BE56" s="208">
        <f>IF($AT56=1,$AU56*'Verwerking Bouwdelen'!DU40,$AU56*'Verwerking Bouwdelen'!AC40)</f>
        <v>0</v>
      </c>
      <c r="BF56" s="208">
        <f>IF($AT56=1,$AU56*'Verwerking Bouwdelen'!DV40,$AU56*'Verwerking Bouwdelen'!AD40)</f>
        <v>0</v>
      </c>
      <c r="BG56" s="208">
        <f>IF($AT56=1,$AU56*'Verwerking Bouwdelen'!DW40,$AU56*'Verwerking Bouwdelen'!AE40)</f>
        <v>0</v>
      </c>
      <c r="BH56" s="10">
        <f>IF(AV56=B56,0,'Verwerking Bouwdelen'!D40*AT56*AU56)</f>
        <v>0</v>
      </c>
      <c r="BI56" s="10">
        <f>AT56*AU56*'Verwerking Bouwdelen'!GH40</f>
        <v>0</v>
      </c>
      <c r="BJ56" s="10"/>
      <c r="BK56" s="10"/>
      <c r="BM56" s="125">
        <f>IF('Verwerking Bouwdelen'!C40=5,1,0)</f>
        <v>0</v>
      </c>
      <c r="BN56" s="130">
        <f>IF('Verwerking Bouwdelen'!A40=3,1,0)</f>
        <v>0</v>
      </c>
      <c r="BO56" s="208">
        <f>IF($BM56=1,$BN56*'Verwerking Bouwdelen'!DL40,$BN56*'Verwerking Bouwdelen'!T40)</f>
        <v>0</v>
      </c>
      <c r="BP56" s="208">
        <f>IF($BM56=1,$BN56*'Verwerking Bouwdelen'!DM40,$BN56*'Verwerking Bouwdelen'!U40)</f>
        <v>0</v>
      </c>
      <c r="BQ56" s="208">
        <f>IF($BM56=1,$BN56*'Verwerking Bouwdelen'!DN40,$BN56*'Verwerking Bouwdelen'!V40)</f>
        <v>0</v>
      </c>
      <c r="BR56" s="208">
        <f>IF($BM56=1,$BN56*'Verwerking Bouwdelen'!DO40,$BN56*'Verwerking Bouwdelen'!W40)</f>
        <v>0</v>
      </c>
      <c r="BS56" s="208">
        <f>IF($BM56=1,$BN56*'Verwerking Bouwdelen'!DP40,$BN56*'Verwerking Bouwdelen'!X40)</f>
        <v>0</v>
      </c>
      <c r="BT56" s="208">
        <f>IF($BM56=1,$BN56*'Verwerking Bouwdelen'!DQ40,$BN56*'Verwerking Bouwdelen'!Y40)</f>
        <v>0</v>
      </c>
      <c r="BU56" s="208">
        <f>IF($BM56=1,$BN56*'Verwerking Bouwdelen'!DR40,$BN56*'Verwerking Bouwdelen'!Z40)</f>
        <v>0</v>
      </c>
      <c r="BV56" s="208">
        <f>IF($BM56=1,$BN56*'Verwerking Bouwdelen'!DS40,$BN56*'Verwerking Bouwdelen'!AA40)</f>
        <v>0</v>
      </c>
      <c r="BW56" s="208">
        <f>IF($BM56=1,$BN56*'Verwerking Bouwdelen'!DT40,$BN56*'Verwerking Bouwdelen'!AB40)</f>
        <v>0</v>
      </c>
      <c r="BX56" s="208">
        <f>IF($BM56=1,$BN56*'Verwerking Bouwdelen'!DU40,$BN56*'Verwerking Bouwdelen'!AC40)</f>
        <v>0</v>
      </c>
      <c r="BY56" s="208">
        <f>IF($BM56=1,$BN56*'Verwerking Bouwdelen'!DV40,$BN56*'Verwerking Bouwdelen'!AD40)</f>
        <v>0</v>
      </c>
      <c r="BZ56" s="208">
        <f>IF($BM56=1,$BN56*'Verwerking Bouwdelen'!DW40,$BN56*'Verwerking Bouwdelen'!AE40)</f>
        <v>0</v>
      </c>
      <c r="CA56" s="10">
        <f>IF(BO56=$B56,0,'Verwerking Bouwdelen'!$D40*BM56*BN56)</f>
        <v>0</v>
      </c>
      <c r="CB56" s="10">
        <f>BM56*BN56*'Verwerking Bouwdelen'!GH40</f>
        <v>0</v>
      </c>
      <c r="CC56" s="10"/>
      <c r="CD56" s="248"/>
      <c r="CE56" s="125">
        <f>IF('Verwerking Bouwdelen'!C40=2,1,0)</f>
        <v>0</v>
      </c>
      <c r="CF56" s="130">
        <f>IF('Verwerking Bouwdelen'!A40=3,1,0)</f>
        <v>0</v>
      </c>
      <c r="CG56" s="208">
        <f>IF($CE56=1,$CF56*'Verwerking Bouwdelen'!DL40,$CF56*'Verwerking Bouwdelen'!T40)</f>
        <v>0</v>
      </c>
      <c r="CH56" s="208">
        <f>IF($CE56=1,$CF56*'Verwerking Bouwdelen'!DM40,$CF56*'Verwerking Bouwdelen'!U40)</f>
        <v>0</v>
      </c>
      <c r="CI56" s="208">
        <f>IF($CE56=1,$CF56*'Verwerking Bouwdelen'!DN40,$CF56*'Verwerking Bouwdelen'!V40)</f>
        <v>0</v>
      </c>
      <c r="CJ56" s="208">
        <f>IF($CE56=1,$CF56*'Verwerking Bouwdelen'!DO40,$CF56*'Verwerking Bouwdelen'!W40)</f>
        <v>0</v>
      </c>
      <c r="CK56" s="208">
        <f>IF($CE56=1,$CF56*'Verwerking Bouwdelen'!DP40,$CF56*'Verwerking Bouwdelen'!X40)</f>
        <v>0</v>
      </c>
      <c r="CL56" s="208">
        <f>IF($CE56=1,$CF56*'Verwerking Bouwdelen'!DQ40,$CF56*'Verwerking Bouwdelen'!Y40)</f>
        <v>0</v>
      </c>
      <c r="CM56" s="208">
        <f>IF($CE56=1,$CF56*'Verwerking Bouwdelen'!DR40,$CF56*'Verwerking Bouwdelen'!Z40)</f>
        <v>0</v>
      </c>
      <c r="CN56" s="208">
        <f>IF($CE56=1,$CF56*'Verwerking Bouwdelen'!DS40,$CF56*'Verwerking Bouwdelen'!AA40)</f>
        <v>0</v>
      </c>
      <c r="CO56" s="208">
        <f>IF($CE56=1,$CF56*'Verwerking Bouwdelen'!DT40,$CF56*'Verwerking Bouwdelen'!AB40)</f>
        <v>0</v>
      </c>
      <c r="CP56" s="208">
        <f>IF($CE56=1,$CF56*'Verwerking Bouwdelen'!DU40,$CF56*'Verwerking Bouwdelen'!AC40)</f>
        <v>0</v>
      </c>
      <c r="CQ56" s="208">
        <f>IF($CE56=1,$CF56*'Verwerking Bouwdelen'!DV40,$CF56*'Verwerking Bouwdelen'!AD40)</f>
        <v>0</v>
      </c>
      <c r="CR56" s="208">
        <f>IF($CE56=1,$CF56*'Verwerking Bouwdelen'!DW40,$CF56*'Verwerking Bouwdelen'!AE40)</f>
        <v>0</v>
      </c>
      <c r="CS56" s="10">
        <f>IF(CG56=$B56,0,('Verwerking Bouwdelen'!$D40-'Verwerking Bouwdelen'!G40)*CE56*CF56)</f>
        <v>0</v>
      </c>
      <c r="CT56" s="260">
        <f>CE56*CF56*'Verwerking Bouwdelen'!GH40</f>
        <v>0</v>
      </c>
      <c r="CU56" s="261">
        <f>CE56*CF56*'Verwerking Bouwdelen'!GI40</f>
        <v>0</v>
      </c>
      <c r="CW56" s="209">
        <f>$AC56*'Verwerking Bouwdelen'!EE40</f>
        <v>0</v>
      </c>
      <c r="CX56" s="209">
        <f>$AC56*'Verwerking Bouwdelen'!EF40</f>
        <v>0</v>
      </c>
      <c r="CY56" s="209">
        <f>$AC56*'Verwerking Bouwdelen'!EG40</f>
        <v>0</v>
      </c>
      <c r="CZ56" s="209">
        <f>$AC56*'Verwerking Bouwdelen'!EH40</f>
        <v>0</v>
      </c>
      <c r="DA56" s="209">
        <f>$AC56*'Verwerking Bouwdelen'!EI40</f>
        <v>0</v>
      </c>
      <c r="DB56" s="209">
        <f>$AC56*'Verwerking Bouwdelen'!EJ40</f>
        <v>0</v>
      </c>
      <c r="DC56" s="209">
        <f>$AC56*'Verwerking Bouwdelen'!EK40</f>
        <v>0</v>
      </c>
      <c r="DD56" s="209">
        <f>$AC56*'Verwerking Bouwdelen'!EL40</f>
        <v>0</v>
      </c>
      <c r="DE56" s="209">
        <f>$AC56*'Verwerking Bouwdelen'!EM40</f>
        <v>0</v>
      </c>
      <c r="DF56" s="209">
        <f>$AC56*'Verwerking Bouwdelen'!EN40</f>
        <v>0</v>
      </c>
      <c r="DG56" s="209">
        <f>$AC56*'Verwerking Bouwdelen'!EO40</f>
        <v>0</v>
      </c>
      <c r="DH56" s="209">
        <f>$AC56*'Verwerking Bouwdelen'!EP40</f>
        <v>0</v>
      </c>
      <c r="DI56" s="10">
        <f>IF(CW56=$O56,0,'Verwerking Bouwdelen'!G40)</f>
        <v>0</v>
      </c>
      <c r="DJ56" s="259">
        <f>'Verwerking Bouwdelen'!GK40*CF56</f>
        <v>0</v>
      </c>
      <c r="DK56" s="259">
        <f>'Verwerking Bouwdelen'!GL40*CF56</f>
        <v>0</v>
      </c>
      <c r="DL56" s="125"/>
      <c r="GM56" s="89">
        <f t="shared" si="13"/>
        <v>0</v>
      </c>
      <c r="GN56" s="89">
        <f t="shared" si="14"/>
        <v>0</v>
      </c>
      <c r="GO56" s="208">
        <f>IF($GN56=1,$GN56*$GM56*'Verwerking Bouwdelen'!DL40,$GN56*$GM56*'Verwerking Bouwdelen'!T40)</f>
        <v>0</v>
      </c>
      <c r="GP56" s="208">
        <f>IF($GN56=1,$GN56*$GM56*'Verwerking Bouwdelen'!DM40,$GN56*$GM56*'Verwerking Bouwdelen'!U40)</f>
        <v>0</v>
      </c>
      <c r="GQ56" s="208">
        <f>IF($GN56=1,$GN56*$GM56*'Verwerking Bouwdelen'!DN40,$GN56*$GM56*'Verwerking Bouwdelen'!V40)</f>
        <v>0</v>
      </c>
      <c r="GR56" s="208">
        <f>IF($GN56=1,$GN56*$GM56*'Verwerking Bouwdelen'!DO40,$GN56*$GM56*'Verwerking Bouwdelen'!W40)</f>
        <v>0</v>
      </c>
      <c r="GS56" s="208">
        <f>IF($GN56=1,$GN56*$GM56*'Verwerking Bouwdelen'!DP40,$GN56*$GM56*'Verwerking Bouwdelen'!X40)</f>
        <v>0</v>
      </c>
      <c r="GT56" s="208">
        <f>IF($GN56=1,$GN56*$GM56*'Verwerking Bouwdelen'!DQ40,$GN56*$GM56*'Verwerking Bouwdelen'!Y40)</f>
        <v>0</v>
      </c>
      <c r="GU56" s="208">
        <f>IF($GN56=1,$GN56*$GM56*'Verwerking Bouwdelen'!DR40,$GN56*$GM56*'Verwerking Bouwdelen'!Z40)</f>
        <v>0</v>
      </c>
      <c r="GV56" s="208">
        <f>IF($GN56=1,$GN56*$GM56*'Verwerking Bouwdelen'!DS40,$GN56*$GM56*'Verwerking Bouwdelen'!AA40)</f>
        <v>0</v>
      </c>
      <c r="GW56" s="208">
        <f>IF($GN56=1,$GN56*$GM56*'Verwerking Bouwdelen'!DT40,$GN56*$GM56*'Verwerking Bouwdelen'!AB40)</f>
        <v>0</v>
      </c>
      <c r="GX56" s="208">
        <f>IF($GN56=1,$GN56*$GM56*'Verwerking Bouwdelen'!DU40,$GN56*$GM56*'Verwerking Bouwdelen'!AC40)</f>
        <v>0</v>
      </c>
      <c r="GY56" s="208">
        <f>IF($GN56=1,$GN56*$GM56*'Verwerking Bouwdelen'!DV40,$GN56*$GM56*'Verwerking Bouwdelen'!AD40)</f>
        <v>0</v>
      </c>
      <c r="GZ56" s="208">
        <f>IF($GN56=1,$GN56*$GM56*'Verwerking Bouwdelen'!DW40,$GN56*$GM56*'Verwerking Bouwdelen'!AE40)</f>
        <v>0</v>
      </c>
      <c r="HB56" s="89">
        <f t="shared" si="16"/>
        <v>0</v>
      </c>
      <c r="HC56" s="89">
        <f t="shared" si="17"/>
        <v>0</v>
      </c>
      <c r="HD56" s="89">
        <f t="shared" si="18"/>
        <v>0</v>
      </c>
      <c r="HE56" s="89">
        <f t="shared" si="19"/>
        <v>0</v>
      </c>
      <c r="HF56" s="89">
        <f t="shared" si="19"/>
        <v>0</v>
      </c>
      <c r="HG56" s="89">
        <f t="shared" si="19"/>
        <v>0</v>
      </c>
      <c r="HH56" s="89">
        <f t="shared" si="19"/>
        <v>0</v>
      </c>
      <c r="HI56" s="89">
        <f t="shared" si="19"/>
        <v>0</v>
      </c>
      <c r="HJ56" s="89">
        <f t="shared" si="19"/>
        <v>0</v>
      </c>
      <c r="HK56" s="89">
        <f t="shared" si="19"/>
        <v>0</v>
      </c>
      <c r="HL56" s="89">
        <f t="shared" si="19"/>
        <v>0</v>
      </c>
      <c r="HM56" s="89">
        <f t="shared" si="19"/>
        <v>0</v>
      </c>
    </row>
    <row r="57" spans="1:221" x14ac:dyDescent="0.2">
      <c r="A57" s="130">
        <f>IF('Verwerking Bouwdelen'!A41=3,1,0)</f>
        <v>0</v>
      </c>
      <c r="B57" s="208">
        <f>$A57*'Verwerking Bouwdelen'!T41</f>
        <v>0</v>
      </c>
      <c r="C57" s="208">
        <f>$A57*'Verwerking Bouwdelen'!U41</f>
        <v>0</v>
      </c>
      <c r="D57" s="208">
        <f>$A57*'Verwerking Bouwdelen'!V41</f>
        <v>0</v>
      </c>
      <c r="E57" s="208">
        <f>$A57*'Verwerking Bouwdelen'!W41</f>
        <v>0</v>
      </c>
      <c r="F57" s="208">
        <f>$A57*'Verwerking Bouwdelen'!X41</f>
        <v>0</v>
      </c>
      <c r="G57" s="208">
        <f>$A57*'Verwerking Bouwdelen'!Y41</f>
        <v>0</v>
      </c>
      <c r="H57" s="208">
        <f>$A57*'Verwerking Bouwdelen'!Z41</f>
        <v>0</v>
      </c>
      <c r="I57" s="208">
        <f>$A57*'Verwerking Bouwdelen'!AA41</f>
        <v>0</v>
      </c>
      <c r="J57" s="208">
        <f>$A57*'Verwerking Bouwdelen'!AB41</f>
        <v>0</v>
      </c>
      <c r="K57" s="208">
        <f>$A57*'Verwerking Bouwdelen'!AC41</f>
        <v>0</v>
      </c>
      <c r="L57" s="208">
        <f>$A57*'Verwerking Bouwdelen'!AD41</f>
        <v>0</v>
      </c>
      <c r="M57" s="208">
        <f>$A57*'Verwerking Bouwdelen'!AE41</f>
        <v>0</v>
      </c>
      <c r="O57" s="114">
        <f>$A57*'Verwerking Bouwdelen'!AU41</f>
        <v>0</v>
      </c>
      <c r="P57" s="125">
        <f>$A57*'Verwerking Bouwdelen'!AV41</f>
        <v>0</v>
      </c>
      <c r="Q57" s="125">
        <f>$A57*'Verwerking Bouwdelen'!AW41</f>
        <v>0</v>
      </c>
      <c r="R57" s="125">
        <f>$A57*'Verwerking Bouwdelen'!AX41</f>
        <v>0</v>
      </c>
      <c r="S57" s="125">
        <f>$A57*'Verwerking Bouwdelen'!AY41</f>
        <v>0</v>
      </c>
      <c r="T57" s="125">
        <f>$A57*'Verwerking Bouwdelen'!AZ41</f>
        <v>0</v>
      </c>
      <c r="U57" s="125">
        <f>$A57*'Verwerking Bouwdelen'!BA41</f>
        <v>0</v>
      </c>
      <c r="V57" s="125">
        <f>$A57*'Verwerking Bouwdelen'!BB41</f>
        <v>0</v>
      </c>
      <c r="W57" s="125">
        <f>$A57*'Verwerking Bouwdelen'!BC41</f>
        <v>0</v>
      </c>
      <c r="X57" s="125">
        <f>$A57*'Verwerking Bouwdelen'!BD41</f>
        <v>0</v>
      </c>
      <c r="Y57" s="125">
        <f>$A57*'Verwerking Bouwdelen'!BE41</f>
        <v>0</v>
      </c>
      <c r="Z57" s="195">
        <f>$A57*'Verwerking Bouwdelen'!BF41</f>
        <v>0</v>
      </c>
      <c r="AB57" s="125">
        <f>IF(OR('Verwerking Bouwdelen'!C41=3,'Verwerking Bouwdelen'!C41=6),1,0)</f>
        <v>0</v>
      </c>
      <c r="AC57" s="130">
        <f>IF('Verwerking Bouwdelen'!A41=3,1,0)</f>
        <v>0</v>
      </c>
      <c r="AD57" s="208">
        <f>IF($AB57=1,$AC57*'Verwerking Bouwdelen'!DL41,$AC57*'Verwerking Bouwdelen'!T41)</f>
        <v>0</v>
      </c>
      <c r="AE57" s="208">
        <f>IF($AB57=1,$AC57*'Verwerking Bouwdelen'!DM41,$AC57*'Verwerking Bouwdelen'!U41)</f>
        <v>0</v>
      </c>
      <c r="AF57" s="208">
        <f>IF($AB57=1,$AC57*'Verwerking Bouwdelen'!DN41,$AC57*'Verwerking Bouwdelen'!V41)</f>
        <v>0</v>
      </c>
      <c r="AG57" s="208">
        <f>IF($AB57=1,$AC57*'Verwerking Bouwdelen'!DO41,$AC57*'Verwerking Bouwdelen'!W41)</f>
        <v>0</v>
      </c>
      <c r="AH57" s="208">
        <f>IF($AB57=1,$AC57*'Verwerking Bouwdelen'!DP41,$AC57*'Verwerking Bouwdelen'!X41)</f>
        <v>0</v>
      </c>
      <c r="AI57" s="208">
        <f>IF($AB57=1,$AC57*'Verwerking Bouwdelen'!DQ41,$AC57*'Verwerking Bouwdelen'!Y41)</f>
        <v>0</v>
      </c>
      <c r="AJ57" s="208">
        <f>IF($AB57=1,$AC57*'Verwerking Bouwdelen'!DR41,$AC57*'Verwerking Bouwdelen'!Z41)</f>
        <v>0</v>
      </c>
      <c r="AK57" s="208">
        <f>IF($AB57=1,$AC57*'Verwerking Bouwdelen'!DS41,$AC57*'Verwerking Bouwdelen'!AA41)</f>
        <v>0</v>
      </c>
      <c r="AL57" s="208">
        <f>IF($AB57=1,$AC57*'Verwerking Bouwdelen'!DT41,$AC57*'Verwerking Bouwdelen'!AB41)</f>
        <v>0</v>
      </c>
      <c r="AM57" s="208">
        <f>IF($AB57=1,$AC57*'Verwerking Bouwdelen'!DU41,$AC57*'Verwerking Bouwdelen'!AC41)</f>
        <v>0</v>
      </c>
      <c r="AN57" s="208">
        <f>IF($AB57=1,$AC57*'Verwerking Bouwdelen'!DV41,$AC57*'Verwerking Bouwdelen'!AD41)</f>
        <v>0</v>
      </c>
      <c r="AO57" s="208">
        <f>IF($AB57=1,$AC57*'Verwerking Bouwdelen'!DW41,$AC57*'Verwerking Bouwdelen'!AE41)</f>
        <v>0</v>
      </c>
      <c r="AP57" s="10">
        <f>IF(AD57=B57,0,'Verwerking Bouwdelen'!D41*AB57*AC57)</f>
        <v>0</v>
      </c>
      <c r="AQ57" s="10">
        <f>AB57*AC57*'Verwerking Bouwdelen'!GH41</f>
        <v>0</v>
      </c>
      <c r="AR57" s="10"/>
      <c r="AS57" s="248"/>
      <c r="AT57" s="125">
        <f>IF('Verwerking Bouwdelen'!C41=4,1,0)</f>
        <v>0</v>
      </c>
      <c r="AU57" s="130">
        <f>IF('Verwerking Bouwdelen'!A41=3,1,0)</f>
        <v>0</v>
      </c>
      <c r="AV57" s="208">
        <f>IF($AT57=1,$AU57*'Verwerking Bouwdelen'!DL41,$AU57*'Verwerking Bouwdelen'!T41)</f>
        <v>0</v>
      </c>
      <c r="AW57" s="208">
        <f>IF($AT57=1,$AU57*'Verwerking Bouwdelen'!DM41,$AU57*'Verwerking Bouwdelen'!U41)</f>
        <v>0</v>
      </c>
      <c r="AX57" s="208">
        <f>IF($AT57=1,$AU57*'Verwerking Bouwdelen'!DN41,$AU57*'Verwerking Bouwdelen'!V41)</f>
        <v>0</v>
      </c>
      <c r="AY57" s="208">
        <f>IF($AT57=1,$AU57*'Verwerking Bouwdelen'!DO41,$AU57*'Verwerking Bouwdelen'!W41)</f>
        <v>0</v>
      </c>
      <c r="AZ57" s="208">
        <f>IF($AT57=1,$AU57*'Verwerking Bouwdelen'!DP41,$AU57*'Verwerking Bouwdelen'!X41)</f>
        <v>0</v>
      </c>
      <c r="BA57" s="208">
        <f>IF($AT57=1,$AU57*'Verwerking Bouwdelen'!DQ41,$AU57*'Verwerking Bouwdelen'!Y41)</f>
        <v>0</v>
      </c>
      <c r="BB57" s="208">
        <f>IF($AT57=1,$AU57*'Verwerking Bouwdelen'!DR41,$AU57*'Verwerking Bouwdelen'!Z41)</f>
        <v>0</v>
      </c>
      <c r="BC57" s="208">
        <f>IF($AT57=1,$AU57*'Verwerking Bouwdelen'!DS41,$AU57*'Verwerking Bouwdelen'!AA41)</f>
        <v>0</v>
      </c>
      <c r="BD57" s="208">
        <f>IF($AT57=1,$AU57*'Verwerking Bouwdelen'!DT41,$AU57*'Verwerking Bouwdelen'!AB41)</f>
        <v>0</v>
      </c>
      <c r="BE57" s="208">
        <f>IF($AT57=1,$AU57*'Verwerking Bouwdelen'!DU41,$AU57*'Verwerking Bouwdelen'!AC41)</f>
        <v>0</v>
      </c>
      <c r="BF57" s="208">
        <f>IF($AT57=1,$AU57*'Verwerking Bouwdelen'!DV41,$AU57*'Verwerking Bouwdelen'!AD41)</f>
        <v>0</v>
      </c>
      <c r="BG57" s="208">
        <f>IF($AT57=1,$AU57*'Verwerking Bouwdelen'!DW41,$AU57*'Verwerking Bouwdelen'!AE41)</f>
        <v>0</v>
      </c>
      <c r="BH57" s="10">
        <f>IF(AV57=B57,0,'Verwerking Bouwdelen'!D41*AT57*AU57)</f>
        <v>0</v>
      </c>
      <c r="BI57" s="10">
        <f>AT57*AU57*'Verwerking Bouwdelen'!GH41</f>
        <v>0</v>
      </c>
      <c r="BJ57" s="10"/>
      <c r="BK57" s="10"/>
      <c r="BM57" s="125">
        <f>IF('Verwerking Bouwdelen'!C41=5,1,0)</f>
        <v>0</v>
      </c>
      <c r="BN57" s="130">
        <f>IF('Verwerking Bouwdelen'!A41=3,1,0)</f>
        <v>0</v>
      </c>
      <c r="BO57" s="208">
        <f>IF($BM57=1,$BN57*'Verwerking Bouwdelen'!DL41,$BN57*'Verwerking Bouwdelen'!T41)</f>
        <v>0</v>
      </c>
      <c r="BP57" s="208">
        <f>IF($BM57=1,$BN57*'Verwerking Bouwdelen'!DM41,$BN57*'Verwerking Bouwdelen'!U41)</f>
        <v>0</v>
      </c>
      <c r="BQ57" s="208">
        <f>IF($BM57=1,$BN57*'Verwerking Bouwdelen'!DN41,$BN57*'Verwerking Bouwdelen'!V41)</f>
        <v>0</v>
      </c>
      <c r="BR57" s="208">
        <f>IF($BM57=1,$BN57*'Verwerking Bouwdelen'!DO41,$BN57*'Verwerking Bouwdelen'!W41)</f>
        <v>0</v>
      </c>
      <c r="BS57" s="208">
        <f>IF($BM57=1,$BN57*'Verwerking Bouwdelen'!DP41,$BN57*'Verwerking Bouwdelen'!X41)</f>
        <v>0</v>
      </c>
      <c r="BT57" s="208">
        <f>IF($BM57=1,$BN57*'Verwerking Bouwdelen'!DQ41,$BN57*'Verwerking Bouwdelen'!Y41)</f>
        <v>0</v>
      </c>
      <c r="BU57" s="208">
        <f>IF($BM57=1,$BN57*'Verwerking Bouwdelen'!DR41,$BN57*'Verwerking Bouwdelen'!Z41)</f>
        <v>0</v>
      </c>
      <c r="BV57" s="208">
        <f>IF($BM57=1,$BN57*'Verwerking Bouwdelen'!DS41,$BN57*'Verwerking Bouwdelen'!AA41)</f>
        <v>0</v>
      </c>
      <c r="BW57" s="208">
        <f>IF($BM57=1,$BN57*'Verwerking Bouwdelen'!DT41,$BN57*'Verwerking Bouwdelen'!AB41)</f>
        <v>0</v>
      </c>
      <c r="BX57" s="208">
        <f>IF($BM57=1,$BN57*'Verwerking Bouwdelen'!DU41,$BN57*'Verwerking Bouwdelen'!AC41)</f>
        <v>0</v>
      </c>
      <c r="BY57" s="208">
        <f>IF($BM57=1,$BN57*'Verwerking Bouwdelen'!DV41,$BN57*'Verwerking Bouwdelen'!AD41)</f>
        <v>0</v>
      </c>
      <c r="BZ57" s="208">
        <f>IF($BM57=1,$BN57*'Verwerking Bouwdelen'!DW41,$BN57*'Verwerking Bouwdelen'!AE41)</f>
        <v>0</v>
      </c>
      <c r="CA57" s="10">
        <f>IF(BO57=$B57,0,'Verwerking Bouwdelen'!$D41*BM57*BN57)</f>
        <v>0</v>
      </c>
      <c r="CB57" s="10">
        <f>BM57*BN57*'Verwerking Bouwdelen'!GH41</f>
        <v>0</v>
      </c>
      <c r="CC57" s="10"/>
      <c r="CD57" s="248"/>
      <c r="CE57" s="125">
        <f>IF('Verwerking Bouwdelen'!C41=2,1,0)</f>
        <v>0</v>
      </c>
      <c r="CF57" s="130">
        <f>IF('Verwerking Bouwdelen'!A41=3,1,0)</f>
        <v>0</v>
      </c>
      <c r="CG57" s="208">
        <f>IF($CE57=1,$CF57*'Verwerking Bouwdelen'!DL41,$CF57*'Verwerking Bouwdelen'!T41)</f>
        <v>0</v>
      </c>
      <c r="CH57" s="208">
        <f>IF($CE57=1,$CF57*'Verwerking Bouwdelen'!DM41,$CF57*'Verwerking Bouwdelen'!U41)</f>
        <v>0</v>
      </c>
      <c r="CI57" s="208">
        <f>IF($CE57=1,$CF57*'Verwerking Bouwdelen'!DN41,$CF57*'Verwerking Bouwdelen'!V41)</f>
        <v>0</v>
      </c>
      <c r="CJ57" s="208">
        <f>IF($CE57=1,$CF57*'Verwerking Bouwdelen'!DO41,$CF57*'Verwerking Bouwdelen'!W41)</f>
        <v>0</v>
      </c>
      <c r="CK57" s="208">
        <f>IF($CE57=1,$CF57*'Verwerking Bouwdelen'!DP41,$CF57*'Verwerking Bouwdelen'!X41)</f>
        <v>0</v>
      </c>
      <c r="CL57" s="208">
        <f>IF($CE57=1,$CF57*'Verwerking Bouwdelen'!DQ41,$CF57*'Verwerking Bouwdelen'!Y41)</f>
        <v>0</v>
      </c>
      <c r="CM57" s="208">
        <f>IF($CE57=1,$CF57*'Verwerking Bouwdelen'!DR41,$CF57*'Verwerking Bouwdelen'!Z41)</f>
        <v>0</v>
      </c>
      <c r="CN57" s="208">
        <f>IF($CE57=1,$CF57*'Verwerking Bouwdelen'!DS41,$CF57*'Verwerking Bouwdelen'!AA41)</f>
        <v>0</v>
      </c>
      <c r="CO57" s="208">
        <f>IF($CE57=1,$CF57*'Verwerking Bouwdelen'!DT41,$CF57*'Verwerking Bouwdelen'!AB41)</f>
        <v>0</v>
      </c>
      <c r="CP57" s="208">
        <f>IF($CE57=1,$CF57*'Verwerking Bouwdelen'!DU41,$CF57*'Verwerking Bouwdelen'!AC41)</f>
        <v>0</v>
      </c>
      <c r="CQ57" s="208">
        <f>IF($CE57=1,$CF57*'Verwerking Bouwdelen'!DV41,$CF57*'Verwerking Bouwdelen'!AD41)</f>
        <v>0</v>
      </c>
      <c r="CR57" s="208">
        <f>IF($CE57=1,$CF57*'Verwerking Bouwdelen'!DW41,$CF57*'Verwerking Bouwdelen'!AE41)</f>
        <v>0</v>
      </c>
      <c r="CS57" s="10">
        <f>IF(CG57=$B57,0,('Verwerking Bouwdelen'!$D41-'Verwerking Bouwdelen'!G41)*CE57*CF57)</f>
        <v>0</v>
      </c>
      <c r="CT57" s="260">
        <f>CE57*CF57*'Verwerking Bouwdelen'!GH41</f>
        <v>0</v>
      </c>
      <c r="CU57" s="261">
        <f>CE57*CF57*'Verwerking Bouwdelen'!GI41</f>
        <v>0</v>
      </c>
      <c r="CW57" s="209">
        <f>$AC57*'Verwerking Bouwdelen'!EE41</f>
        <v>0</v>
      </c>
      <c r="CX57" s="209">
        <f>$AC57*'Verwerking Bouwdelen'!EF41</f>
        <v>0</v>
      </c>
      <c r="CY57" s="209">
        <f>$AC57*'Verwerking Bouwdelen'!EG41</f>
        <v>0</v>
      </c>
      <c r="CZ57" s="209">
        <f>$AC57*'Verwerking Bouwdelen'!EH41</f>
        <v>0</v>
      </c>
      <c r="DA57" s="209">
        <f>$AC57*'Verwerking Bouwdelen'!EI41</f>
        <v>0</v>
      </c>
      <c r="DB57" s="209">
        <f>$AC57*'Verwerking Bouwdelen'!EJ41</f>
        <v>0</v>
      </c>
      <c r="DC57" s="209">
        <f>$AC57*'Verwerking Bouwdelen'!EK41</f>
        <v>0</v>
      </c>
      <c r="DD57" s="209">
        <f>$AC57*'Verwerking Bouwdelen'!EL41</f>
        <v>0</v>
      </c>
      <c r="DE57" s="209">
        <f>$AC57*'Verwerking Bouwdelen'!EM41</f>
        <v>0</v>
      </c>
      <c r="DF57" s="209">
        <f>$AC57*'Verwerking Bouwdelen'!EN41</f>
        <v>0</v>
      </c>
      <c r="DG57" s="209">
        <f>$AC57*'Verwerking Bouwdelen'!EO41</f>
        <v>0</v>
      </c>
      <c r="DH57" s="209">
        <f>$AC57*'Verwerking Bouwdelen'!EP41</f>
        <v>0</v>
      </c>
      <c r="DI57" s="10">
        <f>IF(CW57=$O57,0,'Verwerking Bouwdelen'!G41)</f>
        <v>0</v>
      </c>
      <c r="DJ57" s="259">
        <f>'Verwerking Bouwdelen'!GK41*CF57</f>
        <v>0</v>
      </c>
      <c r="DK57" s="259">
        <f>'Verwerking Bouwdelen'!GL41*CF57</f>
        <v>0</v>
      </c>
      <c r="DL57" s="125"/>
      <c r="GM57" s="89">
        <f t="shared" si="13"/>
        <v>0</v>
      </c>
      <c r="GN57" s="89">
        <f t="shared" si="14"/>
        <v>0</v>
      </c>
      <c r="GO57" s="208">
        <f>IF($GN57=1,$GN57*$GM57*'Verwerking Bouwdelen'!DL41,$GN57*$GM57*'Verwerking Bouwdelen'!T41)</f>
        <v>0</v>
      </c>
      <c r="GP57" s="208">
        <f>IF($GN57=1,$GN57*$GM57*'Verwerking Bouwdelen'!DM41,$GN57*$GM57*'Verwerking Bouwdelen'!U41)</f>
        <v>0</v>
      </c>
      <c r="GQ57" s="208">
        <f>IF($GN57=1,$GN57*$GM57*'Verwerking Bouwdelen'!DN41,$GN57*$GM57*'Verwerking Bouwdelen'!V41)</f>
        <v>0</v>
      </c>
      <c r="GR57" s="208">
        <f>IF($GN57=1,$GN57*$GM57*'Verwerking Bouwdelen'!DO41,$GN57*$GM57*'Verwerking Bouwdelen'!W41)</f>
        <v>0</v>
      </c>
      <c r="GS57" s="208">
        <f>IF($GN57=1,$GN57*$GM57*'Verwerking Bouwdelen'!DP41,$GN57*$GM57*'Verwerking Bouwdelen'!X41)</f>
        <v>0</v>
      </c>
      <c r="GT57" s="208">
        <f>IF($GN57=1,$GN57*$GM57*'Verwerking Bouwdelen'!DQ41,$GN57*$GM57*'Verwerking Bouwdelen'!Y41)</f>
        <v>0</v>
      </c>
      <c r="GU57" s="208">
        <f>IF($GN57=1,$GN57*$GM57*'Verwerking Bouwdelen'!DR41,$GN57*$GM57*'Verwerking Bouwdelen'!Z41)</f>
        <v>0</v>
      </c>
      <c r="GV57" s="208">
        <f>IF($GN57=1,$GN57*$GM57*'Verwerking Bouwdelen'!DS41,$GN57*$GM57*'Verwerking Bouwdelen'!AA41)</f>
        <v>0</v>
      </c>
      <c r="GW57" s="208">
        <f>IF($GN57=1,$GN57*$GM57*'Verwerking Bouwdelen'!DT41,$GN57*$GM57*'Verwerking Bouwdelen'!AB41)</f>
        <v>0</v>
      </c>
      <c r="GX57" s="208">
        <f>IF($GN57=1,$GN57*$GM57*'Verwerking Bouwdelen'!DU41,$GN57*$GM57*'Verwerking Bouwdelen'!AC41)</f>
        <v>0</v>
      </c>
      <c r="GY57" s="208">
        <f>IF($GN57=1,$GN57*$GM57*'Verwerking Bouwdelen'!DV41,$GN57*$GM57*'Verwerking Bouwdelen'!AD41)</f>
        <v>0</v>
      </c>
      <c r="GZ57" s="208">
        <f>IF($GN57=1,$GN57*$GM57*'Verwerking Bouwdelen'!DW41,$GN57*$GM57*'Verwerking Bouwdelen'!AE41)</f>
        <v>0</v>
      </c>
      <c r="HB57" s="89">
        <f t="shared" si="16"/>
        <v>0</v>
      </c>
      <c r="HC57" s="89">
        <f t="shared" si="17"/>
        <v>0</v>
      </c>
      <c r="HD57" s="89">
        <f t="shared" si="18"/>
        <v>0</v>
      </c>
      <c r="HE57" s="89">
        <f t="shared" si="19"/>
        <v>0</v>
      </c>
      <c r="HF57" s="89">
        <f t="shared" si="19"/>
        <v>0</v>
      </c>
      <c r="HG57" s="89">
        <f t="shared" si="19"/>
        <v>0</v>
      </c>
      <c r="HH57" s="89">
        <f t="shared" si="19"/>
        <v>0</v>
      </c>
      <c r="HI57" s="89">
        <f t="shared" si="19"/>
        <v>0</v>
      </c>
      <c r="HJ57" s="89">
        <f t="shared" si="19"/>
        <v>0</v>
      </c>
      <c r="HK57" s="89">
        <f t="shared" si="19"/>
        <v>0</v>
      </c>
      <c r="HL57" s="89">
        <f t="shared" si="19"/>
        <v>0</v>
      </c>
      <c r="HM57" s="89">
        <f t="shared" si="19"/>
        <v>0</v>
      </c>
    </row>
    <row r="58" spans="1:221" x14ac:dyDescent="0.2">
      <c r="A58" s="130">
        <f>IF('Verwerking Bouwdelen'!A42=3,1,0)</f>
        <v>0</v>
      </c>
      <c r="B58" s="208">
        <f>$A58*'Verwerking Bouwdelen'!T42</f>
        <v>0</v>
      </c>
      <c r="C58" s="208">
        <f>$A58*'Verwerking Bouwdelen'!U42</f>
        <v>0</v>
      </c>
      <c r="D58" s="208">
        <f>$A58*'Verwerking Bouwdelen'!V42</f>
        <v>0</v>
      </c>
      <c r="E58" s="208">
        <f>$A58*'Verwerking Bouwdelen'!W42</f>
        <v>0</v>
      </c>
      <c r="F58" s="208">
        <f>$A58*'Verwerking Bouwdelen'!X42</f>
        <v>0</v>
      </c>
      <c r="G58" s="208">
        <f>$A58*'Verwerking Bouwdelen'!Y42</f>
        <v>0</v>
      </c>
      <c r="H58" s="208">
        <f>$A58*'Verwerking Bouwdelen'!Z42</f>
        <v>0</v>
      </c>
      <c r="I58" s="208">
        <f>$A58*'Verwerking Bouwdelen'!AA42</f>
        <v>0</v>
      </c>
      <c r="J58" s="208">
        <f>$A58*'Verwerking Bouwdelen'!AB42</f>
        <v>0</v>
      </c>
      <c r="K58" s="208">
        <f>$A58*'Verwerking Bouwdelen'!AC42</f>
        <v>0</v>
      </c>
      <c r="L58" s="208">
        <f>$A58*'Verwerking Bouwdelen'!AD42</f>
        <v>0</v>
      </c>
      <c r="M58" s="208">
        <f>$A58*'Verwerking Bouwdelen'!AE42</f>
        <v>0</v>
      </c>
      <c r="O58" s="114">
        <f>$A58*'Verwerking Bouwdelen'!AU42</f>
        <v>0</v>
      </c>
      <c r="P58" s="125">
        <f>$A58*'Verwerking Bouwdelen'!AV42</f>
        <v>0</v>
      </c>
      <c r="Q58" s="125">
        <f>$A58*'Verwerking Bouwdelen'!AW42</f>
        <v>0</v>
      </c>
      <c r="R58" s="125">
        <f>$A58*'Verwerking Bouwdelen'!AX42</f>
        <v>0</v>
      </c>
      <c r="S58" s="125">
        <f>$A58*'Verwerking Bouwdelen'!AY42</f>
        <v>0</v>
      </c>
      <c r="T58" s="125">
        <f>$A58*'Verwerking Bouwdelen'!AZ42</f>
        <v>0</v>
      </c>
      <c r="U58" s="125">
        <f>$A58*'Verwerking Bouwdelen'!BA42</f>
        <v>0</v>
      </c>
      <c r="V58" s="125">
        <f>$A58*'Verwerking Bouwdelen'!BB42</f>
        <v>0</v>
      </c>
      <c r="W58" s="125">
        <f>$A58*'Verwerking Bouwdelen'!BC42</f>
        <v>0</v>
      </c>
      <c r="X58" s="125">
        <f>$A58*'Verwerking Bouwdelen'!BD42</f>
        <v>0</v>
      </c>
      <c r="Y58" s="125">
        <f>$A58*'Verwerking Bouwdelen'!BE42</f>
        <v>0</v>
      </c>
      <c r="Z58" s="195">
        <f>$A58*'Verwerking Bouwdelen'!BF42</f>
        <v>0</v>
      </c>
      <c r="AB58" s="125">
        <f>IF(OR('Verwerking Bouwdelen'!C42=3,'Verwerking Bouwdelen'!C42=6),1,0)</f>
        <v>0</v>
      </c>
      <c r="AC58" s="130">
        <f>IF('Verwerking Bouwdelen'!A42=3,1,0)</f>
        <v>0</v>
      </c>
      <c r="AD58" s="208">
        <f>IF($AB58=1,$AC58*'Verwerking Bouwdelen'!DL42,$AC58*'Verwerking Bouwdelen'!T42)</f>
        <v>0</v>
      </c>
      <c r="AE58" s="208">
        <f>IF($AB58=1,$AC58*'Verwerking Bouwdelen'!DM42,$AC58*'Verwerking Bouwdelen'!U42)</f>
        <v>0</v>
      </c>
      <c r="AF58" s="208">
        <f>IF($AB58=1,$AC58*'Verwerking Bouwdelen'!DN42,$AC58*'Verwerking Bouwdelen'!V42)</f>
        <v>0</v>
      </c>
      <c r="AG58" s="208">
        <f>IF($AB58=1,$AC58*'Verwerking Bouwdelen'!DO42,$AC58*'Verwerking Bouwdelen'!W42)</f>
        <v>0</v>
      </c>
      <c r="AH58" s="208">
        <f>IF($AB58=1,$AC58*'Verwerking Bouwdelen'!DP42,$AC58*'Verwerking Bouwdelen'!X42)</f>
        <v>0</v>
      </c>
      <c r="AI58" s="208">
        <f>IF($AB58=1,$AC58*'Verwerking Bouwdelen'!DQ42,$AC58*'Verwerking Bouwdelen'!Y42)</f>
        <v>0</v>
      </c>
      <c r="AJ58" s="208">
        <f>IF($AB58=1,$AC58*'Verwerking Bouwdelen'!DR42,$AC58*'Verwerking Bouwdelen'!Z42)</f>
        <v>0</v>
      </c>
      <c r="AK58" s="208">
        <f>IF($AB58=1,$AC58*'Verwerking Bouwdelen'!DS42,$AC58*'Verwerking Bouwdelen'!AA42)</f>
        <v>0</v>
      </c>
      <c r="AL58" s="208">
        <f>IF($AB58=1,$AC58*'Verwerking Bouwdelen'!DT42,$AC58*'Verwerking Bouwdelen'!AB42)</f>
        <v>0</v>
      </c>
      <c r="AM58" s="208">
        <f>IF($AB58=1,$AC58*'Verwerking Bouwdelen'!DU42,$AC58*'Verwerking Bouwdelen'!AC42)</f>
        <v>0</v>
      </c>
      <c r="AN58" s="208">
        <f>IF($AB58=1,$AC58*'Verwerking Bouwdelen'!DV42,$AC58*'Verwerking Bouwdelen'!AD42)</f>
        <v>0</v>
      </c>
      <c r="AO58" s="208">
        <f>IF($AB58=1,$AC58*'Verwerking Bouwdelen'!DW42,$AC58*'Verwerking Bouwdelen'!AE42)</f>
        <v>0</v>
      </c>
      <c r="AP58" s="10">
        <f>IF(AD58=B58,0,'Verwerking Bouwdelen'!D42*AB58*AC58)</f>
        <v>0</v>
      </c>
      <c r="AQ58" s="10">
        <f>AB58*AC58*'Verwerking Bouwdelen'!GH42</f>
        <v>0</v>
      </c>
      <c r="AR58" s="10"/>
      <c r="AS58" s="248"/>
      <c r="AT58" s="125">
        <f>IF('Verwerking Bouwdelen'!C42=4,1,0)</f>
        <v>0</v>
      </c>
      <c r="AU58" s="130">
        <f>IF('Verwerking Bouwdelen'!A42=3,1,0)</f>
        <v>0</v>
      </c>
      <c r="AV58" s="208">
        <f>IF($AT58=1,$AU58*'Verwerking Bouwdelen'!DL42,$AU58*'Verwerking Bouwdelen'!T42)</f>
        <v>0</v>
      </c>
      <c r="AW58" s="208">
        <f>IF($AT58=1,$AU58*'Verwerking Bouwdelen'!DM42,$AU58*'Verwerking Bouwdelen'!U42)</f>
        <v>0</v>
      </c>
      <c r="AX58" s="208">
        <f>IF($AT58=1,$AU58*'Verwerking Bouwdelen'!DN42,$AU58*'Verwerking Bouwdelen'!V42)</f>
        <v>0</v>
      </c>
      <c r="AY58" s="208">
        <f>IF($AT58=1,$AU58*'Verwerking Bouwdelen'!DO42,$AU58*'Verwerking Bouwdelen'!W42)</f>
        <v>0</v>
      </c>
      <c r="AZ58" s="208">
        <f>IF($AT58=1,$AU58*'Verwerking Bouwdelen'!DP42,$AU58*'Verwerking Bouwdelen'!X42)</f>
        <v>0</v>
      </c>
      <c r="BA58" s="208">
        <f>IF($AT58=1,$AU58*'Verwerking Bouwdelen'!DQ42,$AU58*'Verwerking Bouwdelen'!Y42)</f>
        <v>0</v>
      </c>
      <c r="BB58" s="208">
        <f>IF($AT58=1,$AU58*'Verwerking Bouwdelen'!DR42,$AU58*'Verwerking Bouwdelen'!Z42)</f>
        <v>0</v>
      </c>
      <c r="BC58" s="208">
        <f>IF($AT58=1,$AU58*'Verwerking Bouwdelen'!DS42,$AU58*'Verwerking Bouwdelen'!AA42)</f>
        <v>0</v>
      </c>
      <c r="BD58" s="208">
        <f>IF($AT58=1,$AU58*'Verwerking Bouwdelen'!DT42,$AU58*'Verwerking Bouwdelen'!AB42)</f>
        <v>0</v>
      </c>
      <c r="BE58" s="208">
        <f>IF($AT58=1,$AU58*'Verwerking Bouwdelen'!DU42,$AU58*'Verwerking Bouwdelen'!AC42)</f>
        <v>0</v>
      </c>
      <c r="BF58" s="208">
        <f>IF($AT58=1,$AU58*'Verwerking Bouwdelen'!DV42,$AU58*'Verwerking Bouwdelen'!AD42)</f>
        <v>0</v>
      </c>
      <c r="BG58" s="208">
        <f>IF($AT58=1,$AU58*'Verwerking Bouwdelen'!DW42,$AU58*'Verwerking Bouwdelen'!AE42)</f>
        <v>0</v>
      </c>
      <c r="BH58" s="10">
        <f>IF(AV58=B58,0,'Verwerking Bouwdelen'!D42*AT58*AU58)</f>
        <v>0</v>
      </c>
      <c r="BI58" s="10">
        <f>AT58*AU58*'Verwerking Bouwdelen'!GH42</f>
        <v>0</v>
      </c>
      <c r="BJ58" s="10"/>
      <c r="BK58" s="10"/>
      <c r="BM58" s="125">
        <f>IF('Verwerking Bouwdelen'!C42=5,1,0)</f>
        <v>0</v>
      </c>
      <c r="BN58" s="130">
        <f>IF('Verwerking Bouwdelen'!A42=3,1,0)</f>
        <v>0</v>
      </c>
      <c r="BO58" s="208">
        <f>IF($BM58=1,$BN58*'Verwerking Bouwdelen'!DL42,$BN58*'Verwerking Bouwdelen'!T42)</f>
        <v>0</v>
      </c>
      <c r="BP58" s="208">
        <f>IF($BM58=1,$BN58*'Verwerking Bouwdelen'!DM42,$BN58*'Verwerking Bouwdelen'!U42)</f>
        <v>0</v>
      </c>
      <c r="BQ58" s="208">
        <f>IF($BM58=1,$BN58*'Verwerking Bouwdelen'!DN42,$BN58*'Verwerking Bouwdelen'!V42)</f>
        <v>0</v>
      </c>
      <c r="BR58" s="208">
        <f>IF($BM58=1,$BN58*'Verwerking Bouwdelen'!DO42,$BN58*'Verwerking Bouwdelen'!W42)</f>
        <v>0</v>
      </c>
      <c r="BS58" s="208">
        <f>IF($BM58=1,$BN58*'Verwerking Bouwdelen'!DP42,$BN58*'Verwerking Bouwdelen'!X42)</f>
        <v>0</v>
      </c>
      <c r="BT58" s="208">
        <f>IF($BM58=1,$BN58*'Verwerking Bouwdelen'!DQ42,$BN58*'Verwerking Bouwdelen'!Y42)</f>
        <v>0</v>
      </c>
      <c r="BU58" s="208">
        <f>IF($BM58=1,$BN58*'Verwerking Bouwdelen'!DR42,$BN58*'Verwerking Bouwdelen'!Z42)</f>
        <v>0</v>
      </c>
      <c r="BV58" s="208">
        <f>IF($BM58=1,$BN58*'Verwerking Bouwdelen'!DS42,$BN58*'Verwerking Bouwdelen'!AA42)</f>
        <v>0</v>
      </c>
      <c r="BW58" s="208">
        <f>IF($BM58=1,$BN58*'Verwerking Bouwdelen'!DT42,$BN58*'Verwerking Bouwdelen'!AB42)</f>
        <v>0</v>
      </c>
      <c r="BX58" s="208">
        <f>IF($BM58=1,$BN58*'Verwerking Bouwdelen'!DU42,$BN58*'Verwerking Bouwdelen'!AC42)</f>
        <v>0</v>
      </c>
      <c r="BY58" s="208">
        <f>IF($BM58=1,$BN58*'Verwerking Bouwdelen'!DV42,$BN58*'Verwerking Bouwdelen'!AD42)</f>
        <v>0</v>
      </c>
      <c r="BZ58" s="208">
        <f>IF($BM58=1,$BN58*'Verwerking Bouwdelen'!DW42,$BN58*'Verwerking Bouwdelen'!AE42)</f>
        <v>0</v>
      </c>
      <c r="CA58" s="10">
        <f>IF(BO58=$B58,0,'Verwerking Bouwdelen'!$D42*BM58*BN58)</f>
        <v>0</v>
      </c>
      <c r="CB58" s="10">
        <f>BM58*BN58*'Verwerking Bouwdelen'!GH42</f>
        <v>0</v>
      </c>
      <c r="CC58" s="10"/>
      <c r="CD58" s="248"/>
      <c r="CE58" s="125">
        <f>IF('Verwerking Bouwdelen'!C42=2,1,0)</f>
        <v>0</v>
      </c>
      <c r="CF58" s="130">
        <f>IF('Verwerking Bouwdelen'!A42=3,1,0)</f>
        <v>0</v>
      </c>
      <c r="CG58" s="208">
        <f>IF($CE58=1,$CF58*'Verwerking Bouwdelen'!DL42,$CF58*'Verwerking Bouwdelen'!T42)</f>
        <v>0</v>
      </c>
      <c r="CH58" s="208">
        <f>IF($CE58=1,$CF58*'Verwerking Bouwdelen'!DM42,$CF58*'Verwerking Bouwdelen'!U42)</f>
        <v>0</v>
      </c>
      <c r="CI58" s="208">
        <f>IF($CE58=1,$CF58*'Verwerking Bouwdelen'!DN42,$CF58*'Verwerking Bouwdelen'!V42)</f>
        <v>0</v>
      </c>
      <c r="CJ58" s="208">
        <f>IF($CE58=1,$CF58*'Verwerking Bouwdelen'!DO42,$CF58*'Verwerking Bouwdelen'!W42)</f>
        <v>0</v>
      </c>
      <c r="CK58" s="208">
        <f>IF($CE58=1,$CF58*'Verwerking Bouwdelen'!DP42,$CF58*'Verwerking Bouwdelen'!X42)</f>
        <v>0</v>
      </c>
      <c r="CL58" s="208">
        <f>IF($CE58=1,$CF58*'Verwerking Bouwdelen'!DQ42,$CF58*'Verwerking Bouwdelen'!Y42)</f>
        <v>0</v>
      </c>
      <c r="CM58" s="208">
        <f>IF($CE58=1,$CF58*'Verwerking Bouwdelen'!DR42,$CF58*'Verwerking Bouwdelen'!Z42)</f>
        <v>0</v>
      </c>
      <c r="CN58" s="208">
        <f>IF($CE58=1,$CF58*'Verwerking Bouwdelen'!DS42,$CF58*'Verwerking Bouwdelen'!AA42)</f>
        <v>0</v>
      </c>
      <c r="CO58" s="208">
        <f>IF($CE58=1,$CF58*'Verwerking Bouwdelen'!DT42,$CF58*'Verwerking Bouwdelen'!AB42)</f>
        <v>0</v>
      </c>
      <c r="CP58" s="208">
        <f>IF($CE58=1,$CF58*'Verwerking Bouwdelen'!DU42,$CF58*'Verwerking Bouwdelen'!AC42)</f>
        <v>0</v>
      </c>
      <c r="CQ58" s="208">
        <f>IF($CE58=1,$CF58*'Verwerking Bouwdelen'!DV42,$CF58*'Verwerking Bouwdelen'!AD42)</f>
        <v>0</v>
      </c>
      <c r="CR58" s="208">
        <f>IF($CE58=1,$CF58*'Verwerking Bouwdelen'!DW42,$CF58*'Verwerking Bouwdelen'!AE42)</f>
        <v>0</v>
      </c>
      <c r="CS58" s="10">
        <f>IF(CG58=$B58,0,('Verwerking Bouwdelen'!$D42-'Verwerking Bouwdelen'!G42)*CE58*CF58)</f>
        <v>0</v>
      </c>
      <c r="CT58" s="260">
        <f>CE58*CF58*'Verwerking Bouwdelen'!GH42</f>
        <v>0</v>
      </c>
      <c r="CU58" s="261">
        <f>CE58*CF58*'Verwerking Bouwdelen'!GI42</f>
        <v>0</v>
      </c>
      <c r="CW58" s="209">
        <f>$AC58*'Verwerking Bouwdelen'!EE42</f>
        <v>0</v>
      </c>
      <c r="CX58" s="209">
        <f>$AC58*'Verwerking Bouwdelen'!EF42</f>
        <v>0</v>
      </c>
      <c r="CY58" s="209">
        <f>$AC58*'Verwerking Bouwdelen'!EG42</f>
        <v>0</v>
      </c>
      <c r="CZ58" s="209">
        <f>$AC58*'Verwerking Bouwdelen'!EH42</f>
        <v>0</v>
      </c>
      <c r="DA58" s="209">
        <f>$AC58*'Verwerking Bouwdelen'!EI42</f>
        <v>0</v>
      </c>
      <c r="DB58" s="209">
        <f>$AC58*'Verwerking Bouwdelen'!EJ42</f>
        <v>0</v>
      </c>
      <c r="DC58" s="209">
        <f>$AC58*'Verwerking Bouwdelen'!EK42</f>
        <v>0</v>
      </c>
      <c r="DD58" s="209">
        <f>$AC58*'Verwerking Bouwdelen'!EL42</f>
        <v>0</v>
      </c>
      <c r="DE58" s="209">
        <f>$AC58*'Verwerking Bouwdelen'!EM42</f>
        <v>0</v>
      </c>
      <c r="DF58" s="209">
        <f>$AC58*'Verwerking Bouwdelen'!EN42</f>
        <v>0</v>
      </c>
      <c r="DG58" s="209">
        <f>$AC58*'Verwerking Bouwdelen'!EO42</f>
        <v>0</v>
      </c>
      <c r="DH58" s="209">
        <f>$AC58*'Verwerking Bouwdelen'!EP42</f>
        <v>0</v>
      </c>
      <c r="DI58" s="10">
        <f>IF(CW58=$O58,0,'Verwerking Bouwdelen'!G42)</f>
        <v>0</v>
      </c>
      <c r="DJ58" s="259">
        <f>'Verwerking Bouwdelen'!GK42*CF58</f>
        <v>0</v>
      </c>
      <c r="DK58" s="259">
        <f>'Verwerking Bouwdelen'!GL42*CF58</f>
        <v>0</v>
      </c>
      <c r="DL58" s="125"/>
      <c r="GM58" s="89">
        <f t="shared" si="13"/>
        <v>0</v>
      </c>
      <c r="GN58" s="89">
        <f t="shared" si="14"/>
        <v>0</v>
      </c>
      <c r="GO58" s="208">
        <f>IF($GN58=1,$GN58*$GM58*'Verwerking Bouwdelen'!DL42,$GN58*$GM58*'Verwerking Bouwdelen'!T42)</f>
        <v>0</v>
      </c>
      <c r="GP58" s="208">
        <f>IF($GN58=1,$GN58*$GM58*'Verwerking Bouwdelen'!DM42,$GN58*$GM58*'Verwerking Bouwdelen'!U42)</f>
        <v>0</v>
      </c>
      <c r="GQ58" s="208">
        <f>IF($GN58=1,$GN58*$GM58*'Verwerking Bouwdelen'!DN42,$GN58*$GM58*'Verwerking Bouwdelen'!V42)</f>
        <v>0</v>
      </c>
      <c r="GR58" s="208">
        <f>IF($GN58=1,$GN58*$GM58*'Verwerking Bouwdelen'!DO42,$GN58*$GM58*'Verwerking Bouwdelen'!W42)</f>
        <v>0</v>
      </c>
      <c r="GS58" s="208">
        <f>IF($GN58=1,$GN58*$GM58*'Verwerking Bouwdelen'!DP42,$GN58*$GM58*'Verwerking Bouwdelen'!X42)</f>
        <v>0</v>
      </c>
      <c r="GT58" s="208">
        <f>IF($GN58=1,$GN58*$GM58*'Verwerking Bouwdelen'!DQ42,$GN58*$GM58*'Verwerking Bouwdelen'!Y42)</f>
        <v>0</v>
      </c>
      <c r="GU58" s="208">
        <f>IF($GN58=1,$GN58*$GM58*'Verwerking Bouwdelen'!DR42,$GN58*$GM58*'Verwerking Bouwdelen'!Z42)</f>
        <v>0</v>
      </c>
      <c r="GV58" s="208">
        <f>IF($GN58=1,$GN58*$GM58*'Verwerking Bouwdelen'!DS42,$GN58*$GM58*'Verwerking Bouwdelen'!AA42)</f>
        <v>0</v>
      </c>
      <c r="GW58" s="208">
        <f>IF($GN58=1,$GN58*$GM58*'Verwerking Bouwdelen'!DT42,$GN58*$GM58*'Verwerking Bouwdelen'!AB42)</f>
        <v>0</v>
      </c>
      <c r="GX58" s="208">
        <f>IF($GN58=1,$GN58*$GM58*'Verwerking Bouwdelen'!DU42,$GN58*$GM58*'Verwerking Bouwdelen'!AC42)</f>
        <v>0</v>
      </c>
      <c r="GY58" s="208">
        <f>IF($GN58=1,$GN58*$GM58*'Verwerking Bouwdelen'!DV42,$GN58*$GM58*'Verwerking Bouwdelen'!AD42)</f>
        <v>0</v>
      </c>
      <c r="GZ58" s="208">
        <f>IF($GN58=1,$GN58*$GM58*'Verwerking Bouwdelen'!DW42,$GN58*$GM58*'Verwerking Bouwdelen'!AE42)</f>
        <v>0</v>
      </c>
      <c r="HB58" s="89">
        <f t="shared" si="16"/>
        <v>0</v>
      </c>
      <c r="HC58" s="89">
        <f t="shared" si="17"/>
        <v>0</v>
      </c>
      <c r="HD58" s="89">
        <f t="shared" si="18"/>
        <v>0</v>
      </c>
      <c r="HE58" s="89">
        <f t="shared" si="19"/>
        <v>0</v>
      </c>
      <c r="HF58" s="89">
        <f t="shared" si="19"/>
        <v>0</v>
      </c>
      <c r="HG58" s="89">
        <f t="shared" si="19"/>
        <v>0</v>
      </c>
      <c r="HH58" s="89">
        <f t="shared" si="19"/>
        <v>0</v>
      </c>
      <c r="HI58" s="89">
        <f t="shared" si="19"/>
        <v>0</v>
      </c>
      <c r="HJ58" s="89">
        <f t="shared" si="19"/>
        <v>0</v>
      </c>
      <c r="HK58" s="89">
        <f t="shared" si="19"/>
        <v>0</v>
      </c>
      <c r="HL58" s="89">
        <f t="shared" si="19"/>
        <v>0</v>
      </c>
      <c r="HM58" s="89">
        <f t="shared" si="19"/>
        <v>0</v>
      </c>
    </row>
    <row r="59" spans="1:221" x14ac:dyDescent="0.2">
      <c r="A59" s="130">
        <f>IF('Verwerking Bouwdelen'!A43=3,1,0)</f>
        <v>0</v>
      </c>
      <c r="B59" s="208">
        <f>$A59*'Verwerking Bouwdelen'!T43</f>
        <v>0</v>
      </c>
      <c r="C59" s="208">
        <f>$A59*'Verwerking Bouwdelen'!U43</f>
        <v>0</v>
      </c>
      <c r="D59" s="208">
        <f>$A59*'Verwerking Bouwdelen'!V43</f>
        <v>0</v>
      </c>
      <c r="E59" s="208">
        <f>$A59*'Verwerking Bouwdelen'!W43</f>
        <v>0</v>
      </c>
      <c r="F59" s="208">
        <f>$A59*'Verwerking Bouwdelen'!X43</f>
        <v>0</v>
      </c>
      <c r="G59" s="208">
        <f>$A59*'Verwerking Bouwdelen'!Y43</f>
        <v>0</v>
      </c>
      <c r="H59" s="208">
        <f>$A59*'Verwerking Bouwdelen'!Z43</f>
        <v>0</v>
      </c>
      <c r="I59" s="208">
        <f>$A59*'Verwerking Bouwdelen'!AA43</f>
        <v>0</v>
      </c>
      <c r="J59" s="208">
        <f>$A59*'Verwerking Bouwdelen'!AB43</f>
        <v>0</v>
      </c>
      <c r="K59" s="208">
        <f>$A59*'Verwerking Bouwdelen'!AC43</f>
        <v>0</v>
      </c>
      <c r="L59" s="208">
        <f>$A59*'Verwerking Bouwdelen'!AD43</f>
        <v>0</v>
      </c>
      <c r="M59" s="208">
        <f>$A59*'Verwerking Bouwdelen'!AE43</f>
        <v>0</v>
      </c>
      <c r="O59" s="114">
        <f>$A59*'Verwerking Bouwdelen'!AU43</f>
        <v>0</v>
      </c>
      <c r="P59" s="125">
        <f>$A59*'Verwerking Bouwdelen'!AV43</f>
        <v>0</v>
      </c>
      <c r="Q59" s="125">
        <f>$A59*'Verwerking Bouwdelen'!AW43</f>
        <v>0</v>
      </c>
      <c r="R59" s="125">
        <f>$A59*'Verwerking Bouwdelen'!AX43</f>
        <v>0</v>
      </c>
      <c r="S59" s="125">
        <f>$A59*'Verwerking Bouwdelen'!AY43</f>
        <v>0</v>
      </c>
      <c r="T59" s="125">
        <f>$A59*'Verwerking Bouwdelen'!AZ43</f>
        <v>0</v>
      </c>
      <c r="U59" s="125">
        <f>$A59*'Verwerking Bouwdelen'!BA43</f>
        <v>0</v>
      </c>
      <c r="V59" s="125">
        <f>$A59*'Verwerking Bouwdelen'!BB43</f>
        <v>0</v>
      </c>
      <c r="W59" s="125">
        <f>$A59*'Verwerking Bouwdelen'!BC43</f>
        <v>0</v>
      </c>
      <c r="X59" s="125">
        <f>$A59*'Verwerking Bouwdelen'!BD43</f>
        <v>0</v>
      </c>
      <c r="Y59" s="125">
        <f>$A59*'Verwerking Bouwdelen'!BE43</f>
        <v>0</v>
      </c>
      <c r="Z59" s="195">
        <f>$A59*'Verwerking Bouwdelen'!BF43</f>
        <v>0</v>
      </c>
      <c r="AB59" s="125">
        <f>IF(OR('Verwerking Bouwdelen'!C43=3,'Verwerking Bouwdelen'!C43=6),1,0)</f>
        <v>0</v>
      </c>
      <c r="AC59" s="130">
        <f>IF('Verwerking Bouwdelen'!A43=3,1,0)</f>
        <v>0</v>
      </c>
      <c r="AD59" s="208">
        <f>IF($AB59=1,$AC59*'Verwerking Bouwdelen'!DL43,$AC59*'Verwerking Bouwdelen'!T43)</f>
        <v>0</v>
      </c>
      <c r="AE59" s="208">
        <f>IF($AB59=1,$AC59*'Verwerking Bouwdelen'!DM43,$AC59*'Verwerking Bouwdelen'!U43)</f>
        <v>0</v>
      </c>
      <c r="AF59" s="208">
        <f>IF($AB59=1,$AC59*'Verwerking Bouwdelen'!DN43,$AC59*'Verwerking Bouwdelen'!V43)</f>
        <v>0</v>
      </c>
      <c r="AG59" s="208">
        <f>IF($AB59=1,$AC59*'Verwerking Bouwdelen'!DO43,$AC59*'Verwerking Bouwdelen'!W43)</f>
        <v>0</v>
      </c>
      <c r="AH59" s="208">
        <f>IF($AB59=1,$AC59*'Verwerking Bouwdelen'!DP43,$AC59*'Verwerking Bouwdelen'!X43)</f>
        <v>0</v>
      </c>
      <c r="AI59" s="208">
        <f>IF($AB59=1,$AC59*'Verwerking Bouwdelen'!DQ43,$AC59*'Verwerking Bouwdelen'!Y43)</f>
        <v>0</v>
      </c>
      <c r="AJ59" s="208">
        <f>IF($AB59=1,$AC59*'Verwerking Bouwdelen'!DR43,$AC59*'Verwerking Bouwdelen'!Z43)</f>
        <v>0</v>
      </c>
      <c r="AK59" s="208">
        <f>IF($AB59=1,$AC59*'Verwerking Bouwdelen'!DS43,$AC59*'Verwerking Bouwdelen'!AA43)</f>
        <v>0</v>
      </c>
      <c r="AL59" s="208">
        <f>IF($AB59=1,$AC59*'Verwerking Bouwdelen'!DT43,$AC59*'Verwerking Bouwdelen'!AB43)</f>
        <v>0</v>
      </c>
      <c r="AM59" s="208">
        <f>IF($AB59=1,$AC59*'Verwerking Bouwdelen'!DU43,$AC59*'Verwerking Bouwdelen'!AC43)</f>
        <v>0</v>
      </c>
      <c r="AN59" s="208">
        <f>IF($AB59=1,$AC59*'Verwerking Bouwdelen'!DV43,$AC59*'Verwerking Bouwdelen'!AD43)</f>
        <v>0</v>
      </c>
      <c r="AO59" s="208">
        <f>IF($AB59=1,$AC59*'Verwerking Bouwdelen'!DW43,$AC59*'Verwerking Bouwdelen'!AE43)</f>
        <v>0</v>
      </c>
      <c r="AP59" s="10">
        <f>IF(AD59=B59,0,'Verwerking Bouwdelen'!D43*AB59*AC59)</f>
        <v>0</v>
      </c>
      <c r="AQ59" s="10">
        <f>AB59*AC59*'Verwerking Bouwdelen'!GH43</f>
        <v>0</v>
      </c>
      <c r="AR59" s="10"/>
      <c r="AS59" s="248"/>
      <c r="AT59" s="125">
        <f>IF('Verwerking Bouwdelen'!C43=4,1,0)</f>
        <v>0</v>
      </c>
      <c r="AU59" s="130">
        <f>IF('Verwerking Bouwdelen'!A43=3,1,0)</f>
        <v>0</v>
      </c>
      <c r="AV59" s="208">
        <f>IF($AT59=1,$AU59*'Verwerking Bouwdelen'!DL43,$AU59*'Verwerking Bouwdelen'!T43)</f>
        <v>0</v>
      </c>
      <c r="AW59" s="208">
        <f>IF($AT59=1,$AU59*'Verwerking Bouwdelen'!DM43,$AU59*'Verwerking Bouwdelen'!U43)</f>
        <v>0</v>
      </c>
      <c r="AX59" s="208">
        <f>IF($AT59=1,$AU59*'Verwerking Bouwdelen'!DN43,$AU59*'Verwerking Bouwdelen'!V43)</f>
        <v>0</v>
      </c>
      <c r="AY59" s="208">
        <f>IF($AT59=1,$AU59*'Verwerking Bouwdelen'!DO43,$AU59*'Verwerking Bouwdelen'!W43)</f>
        <v>0</v>
      </c>
      <c r="AZ59" s="208">
        <f>IF($AT59=1,$AU59*'Verwerking Bouwdelen'!DP43,$AU59*'Verwerking Bouwdelen'!X43)</f>
        <v>0</v>
      </c>
      <c r="BA59" s="208">
        <f>IF($AT59=1,$AU59*'Verwerking Bouwdelen'!DQ43,$AU59*'Verwerking Bouwdelen'!Y43)</f>
        <v>0</v>
      </c>
      <c r="BB59" s="208">
        <f>IF($AT59=1,$AU59*'Verwerking Bouwdelen'!DR43,$AU59*'Verwerking Bouwdelen'!Z43)</f>
        <v>0</v>
      </c>
      <c r="BC59" s="208">
        <f>IF($AT59=1,$AU59*'Verwerking Bouwdelen'!DS43,$AU59*'Verwerking Bouwdelen'!AA43)</f>
        <v>0</v>
      </c>
      <c r="BD59" s="208">
        <f>IF($AT59=1,$AU59*'Verwerking Bouwdelen'!DT43,$AU59*'Verwerking Bouwdelen'!AB43)</f>
        <v>0</v>
      </c>
      <c r="BE59" s="208">
        <f>IF($AT59=1,$AU59*'Verwerking Bouwdelen'!DU43,$AU59*'Verwerking Bouwdelen'!AC43)</f>
        <v>0</v>
      </c>
      <c r="BF59" s="208">
        <f>IF($AT59=1,$AU59*'Verwerking Bouwdelen'!DV43,$AU59*'Verwerking Bouwdelen'!AD43)</f>
        <v>0</v>
      </c>
      <c r="BG59" s="208">
        <f>IF($AT59=1,$AU59*'Verwerking Bouwdelen'!DW43,$AU59*'Verwerking Bouwdelen'!AE43)</f>
        <v>0</v>
      </c>
      <c r="BH59" s="10">
        <f>IF(AV59=B59,0,'Verwerking Bouwdelen'!D43*AT59*AU59)</f>
        <v>0</v>
      </c>
      <c r="BI59" s="10">
        <f>AT59*AU59*'Verwerking Bouwdelen'!GH43</f>
        <v>0</v>
      </c>
      <c r="BJ59" s="10"/>
      <c r="BK59" s="10"/>
      <c r="BM59" s="125">
        <f>IF('Verwerking Bouwdelen'!C43=5,1,0)</f>
        <v>0</v>
      </c>
      <c r="BN59" s="130">
        <f>IF('Verwerking Bouwdelen'!A43=3,1,0)</f>
        <v>0</v>
      </c>
      <c r="BO59" s="208">
        <f>IF($BM59=1,$BN59*'Verwerking Bouwdelen'!DL43,$BN59*'Verwerking Bouwdelen'!T43)</f>
        <v>0</v>
      </c>
      <c r="BP59" s="208">
        <f>IF($BM59=1,$BN59*'Verwerking Bouwdelen'!DM43,$BN59*'Verwerking Bouwdelen'!U43)</f>
        <v>0</v>
      </c>
      <c r="BQ59" s="208">
        <f>IF($BM59=1,$BN59*'Verwerking Bouwdelen'!DN43,$BN59*'Verwerking Bouwdelen'!V43)</f>
        <v>0</v>
      </c>
      <c r="BR59" s="208">
        <f>IF($BM59=1,$BN59*'Verwerking Bouwdelen'!DO43,$BN59*'Verwerking Bouwdelen'!W43)</f>
        <v>0</v>
      </c>
      <c r="BS59" s="208">
        <f>IF($BM59=1,$BN59*'Verwerking Bouwdelen'!DP43,$BN59*'Verwerking Bouwdelen'!X43)</f>
        <v>0</v>
      </c>
      <c r="BT59" s="208">
        <f>IF($BM59=1,$BN59*'Verwerking Bouwdelen'!DQ43,$BN59*'Verwerking Bouwdelen'!Y43)</f>
        <v>0</v>
      </c>
      <c r="BU59" s="208">
        <f>IF($BM59=1,$BN59*'Verwerking Bouwdelen'!DR43,$BN59*'Verwerking Bouwdelen'!Z43)</f>
        <v>0</v>
      </c>
      <c r="BV59" s="208">
        <f>IF($BM59=1,$BN59*'Verwerking Bouwdelen'!DS43,$BN59*'Verwerking Bouwdelen'!AA43)</f>
        <v>0</v>
      </c>
      <c r="BW59" s="208">
        <f>IF($BM59=1,$BN59*'Verwerking Bouwdelen'!DT43,$BN59*'Verwerking Bouwdelen'!AB43)</f>
        <v>0</v>
      </c>
      <c r="BX59" s="208">
        <f>IF($BM59=1,$BN59*'Verwerking Bouwdelen'!DU43,$BN59*'Verwerking Bouwdelen'!AC43)</f>
        <v>0</v>
      </c>
      <c r="BY59" s="208">
        <f>IF($BM59=1,$BN59*'Verwerking Bouwdelen'!DV43,$BN59*'Verwerking Bouwdelen'!AD43)</f>
        <v>0</v>
      </c>
      <c r="BZ59" s="208">
        <f>IF($BM59=1,$BN59*'Verwerking Bouwdelen'!DW43,$BN59*'Verwerking Bouwdelen'!AE43)</f>
        <v>0</v>
      </c>
      <c r="CA59" s="10">
        <f>IF(BO59=$B59,0,'Verwerking Bouwdelen'!$D43*BM59*BN59)</f>
        <v>0</v>
      </c>
      <c r="CB59" s="10">
        <f>BM59*BN59*'Verwerking Bouwdelen'!GH43</f>
        <v>0</v>
      </c>
      <c r="CC59" s="10"/>
      <c r="CD59" s="248"/>
      <c r="CE59" s="125">
        <f>IF('Verwerking Bouwdelen'!C43=2,1,0)</f>
        <v>0</v>
      </c>
      <c r="CF59" s="130">
        <f>IF('Verwerking Bouwdelen'!A43=3,1,0)</f>
        <v>0</v>
      </c>
      <c r="CG59" s="208">
        <f>IF($CE59=1,$CF59*'Verwerking Bouwdelen'!DL43,$CF59*'Verwerking Bouwdelen'!T43)</f>
        <v>0</v>
      </c>
      <c r="CH59" s="208">
        <f>IF($CE59=1,$CF59*'Verwerking Bouwdelen'!DM43,$CF59*'Verwerking Bouwdelen'!U43)</f>
        <v>0</v>
      </c>
      <c r="CI59" s="208">
        <f>IF($CE59=1,$CF59*'Verwerking Bouwdelen'!DN43,$CF59*'Verwerking Bouwdelen'!V43)</f>
        <v>0</v>
      </c>
      <c r="CJ59" s="208">
        <f>IF($CE59=1,$CF59*'Verwerking Bouwdelen'!DO43,$CF59*'Verwerking Bouwdelen'!W43)</f>
        <v>0</v>
      </c>
      <c r="CK59" s="208">
        <f>IF($CE59=1,$CF59*'Verwerking Bouwdelen'!DP43,$CF59*'Verwerking Bouwdelen'!X43)</f>
        <v>0</v>
      </c>
      <c r="CL59" s="208">
        <f>IF($CE59=1,$CF59*'Verwerking Bouwdelen'!DQ43,$CF59*'Verwerking Bouwdelen'!Y43)</f>
        <v>0</v>
      </c>
      <c r="CM59" s="208">
        <f>IF($CE59=1,$CF59*'Verwerking Bouwdelen'!DR43,$CF59*'Verwerking Bouwdelen'!Z43)</f>
        <v>0</v>
      </c>
      <c r="CN59" s="208">
        <f>IF($CE59=1,$CF59*'Verwerking Bouwdelen'!DS43,$CF59*'Verwerking Bouwdelen'!AA43)</f>
        <v>0</v>
      </c>
      <c r="CO59" s="208">
        <f>IF($CE59=1,$CF59*'Verwerking Bouwdelen'!DT43,$CF59*'Verwerking Bouwdelen'!AB43)</f>
        <v>0</v>
      </c>
      <c r="CP59" s="208">
        <f>IF($CE59=1,$CF59*'Verwerking Bouwdelen'!DU43,$CF59*'Verwerking Bouwdelen'!AC43)</f>
        <v>0</v>
      </c>
      <c r="CQ59" s="208">
        <f>IF($CE59=1,$CF59*'Verwerking Bouwdelen'!DV43,$CF59*'Verwerking Bouwdelen'!AD43)</f>
        <v>0</v>
      </c>
      <c r="CR59" s="208">
        <f>IF($CE59=1,$CF59*'Verwerking Bouwdelen'!DW43,$CF59*'Verwerking Bouwdelen'!AE43)</f>
        <v>0</v>
      </c>
      <c r="CS59" s="10">
        <f>IF(CG59=$B59,0,('Verwerking Bouwdelen'!$D43-'Verwerking Bouwdelen'!G43)*CE59*CF59)</f>
        <v>0</v>
      </c>
      <c r="CT59" s="260">
        <f>CE59*CF59*'Verwerking Bouwdelen'!GH43</f>
        <v>0</v>
      </c>
      <c r="CU59" s="261">
        <f>CE59*CF59*'Verwerking Bouwdelen'!GI43</f>
        <v>0</v>
      </c>
      <c r="CW59" s="209">
        <f>$AC59*'Verwerking Bouwdelen'!EE43</f>
        <v>0</v>
      </c>
      <c r="CX59" s="209">
        <f>$AC59*'Verwerking Bouwdelen'!EF43</f>
        <v>0</v>
      </c>
      <c r="CY59" s="209">
        <f>$AC59*'Verwerking Bouwdelen'!EG43</f>
        <v>0</v>
      </c>
      <c r="CZ59" s="209">
        <f>$AC59*'Verwerking Bouwdelen'!EH43</f>
        <v>0</v>
      </c>
      <c r="DA59" s="209">
        <f>$AC59*'Verwerking Bouwdelen'!EI43</f>
        <v>0</v>
      </c>
      <c r="DB59" s="209">
        <f>$AC59*'Verwerking Bouwdelen'!EJ43</f>
        <v>0</v>
      </c>
      <c r="DC59" s="209">
        <f>$AC59*'Verwerking Bouwdelen'!EK43</f>
        <v>0</v>
      </c>
      <c r="DD59" s="209">
        <f>$AC59*'Verwerking Bouwdelen'!EL43</f>
        <v>0</v>
      </c>
      <c r="DE59" s="209">
        <f>$AC59*'Verwerking Bouwdelen'!EM43</f>
        <v>0</v>
      </c>
      <c r="DF59" s="209">
        <f>$AC59*'Verwerking Bouwdelen'!EN43</f>
        <v>0</v>
      </c>
      <c r="DG59" s="209">
        <f>$AC59*'Verwerking Bouwdelen'!EO43</f>
        <v>0</v>
      </c>
      <c r="DH59" s="209">
        <f>$AC59*'Verwerking Bouwdelen'!EP43</f>
        <v>0</v>
      </c>
      <c r="DI59" s="10">
        <f>IF(CW59=$O59,0,'Verwerking Bouwdelen'!G43)</f>
        <v>0</v>
      </c>
      <c r="DJ59" s="259">
        <f>'Verwerking Bouwdelen'!GK43*CF59</f>
        <v>0</v>
      </c>
      <c r="DK59" s="259">
        <f>'Verwerking Bouwdelen'!GL43*CF59</f>
        <v>0</v>
      </c>
      <c r="DL59" s="125"/>
      <c r="GM59" s="89">
        <f t="shared" si="13"/>
        <v>0</v>
      </c>
      <c r="GN59" s="89">
        <f t="shared" si="14"/>
        <v>0</v>
      </c>
      <c r="GO59" s="208">
        <f>IF($GN59=1,$GN59*$GM59*'Verwerking Bouwdelen'!DL43,$GN59*$GM59*'Verwerking Bouwdelen'!T43)</f>
        <v>0</v>
      </c>
      <c r="GP59" s="208">
        <f>IF($GN59=1,$GN59*$GM59*'Verwerking Bouwdelen'!DM43,$GN59*$GM59*'Verwerking Bouwdelen'!U43)</f>
        <v>0</v>
      </c>
      <c r="GQ59" s="208">
        <f>IF($GN59=1,$GN59*$GM59*'Verwerking Bouwdelen'!DN43,$GN59*$GM59*'Verwerking Bouwdelen'!V43)</f>
        <v>0</v>
      </c>
      <c r="GR59" s="208">
        <f>IF($GN59=1,$GN59*$GM59*'Verwerking Bouwdelen'!DO43,$GN59*$GM59*'Verwerking Bouwdelen'!W43)</f>
        <v>0</v>
      </c>
      <c r="GS59" s="208">
        <f>IF($GN59=1,$GN59*$GM59*'Verwerking Bouwdelen'!DP43,$GN59*$GM59*'Verwerking Bouwdelen'!X43)</f>
        <v>0</v>
      </c>
      <c r="GT59" s="208">
        <f>IF($GN59=1,$GN59*$GM59*'Verwerking Bouwdelen'!DQ43,$GN59*$GM59*'Verwerking Bouwdelen'!Y43)</f>
        <v>0</v>
      </c>
      <c r="GU59" s="208">
        <f>IF($GN59=1,$GN59*$GM59*'Verwerking Bouwdelen'!DR43,$GN59*$GM59*'Verwerking Bouwdelen'!Z43)</f>
        <v>0</v>
      </c>
      <c r="GV59" s="208">
        <f>IF($GN59=1,$GN59*$GM59*'Verwerking Bouwdelen'!DS43,$GN59*$GM59*'Verwerking Bouwdelen'!AA43)</f>
        <v>0</v>
      </c>
      <c r="GW59" s="208">
        <f>IF($GN59=1,$GN59*$GM59*'Verwerking Bouwdelen'!DT43,$GN59*$GM59*'Verwerking Bouwdelen'!AB43)</f>
        <v>0</v>
      </c>
      <c r="GX59" s="208">
        <f>IF($GN59=1,$GN59*$GM59*'Verwerking Bouwdelen'!DU43,$GN59*$GM59*'Verwerking Bouwdelen'!AC43)</f>
        <v>0</v>
      </c>
      <c r="GY59" s="208">
        <f>IF($GN59=1,$GN59*$GM59*'Verwerking Bouwdelen'!DV43,$GN59*$GM59*'Verwerking Bouwdelen'!AD43)</f>
        <v>0</v>
      </c>
      <c r="GZ59" s="208">
        <f>IF($GN59=1,$GN59*$GM59*'Verwerking Bouwdelen'!DW43,$GN59*$GM59*'Verwerking Bouwdelen'!AE43)</f>
        <v>0</v>
      </c>
      <c r="HB59" s="89">
        <f t="shared" si="16"/>
        <v>0</v>
      </c>
      <c r="HC59" s="89">
        <f t="shared" si="17"/>
        <v>0</v>
      </c>
      <c r="HD59" s="89">
        <f t="shared" si="18"/>
        <v>0</v>
      </c>
      <c r="HE59" s="89">
        <f t="shared" si="19"/>
        <v>0</v>
      </c>
      <c r="HF59" s="89">
        <f t="shared" si="19"/>
        <v>0</v>
      </c>
      <c r="HG59" s="89">
        <f t="shared" si="19"/>
        <v>0</v>
      </c>
      <c r="HH59" s="89">
        <f t="shared" si="19"/>
        <v>0</v>
      </c>
      <c r="HI59" s="89">
        <f t="shared" si="19"/>
        <v>0</v>
      </c>
      <c r="HJ59" s="89">
        <f t="shared" si="19"/>
        <v>0</v>
      </c>
      <c r="HK59" s="89">
        <f t="shared" si="19"/>
        <v>0</v>
      </c>
      <c r="HL59" s="89">
        <f t="shared" si="19"/>
        <v>0</v>
      </c>
      <c r="HM59" s="89">
        <f t="shared" si="19"/>
        <v>0</v>
      </c>
    </row>
    <row r="60" spans="1:221" x14ac:dyDescent="0.2">
      <c r="A60" s="130">
        <f>IF('Verwerking Bouwdelen'!A44=3,1,0)</f>
        <v>0</v>
      </c>
      <c r="B60" s="208">
        <f>$A60*'Verwerking Bouwdelen'!T44</f>
        <v>0</v>
      </c>
      <c r="C60" s="208">
        <f>$A60*'Verwerking Bouwdelen'!U44</f>
        <v>0</v>
      </c>
      <c r="D60" s="208">
        <f>$A60*'Verwerking Bouwdelen'!V44</f>
        <v>0</v>
      </c>
      <c r="E60" s="208">
        <f>$A60*'Verwerking Bouwdelen'!W44</f>
        <v>0</v>
      </c>
      <c r="F60" s="208">
        <f>$A60*'Verwerking Bouwdelen'!X44</f>
        <v>0</v>
      </c>
      <c r="G60" s="208">
        <f>$A60*'Verwerking Bouwdelen'!Y44</f>
        <v>0</v>
      </c>
      <c r="H60" s="208">
        <f>$A60*'Verwerking Bouwdelen'!Z44</f>
        <v>0</v>
      </c>
      <c r="I60" s="208">
        <f>$A60*'Verwerking Bouwdelen'!AA44</f>
        <v>0</v>
      </c>
      <c r="J60" s="208">
        <f>$A60*'Verwerking Bouwdelen'!AB44</f>
        <v>0</v>
      </c>
      <c r="K60" s="208">
        <f>$A60*'Verwerking Bouwdelen'!AC44</f>
        <v>0</v>
      </c>
      <c r="L60" s="208">
        <f>$A60*'Verwerking Bouwdelen'!AD44</f>
        <v>0</v>
      </c>
      <c r="M60" s="208">
        <f>$A60*'Verwerking Bouwdelen'!AE44</f>
        <v>0</v>
      </c>
      <c r="O60" s="212">
        <f>$A60*'Verwerking Bouwdelen'!AU44</f>
        <v>0</v>
      </c>
      <c r="P60" s="213">
        <f>$A60*'Verwerking Bouwdelen'!AV44</f>
        <v>0</v>
      </c>
      <c r="Q60" s="213">
        <f>$A60*'Verwerking Bouwdelen'!AW44</f>
        <v>0</v>
      </c>
      <c r="R60" s="213">
        <f>$A60*'Verwerking Bouwdelen'!AX44</f>
        <v>0</v>
      </c>
      <c r="S60" s="213">
        <f>$A60*'Verwerking Bouwdelen'!AY44</f>
        <v>0</v>
      </c>
      <c r="T60" s="213">
        <f>$A60*'Verwerking Bouwdelen'!AZ44</f>
        <v>0</v>
      </c>
      <c r="U60" s="213">
        <f>$A60*'Verwerking Bouwdelen'!BA44</f>
        <v>0</v>
      </c>
      <c r="V60" s="213">
        <f>$A60*'Verwerking Bouwdelen'!BB44</f>
        <v>0</v>
      </c>
      <c r="W60" s="213">
        <f>$A60*'Verwerking Bouwdelen'!BC44</f>
        <v>0</v>
      </c>
      <c r="X60" s="213">
        <f>$A60*'Verwerking Bouwdelen'!BD44</f>
        <v>0</v>
      </c>
      <c r="Y60" s="213">
        <f>$A60*'Verwerking Bouwdelen'!BE44</f>
        <v>0</v>
      </c>
      <c r="Z60" s="214">
        <f>$A60*'Verwerking Bouwdelen'!BF44</f>
        <v>0</v>
      </c>
      <c r="AB60" s="125">
        <f>IF(OR('Verwerking Bouwdelen'!C44=3,'Verwerking Bouwdelen'!C44=6),1,0)</f>
        <v>0</v>
      </c>
      <c r="AC60" s="130">
        <f>IF('Verwerking Bouwdelen'!A44=3,1,0)</f>
        <v>0</v>
      </c>
      <c r="AD60" s="208">
        <f>IF($AB60=1,$AC60*'Verwerking Bouwdelen'!DL44,$AC60*'Verwerking Bouwdelen'!T44)</f>
        <v>0</v>
      </c>
      <c r="AE60" s="208">
        <f>IF($AB60=1,$AC60*'Verwerking Bouwdelen'!DM44,$AC60*'Verwerking Bouwdelen'!U44)</f>
        <v>0</v>
      </c>
      <c r="AF60" s="208">
        <f>IF($AB60=1,$AC60*'Verwerking Bouwdelen'!DN44,$AC60*'Verwerking Bouwdelen'!V44)</f>
        <v>0</v>
      </c>
      <c r="AG60" s="208">
        <f>IF($AB60=1,$AC60*'Verwerking Bouwdelen'!DO44,$AC60*'Verwerking Bouwdelen'!W44)</f>
        <v>0</v>
      </c>
      <c r="AH60" s="208">
        <f>IF($AB60=1,$AC60*'Verwerking Bouwdelen'!DP44,$AC60*'Verwerking Bouwdelen'!X44)</f>
        <v>0</v>
      </c>
      <c r="AI60" s="208">
        <f>IF($AB60=1,$AC60*'Verwerking Bouwdelen'!DQ44,$AC60*'Verwerking Bouwdelen'!Y44)</f>
        <v>0</v>
      </c>
      <c r="AJ60" s="208">
        <f>IF($AB60=1,$AC60*'Verwerking Bouwdelen'!DR44,$AC60*'Verwerking Bouwdelen'!Z44)</f>
        <v>0</v>
      </c>
      <c r="AK60" s="208">
        <f>IF($AB60=1,$AC60*'Verwerking Bouwdelen'!DS44,$AC60*'Verwerking Bouwdelen'!AA44)</f>
        <v>0</v>
      </c>
      <c r="AL60" s="208">
        <f>IF($AB60=1,$AC60*'Verwerking Bouwdelen'!DT44,$AC60*'Verwerking Bouwdelen'!AB44)</f>
        <v>0</v>
      </c>
      <c r="AM60" s="208">
        <f>IF($AB60=1,$AC60*'Verwerking Bouwdelen'!DU44,$AC60*'Verwerking Bouwdelen'!AC44)</f>
        <v>0</v>
      </c>
      <c r="AN60" s="208">
        <f>IF($AB60=1,$AC60*'Verwerking Bouwdelen'!DV44,$AC60*'Verwerking Bouwdelen'!AD44)</f>
        <v>0</v>
      </c>
      <c r="AO60" s="208">
        <f>IF($AB60=1,$AC60*'Verwerking Bouwdelen'!DW44,$AC60*'Verwerking Bouwdelen'!AE44)</f>
        <v>0</v>
      </c>
      <c r="AP60" s="10">
        <f>IF(AD60=B60,0,'Verwerking Bouwdelen'!D44*AB60*AC60)</f>
        <v>0</v>
      </c>
      <c r="AQ60" s="10">
        <f>AB60*AC60*'Verwerking Bouwdelen'!GH44</f>
        <v>0</v>
      </c>
      <c r="AR60" s="10"/>
      <c r="AS60" s="248"/>
      <c r="AT60" s="125">
        <f>IF('Verwerking Bouwdelen'!C44=4,1,0)</f>
        <v>0</v>
      </c>
      <c r="AU60" s="130">
        <f>IF('Verwerking Bouwdelen'!A44=3,1,0)</f>
        <v>0</v>
      </c>
      <c r="AV60" s="208">
        <f>IF($AT60=1,$AU60*'Verwerking Bouwdelen'!DL44,$AU60*'Verwerking Bouwdelen'!T44)</f>
        <v>0</v>
      </c>
      <c r="AW60" s="208">
        <f>IF($AT60=1,$AU60*'Verwerking Bouwdelen'!DM44,$AU60*'Verwerking Bouwdelen'!U44)</f>
        <v>0</v>
      </c>
      <c r="AX60" s="208">
        <f>IF($AT60=1,$AU60*'Verwerking Bouwdelen'!DN44,$AU60*'Verwerking Bouwdelen'!V44)</f>
        <v>0</v>
      </c>
      <c r="AY60" s="208">
        <f>IF($AT60=1,$AU60*'Verwerking Bouwdelen'!DO44,$AU60*'Verwerking Bouwdelen'!W44)</f>
        <v>0</v>
      </c>
      <c r="AZ60" s="208">
        <f>IF($AT60=1,$AU60*'Verwerking Bouwdelen'!DP44,$AU60*'Verwerking Bouwdelen'!X44)</f>
        <v>0</v>
      </c>
      <c r="BA60" s="208">
        <f>IF($AT60=1,$AU60*'Verwerking Bouwdelen'!DQ44,$AU60*'Verwerking Bouwdelen'!Y44)</f>
        <v>0</v>
      </c>
      <c r="BB60" s="208">
        <f>IF($AT60=1,$AU60*'Verwerking Bouwdelen'!DR44,$AU60*'Verwerking Bouwdelen'!Z44)</f>
        <v>0</v>
      </c>
      <c r="BC60" s="208">
        <f>IF($AT60=1,$AU60*'Verwerking Bouwdelen'!DS44,$AU60*'Verwerking Bouwdelen'!AA44)</f>
        <v>0</v>
      </c>
      <c r="BD60" s="208">
        <f>IF($AT60=1,$AU60*'Verwerking Bouwdelen'!DT44,$AU60*'Verwerking Bouwdelen'!AB44)</f>
        <v>0</v>
      </c>
      <c r="BE60" s="208">
        <f>IF($AT60=1,$AU60*'Verwerking Bouwdelen'!DU44,$AU60*'Verwerking Bouwdelen'!AC44)</f>
        <v>0</v>
      </c>
      <c r="BF60" s="208">
        <f>IF($AT60=1,$AU60*'Verwerking Bouwdelen'!DV44,$AU60*'Verwerking Bouwdelen'!AD44)</f>
        <v>0</v>
      </c>
      <c r="BG60" s="208">
        <f>IF($AT60=1,$AU60*'Verwerking Bouwdelen'!DW44,$AU60*'Verwerking Bouwdelen'!AE44)</f>
        <v>0</v>
      </c>
      <c r="BH60" s="10">
        <f>IF(AV60=B60,0,'Verwerking Bouwdelen'!D44*AT60*AU60)</f>
        <v>0</v>
      </c>
      <c r="BI60" s="10">
        <f>AT60*AU60*'Verwerking Bouwdelen'!GH44</f>
        <v>0</v>
      </c>
      <c r="BJ60" s="10"/>
      <c r="BK60" s="10"/>
      <c r="BM60" s="125">
        <f>IF('Verwerking Bouwdelen'!C44=5,1,0)</f>
        <v>0</v>
      </c>
      <c r="BN60" s="130">
        <f>IF('Verwerking Bouwdelen'!A44=3,1,0)</f>
        <v>0</v>
      </c>
      <c r="BO60" s="208">
        <f>IF($BM60=1,$BN60*'Verwerking Bouwdelen'!DL44,$BN60*'Verwerking Bouwdelen'!T44)</f>
        <v>0</v>
      </c>
      <c r="BP60" s="208">
        <f>IF($BM60=1,$BN60*'Verwerking Bouwdelen'!DM44,$BN60*'Verwerking Bouwdelen'!U44)</f>
        <v>0</v>
      </c>
      <c r="BQ60" s="208">
        <f>IF($BM60=1,$BN60*'Verwerking Bouwdelen'!DN44,$BN60*'Verwerking Bouwdelen'!V44)</f>
        <v>0</v>
      </c>
      <c r="BR60" s="208">
        <f>IF($BM60=1,$BN60*'Verwerking Bouwdelen'!DO44,$BN60*'Verwerking Bouwdelen'!W44)</f>
        <v>0</v>
      </c>
      <c r="BS60" s="208">
        <f>IF($BM60=1,$BN60*'Verwerking Bouwdelen'!DP44,$BN60*'Verwerking Bouwdelen'!X44)</f>
        <v>0</v>
      </c>
      <c r="BT60" s="208">
        <f>IF($BM60=1,$BN60*'Verwerking Bouwdelen'!DQ44,$BN60*'Verwerking Bouwdelen'!Y44)</f>
        <v>0</v>
      </c>
      <c r="BU60" s="208">
        <f>IF($BM60=1,$BN60*'Verwerking Bouwdelen'!DR44,$BN60*'Verwerking Bouwdelen'!Z44)</f>
        <v>0</v>
      </c>
      <c r="BV60" s="208">
        <f>IF($BM60=1,$BN60*'Verwerking Bouwdelen'!DS44,$BN60*'Verwerking Bouwdelen'!AA44)</f>
        <v>0</v>
      </c>
      <c r="BW60" s="208">
        <f>IF($BM60=1,$BN60*'Verwerking Bouwdelen'!DT44,$BN60*'Verwerking Bouwdelen'!AB44)</f>
        <v>0</v>
      </c>
      <c r="BX60" s="208">
        <f>IF($BM60=1,$BN60*'Verwerking Bouwdelen'!DU44,$BN60*'Verwerking Bouwdelen'!AC44)</f>
        <v>0</v>
      </c>
      <c r="BY60" s="208">
        <f>IF($BM60=1,$BN60*'Verwerking Bouwdelen'!DV44,$BN60*'Verwerking Bouwdelen'!AD44)</f>
        <v>0</v>
      </c>
      <c r="BZ60" s="208">
        <f>IF($BM60=1,$BN60*'Verwerking Bouwdelen'!DW44,$BN60*'Verwerking Bouwdelen'!AE44)</f>
        <v>0</v>
      </c>
      <c r="CA60" s="10">
        <f>IF(BO60=$B60,0,'Verwerking Bouwdelen'!$D44*BM60*BN60)</f>
        <v>0</v>
      </c>
      <c r="CB60" s="10">
        <f>BM60*BN60*'Verwerking Bouwdelen'!GH44</f>
        <v>0</v>
      </c>
      <c r="CC60" s="10"/>
      <c r="CD60" s="248"/>
      <c r="CE60" s="125">
        <f>IF('Verwerking Bouwdelen'!C44=2,1,0)</f>
        <v>0</v>
      </c>
      <c r="CF60" s="130">
        <f>IF('Verwerking Bouwdelen'!A44=3,1,0)</f>
        <v>0</v>
      </c>
      <c r="CG60" s="208">
        <f>IF($CE60=1,$CF60*'Verwerking Bouwdelen'!DL44,$CF60*'Verwerking Bouwdelen'!T44)</f>
        <v>0</v>
      </c>
      <c r="CH60" s="208">
        <f>IF($CE60=1,$CF60*'Verwerking Bouwdelen'!DM44,$CF60*'Verwerking Bouwdelen'!U44)</f>
        <v>0</v>
      </c>
      <c r="CI60" s="208">
        <f>IF($CE60=1,$CF60*'Verwerking Bouwdelen'!DN44,$CF60*'Verwerking Bouwdelen'!V44)</f>
        <v>0</v>
      </c>
      <c r="CJ60" s="208">
        <f>IF($CE60=1,$CF60*'Verwerking Bouwdelen'!DO44,$CF60*'Verwerking Bouwdelen'!W44)</f>
        <v>0</v>
      </c>
      <c r="CK60" s="208">
        <f>IF($CE60=1,$CF60*'Verwerking Bouwdelen'!DP44,$CF60*'Verwerking Bouwdelen'!X44)</f>
        <v>0</v>
      </c>
      <c r="CL60" s="208">
        <f>IF($CE60=1,$CF60*'Verwerking Bouwdelen'!DQ44,$CF60*'Verwerking Bouwdelen'!Y44)</f>
        <v>0</v>
      </c>
      <c r="CM60" s="208">
        <f>IF($CE60=1,$CF60*'Verwerking Bouwdelen'!DR44,$CF60*'Verwerking Bouwdelen'!Z44)</f>
        <v>0</v>
      </c>
      <c r="CN60" s="208">
        <f>IF($CE60=1,$CF60*'Verwerking Bouwdelen'!DS44,$CF60*'Verwerking Bouwdelen'!AA44)</f>
        <v>0</v>
      </c>
      <c r="CO60" s="208">
        <f>IF($CE60=1,$CF60*'Verwerking Bouwdelen'!DT44,$CF60*'Verwerking Bouwdelen'!AB44)</f>
        <v>0</v>
      </c>
      <c r="CP60" s="208">
        <f>IF($CE60=1,$CF60*'Verwerking Bouwdelen'!DU44,$CF60*'Verwerking Bouwdelen'!AC44)</f>
        <v>0</v>
      </c>
      <c r="CQ60" s="208">
        <f>IF($CE60=1,$CF60*'Verwerking Bouwdelen'!DV44,$CF60*'Verwerking Bouwdelen'!AD44)</f>
        <v>0</v>
      </c>
      <c r="CR60" s="208">
        <f>IF($CE60=1,$CF60*'Verwerking Bouwdelen'!DW44,$CF60*'Verwerking Bouwdelen'!AE44)</f>
        <v>0</v>
      </c>
      <c r="CS60" s="10">
        <f>IF(CG60=$B60,0,('Verwerking Bouwdelen'!$D44-'Verwerking Bouwdelen'!G44)*CE60*CF60)</f>
        <v>0</v>
      </c>
      <c r="CT60" s="260">
        <f>CE60*CF60*'Verwerking Bouwdelen'!GH44</f>
        <v>0</v>
      </c>
      <c r="CU60" s="262">
        <f>CE60*CF60*'Verwerking Bouwdelen'!GI44</f>
        <v>0</v>
      </c>
      <c r="CW60" s="209">
        <f>$AC60*'Verwerking Bouwdelen'!EE44</f>
        <v>0</v>
      </c>
      <c r="CX60" s="209">
        <f>$AC60*'Verwerking Bouwdelen'!EF44</f>
        <v>0</v>
      </c>
      <c r="CY60" s="209">
        <f>$AC60*'Verwerking Bouwdelen'!EG44</f>
        <v>0</v>
      </c>
      <c r="CZ60" s="209">
        <f>$AC60*'Verwerking Bouwdelen'!EH44</f>
        <v>0</v>
      </c>
      <c r="DA60" s="209">
        <f>$AC60*'Verwerking Bouwdelen'!EI44</f>
        <v>0</v>
      </c>
      <c r="DB60" s="209">
        <f>$AC60*'Verwerking Bouwdelen'!EJ44</f>
        <v>0</v>
      </c>
      <c r="DC60" s="209">
        <f>$AC60*'Verwerking Bouwdelen'!EK44</f>
        <v>0</v>
      </c>
      <c r="DD60" s="209">
        <f>$AC60*'Verwerking Bouwdelen'!EL44</f>
        <v>0</v>
      </c>
      <c r="DE60" s="209">
        <f>$AC60*'Verwerking Bouwdelen'!EM44</f>
        <v>0</v>
      </c>
      <c r="DF60" s="209">
        <f>$AC60*'Verwerking Bouwdelen'!EN44</f>
        <v>0</v>
      </c>
      <c r="DG60" s="209">
        <f>$AC60*'Verwerking Bouwdelen'!EO44</f>
        <v>0</v>
      </c>
      <c r="DH60" s="209">
        <f>$AC60*'Verwerking Bouwdelen'!EP44</f>
        <v>0</v>
      </c>
      <c r="DI60" s="10">
        <f>IF(CW60=$O60,0,'Verwerking Bouwdelen'!G44)</f>
        <v>0</v>
      </c>
      <c r="DJ60" s="259">
        <f>'Verwerking Bouwdelen'!GK44*CF60</f>
        <v>0</v>
      </c>
      <c r="DK60" s="259">
        <f>'Verwerking Bouwdelen'!GL44*CF60</f>
        <v>0</v>
      </c>
      <c r="DL60" s="125"/>
      <c r="GM60" s="89">
        <f t="shared" si="13"/>
        <v>0</v>
      </c>
      <c r="GN60" s="89">
        <f t="shared" si="14"/>
        <v>0</v>
      </c>
      <c r="GO60" s="208">
        <f>IF($GN60=1,$GN60*$GM60*'Verwerking Bouwdelen'!DL44,$GN60*$GM60*'Verwerking Bouwdelen'!T44)</f>
        <v>0</v>
      </c>
      <c r="GP60" s="208">
        <f>IF($GN60=1,$GN60*$GM60*'Verwerking Bouwdelen'!DM44,$GN60*$GM60*'Verwerking Bouwdelen'!U44)</f>
        <v>0</v>
      </c>
      <c r="GQ60" s="208">
        <f>IF($GN60=1,$GN60*$GM60*'Verwerking Bouwdelen'!DN44,$GN60*$GM60*'Verwerking Bouwdelen'!V44)</f>
        <v>0</v>
      </c>
      <c r="GR60" s="208">
        <f>IF($GN60=1,$GN60*$GM60*'Verwerking Bouwdelen'!DO44,$GN60*$GM60*'Verwerking Bouwdelen'!W44)</f>
        <v>0</v>
      </c>
      <c r="GS60" s="208">
        <f>IF($GN60=1,$GN60*$GM60*'Verwerking Bouwdelen'!DP44,$GN60*$GM60*'Verwerking Bouwdelen'!X44)</f>
        <v>0</v>
      </c>
      <c r="GT60" s="208">
        <f>IF($GN60=1,$GN60*$GM60*'Verwerking Bouwdelen'!DQ44,$GN60*$GM60*'Verwerking Bouwdelen'!Y44)</f>
        <v>0</v>
      </c>
      <c r="GU60" s="208">
        <f>IF($GN60=1,$GN60*$GM60*'Verwerking Bouwdelen'!DR44,$GN60*$GM60*'Verwerking Bouwdelen'!Z44)</f>
        <v>0</v>
      </c>
      <c r="GV60" s="208">
        <f>IF($GN60=1,$GN60*$GM60*'Verwerking Bouwdelen'!DS44,$GN60*$GM60*'Verwerking Bouwdelen'!AA44)</f>
        <v>0</v>
      </c>
      <c r="GW60" s="208">
        <f>IF($GN60=1,$GN60*$GM60*'Verwerking Bouwdelen'!DT44,$GN60*$GM60*'Verwerking Bouwdelen'!AB44)</f>
        <v>0</v>
      </c>
      <c r="GX60" s="208">
        <f>IF($GN60=1,$GN60*$GM60*'Verwerking Bouwdelen'!DU44,$GN60*$GM60*'Verwerking Bouwdelen'!AC44)</f>
        <v>0</v>
      </c>
      <c r="GY60" s="208">
        <f>IF($GN60=1,$GN60*$GM60*'Verwerking Bouwdelen'!DV44,$GN60*$GM60*'Verwerking Bouwdelen'!AD44)</f>
        <v>0</v>
      </c>
      <c r="GZ60" s="208">
        <f>IF($GN60=1,$GN60*$GM60*'Verwerking Bouwdelen'!DW44,$GN60*$GM60*'Verwerking Bouwdelen'!AE44)</f>
        <v>0</v>
      </c>
      <c r="HB60" s="89">
        <f t="shared" si="16"/>
        <v>0</v>
      </c>
      <c r="HC60" s="89">
        <f t="shared" si="17"/>
        <v>0</v>
      </c>
      <c r="HD60" s="89">
        <f t="shared" si="18"/>
        <v>0</v>
      </c>
      <c r="HE60" s="89">
        <f t="shared" ref="HE60:HM61" si="20">CZ60</f>
        <v>0</v>
      </c>
      <c r="HF60" s="89">
        <f t="shared" si="20"/>
        <v>0</v>
      </c>
      <c r="HG60" s="89">
        <f t="shared" si="20"/>
        <v>0</v>
      </c>
      <c r="HH60" s="89">
        <f t="shared" si="20"/>
        <v>0</v>
      </c>
      <c r="HI60" s="89">
        <f t="shared" si="20"/>
        <v>0</v>
      </c>
      <c r="HJ60" s="89">
        <f t="shared" si="20"/>
        <v>0</v>
      </c>
      <c r="HK60" s="89">
        <f t="shared" si="20"/>
        <v>0</v>
      </c>
      <c r="HL60" s="89">
        <f t="shared" si="20"/>
        <v>0</v>
      </c>
      <c r="HM60" s="89">
        <f t="shared" si="20"/>
        <v>0</v>
      </c>
    </row>
    <row r="61" spans="1:221" x14ac:dyDescent="0.2">
      <c r="B61" s="207">
        <f t="shared" ref="B61:M61" si="21">SUM(B19:B60)</f>
        <v>0</v>
      </c>
      <c r="C61" s="207">
        <f t="shared" si="21"/>
        <v>0</v>
      </c>
      <c r="D61" s="207">
        <f t="shared" si="21"/>
        <v>0</v>
      </c>
      <c r="E61" s="207">
        <f t="shared" si="21"/>
        <v>0</v>
      </c>
      <c r="F61" s="207">
        <f t="shared" si="21"/>
        <v>0</v>
      </c>
      <c r="G61" s="207">
        <f t="shared" si="21"/>
        <v>0</v>
      </c>
      <c r="H61" s="207">
        <f t="shared" si="21"/>
        <v>0</v>
      </c>
      <c r="I61" s="207">
        <f t="shared" si="21"/>
        <v>0</v>
      </c>
      <c r="J61" s="207">
        <f t="shared" si="21"/>
        <v>0</v>
      </c>
      <c r="K61" s="207">
        <f t="shared" si="21"/>
        <v>0</v>
      </c>
      <c r="L61" s="207">
        <f t="shared" si="21"/>
        <v>0</v>
      </c>
      <c r="M61" s="207">
        <f t="shared" si="21"/>
        <v>0</v>
      </c>
      <c r="O61" s="215">
        <f t="shared" ref="O61:Z61" si="22">SUM(O19:O60)</f>
        <v>0</v>
      </c>
      <c r="P61" s="216">
        <f t="shared" si="22"/>
        <v>0</v>
      </c>
      <c r="Q61" s="216">
        <f t="shared" si="22"/>
        <v>0</v>
      </c>
      <c r="R61" s="216">
        <f t="shared" si="22"/>
        <v>0</v>
      </c>
      <c r="S61" s="217">
        <f t="shared" si="22"/>
        <v>0</v>
      </c>
      <c r="T61" s="217">
        <f t="shared" si="22"/>
        <v>0</v>
      </c>
      <c r="U61" s="217">
        <f t="shared" si="22"/>
        <v>0</v>
      </c>
      <c r="V61" s="217">
        <f t="shared" si="22"/>
        <v>0</v>
      </c>
      <c r="W61" s="217">
        <f t="shared" si="22"/>
        <v>0</v>
      </c>
      <c r="X61" s="217">
        <f t="shared" si="22"/>
        <v>0</v>
      </c>
      <c r="Y61" s="217">
        <f t="shared" si="22"/>
        <v>0</v>
      </c>
      <c r="Z61" s="218">
        <f t="shared" si="22"/>
        <v>0</v>
      </c>
      <c r="AD61" s="207">
        <f t="shared" ref="AD61:AO61" si="23">SUM(AD19:AD60)</f>
        <v>0</v>
      </c>
      <c r="AE61" s="207">
        <f t="shared" si="23"/>
        <v>0</v>
      </c>
      <c r="AF61" s="207">
        <f t="shared" si="23"/>
        <v>0</v>
      </c>
      <c r="AG61" s="207">
        <f t="shared" si="23"/>
        <v>0</v>
      </c>
      <c r="AH61" s="207">
        <f t="shared" si="23"/>
        <v>0</v>
      </c>
      <c r="AI61" s="207">
        <f t="shared" si="23"/>
        <v>0</v>
      </c>
      <c r="AJ61" s="207">
        <f t="shared" si="23"/>
        <v>0</v>
      </c>
      <c r="AK61" s="207">
        <f t="shared" si="23"/>
        <v>0</v>
      </c>
      <c r="AL61" s="207">
        <f t="shared" si="23"/>
        <v>0</v>
      </c>
      <c r="AM61" s="207">
        <f t="shared" si="23"/>
        <v>0</v>
      </c>
      <c r="AN61" s="207">
        <f t="shared" si="23"/>
        <v>0</v>
      </c>
      <c r="AO61" s="207">
        <f t="shared" si="23"/>
        <v>0</v>
      </c>
      <c r="AP61" s="362">
        <f>SUM(AP19:AP60)</f>
        <v>0</v>
      </c>
      <c r="AQ61" s="25">
        <f>SUM(AQ19:AQ60)</f>
        <v>0</v>
      </c>
      <c r="AR61" s="25">
        <f>0.6*AQ61</f>
        <v>0</v>
      </c>
      <c r="AS61" s="249"/>
      <c r="AV61" s="207">
        <f t="shared" ref="AV61:BG61" si="24">SUM(AV19:AV60)</f>
        <v>0</v>
      </c>
      <c r="AW61" s="207">
        <f t="shared" si="24"/>
        <v>0</v>
      </c>
      <c r="AX61" s="207">
        <f t="shared" si="24"/>
        <v>0</v>
      </c>
      <c r="AY61" s="207">
        <f t="shared" si="24"/>
        <v>0</v>
      </c>
      <c r="AZ61" s="207">
        <f t="shared" si="24"/>
        <v>0</v>
      </c>
      <c r="BA61" s="207">
        <f t="shared" si="24"/>
        <v>0</v>
      </c>
      <c r="BB61" s="207">
        <f t="shared" si="24"/>
        <v>0</v>
      </c>
      <c r="BC61" s="207">
        <f t="shared" si="24"/>
        <v>0</v>
      </c>
      <c r="BD61" s="207">
        <f t="shared" si="24"/>
        <v>0</v>
      </c>
      <c r="BE61" s="207">
        <f t="shared" si="24"/>
        <v>0</v>
      </c>
      <c r="BF61" s="207">
        <f t="shared" si="24"/>
        <v>0</v>
      </c>
      <c r="BG61" s="207">
        <f t="shared" si="24"/>
        <v>0</v>
      </c>
      <c r="BH61" s="362">
        <f>SUM(BH19:BH60)</f>
        <v>0</v>
      </c>
      <c r="BI61" s="25">
        <f>SUM(BI19:BI60)</f>
        <v>0</v>
      </c>
      <c r="BJ61" s="25">
        <f>0.6*BI61</f>
        <v>0</v>
      </c>
      <c r="BK61" s="25"/>
      <c r="BO61" s="207">
        <f t="shared" ref="BO61:BZ61" si="25">SUM(BO19:BO60)</f>
        <v>0</v>
      </c>
      <c r="BP61" s="207">
        <f t="shared" si="25"/>
        <v>0</v>
      </c>
      <c r="BQ61" s="207">
        <f t="shared" si="25"/>
        <v>0</v>
      </c>
      <c r="BR61" s="207">
        <f t="shared" si="25"/>
        <v>0</v>
      </c>
      <c r="BS61" s="207">
        <f t="shared" si="25"/>
        <v>0</v>
      </c>
      <c r="BT61" s="207">
        <f t="shared" si="25"/>
        <v>0</v>
      </c>
      <c r="BU61" s="207">
        <f t="shared" si="25"/>
        <v>0</v>
      </c>
      <c r="BV61" s="207">
        <f t="shared" si="25"/>
        <v>0</v>
      </c>
      <c r="BW61" s="207">
        <f t="shared" si="25"/>
        <v>0</v>
      </c>
      <c r="BX61" s="207">
        <f t="shared" si="25"/>
        <v>0</v>
      </c>
      <c r="BY61" s="207">
        <f t="shared" si="25"/>
        <v>0</v>
      </c>
      <c r="BZ61" s="207">
        <f t="shared" si="25"/>
        <v>0</v>
      </c>
      <c r="CA61" s="362">
        <f>SUM(CA19:CA60)</f>
        <v>0</v>
      </c>
      <c r="CB61" s="25">
        <f>SUM(CB19:CB60)</f>
        <v>0</v>
      </c>
      <c r="CC61" s="25"/>
      <c r="CD61" s="249"/>
      <c r="CG61" s="207">
        <f t="shared" ref="CG61:CR61" si="26">SUM(CG19:CG60)</f>
        <v>0</v>
      </c>
      <c r="CH61" s="207">
        <f t="shared" si="26"/>
        <v>0</v>
      </c>
      <c r="CI61" s="207">
        <f t="shared" si="26"/>
        <v>0</v>
      </c>
      <c r="CJ61" s="207">
        <f t="shared" si="26"/>
        <v>0</v>
      </c>
      <c r="CK61" s="207">
        <f t="shared" si="26"/>
        <v>0</v>
      </c>
      <c r="CL61" s="207">
        <f t="shared" si="26"/>
        <v>0</v>
      </c>
      <c r="CM61" s="207">
        <f t="shared" si="26"/>
        <v>0</v>
      </c>
      <c r="CN61" s="207">
        <f t="shared" si="26"/>
        <v>0</v>
      </c>
      <c r="CO61" s="207">
        <f t="shared" si="26"/>
        <v>0</v>
      </c>
      <c r="CP61" s="207">
        <f t="shared" si="26"/>
        <v>0</v>
      </c>
      <c r="CQ61" s="207">
        <f t="shared" si="26"/>
        <v>0</v>
      </c>
      <c r="CR61" s="207">
        <f t="shared" si="26"/>
        <v>0</v>
      </c>
      <c r="CS61" s="362">
        <f>SUM(CS19:CS60)</f>
        <v>0</v>
      </c>
      <c r="CT61" s="207">
        <f>SUM(CT19:CT60)</f>
        <v>0</v>
      </c>
      <c r="CU61" s="207">
        <f>SUM(CU19:CU60)</f>
        <v>0</v>
      </c>
      <c r="CW61" s="215">
        <f t="shared" ref="CW61:DH61" si="27">SUM(CW19:CW60)</f>
        <v>0</v>
      </c>
      <c r="CX61" s="216">
        <f t="shared" si="27"/>
        <v>0</v>
      </c>
      <c r="CY61" s="216">
        <f t="shared" si="27"/>
        <v>0</v>
      </c>
      <c r="CZ61" s="216">
        <f t="shared" si="27"/>
        <v>0</v>
      </c>
      <c r="DA61" s="217">
        <f t="shared" si="27"/>
        <v>0</v>
      </c>
      <c r="DB61" s="217">
        <f t="shared" si="27"/>
        <v>0</v>
      </c>
      <c r="DC61" s="217">
        <f t="shared" si="27"/>
        <v>0</v>
      </c>
      <c r="DD61" s="217">
        <f t="shared" si="27"/>
        <v>0</v>
      </c>
      <c r="DE61" s="217">
        <f t="shared" si="27"/>
        <v>0</v>
      </c>
      <c r="DF61" s="217">
        <f t="shared" si="27"/>
        <v>0</v>
      </c>
      <c r="DG61" s="217">
        <f t="shared" si="27"/>
        <v>0</v>
      </c>
      <c r="DH61" s="218">
        <f t="shared" si="27"/>
        <v>0</v>
      </c>
      <c r="DI61" s="246">
        <f>SUM(DI19:DI60)</f>
        <v>0</v>
      </c>
      <c r="DJ61" s="258">
        <f>SUM(DJ19:DJ60)</f>
        <v>0</v>
      </c>
      <c r="DK61" s="258">
        <f>SUM(DK19:DK60)</f>
        <v>0</v>
      </c>
      <c r="DL61" s="246"/>
      <c r="GO61" s="89">
        <f t="shared" ref="GO61:GZ61" si="28">SUM(GO19:GO60)</f>
        <v>0</v>
      </c>
      <c r="GP61" s="89">
        <f t="shared" si="28"/>
        <v>0</v>
      </c>
      <c r="GQ61" s="89">
        <f t="shared" si="28"/>
        <v>0</v>
      </c>
      <c r="GR61" s="89">
        <f t="shared" si="28"/>
        <v>0</v>
      </c>
      <c r="GS61" s="89">
        <f t="shared" si="28"/>
        <v>0</v>
      </c>
      <c r="GT61" s="89">
        <f t="shared" si="28"/>
        <v>0</v>
      </c>
      <c r="GU61" s="89">
        <f t="shared" si="28"/>
        <v>0</v>
      </c>
      <c r="GV61" s="89">
        <f t="shared" si="28"/>
        <v>0</v>
      </c>
      <c r="GW61" s="89">
        <f t="shared" si="28"/>
        <v>0</v>
      </c>
      <c r="GX61" s="89">
        <f t="shared" si="28"/>
        <v>0</v>
      </c>
      <c r="GY61" s="89">
        <f t="shared" si="28"/>
        <v>0</v>
      </c>
      <c r="GZ61" s="89">
        <f t="shared" si="28"/>
        <v>0</v>
      </c>
      <c r="HB61" s="89">
        <f t="shared" si="16"/>
        <v>0</v>
      </c>
      <c r="HC61" s="89">
        <f t="shared" si="17"/>
        <v>0</v>
      </c>
      <c r="HD61" s="89">
        <f t="shared" si="18"/>
        <v>0</v>
      </c>
      <c r="HE61" s="89">
        <f t="shared" si="20"/>
        <v>0</v>
      </c>
      <c r="HF61" s="89">
        <f t="shared" si="20"/>
        <v>0</v>
      </c>
      <c r="HG61" s="89">
        <f t="shared" si="20"/>
        <v>0</v>
      </c>
      <c r="HH61" s="89">
        <f t="shared" si="20"/>
        <v>0</v>
      </c>
      <c r="HI61" s="89">
        <f t="shared" si="20"/>
        <v>0</v>
      </c>
      <c r="HJ61" s="89">
        <f t="shared" si="20"/>
        <v>0</v>
      </c>
      <c r="HK61" s="89">
        <f t="shared" si="20"/>
        <v>0</v>
      </c>
      <c r="HL61" s="89">
        <f t="shared" si="20"/>
        <v>0</v>
      </c>
      <c r="HM61" s="89">
        <f t="shared" si="20"/>
        <v>0</v>
      </c>
    </row>
    <row r="63" spans="1:221" x14ac:dyDescent="0.2">
      <c r="A63" s="127" t="s">
        <v>895</v>
      </c>
      <c r="FV63" s="127" t="s">
        <v>895</v>
      </c>
    </row>
    <row r="64" spans="1:221" x14ac:dyDescent="0.2">
      <c r="A64" s="127"/>
      <c r="FV64" s="127"/>
      <c r="FW64" s="89" t="s">
        <v>767</v>
      </c>
      <c r="FX64" s="89" t="s">
        <v>768</v>
      </c>
      <c r="FY64" s="89" t="s">
        <v>769</v>
      </c>
    </row>
    <row r="65" spans="1:207" x14ac:dyDescent="0.2">
      <c r="A65" s="127" t="s">
        <v>508</v>
      </c>
      <c r="B65" s="89">
        <f>'Verwerken verlichting'!R29</f>
        <v>0</v>
      </c>
      <c r="FV65" s="127" t="s">
        <v>508</v>
      </c>
      <c r="FW65" s="89">
        <f>'Verwerken verlichting'!BH29</f>
        <v>0</v>
      </c>
      <c r="FX65" s="89">
        <f>'Verwerken verlichting'!AY29</f>
        <v>0</v>
      </c>
      <c r="FY65" s="89">
        <f>'Verwerken verlichting'!AP29</f>
        <v>0</v>
      </c>
      <c r="GM65" s="127" t="s">
        <v>508</v>
      </c>
      <c r="GN65" s="89">
        <f>'Verwerken verlichting'!BH29</f>
        <v>0</v>
      </c>
    </row>
    <row r="66" spans="1:207" x14ac:dyDescent="0.2">
      <c r="A66" s="127" t="s">
        <v>539</v>
      </c>
      <c r="B66" s="89">
        <f>'Verwerken verlichting'!V29</f>
        <v>0</v>
      </c>
      <c r="FV66" s="127" t="s">
        <v>539</v>
      </c>
      <c r="FW66" s="89">
        <f>'Verwerken verlichting'!BL19</f>
        <v>0</v>
      </c>
      <c r="FX66" s="89">
        <f>'Verwerken verlichting'!BC29</f>
        <v>0</v>
      </c>
      <c r="FY66" s="89">
        <f>'Verwerken verlichting'!AS29</f>
        <v>0</v>
      </c>
      <c r="GM66" s="127" t="s">
        <v>539</v>
      </c>
      <c r="GN66" s="89">
        <f>'Verwerken verlichting'!BL29</f>
        <v>0</v>
      </c>
    </row>
    <row r="68" spans="1:207" x14ac:dyDescent="0.2">
      <c r="A68" s="127" t="s">
        <v>898</v>
      </c>
      <c r="FV68" s="127" t="s">
        <v>898</v>
      </c>
      <c r="GM68" s="127" t="s">
        <v>898</v>
      </c>
    </row>
    <row r="70" spans="1:207" x14ac:dyDescent="0.2">
      <c r="B70" s="89" t="s">
        <v>505</v>
      </c>
      <c r="C70" s="89" t="s">
        <v>506</v>
      </c>
      <c r="D70" s="89" t="s">
        <v>507</v>
      </c>
      <c r="E70" s="89" t="s">
        <v>508</v>
      </c>
      <c r="F70" s="89" t="s">
        <v>509</v>
      </c>
      <c r="G70" s="89" t="s">
        <v>527</v>
      </c>
      <c r="FW70" s="89" t="s">
        <v>505</v>
      </c>
      <c r="FX70" s="89" t="s">
        <v>506</v>
      </c>
      <c r="FY70" s="89" t="s">
        <v>507</v>
      </c>
      <c r="FZ70" s="89" t="s">
        <v>508</v>
      </c>
      <c r="GA70" s="89" t="s">
        <v>509</v>
      </c>
      <c r="GB70" s="89" t="s">
        <v>527</v>
      </c>
      <c r="GN70" s="89" t="s">
        <v>505</v>
      </c>
      <c r="GO70" s="89" t="s">
        <v>506</v>
      </c>
      <c r="GP70" s="89" t="s">
        <v>507</v>
      </c>
      <c r="GQ70" s="89" t="s">
        <v>508</v>
      </c>
      <c r="GR70" s="89" t="s">
        <v>509</v>
      </c>
      <c r="GS70" s="89" t="s">
        <v>527</v>
      </c>
    </row>
    <row r="71" spans="1:207" x14ac:dyDescent="0.2">
      <c r="B71" s="89">
        <f>0.3*'Invoer Algemeen'!D17*2.63*'Fitten energieverbruik'!C19</f>
        <v>0</v>
      </c>
      <c r="C71" s="89">
        <f>'Fitten energieverbruik'!C18*2.63*'Invoer Algemeen'!D17</f>
        <v>0</v>
      </c>
      <c r="D71" s="89">
        <f>0.8*0.39*'Verwerken ventilatie'!D60</f>
        <v>0</v>
      </c>
      <c r="E71" s="89">
        <f>'Verwerken verlichting'!V29</f>
        <v>0</v>
      </c>
      <c r="F71" s="89">
        <v>0.8</v>
      </c>
      <c r="G71" s="89">
        <f>F71*(B71+C71+D71+E71)</f>
        <v>0</v>
      </c>
      <c r="FW71" s="89">
        <f>B71</f>
        <v>0</v>
      </c>
      <c r="FX71" s="89">
        <f>C71</f>
        <v>0</v>
      </c>
      <c r="FY71" s="89">
        <f>D71</f>
        <v>0</v>
      </c>
      <c r="FZ71" s="89">
        <f>'Verwerken verlichting'!AT29</f>
        <v>0</v>
      </c>
      <c r="GA71" s="89">
        <v>0.8</v>
      </c>
      <c r="GB71" s="89">
        <f>GA71*(FW71+FX71+FY71+FZ71)</f>
        <v>0</v>
      </c>
      <c r="GN71" s="89">
        <f>FW71</f>
        <v>0</v>
      </c>
      <c r="GO71" s="89">
        <f>FX71</f>
        <v>0</v>
      </c>
      <c r="GP71" s="89">
        <f>0.8*0.39*'Verwerken ventilatie'!AM60</f>
        <v>0</v>
      </c>
      <c r="GQ71" s="89">
        <f>'Verwerken verlichting'!BL29</f>
        <v>0</v>
      </c>
      <c r="GR71" s="89">
        <f>GA71</f>
        <v>0.8</v>
      </c>
      <c r="GS71" s="89">
        <f>GR71*(GN71+GO71+GP71+GQ71)</f>
        <v>0</v>
      </c>
    </row>
    <row r="73" spans="1:207" x14ac:dyDescent="0.2">
      <c r="A73" s="127" t="s">
        <v>899</v>
      </c>
    </row>
    <row r="75" spans="1:207" x14ac:dyDescent="0.2">
      <c r="B75" s="125" t="s">
        <v>452</v>
      </c>
      <c r="C75" s="125" t="s">
        <v>453</v>
      </c>
      <c r="D75" s="125" t="s">
        <v>398</v>
      </c>
      <c r="E75" s="125" t="s">
        <v>399</v>
      </c>
      <c r="F75" s="125" t="s">
        <v>400</v>
      </c>
      <c r="G75" s="125" t="s">
        <v>401</v>
      </c>
      <c r="H75" s="125" t="s">
        <v>402</v>
      </c>
      <c r="I75" s="125" t="s">
        <v>454</v>
      </c>
      <c r="J75" s="125" t="s">
        <v>455</v>
      </c>
      <c r="K75" s="125" t="s">
        <v>456</v>
      </c>
      <c r="L75" s="125" t="s">
        <v>457</v>
      </c>
      <c r="M75" s="125" t="s">
        <v>458</v>
      </c>
      <c r="DO75" s="125" t="s">
        <v>452</v>
      </c>
      <c r="DP75" s="125" t="s">
        <v>453</v>
      </c>
      <c r="DQ75" s="125" t="s">
        <v>398</v>
      </c>
      <c r="DR75" s="125" t="s">
        <v>399</v>
      </c>
      <c r="DS75" s="125" t="s">
        <v>400</v>
      </c>
      <c r="DT75" s="125" t="s">
        <v>401</v>
      </c>
      <c r="DU75" s="125" t="s">
        <v>402</v>
      </c>
      <c r="DV75" s="125" t="s">
        <v>454</v>
      </c>
      <c r="DW75" s="125" t="s">
        <v>455</v>
      </c>
      <c r="DX75" s="125" t="s">
        <v>456</v>
      </c>
      <c r="DY75" s="125" t="s">
        <v>457</v>
      </c>
      <c r="DZ75" s="125" t="s">
        <v>458</v>
      </c>
      <c r="EA75" s="125" t="s">
        <v>754</v>
      </c>
      <c r="EB75" s="125" t="s">
        <v>47</v>
      </c>
      <c r="EC75" s="125" t="s">
        <v>614</v>
      </c>
      <c r="GN75" s="125" t="s">
        <v>452</v>
      </c>
      <c r="GO75" s="125" t="s">
        <v>453</v>
      </c>
      <c r="GP75" s="125" t="s">
        <v>398</v>
      </c>
      <c r="GQ75" s="125" t="s">
        <v>399</v>
      </c>
      <c r="GR75" s="125" t="s">
        <v>400</v>
      </c>
      <c r="GS75" s="125" t="s">
        <v>401</v>
      </c>
      <c r="GT75" s="125" t="s">
        <v>402</v>
      </c>
      <c r="GU75" s="125" t="s">
        <v>454</v>
      </c>
      <c r="GV75" s="125" t="s">
        <v>455</v>
      </c>
      <c r="GW75" s="125" t="s">
        <v>456</v>
      </c>
      <c r="GX75" s="125" t="s">
        <v>457</v>
      </c>
      <c r="GY75" s="125" t="s">
        <v>458</v>
      </c>
    </row>
    <row r="76" spans="1:207" x14ac:dyDescent="0.2">
      <c r="A76" s="89">
        <f>IF('Verwerking Bouwdelen'!A3=3,1,0)</f>
        <v>0</v>
      </c>
      <c r="B76" s="223">
        <f>$A76*'Verwerking Bouwdelen'!CJ3</f>
        <v>0</v>
      </c>
      <c r="C76" s="224">
        <f>$A76*'Verwerking Bouwdelen'!CK3</f>
        <v>0</v>
      </c>
      <c r="D76" s="224">
        <f>$A76*'Verwerking Bouwdelen'!CL3</f>
        <v>0</v>
      </c>
      <c r="E76" s="224">
        <f>$A76*'Verwerking Bouwdelen'!CM3</f>
        <v>0</v>
      </c>
      <c r="F76" s="224">
        <f>$A76*'Verwerking Bouwdelen'!CN3</f>
        <v>0</v>
      </c>
      <c r="G76" s="224">
        <f>$A76*'Verwerking Bouwdelen'!CO3</f>
        <v>0</v>
      </c>
      <c r="H76" s="224">
        <f>$A76*'Verwerking Bouwdelen'!CP3</f>
        <v>0</v>
      </c>
      <c r="I76" s="224">
        <f>$A76*'Verwerking Bouwdelen'!CQ3</f>
        <v>0</v>
      </c>
      <c r="J76" s="224">
        <f>$A76*'Verwerking Bouwdelen'!CR3</f>
        <v>0</v>
      </c>
      <c r="K76" s="224">
        <f>$A76*'Verwerking Bouwdelen'!CS3</f>
        <v>0</v>
      </c>
      <c r="L76" s="224">
        <f>$A76*'Verwerking Bouwdelen'!CT3</f>
        <v>0</v>
      </c>
      <c r="M76" s="225">
        <f>$A76*'Verwerking Bouwdelen'!CU3</f>
        <v>0</v>
      </c>
      <c r="DN76" s="89">
        <f>IF('Verwerking Bouwdelen'!A3=3,1,0)</f>
        <v>0</v>
      </c>
      <c r="DO76" s="223">
        <f>$DN76*'Verwerking Bouwdelen'!FT3</f>
        <v>0</v>
      </c>
      <c r="DP76" s="223">
        <f>$DN76*'Verwerking Bouwdelen'!FU3</f>
        <v>0</v>
      </c>
      <c r="DQ76" s="223">
        <f>$DN76*'Verwerking Bouwdelen'!FV3</f>
        <v>0</v>
      </c>
      <c r="DR76" s="223">
        <f>$DN76*'Verwerking Bouwdelen'!FW3</f>
        <v>0</v>
      </c>
      <c r="DS76" s="223">
        <f>$DN76*'Verwerking Bouwdelen'!FX3</f>
        <v>0</v>
      </c>
      <c r="DT76" s="223">
        <f>$DN76*'Verwerking Bouwdelen'!FY3</f>
        <v>0</v>
      </c>
      <c r="DU76" s="223">
        <f>$DN76*'Verwerking Bouwdelen'!FZ3</f>
        <v>0</v>
      </c>
      <c r="DV76" s="223">
        <f>$DN76*'Verwerking Bouwdelen'!GA3</f>
        <v>0</v>
      </c>
      <c r="DW76" s="223">
        <f>$DN76*'Verwerking Bouwdelen'!GB3</f>
        <v>0</v>
      </c>
      <c r="DX76" s="223">
        <f>$DN76*'Verwerking Bouwdelen'!GC3</f>
        <v>0</v>
      </c>
      <c r="DY76" s="223">
        <f>$DN76*'Verwerking Bouwdelen'!GD3</f>
        <v>0</v>
      </c>
      <c r="DZ76" s="223">
        <f>$DN76*'Verwerking Bouwdelen'!GE3</f>
        <v>0</v>
      </c>
      <c r="EA76" s="89">
        <f>'Verwerking Bouwdelen'!GO3*DN76</f>
        <v>0</v>
      </c>
      <c r="EB76" s="125">
        <f>'Verwerking Bouwdelen'!GP3*DN76</f>
        <v>0</v>
      </c>
      <c r="EC76" s="89">
        <f>0.6*EB76</f>
        <v>0</v>
      </c>
      <c r="GN76" s="220">
        <f t="shared" ref="GN76:GN96" si="29">DO76</f>
        <v>0</v>
      </c>
      <c r="GO76" s="220">
        <f t="shared" ref="GO76:GO96" si="30">DP76</f>
        <v>0</v>
      </c>
      <c r="GP76" s="220">
        <f t="shared" ref="GP76:GP96" si="31">DQ76</f>
        <v>0</v>
      </c>
      <c r="GQ76" s="220">
        <f t="shared" ref="GQ76:GQ96" si="32">DR76</f>
        <v>0</v>
      </c>
      <c r="GR76" s="220">
        <f t="shared" ref="GR76:GR96" si="33">DS76</f>
        <v>0</v>
      </c>
      <c r="GS76" s="220">
        <f t="shared" ref="GS76:GS96" si="34">DT76</f>
        <v>0</v>
      </c>
      <c r="GT76" s="220">
        <f t="shared" ref="GT76:GT96" si="35">DU76</f>
        <v>0</v>
      </c>
      <c r="GU76" s="220">
        <f t="shared" ref="GU76:GU96" si="36">DV76</f>
        <v>0</v>
      </c>
      <c r="GV76" s="220">
        <f t="shared" ref="GV76:GV96" si="37">DW76</f>
        <v>0</v>
      </c>
      <c r="GW76" s="220">
        <f t="shared" ref="GW76:GW96" si="38">DX76</f>
        <v>0</v>
      </c>
      <c r="GX76" s="220">
        <f t="shared" ref="GX76:GX96" si="39">DY76</f>
        <v>0</v>
      </c>
      <c r="GY76" s="220">
        <f t="shared" ref="GY76:GY96" si="40">DZ76</f>
        <v>0</v>
      </c>
    </row>
    <row r="77" spans="1:207" x14ac:dyDescent="0.2">
      <c r="A77" s="89">
        <f>IF('Verwerking Bouwdelen'!A4=3,1,0)</f>
        <v>0</v>
      </c>
      <c r="B77" s="226">
        <f>$A77*'Verwerking Bouwdelen'!CJ4</f>
        <v>0</v>
      </c>
      <c r="C77" s="227">
        <f>$A77*'Verwerking Bouwdelen'!CK4</f>
        <v>0</v>
      </c>
      <c r="D77" s="227">
        <f>$A77*'Verwerking Bouwdelen'!CL4</f>
        <v>0</v>
      </c>
      <c r="E77" s="227">
        <f>$A77*'Verwerking Bouwdelen'!CM4</f>
        <v>0</v>
      </c>
      <c r="F77" s="227">
        <f>$A77*'Verwerking Bouwdelen'!CN4</f>
        <v>0</v>
      </c>
      <c r="G77" s="227">
        <f>$A77*'Verwerking Bouwdelen'!CO4</f>
        <v>0</v>
      </c>
      <c r="H77" s="227">
        <f>$A77*'Verwerking Bouwdelen'!CP4</f>
        <v>0</v>
      </c>
      <c r="I77" s="227">
        <f>$A77*'Verwerking Bouwdelen'!CQ4</f>
        <v>0</v>
      </c>
      <c r="J77" s="227">
        <f>$A77*'Verwerking Bouwdelen'!CR4</f>
        <v>0</v>
      </c>
      <c r="K77" s="227">
        <f>$A77*'Verwerking Bouwdelen'!CS4</f>
        <v>0</v>
      </c>
      <c r="L77" s="227">
        <f>$A77*'Verwerking Bouwdelen'!CT4</f>
        <v>0</v>
      </c>
      <c r="M77" s="228">
        <f>$A77*'Verwerking Bouwdelen'!CU4</f>
        <v>0</v>
      </c>
      <c r="DN77" s="89">
        <f>IF('Verwerking Bouwdelen'!A4=3,1,0)</f>
        <v>0</v>
      </c>
      <c r="DO77" s="223">
        <f>$DN77*'Verwerking Bouwdelen'!FT4</f>
        <v>0</v>
      </c>
      <c r="DP77" s="223">
        <f>$DN77*'Verwerking Bouwdelen'!FU4</f>
        <v>0</v>
      </c>
      <c r="DQ77" s="223">
        <f>$DN77*'Verwerking Bouwdelen'!FV4</f>
        <v>0</v>
      </c>
      <c r="DR77" s="223">
        <f>$DN77*'Verwerking Bouwdelen'!FW4</f>
        <v>0</v>
      </c>
      <c r="DS77" s="223">
        <f>$DN77*'Verwerking Bouwdelen'!FX4</f>
        <v>0</v>
      </c>
      <c r="DT77" s="223">
        <f>$DN77*'Verwerking Bouwdelen'!FY4</f>
        <v>0</v>
      </c>
      <c r="DU77" s="223">
        <f>$DN77*'Verwerking Bouwdelen'!FZ4</f>
        <v>0</v>
      </c>
      <c r="DV77" s="223">
        <f>$DN77*'Verwerking Bouwdelen'!GA4</f>
        <v>0</v>
      </c>
      <c r="DW77" s="223">
        <f>$DN77*'Verwerking Bouwdelen'!GB4</f>
        <v>0</v>
      </c>
      <c r="DX77" s="223">
        <f>$DN77*'Verwerking Bouwdelen'!GC4</f>
        <v>0</v>
      </c>
      <c r="DY77" s="223">
        <f>$DN77*'Verwerking Bouwdelen'!GD4</f>
        <v>0</v>
      </c>
      <c r="DZ77" s="223">
        <f>$DN77*'Verwerking Bouwdelen'!GE4</f>
        <v>0</v>
      </c>
      <c r="EA77" s="89">
        <f>'Verwerking Bouwdelen'!GO4*DN77</f>
        <v>0</v>
      </c>
      <c r="EB77" s="125">
        <f>'Verwerking Bouwdelen'!GP4*DN77</f>
        <v>0</v>
      </c>
      <c r="EC77" s="89">
        <f t="shared" ref="EC77:EC117" si="41">0.6*EB77</f>
        <v>0</v>
      </c>
      <c r="GN77" s="220">
        <f t="shared" si="29"/>
        <v>0</v>
      </c>
      <c r="GO77" s="220">
        <f t="shared" si="30"/>
        <v>0</v>
      </c>
      <c r="GP77" s="220">
        <f t="shared" si="31"/>
        <v>0</v>
      </c>
      <c r="GQ77" s="220">
        <f t="shared" si="32"/>
        <v>0</v>
      </c>
      <c r="GR77" s="220">
        <f t="shared" si="33"/>
        <v>0</v>
      </c>
      <c r="GS77" s="220">
        <f t="shared" si="34"/>
        <v>0</v>
      </c>
      <c r="GT77" s="220">
        <f t="shared" si="35"/>
        <v>0</v>
      </c>
      <c r="GU77" s="220">
        <f t="shared" si="36"/>
        <v>0</v>
      </c>
      <c r="GV77" s="220">
        <f t="shared" si="37"/>
        <v>0</v>
      </c>
      <c r="GW77" s="220">
        <f t="shared" si="38"/>
        <v>0</v>
      </c>
      <c r="GX77" s="220">
        <f t="shared" si="39"/>
        <v>0</v>
      </c>
      <c r="GY77" s="220">
        <f t="shared" si="40"/>
        <v>0</v>
      </c>
    </row>
    <row r="78" spans="1:207" x14ac:dyDescent="0.2">
      <c r="A78" s="89">
        <f>IF('Verwerking Bouwdelen'!A5=3,1,0)</f>
        <v>0</v>
      </c>
      <c r="B78" s="226">
        <f>$A78*'Verwerking Bouwdelen'!CJ5</f>
        <v>0</v>
      </c>
      <c r="C78" s="227">
        <f>$A78*'Verwerking Bouwdelen'!CK5</f>
        <v>0</v>
      </c>
      <c r="D78" s="227">
        <f>$A78*'Verwerking Bouwdelen'!CL5</f>
        <v>0</v>
      </c>
      <c r="E78" s="227">
        <f>$A78*'Verwerking Bouwdelen'!CM5</f>
        <v>0</v>
      </c>
      <c r="F78" s="227">
        <f>$A78*'Verwerking Bouwdelen'!CN5</f>
        <v>0</v>
      </c>
      <c r="G78" s="227">
        <f>$A78*'Verwerking Bouwdelen'!CO5</f>
        <v>0</v>
      </c>
      <c r="H78" s="227">
        <f>$A78*'Verwerking Bouwdelen'!CP5</f>
        <v>0</v>
      </c>
      <c r="I78" s="227">
        <f>$A78*'Verwerking Bouwdelen'!CQ5</f>
        <v>0</v>
      </c>
      <c r="J78" s="227">
        <f>$A78*'Verwerking Bouwdelen'!CR5</f>
        <v>0</v>
      </c>
      <c r="K78" s="227">
        <f>$A78*'Verwerking Bouwdelen'!CS5</f>
        <v>0</v>
      </c>
      <c r="L78" s="227">
        <f>$A78*'Verwerking Bouwdelen'!CT5</f>
        <v>0</v>
      </c>
      <c r="M78" s="228">
        <f>$A78*'Verwerking Bouwdelen'!CU5</f>
        <v>0</v>
      </c>
      <c r="DN78" s="89">
        <f>IF('Verwerking Bouwdelen'!A5=3,1,0)</f>
        <v>0</v>
      </c>
      <c r="DO78" s="223">
        <f>$DN78*'Verwerking Bouwdelen'!FT5</f>
        <v>0</v>
      </c>
      <c r="DP78" s="223">
        <f>$DN78*'Verwerking Bouwdelen'!FU5</f>
        <v>0</v>
      </c>
      <c r="DQ78" s="223">
        <f>$DN78*'Verwerking Bouwdelen'!FV5</f>
        <v>0</v>
      </c>
      <c r="DR78" s="223">
        <f>$DN78*'Verwerking Bouwdelen'!FW5</f>
        <v>0</v>
      </c>
      <c r="DS78" s="223">
        <f>$DN78*'Verwerking Bouwdelen'!FX5</f>
        <v>0</v>
      </c>
      <c r="DT78" s="223">
        <f>$DN78*'Verwerking Bouwdelen'!FY5</f>
        <v>0</v>
      </c>
      <c r="DU78" s="223">
        <f>$DN78*'Verwerking Bouwdelen'!FZ5</f>
        <v>0</v>
      </c>
      <c r="DV78" s="223">
        <f>$DN78*'Verwerking Bouwdelen'!GA5</f>
        <v>0</v>
      </c>
      <c r="DW78" s="223">
        <f>$DN78*'Verwerking Bouwdelen'!GB5</f>
        <v>0</v>
      </c>
      <c r="DX78" s="223">
        <f>$DN78*'Verwerking Bouwdelen'!GC5</f>
        <v>0</v>
      </c>
      <c r="DY78" s="223">
        <f>$DN78*'Verwerking Bouwdelen'!GD5</f>
        <v>0</v>
      </c>
      <c r="DZ78" s="223">
        <f>$DN78*'Verwerking Bouwdelen'!GE5</f>
        <v>0</v>
      </c>
      <c r="EA78" s="89">
        <f>'Verwerking Bouwdelen'!GO5*DN78</f>
        <v>0</v>
      </c>
      <c r="EB78" s="125">
        <f>'Verwerking Bouwdelen'!GP5*DN78</f>
        <v>0</v>
      </c>
      <c r="EC78" s="89">
        <f t="shared" si="41"/>
        <v>0</v>
      </c>
      <c r="GN78" s="220">
        <f t="shared" si="29"/>
        <v>0</v>
      </c>
      <c r="GO78" s="220">
        <f t="shared" si="30"/>
        <v>0</v>
      </c>
      <c r="GP78" s="220">
        <f t="shared" si="31"/>
        <v>0</v>
      </c>
      <c r="GQ78" s="220">
        <f t="shared" si="32"/>
        <v>0</v>
      </c>
      <c r="GR78" s="220">
        <f t="shared" si="33"/>
        <v>0</v>
      </c>
      <c r="GS78" s="220">
        <f t="shared" si="34"/>
        <v>0</v>
      </c>
      <c r="GT78" s="220">
        <f t="shared" si="35"/>
        <v>0</v>
      </c>
      <c r="GU78" s="220">
        <f t="shared" si="36"/>
        <v>0</v>
      </c>
      <c r="GV78" s="220">
        <f t="shared" si="37"/>
        <v>0</v>
      </c>
      <c r="GW78" s="220">
        <f t="shared" si="38"/>
        <v>0</v>
      </c>
      <c r="GX78" s="220">
        <f t="shared" si="39"/>
        <v>0</v>
      </c>
      <c r="GY78" s="220">
        <f t="shared" si="40"/>
        <v>0</v>
      </c>
    </row>
    <row r="79" spans="1:207" x14ac:dyDescent="0.2">
      <c r="A79" s="89">
        <f>IF('Verwerking Bouwdelen'!A6=3,1,0)</f>
        <v>0</v>
      </c>
      <c r="B79" s="226">
        <f>$A79*'Verwerking Bouwdelen'!CJ6</f>
        <v>0</v>
      </c>
      <c r="C79" s="227">
        <f>$A79*'Verwerking Bouwdelen'!CK6</f>
        <v>0</v>
      </c>
      <c r="D79" s="227">
        <f>$A79*'Verwerking Bouwdelen'!CL6</f>
        <v>0</v>
      </c>
      <c r="E79" s="227">
        <f>$A79*'Verwerking Bouwdelen'!CM6</f>
        <v>0</v>
      </c>
      <c r="F79" s="227">
        <f>$A79*'Verwerking Bouwdelen'!CN6</f>
        <v>0</v>
      </c>
      <c r="G79" s="227">
        <f>$A79*'Verwerking Bouwdelen'!CO6</f>
        <v>0</v>
      </c>
      <c r="H79" s="227">
        <f>$A79*'Verwerking Bouwdelen'!CP6</f>
        <v>0</v>
      </c>
      <c r="I79" s="227">
        <f>$A79*'Verwerking Bouwdelen'!CQ6</f>
        <v>0</v>
      </c>
      <c r="J79" s="227">
        <f>$A79*'Verwerking Bouwdelen'!CR6</f>
        <v>0</v>
      </c>
      <c r="K79" s="227">
        <f>$A79*'Verwerking Bouwdelen'!CS6</f>
        <v>0</v>
      </c>
      <c r="L79" s="227">
        <f>$A79*'Verwerking Bouwdelen'!CT6</f>
        <v>0</v>
      </c>
      <c r="M79" s="228">
        <f>$A79*'Verwerking Bouwdelen'!CU6</f>
        <v>0</v>
      </c>
      <c r="DN79" s="89">
        <f>IF('Verwerking Bouwdelen'!A6=3,1,0)</f>
        <v>0</v>
      </c>
      <c r="DO79" s="223">
        <f>$DN79*'Verwerking Bouwdelen'!FT6</f>
        <v>0</v>
      </c>
      <c r="DP79" s="223">
        <f>$DN79*'Verwerking Bouwdelen'!FU6</f>
        <v>0</v>
      </c>
      <c r="DQ79" s="223">
        <f>$DN79*'Verwerking Bouwdelen'!FV6</f>
        <v>0</v>
      </c>
      <c r="DR79" s="223">
        <f>$DN79*'Verwerking Bouwdelen'!FW6</f>
        <v>0</v>
      </c>
      <c r="DS79" s="223">
        <f>$DN79*'Verwerking Bouwdelen'!FX6</f>
        <v>0</v>
      </c>
      <c r="DT79" s="223">
        <f>$DN79*'Verwerking Bouwdelen'!FY6</f>
        <v>0</v>
      </c>
      <c r="DU79" s="223">
        <f>$DN79*'Verwerking Bouwdelen'!FZ6</f>
        <v>0</v>
      </c>
      <c r="DV79" s="223">
        <f>$DN79*'Verwerking Bouwdelen'!GA6</f>
        <v>0</v>
      </c>
      <c r="DW79" s="223">
        <f>$DN79*'Verwerking Bouwdelen'!GB6</f>
        <v>0</v>
      </c>
      <c r="DX79" s="223">
        <f>$DN79*'Verwerking Bouwdelen'!GC6</f>
        <v>0</v>
      </c>
      <c r="DY79" s="223">
        <f>$DN79*'Verwerking Bouwdelen'!GD6</f>
        <v>0</v>
      </c>
      <c r="DZ79" s="223">
        <f>$DN79*'Verwerking Bouwdelen'!GE6</f>
        <v>0</v>
      </c>
      <c r="EA79" s="89">
        <f>'Verwerking Bouwdelen'!GO6*DN79</f>
        <v>0</v>
      </c>
      <c r="EB79" s="125">
        <f>'Verwerking Bouwdelen'!GP6*DN79</f>
        <v>0</v>
      </c>
      <c r="EC79" s="89">
        <f t="shared" si="41"/>
        <v>0</v>
      </c>
      <c r="GN79" s="220">
        <f t="shared" si="29"/>
        <v>0</v>
      </c>
      <c r="GO79" s="220">
        <f t="shared" si="30"/>
        <v>0</v>
      </c>
      <c r="GP79" s="220">
        <f t="shared" si="31"/>
        <v>0</v>
      </c>
      <c r="GQ79" s="220">
        <f t="shared" si="32"/>
        <v>0</v>
      </c>
      <c r="GR79" s="220">
        <f t="shared" si="33"/>
        <v>0</v>
      </c>
      <c r="GS79" s="220">
        <f t="shared" si="34"/>
        <v>0</v>
      </c>
      <c r="GT79" s="220">
        <f t="shared" si="35"/>
        <v>0</v>
      </c>
      <c r="GU79" s="220">
        <f t="shared" si="36"/>
        <v>0</v>
      </c>
      <c r="GV79" s="220">
        <f t="shared" si="37"/>
        <v>0</v>
      </c>
      <c r="GW79" s="220">
        <f t="shared" si="38"/>
        <v>0</v>
      </c>
      <c r="GX79" s="220">
        <f t="shared" si="39"/>
        <v>0</v>
      </c>
      <c r="GY79" s="220">
        <f t="shared" si="40"/>
        <v>0</v>
      </c>
    </row>
    <row r="80" spans="1:207" x14ac:dyDescent="0.2">
      <c r="A80" s="89">
        <f>IF('Verwerking Bouwdelen'!A7=3,1,0)</f>
        <v>0</v>
      </c>
      <c r="B80" s="226">
        <f>$A80*'Verwerking Bouwdelen'!CJ7</f>
        <v>0</v>
      </c>
      <c r="C80" s="227">
        <f>$A80*'Verwerking Bouwdelen'!CK7</f>
        <v>0</v>
      </c>
      <c r="D80" s="227">
        <f>$A80*'Verwerking Bouwdelen'!CL7</f>
        <v>0</v>
      </c>
      <c r="E80" s="227">
        <f>$A80*'Verwerking Bouwdelen'!CM7</f>
        <v>0</v>
      </c>
      <c r="F80" s="227">
        <f>$A80*'Verwerking Bouwdelen'!CN7</f>
        <v>0</v>
      </c>
      <c r="G80" s="227">
        <f>$A80*'Verwerking Bouwdelen'!CO7</f>
        <v>0</v>
      </c>
      <c r="H80" s="227">
        <f>$A80*'Verwerking Bouwdelen'!CP7</f>
        <v>0</v>
      </c>
      <c r="I80" s="227">
        <f>$A80*'Verwerking Bouwdelen'!CQ7</f>
        <v>0</v>
      </c>
      <c r="J80" s="227">
        <f>$A80*'Verwerking Bouwdelen'!CR7</f>
        <v>0</v>
      </c>
      <c r="K80" s="227">
        <f>$A80*'Verwerking Bouwdelen'!CS7</f>
        <v>0</v>
      </c>
      <c r="L80" s="227">
        <f>$A80*'Verwerking Bouwdelen'!CT7</f>
        <v>0</v>
      </c>
      <c r="M80" s="228">
        <f>$A80*'Verwerking Bouwdelen'!CU7</f>
        <v>0</v>
      </c>
      <c r="DN80" s="89">
        <f>IF('Verwerking Bouwdelen'!A7=3,1,0)</f>
        <v>0</v>
      </c>
      <c r="DO80" s="223">
        <f>$DN80*'Verwerking Bouwdelen'!FT7</f>
        <v>0</v>
      </c>
      <c r="DP80" s="223">
        <f>$DN80*'Verwerking Bouwdelen'!FU7</f>
        <v>0</v>
      </c>
      <c r="DQ80" s="223">
        <f>$DN80*'Verwerking Bouwdelen'!FV7</f>
        <v>0</v>
      </c>
      <c r="DR80" s="223">
        <f>$DN80*'Verwerking Bouwdelen'!FW7</f>
        <v>0</v>
      </c>
      <c r="DS80" s="223">
        <f>$DN80*'Verwerking Bouwdelen'!FX7</f>
        <v>0</v>
      </c>
      <c r="DT80" s="223">
        <f>$DN80*'Verwerking Bouwdelen'!FY7</f>
        <v>0</v>
      </c>
      <c r="DU80" s="223">
        <f>$DN80*'Verwerking Bouwdelen'!FZ7</f>
        <v>0</v>
      </c>
      <c r="DV80" s="223">
        <f>$DN80*'Verwerking Bouwdelen'!GA7</f>
        <v>0</v>
      </c>
      <c r="DW80" s="223">
        <f>$DN80*'Verwerking Bouwdelen'!GB7</f>
        <v>0</v>
      </c>
      <c r="DX80" s="223">
        <f>$DN80*'Verwerking Bouwdelen'!GC7</f>
        <v>0</v>
      </c>
      <c r="DY80" s="223">
        <f>$DN80*'Verwerking Bouwdelen'!GD7</f>
        <v>0</v>
      </c>
      <c r="DZ80" s="223">
        <f>$DN80*'Verwerking Bouwdelen'!GE7</f>
        <v>0</v>
      </c>
      <c r="EA80" s="89">
        <f>'Verwerking Bouwdelen'!GO7*DN80</f>
        <v>0</v>
      </c>
      <c r="EB80" s="125">
        <f>'Verwerking Bouwdelen'!GP7*DN80</f>
        <v>0</v>
      </c>
      <c r="EC80" s="89">
        <f t="shared" si="41"/>
        <v>0</v>
      </c>
      <c r="GN80" s="220">
        <f t="shared" si="29"/>
        <v>0</v>
      </c>
      <c r="GO80" s="220">
        <f t="shared" si="30"/>
        <v>0</v>
      </c>
      <c r="GP80" s="220">
        <f t="shared" si="31"/>
        <v>0</v>
      </c>
      <c r="GQ80" s="220">
        <f t="shared" si="32"/>
        <v>0</v>
      </c>
      <c r="GR80" s="220">
        <f t="shared" si="33"/>
        <v>0</v>
      </c>
      <c r="GS80" s="220">
        <f t="shared" si="34"/>
        <v>0</v>
      </c>
      <c r="GT80" s="220">
        <f t="shared" si="35"/>
        <v>0</v>
      </c>
      <c r="GU80" s="220">
        <f t="shared" si="36"/>
        <v>0</v>
      </c>
      <c r="GV80" s="220">
        <f t="shared" si="37"/>
        <v>0</v>
      </c>
      <c r="GW80" s="220">
        <f t="shared" si="38"/>
        <v>0</v>
      </c>
      <c r="GX80" s="220">
        <f t="shared" si="39"/>
        <v>0</v>
      </c>
      <c r="GY80" s="220">
        <f t="shared" si="40"/>
        <v>0</v>
      </c>
    </row>
    <row r="81" spans="1:207" x14ac:dyDescent="0.2">
      <c r="A81" s="89">
        <f>IF('Verwerking Bouwdelen'!A8=3,1,0)</f>
        <v>0</v>
      </c>
      <c r="B81" s="226">
        <f>$A81*'Verwerking Bouwdelen'!CJ8</f>
        <v>0</v>
      </c>
      <c r="C81" s="227">
        <f>$A81*'Verwerking Bouwdelen'!CK8</f>
        <v>0</v>
      </c>
      <c r="D81" s="227">
        <f>$A81*'Verwerking Bouwdelen'!CL8</f>
        <v>0</v>
      </c>
      <c r="E81" s="227">
        <f>$A81*'Verwerking Bouwdelen'!CM8</f>
        <v>0</v>
      </c>
      <c r="F81" s="227">
        <f>$A81*'Verwerking Bouwdelen'!CN8</f>
        <v>0</v>
      </c>
      <c r="G81" s="227">
        <f>$A81*'Verwerking Bouwdelen'!CO8</f>
        <v>0</v>
      </c>
      <c r="H81" s="227">
        <f>$A81*'Verwerking Bouwdelen'!CP8</f>
        <v>0</v>
      </c>
      <c r="I81" s="227">
        <f>$A81*'Verwerking Bouwdelen'!CQ8</f>
        <v>0</v>
      </c>
      <c r="J81" s="227">
        <f>$A81*'Verwerking Bouwdelen'!CR8</f>
        <v>0</v>
      </c>
      <c r="K81" s="227">
        <f>$A81*'Verwerking Bouwdelen'!CS8</f>
        <v>0</v>
      </c>
      <c r="L81" s="227">
        <f>$A81*'Verwerking Bouwdelen'!CT8</f>
        <v>0</v>
      </c>
      <c r="M81" s="228">
        <f>$A81*'Verwerking Bouwdelen'!CU8</f>
        <v>0</v>
      </c>
      <c r="DN81" s="89">
        <f>IF('Verwerking Bouwdelen'!A8=3,1,0)</f>
        <v>0</v>
      </c>
      <c r="DO81" s="223">
        <f>$DN81*'Verwerking Bouwdelen'!FT8</f>
        <v>0</v>
      </c>
      <c r="DP81" s="223">
        <f>$DN81*'Verwerking Bouwdelen'!FU8</f>
        <v>0</v>
      </c>
      <c r="DQ81" s="223">
        <f>$DN81*'Verwerking Bouwdelen'!FV8</f>
        <v>0</v>
      </c>
      <c r="DR81" s="223">
        <f>$DN81*'Verwerking Bouwdelen'!FW8</f>
        <v>0</v>
      </c>
      <c r="DS81" s="223">
        <f>$DN81*'Verwerking Bouwdelen'!FX8</f>
        <v>0</v>
      </c>
      <c r="DT81" s="223">
        <f>$DN81*'Verwerking Bouwdelen'!FY8</f>
        <v>0</v>
      </c>
      <c r="DU81" s="223">
        <f>$DN81*'Verwerking Bouwdelen'!FZ8</f>
        <v>0</v>
      </c>
      <c r="DV81" s="223">
        <f>$DN81*'Verwerking Bouwdelen'!GA8</f>
        <v>0</v>
      </c>
      <c r="DW81" s="223">
        <f>$DN81*'Verwerking Bouwdelen'!GB8</f>
        <v>0</v>
      </c>
      <c r="DX81" s="223">
        <f>$DN81*'Verwerking Bouwdelen'!GC8</f>
        <v>0</v>
      </c>
      <c r="DY81" s="223">
        <f>$DN81*'Verwerking Bouwdelen'!GD8</f>
        <v>0</v>
      </c>
      <c r="DZ81" s="223">
        <f>$DN81*'Verwerking Bouwdelen'!GE8</f>
        <v>0</v>
      </c>
      <c r="EA81" s="89">
        <f>'Verwerking Bouwdelen'!GO8*DN81</f>
        <v>0</v>
      </c>
      <c r="EB81" s="125">
        <f>'Verwerking Bouwdelen'!GP8*DN81</f>
        <v>0</v>
      </c>
      <c r="EC81" s="89">
        <f t="shared" si="41"/>
        <v>0</v>
      </c>
      <c r="GN81" s="220">
        <f t="shared" si="29"/>
        <v>0</v>
      </c>
      <c r="GO81" s="220">
        <f t="shared" si="30"/>
        <v>0</v>
      </c>
      <c r="GP81" s="220">
        <f t="shared" si="31"/>
        <v>0</v>
      </c>
      <c r="GQ81" s="220">
        <f t="shared" si="32"/>
        <v>0</v>
      </c>
      <c r="GR81" s="220">
        <f t="shared" si="33"/>
        <v>0</v>
      </c>
      <c r="GS81" s="220">
        <f t="shared" si="34"/>
        <v>0</v>
      </c>
      <c r="GT81" s="220">
        <f t="shared" si="35"/>
        <v>0</v>
      </c>
      <c r="GU81" s="220">
        <f t="shared" si="36"/>
        <v>0</v>
      </c>
      <c r="GV81" s="220">
        <f t="shared" si="37"/>
        <v>0</v>
      </c>
      <c r="GW81" s="220">
        <f t="shared" si="38"/>
        <v>0</v>
      </c>
      <c r="GX81" s="220">
        <f t="shared" si="39"/>
        <v>0</v>
      </c>
      <c r="GY81" s="220">
        <f t="shared" si="40"/>
        <v>0</v>
      </c>
    </row>
    <row r="82" spans="1:207" x14ac:dyDescent="0.2">
      <c r="A82" s="89">
        <f>IF('Verwerking Bouwdelen'!A9=3,1,0)</f>
        <v>0</v>
      </c>
      <c r="B82" s="226">
        <f>$A82*'Verwerking Bouwdelen'!CJ9</f>
        <v>0</v>
      </c>
      <c r="C82" s="227">
        <f>$A82*'Verwerking Bouwdelen'!CK9</f>
        <v>0</v>
      </c>
      <c r="D82" s="227">
        <f>$A82*'Verwerking Bouwdelen'!CL9</f>
        <v>0</v>
      </c>
      <c r="E82" s="227">
        <f>$A82*'Verwerking Bouwdelen'!CM9</f>
        <v>0</v>
      </c>
      <c r="F82" s="227">
        <f>$A82*'Verwerking Bouwdelen'!CN9</f>
        <v>0</v>
      </c>
      <c r="G82" s="227">
        <f>$A82*'Verwerking Bouwdelen'!CO9</f>
        <v>0</v>
      </c>
      <c r="H82" s="227">
        <f>$A82*'Verwerking Bouwdelen'!CP9</f>
        <v>0</v>
      </c>
      <c r="I82" s="227">
        <f>$A82*'Verwerking Bouwdelen'!CQ9</f>
        <v>0</v>
      </c>
      <c r="J82" s="227">
        <f>$A82*'Verwerking Bouwdelen'!CR9</f>
        <v>0</v>
      </c>
      <c r="K82" s="227">
        <f>$A82*'Verwerking Bouwdelen'!CS9</f>
        <v>0</v>
      </c>
      <c r="L82" s="227">
        <f>$A82*'Verwerking Bouwdelen'!CT9</f>
        <v>0</v>
      </c>
      <c r="M82" s="228">
        <f>$A82*'Verwerking Bouwdelen'!CU9</f>
        <v>0</v>
      </c>
      <c r="DN82" s="89">
        <f>IF('Verwerking Bouwdelen'!A9=3,1,0)</f>
        <v>0</v>
      </c>
      <c r="DO82" s="223">
        <f>$DN82*'Verwerking Bouwdelen'!FT9</f>
        <v>0</v>
      </c>
      <c r="DP82" s="223">
        <f>$DN82*'Verwerking Bouwdelen'!FU9</f>
        <v>0</v>
      </c>
      <c r="DQ82" s="223">
        <f>$DN82*'Verwerking Bouwdelen'!FV9</f>
        <v>0</v>
      </c>
      <c r="DR82" s="223">
        <f>$DN82*'Verwerking Bouwdelen'!FW9</f>
        <v>0</v>
      </c>
      <c r="DS82" s="223">
        <f>$DN82*'Verwerking Bouwdelen'!FX9</f>
        <v>0</v>
      </c>
      <c r="DT82" s="223">
        <f>$DN82*'Verwerking Bouwdelen'!FY9</f>
        <v>0</v>
      </c>
      <c r="DU82" s="223">
        <f>$DN82*'Verwerking Bouwdelen'!FZ9</f>
        <v>0</v>
      </c>
      <c r="DV82" s="223">
        <f>$DN82*'Verwerking Bouwdelen'!GA9</f>
        <v>0</v>
      </c>
      <c r="DW82" s="223">
        <f>$DN82*'Verwerking Bouwdelen'!GB9</f>
        <v>0</v>
      </c>
      <c r="DX82" s="223">
        <f>$DN82*'Verwerking Bouwdelen'!GC9</f>
        <v>0</v>
      </c>
      <c r="DY82" s="223">
        <f>$DN82*'Verwerking Bouwdelen'!GD9</f>
        <v>0</v>
      </c>
      <c r="DZ82" s="223">
        <f>$DN82*'Verwerking Bouwdelen'!GE9</f>
        <v>0</v>
      </c>
      <c r="EA82" s="89">
        <f>'Verwerking Bouwdelen'!GO9*DN82</f>
        <v>0</v>
      </c>
      <c r="EB82" s="125">
        <f>'Verwerking Bouwdelen'!GP9*DN82</f>
        <v>0</v>
      </c>
      <c r="EC82" s="89">
        <f t="shared" si="41"/>
        <v>0</v>
      </c>
      <c r="GN82" s="220">
        <f t="shared" si="29"/>
        <v>0</v>
      </c>
      <c r="GO82" s="220">
        <f t="shared" si="30"/>
        <v>0</v>
      </c>
      <c r="GP82" s="220">
        <f t="shared" si="31"/>
        <v>0</v>
      </c>
      <c r="GQ82" s="220">
        <f t="shared" si="32"/>
        <v>0</v>
      </c>
      <c r="GR82" s="220">
        <f t="shared" si="33"/>
        <v>0</v>
      </c>
      <c r="GS82" s="220">
        <f t="shared" si="34"/>
        <v>0</v>
      </c>
      <c r="GT82" s="220">
        <f t="shared" si="35"/>
        <v>0</v>
      </c>
      <c r="GU82" s="220">
        <f t="shared" si="36"/>
        <v>0</v>
      </c>
      <c r="GV82" s="220">
        <f t="shared" si="37"/>
        <v>0</v>
      </c>
      <c r="GW82" s="220">
        <f t="shared" si="38"/>
        <v>0</v>
      </c>
      <c r="GX82" s="220">
        <f t="shared" si="39"/>
        <v>0</v>
      </c>
      <c r="GY82" s="220">
        <f t="shared" si="40"/>
        <v>0</v>
      </c>
    </row>
    <row r="83" spans="1:207" x14ac:dyDescent="0.2">
      <c r="A83" s="89">
        <f>IF('Verwerking Bouwdelen'!A10=3,1,0)</f>
        <v>0</v>
      </c>
      <c r="B83" s="226">
        <f>$A83*'Verwerking Bouwdelen'!CJ10</f>
        <v>0</v>
      </c>
      <c r="C83" s="227">
        <f>$A83*'Verwerking Bouwdelen'!CK10</f>
        <v>0</v>
      </c>
      <c r="D83" s="227">
        <f>$A83*'Verwerking Bouwdelen'!CL10</f>
        <v>0</v>
      </c>
      <c r="E83" s="227">
        <f>$A83*'Verwerking Bouwdelen'!CM10</f>
        <v>0</v>
      </c>
      <c r="F83" s="227">
        <f>$A83*'Verwerking Bouwdelen'!CN10</f>
        <v>0</v>
      </c>
      <c r="G83" s="227">
        <f>$A83*'Verwerking Bouwdelen'!CO10</f>
        <v>0</v>
      </c>
      <c r="H83" s="227">
        <f>$A83*'Verwerking Bouwdelen'!CP10</f>
        <v>0</v>
      </c>
      <c r="I83" s="227">
        <f>$A83*'Verwerking Bouwdelen'!CQ10</f>
        <v>0</v>
      </c>
      <c r="J83" s="227">
        <f>$A83*'Verwerking Bouwdelen'!CR10</f>
        <v>0</v>
      </c>
      <c r="K83" s="227">
        <f>$A83*'Verwerking Bouwdelen'!CS10</f>
        <v>0</v>
      </c>
      <c r="L83" s="227">
        <f>$A83*'Verwerking Bouwdelen'!CT10</f>
        <v>0</v>
      </c>
      <c r="M83" s="228">
        <f>$A83*'Verwerking Bouwdelen'!CU10</f>
        <v>0</v>
      </c>
      <c r="DN83" s="89">
        <f>IF('Verwerking Bouwdelen'!A10=3,1,0)</f>
        <v>0</v>
      </c>
      <c r="DO83" s="223">
        <f>$DN83*'Verwerking Bouwdelen'!FT10</f>
        <v>0</v>
      </c>
      <c r="DP83" s="223">
        <f>$DN83*'Verwerking Bouwdelen'!FU10</f>
        <v>0</v>
      </c>
      <c r="DQ83" s="223">
        <f>$DN83*'Verwerking Bouwdelen'!FV10</f>
        <v>0</v>
      </c>
      <c r="DR83" s="223">
        <f>$DN83*'Verwerking Bouwdelen'!FW10</f>
        <v>0</v>
      </c>
      <c r="DS83" s="223">
        <f>$DN83*'Verwerking Bouwdelen'!FX10</f>
        <v>0</v>
      </c>
      <c r="DT83" s="223">
        <f>$DN83*'Verwerking Bouwdelen'!FY10</f>
        <v>0</v>
      </c>
      <c r="DU83" s="223">
        <f>$DN83*'Verwerking Bouwdelen'!FZ10</f>
        <v>0</v>
      </c>
      <c r="DV83" s="223">
        <f>$DN83*'Verwerking Bouwdelen'!GA10</f>
        <v>0</v>
      </c>
      <c r="DW83" s="223">
        <f>$DN83*'Verwerking Bouwdelen'!GB10</f>
        <v>0</v>
      </c>
      <c r="DX83" s="223">
        <f>$DN83*'Verwerking Bouwdelen'!GC10</f>
        <v>0</v>
      </c>
      <c r="DY83" s="223">
        <f>$DN83*'Verwerking Bouwdelen'!GD10</f>
        <v>0</v>
      </c>
      <c r="DZ83" s="223">
        <f>$DN83*'Verwerking Bouwdelen'!GE10</f>
        <v>0</v>
      </c>
      <c r="EA83" s="89">
        <f>'Verwerking Bouwdelen'!GO10*DN83</f>
        <v>0</v>
      </c>
      <c r="EB83" s="125">
        <f>'Verwerking Bouwdelen'!GP10*DN83</f>
        <v>0</v>
      </c>
      <c r="EC83" s="89">
        <f t="shared" si="41"/>
        <v>0</v>
      </c>
      <c r="GN83" s="220">
        <f t="shared" si="29"/>
        <v>0</v>
      </c>
      <c r="GO83" s="220">
        <f t="shared" si="30"/>
        <v>0</v>
      </c>
      <c r="GP83" s="220">
        <f t="shared" si="31"/>
        <v>0</v>
      </c>
      <c r="GQ83" s="220">
        <f t="shared" si="32"/>
        <v>0</v>
      </c>
      <c r="GR83" s="220">
        <f t="shared" si="33"/>
        <v>0</v>
      </c>
      <c r="GS83" s="220">
        <f t="shared" si="34"/>
        <v>0</v>
      </c>
      <c r="GT83" s="220">
        <f t="shared" si="35"/>
        <v>0</v>
      </c>
      <c r="GU83" s="220">
        <f t="shared" si="36"/>
        <v>0</v>
      </c>
      <c r="GV83" s="220">
        <f t="shared" si="37"/>
        <v>0</v>
      </c>
      <c r="GW83" s="220">
        <f t="shared" si="38"/>
        <v>0</v>
      </c>
      <c r="GX83" s="220">
        <f t="shared" si="39"/>
        <v>0</v>
      </c>
      <c r="GY83" s="220">
        <f t="shared" si="40"/>
        <v>0</v>
      </c>
    </row>
    <row r="84" spans="1:207" x14ac:dyDescent="0.2">
      <c r="A84" s="89">
        <f>IF('Verwerking Bouwdelen'!A11=3,1,0)</f>
        <v>0</v>
      </c>
      <c r="B84" s="226">
        <f>$A84*'Verwerking Bouwdelen'!CJ11</f>
        <v>0</v>
      </c>
      <c r="C84" s="227">
        <f>$A84*'Verwerking Bouwdelen'!CK11</f>
        <v>0</v>
      </c>
      <c r="D84" s="227">
        <f>$A84*'Verwerking Bouwdelen'!CL11</f>
        <v>0</v>
      </c>
      <c r="E84" s="227">
        <f>$A84*'Verwerking Bouwdelen'!CM11</f>
        <v>0</v>
      </c>
      <c r="F84" s="227">
        <f>$A84*'Verwerking Bouwdelen'!CN11</f>
        <v>0</v>
      </c>
      <c r="G84" s="227">
        <f>$A84*'Verwerking Bouwdelen'!CO11</f>
        <v>0</v>
      </c>
      <c r="H84" s="227">
        <f>$A84*'Verwerking Bouwdelen'!CP11</f>
        <v>0</v>
      </c>
      <c r="I84" s="227">
        <f>$A84*'Verwerking Bouwdelen'!CQ11</f>
        <v>0</v>
      </c>
      <c r="J84" s="227">
        <f>$A84*'Verwerking Bouwdelen'!CR11</f>
        <v>0</v>
      </c>
      <c r="K84" s="227">
        <f>$A84*'Verwerking Bouwdelen'!CS11</f>
        <v>0</v>
      </c>
      <c r="L84" s="227">
        <f>$A84*'Verwerking Bouwdelen'!CT11</f>
        <v>0</v>
      </c>
      <c r="M84" s="228">
        <f>$A84*'Verwerking Bouwdelen'!CU11</f>
        <v>0</v>
      </c>
      <c r="DN84" s="89">
        <f>IF('Verwerking Bouwdelen'!A11=3,1,0)</f>
        <v>0</v>
      </c>
      <c r="DO84" s="223">
        <f>$DN84*'Verwerking Bouwdelen'!FT11</f>
        <v>0</v>
      </c>
      <c r="DP84" s="223">
        <f>$DN84*'Verwerking Bouwdelen'!FU11</f>
        <v>0</v>
      </c>
      <c r="DQ84" s="223">
        <f>$DN84*'Verwerking Bouwdelen'!FV11</f>
        <v>0</v>
      </c>
      <c r="DR84" s="223">
        <f>$DN84*'Verwerking Bouwdelen'!FW11</f>
        <v>0</v>
      </c>
      <c r="DS84" s="223">
        <f>$DN84*'Verwerking Bouwdelen'!FX11</f>
        <v>0</v>
      </c>
      <c r="DT84" s="223">
        <f>$DN84*'Verwerking Bouwdelen'!FY11</f>
        <v>0</v>
      </c>
      <c r="DU84" s="223">
        <f>$DN84*'Verwerking Bouwdelen'!FZ11</f>
        <v>0</v>
      </c>
      <c r="DV84" s="223">
        <f>$DN84*'Verwerking Bouwdelen'!GA11</f>
        <v>0</v>
      </c>
      <c r="DW84" s="223">
        <f>$DN84*'Verwerking Bouwdelen'!GB11</f>
        <v>0</v>
      </c>
      <c r="DX84" s="223">
        <f>$DN84*'Verwerking Bouwdelen'!GC11</f>
        <v>0</v>
      </c>
      <c r="DY84" s="223">
        <f>$DN84*'Verwerking Bouwdelen'!GD11</f>
        <v>0</v>
      </c>
      <c r="DZ84" s="223">
        <f>$DN84*'Verwerking Bouwdelen'!GE11</f>
        <v>0</v>
      </c>
      <c r="EA84" s="89">
        <f>'Verwerking Bouwdelen'!GO11*DN84</f>
        <v>0</v>
      </c>
      <c r="EB84" s="125">
        <f>'Verwerking Bouwdelen'!GP11*DN84</f>
        <v>0</v>
      </c>
      <c r="EC84" s="89">
        <f t="shared" si="41"/>
        <v>0</v>
      </c>
      <c r="GN84" s="220">
        <f t="shared" si="29"/>
        <v>0</v>
      </c>
      <c r="GO84" s="220">
        <f t="shared" si="30"/>
        <v>0</v>
      </c>
      <c r="GP84" s="220">
        <f t="shared" si="31"/>
        <v>0</v>
      </c>
      <c r="GQ84" s="220">
        <f t="shared" si="32"/>
        <v>0</v>
      </c>
      <c r="GR84" s="220">
        <f t="shared" si="33"/>
        <v>0</v>
      </c>
      <c r="GS84" s="220">
        <f t="shared" si="34"/>
        <v>0</v>
      </c>
      <c r="GT84" s="220">
        <f t="shared" si="35"/>
        <v>0</v>
      </c>
      <c r="GU84" s="220">
        <f t="shared" si="36"/>
        <v>0</v>
      </c>
      <c r="GV84" s="220">
        <f t="shared" si="37"/>
        <v>0</v>
      </c>
      <c r="GW84" s="220">
        <f t="shared" si="38"/>
        <v>0</v>
      </c>
      <c r="GX84" s="220">
        <f t="shared" si="39"/>
        <v>0</v>
      </c>
      <c r="GY84" s="220">
        <f t="shared" si="40"/>
        <v>0</v>
      </c>
    </row>
    <row r="85" spans="1:207" x14ac:dyDescent="0.2">
      <c r="A85" s="89">
        <f>IF('Verwerking Bouwdelen'!A12=3,1,0)</f>
        <v>0</v>
      </c>
      <c r="B85" s="226">
        <f>$A85*'Verwerking Bouwdelen'!CJ12</f>
        <v>0</v>
      </c>
      <c r="C85" s="227">
        <f>$A85*'Verwerking Bouwdelen'!CK12</f>
        <v>0</v>
      </c>
      <c r="D85" s="227">
        <f>$A85*'Verwerking Bouwdelen'!CL12</f>
        <v>0</v>
      </c>
      <c r="E85" s="227">
        <f>$A85*'Verwerking Bouwdelen'!CM12</f>
        <v>0</v>
      </c>
      <c r="F85" s="227">
        <f>$A85*'Verwerking Bouwdelen'!CN12</f>
        <v>0</v>
      </c>
      <c r="G85" s="227">
        <f>$A85*'Verwerking Bouwdelen'!CO12</f>
        <v>0</v>
      </c>
      <c r="H85" s="227">
        <f>$A85*'Verwerking Bouwdelen'!CP12</f>
        <v>0</v>
      </c>
      <c r="I85" s="227">
        <f>$A85*'Verwerking Bouwdelen'!CQ12</f>
        <v>0</v>
      </c>
      <c r="J85" s="227">
        <f>$A85*'Verwerking Bouwdelen'!CR12</f>
        <v>0</v>
      </c>
      <c r="K85" s="227">
        <f>$A85*'Verwerking Bouwdelen'!CS12</f>
        <v>0</v>
      </c>
      <c r="L85" s="227">
        <f>$A85*'Verwerking Bouwdelen'!CT12</f>
        <v>0</v>
      </c>
      <c r="M85" s="228">
        <f>$A85*'Verwerking Bouwdelen'!CU12</f>
        <v>0</v>
      </c>
      <c r="DN85" s="89">
        <f>IF('Verwerking Bouwdelen'!A12=3,1,0)</f>
        <v>0</v>
      </c>
      <c r="DO85" s="223">
        <f>$DN85*'Verwerking Bouwdelen'!FT12</f>
        <v>0</v>
      </c>
      <c r="DP85" s="223">
        <f>$DN85*'Verwerking Bouwdelen'!FU12</f>
        <v>0</v>
      </c>
      <c r="DQ85" s="223">
        <f>$DN85*'Verwerking Bouwdelen'!FV12</f>
        <v>0</v>
      </c>
      <c r="DR85" s="223">
        <f>$DN85*'Verwerking Bouwdelen'!FW12</f>
        <v>0</v>
      </c>
      <c r="DS85" s="223">
        <f>$DN85*'Verwerking Bouwdelen'!FX12</f>
        <v>0</v>
      </c>
      <c r="DT85" s="223">
        <f>$DN85*'Verwerking Bouwdelen'!FY12</f>
        <v>0</v>
      </c>
      <c r="DU85" s="223">
        <f>$DN85*'Verwerking Bouwdelen'!FZ12</f>
        <v>0</v>
      </c>
      <c r="DV85" s="223">
        <f>$DN85*'Verwerking Bouwdelen'!GA12</f>
        <v>0</v>
      </c>
      <c r="DW85" s="223">
        <f>$DN85*'Verwerking Bouwdelen'!GB12</f>
        <v>0</v>
      </c>
      <c r="DX85" s="223">
        <f>$DN85*'Verwerking Bouwdelen'!GC12</f>
        <v>0</v>
      </c>
      <c r="DY85" s="223">
        <f>$DN85*'Verwerking Bouwdelen'!GD12</f>
        <v>0</v>
      </c>
      <c r="DZ85" s="223">
        <f>$DN85*'Verwerking Bouwdelen'!GE12</f>
        <v>0</v>
      </c>
      <c r="EA85" s="89">
        <f>'Verwerking Bouwdelen'!GO12*DN85</f>
        <v>0</v>
      </c>
      <c r="EB85" s="125">
        <f>'Verwerking Bouwdelen'!GP12*DN85</f>
        <v>0</v>
      </c>
      <c r="EC85" s="89">
        <f t="shared" si="41"/>
        <v>0</v>
      </c>
      <c r="GN85" s="220">
        <f t="shared" si="29"/>
        <v>0</v>
      </c>
      <c r="GO85" s="220">
        <f t="shared" si="30"/>
        <v>0</v>
      </c>
      <c r="GP85" s="220">
        <f t="shared" si="31"/>
        <v>0</v>
      </c>
      <c r="GQ85" s="220">
        <f t="shared" si="32"/>
        <v>0</v>
      </c>
      <c r="GR85" s="220">
        <f t="shared" si="33"/>
        <v>0</v>
      </c>
      <c r="GS85" s="220">
        <f t="shared" si="34"/>
        <v>0</v>
      </c>
      <c r="GT85" s="220">
        <f t="shared" si="35"/>
        <v>0</v>
      </c>
      <c r="GU85" s="220">
        <f t="shared" si="36"/>
        <v>0</v>
      </c>
      <c r="GV85" s="220">
        <f t="shared" si="37"/>
        <v>0</v>
      </c>
      <c r="GW85" s="220">
        <f t="shared" si="38"/>
        <v>0</v>
      </c>
      <c r="GX85" s="220">
        <f t="shared" si="39"/>
        <v>0</v>
      </c>
      <c r="GY85" s="220">
        <f t="shared" si="40"/>
        <v>0</v>
      </c>
    </row>
    <row r="86" spans="1:207" x14ac:dyDescent="0.2">
      <c r="A86" s="89">
        <f>IF('Verwerking Bouwdelen'!A13=3,1,0)</f>
        <v>0</v>
      </c>
      <c r="B86" s="226">
        <f>$A86*'Verwerking Bouwdelen'!CJ13</f>
        <v>0</v>
      </c>
      <c r="C86" s="227">
        <f>$A86*'Verwerking Bouwdelen'!CK13</f>
        <v>0</v>
      </c>
      <c r="D86" s="227">
        <f>$A86*'Verwerking Bouwdelen'!CL13</f>
        <v>0</v>
      </c>
      <c r="E86" s="227">
        <f>$A86*'Verwerking Bouwdelen'!CM13</f>
        <v>0</v>
      </c>
      <c r="F86" s="227">
        <f>$A86*'Verwerking Bouwdelen'!CN13</f>
        <v>0</v>
      </c>
      <c r="G86" s="227">
        <f>$A86*'Verwerking Bouwdelen'!CO13</f>
        <v>0</v>
      </c>
      <c r="H86" s="227">
        <f>$A86*'Verwerking Bouwdelen'!CP13</f>
        <v>0</v>
      </c>
      <c r="I86" s="227">
        <f>$A86*'Verwerking Bouwdelen'!CQ13</f>
        <v>0</v>
      </c>
      <c r="J86" s="227">
        <f>$A86*'Verwerking Bouwdelen'!CR13</f>
        <v>0</v>
      </c>
      <c r="K86" s="227">
        <f>$A86*'Verwerking Bouwdelen'!CS13</f>
        <v>0</v>
      </c>
      <c r="L86" s="227">
        <f>$A86*'Verwerking Bouwdelen'!CT13</f>
        <v>0</v>
      </c>
      <c r="M86" s="228">
        <f>$A86*'Verwerking Bouwdelen'!CU13</f>
        <v>0</v>
      </c>
      <c r="DN86" s="89">
        <f>IF('Verwerking Bouwdelen'!A13=3,1,0)</f>
        <v>0</v>
      </c>
      <c r="DO86" s="223">
        <f>$DN86*'Verwerking Bouwdelen'!FT13</f>
        <v>0</v>
      </c>
      <c r="DP86" s="223">
        <f>$DN86*'Verwerking Bouwdelen'!FU13</f>
        <v>0</v>
      </c>
      <c r="DQ86" s="223">
        <f>$DN86*'Verwerking Bouwdelen'!FV13</f>
        <v>0</v>
      </c>
      <c r="DR86" s="223">
        <f>$DN86*'Verwerking Bouwdelen'!FW13</f>
        <v>0</v>
      </c>
      <c r="DS86" s="223">
        <f>$DN86*'Verwerking Bouwdelen'!FX13</f>
        <v>0</v>
      </c>
      <c r="DT86" s="223">
        <f>$DN86*'Verwerking Bouwdelen'!FY13</f>
        <v>0</v>
      </c>
      <c r="DU86" s="223">
        <f>$DN86*'Verwerking Bouwdelen'!FZ13</f>
        <v>0</v>
      </c>
      <c r="DV86" s="223">
        <f>$DN86*'Verwerking Bouwdelen'!GA13</f>
        <v>0</v>
      </c>
      <c r="DW86" s="223">
        <f>$DN86*'Verwerking Bouwdelen'!GB13</f>
        <v>0</v>
      </c>
      <c r="DX86" s="223">
        <f>$DN86*'Verwerking Bouwdelen'!GC13</f>
        <v>0</v>
      </c>
      <c r="DY86" s="223">
        <f>$DN86*'Verwerking Bouwdelen'!GD13</f>
        <v>0</v>
      </c>
      <c r="DZ86" s="223">
        <f>$DN86*'Verwerking Bouwdelen'!GE13</f>
        <v>0</v>
      </c>
      <c r="EA86" s="89">
        <f>'Verwerking Bouwdelen'!GO13*DN86</f>
        <v>0</v>
      </c>
      <c r="EB86" s="125">
        <f>'Verwerking Bouwdelen'!GP13*DN86</f>
        <v>0</v>
      </c>
      <c r="EC86" s="89">
        <f t="shared" si="41"/>
        <v>0</v>
      </c>
      <c r="GN86" s="220">
        <f t="shared" si="29"/>
        <v>0</v>
      </c>
      <c r="GO86" s="220">
        <f t="shared" si="30"/>
        <v>0</v>
      </c>
      <c r="GP86" s="220">
        <f t="shared" si="31"/>
        <v>0</v>
      </c>
      <c r="GQ86" s="220">
        <f t="shared" si="32"/>
        <v>0</v>
      </c>
      <c r="GR86" s="220">
        <f t="shared" si="33"/>
        <v>0</v>
      </c>
      <c r="GS86" s="220">
        <f t="shared" si="34"/>
        <v>0</v>
      </c>
      <c r="GT86" s="220">
        <f t="shared" si="35"/>
        <v>0</v>
      </c>
      <c r="GU86" s="220">
        <f t="shared" si="36"/>
        <v>0</v>
      </c>
      <c r="GV86" s="220">
        <f t="shared" si="37"/>
        <v>0</v>
      </c>
      <c r="GW86" s="220">
        <f t="shared" si="38"/>
        <v>0</v>
      </c>
      <c r="GX86" s="220">
        <f t="shared" si="39"/>
        <v>0</v>
      </c>
      <c r="GY86" s="220">
        <f t="shared" si="40"/>
        <v>0</v>
      </c>
    </row>
    <row r="87" spans="1:207" x14ac:dyDescent="0.2">
      <c r="A87" s="89">
        <f>IF('Verwerking Bouwdelen'!A14=3,1,0)</f>
        <v>0</v>
      </c>
      <c r="B87" s="226">
        <f>$A87*'Verwerking Bouwdelen'!CJ14</f>
        <v>0</v>
      </c>
      <c r="C87" s="227">
        <f>$A87*'Verwerking Bouwdelen'!CK14</f>
        <v>0</v>
      </c>
      <c r="D87" s="227">
        <f>$A87*'Verwerking Bouwdelen'!CL14</f>
        <v>0</v>
      </c>
      <c r="E87" s="227">
        <f>$A87*'Verwerking Bouwdelen'!CM14</f>
        <v>0</v>
      </c>
      <c r="F87" s="227">
        <f>$A87*'Verwerking Bouwdelen'!CN14</f>
        <v>0</v>
      </c>
      <c r="G87" s="227">
        <f>$A87*'Verwerking Bouwdelen'!CO14</f>
        <v>0</v>
      </c>
      <c r="H87" s="227">
        <f>$A87*'Verwerking Bouwdelen'!CP14</f>
        <v>0</v>
      </c>
      <c r="I87" s="227">
        <f>$A87*'Verwerking Bouwdelen'!CQ14</f>
        <v>0</v>
      </c>
      <c r="J87" s="227">
        <f>$A87*'Verwerking Bouwdelen'!CR14</f>
        <v>0</v>
      </c>
      <c r="K87" s="227">
        <f>$A87*'Verwerking Bouwdelen'!CS14</f>
        <v>0</v>
      </c>
      <c r="L87" s="227">
        <f>$A87*'Verwerking Bouwdelen'!CT14</f>
        <v>0</v>
      </c>
      <c r="M87" s="228">
        <f>$A87*'Verwerking Bouwdelen'!CU14</f>
        <v>0</v>
      </c>
      <c r="DN87" s="89">
        <f>IF('Verwerking Bouwdelen'!A14=3,1,0)</f>
        <v>0</v>
      </c>
      <c r="DO87" s="223">
        <f>$DN87*'Verwerking Bouwdelen'!FT14</f>
        <v>0</v>
      </c>
      <c r="DP87" s="223">
        <f>$DN87*'Verwerking Bouwdelen'!FU14</f>
        <v>0</v>
      </c>
      <c r="DQ87" s="223">
        <f>$DN87*'Verwerking Bouwdelen'!FV14</f>
        <v>0</v>
      </c>
      <c r="DR87" s="223">
        <f>$DN87*'Verwerking Bouwdelen'!FW14</f>
        <v>0</v>
      </c>
      <c r="DS87" s="223">
        <f>$DN87*'Verwerking Bouwdelen'!FX14</f>
        <v>0</v>
      </c>
      <c r="DT87" s="223">
        <f>$DN87*'Verwerking Bouwdelen'!FY14</f>
        <v>0</v>
      </c>
      <c r="DU87" s="223">
        <f>$DN87*'Verwerking Bouwdelen'!FZ14</f>
        <v>0</v>
      </c>
      <c r="DV87" s="223">
        <f>$DN87*'Verwerking Bouwdelen'!GA14</f>
        <v>0</v>
      </c>
      <c r="DW87" s="223">
        <f>$DN87*'Verwerking Bouwdelen'!GB14</f>
        <v>0</v>
      </c>
      <c r="DX87" s="223">
        <f>$DN87*'Verwerking Bouwdelen'!GC14</f>
        <v>0</v>
      </c>
      <c r="DY87" s="223">
        <f>$DN87*'Verwerking Bouwdelen'!GD14</f>
        <v>0</v>
      </c>
      <c r="DZ87" s="223">
        <f>$DN87*'Verwerking Bouwdelen'!GE14</f>
        <v>0</v>
      </c>
      <c r="EA87" s="89">
        <f>'Verwerking Bouwdelen'!GO14*DN87</f>
        <v>0</v>
      </c>
      <c r="EB87" s="125">
        <f>'Verwerking Bouwdelen'!GP14*DN87</f>
        <v>0</v>
      </c>
      <c r="EC87" s="89">
        <f t="shared" si="41"/>
        <v>0</v>
      </c>
      <c r="GN87" s="220">
        <f t="shared" si="29"/>
        <v>0</v>
      </c>
      <c r="GO87" s="220">
        <f t="shared" si="30"/>
        <v>0</v>
      </c>
      <c r="GP87" s="220">
        <f t="shared" si="31"/>
        <v>0</v>
      </c>
      <c r="GQ87" s="220">
        <f t="shared" si="32"/>
        <v>0</v>
      </c>
      <c r="GR87" s="220">
        <f t="shared" si="33"/>
        <v>0</v>
      </c>
      <c r="GS87" s="220">
        <f t="shared" si="34"/>
        <v>0</v>
      </c>
      <c r="GT87" s="220">
        <f t="shared" si="35"/>
        <v>0</v>
      </c>
      <c r="GU87" s="220">
        <f t="shared" si="36"/>
        <v>0</v>
      </c>
      <c r="GV87" s="220">
        <f t="shared" si="37"/>
        <v>0</v>
      </c>
      <c r="GW87" s="220">
        <f t="shared" si="38"/>
        <v>0</v>
      </c>
      <c r="GX87" s="220">
        <f t="shared" si="39"/>
        <v>0</v>
      </c>
      <c r="GY87" s="220">
        <f t="shared" si="40"/>
        <v>0</v>
      </c>
    </row>
    <row r="88" spans="1:207" x14ac:dyDescent="0.2">
      <c r="A88" s="89">
        <f>IF('Verwerking Bouwdelen'!A15=3,1,0)</f>
        <v>0</v>
      </c>
      <c r="B88" s="226">
        <f>$A88*'Verwerking Bouwdelen'!CJ15</f>
        <v>0</v>
      </c>
      <c r="C88" s="227">
        <f>$A88*'Verwerking Bouwdelen'!CK15</f>
        <v>0</v>
      </c>
      <c r="D88" s="227">
        <f>$A88*'Verwerking Bouwdelen'!CL15</f>
        <v>0</v>
      </c>
      <c r="E88" s="227">
        <f>$A88*'Verwerking Bouwdelen'!CM15</f>
        <v>0</v>
      </c>
      <c r="F88" s="227">
        <f>$A88*'Verwerking Bouwdelen'!CN15</f>
        <v>0</v>
      </c>
      <c r="G88" s="227">
        <f>$A88*'Verwerking Bouwdelen'!CO15</f>
        <v>0</v>
      </c>
      <c r="H88" s="227">
        <f>$A88*'Verwerking Bouwdelen'!CP15</f>
        <v>0</v>
      </c>
      <c r="I88" s="227">
        <f>$A88*'Verwerking Bouwdelen'!CQ15</f>
        <v>0</v>
      </c>
      <c r="J88" s="227">
        <f>$A88*'Verwerking Bouwdelen'!CR15</f>
        <v>0</v>
      </c>
      <c r="K88" s="227">
        <f>$A88*'Verwerking Bouwdelen'!CS15</f>
        <v>0</v>
      </c>
      <c r="L88" s="227">
        <f>$A88*'Verwerking Bouwdelen'!CT15</f>
        <v>0</v>
      </c>
      <c r="M88" s="228">
        <f>$A88*'Verwerking Bouwdelen'!CU15</f>
        <v>0</v>
      </c>
      <c r="DN88" s="89">
        <f>IF('Verwerking Bouwdelen'!A15=3,1,0)</f>
        <v>0</v>
      </c>
      <c r="DO88" s="223">
        <f>$DN88*'Verwerking Bouwdelen'!FT15</f>
        <v>0</v>
      </c>
      <c r="DP88" s="223">
        <f>$DN88*'Verwerking Bouwdelen'!FU15</f>
        <v>0</v>
      </c>
      <c r="DQ88" s="223">
        <f>$DN88*'Verwerking Bouwdelen'!FV15</f>
        <v>0</v>
      </c>
      <c r="DR88" s="223">
        <f>$DN88*'Verwerking Bouwdelen'!FW15</f>
        <v>0</v>
      </c>
      <c r="DS88" s="223">
        <f>$DN88*'Verwerking Bouwdelen'!FX15</f>
        <v>0</v>
      </c>
      <c r="DT88" s="223">
        <f>$DN88*'Verwerking Bouwdelen'!FY15</f>
        <v>0</v>
      </c>
      <c r="DU88" s="223">
        <f>$DN88*'Verwerking Bouwdelen'!FZ15</f>
        <v>0</v>
      </c>
      <c r="DV88" s="223">
        <f>$DN88*'Verwerking Bouwdelen'!GA15</f>
        <v>0</v>
      </c>
      <c r="DW88" s="223">
        <f>$DN88*'Verwerking Bouwdelen'!GB15</f>
        <v>0</v>
      </c>
      <c r="DX88" s="223">
        <f>$DN88*'Verwerking Bouwdelen'!GC15</f>
        <v>0</v>
      </c>
      <c r="DY88" s="223">
        <f>$DN88*'Verwerking Bouwdelen'!GD15</f>
        <v>0</v>
      </c>
      <c r="DZ88" s="223">
        <f>$DN88*'Verwerking Bouwdelen'!GE15</f>
        <v>0</v>
      </c>
      <c r="EA88" s="89">
        <f>'Verwerking Bouwdelen'!GO15*DN88</f>
        <v>0</v>
      </c>
      <c r="EB88" s="125">
        <f>'Verwerking Bouwdelen'!GP15*DN88</f>
        <v>0</v>
      </c>
      <c r="EC88" s="89">
        <f t="shared" si="41"/>
        <v>0</v>
      </c>
      <c r="GN88" s="220">
        <f t="shared" si="29"/>
        <v>0</v>
      </c>
      <c r="GO88" s="220">
        <f t="shared" si="30"/>
        <v>0</v>
      </c>
      <c r="GP88" s="220">
        <f t="shared" si="31"/>
        <v>0</v>
      </c>
      <c r="GQ88" s="220">
        <f t="shared" si="32"/>
        <v>0</v>
      </c>
      <c r="GR88" s="220">
        <f t="shared" si="33"/>
        <v>0</v>
      </c>
      <c r="GS88" s="220">
        <f t="shared" si="34"/>
        <v>0</v>
      </c>
      <c r="GT88" s="220">
        <f t="shared" si="35"/>
        <v>0</v>
      </c>
      <c r="GU88" s="220">
        <f t="shared" si="36"/>
        <v>0</v>
      </c>
      <c r="GV88" s="220">
        <f t="shared" si="37"/>
        <v>0</v>
      </c>
      <c r="GW88" s="220">
        <f t="shared" si="38"/>
        <v>0</v>
      </c>
      <c r="GX88" s="220">
        <f t="shared" si="39"/>
        <v>0</v>
      </c>
      <c r="GY88" s="220">
        <f t="shared" si="40"/>
        <v>0</v>
      </c>
    </row>
    <row r="89" spans="1:207" x14ac:dyDescent="0.2">
      <c r="A89" s="89">
        <f>IF('Verwerking Bouwdelen'!A16=3,1,0)</f>
        <v>0</v>
      </c>
      <c r="B89" s="226">
        <f>$A89*'Verwerking Bouwdelen'!CJ16</f>
        <v>0</v>
      </c>
      <c r="C89" s="227">
        <f>$A89*'Verwerking Bouwdelen'!CK16</f>
        <v>0</v>
      </c>
      <c r="D89" s="227">
        <f>$A89*'Verwerking Bouwdelen'!CL16</f>
        <v>0</v>
      </c>
      <c r="E89" s="227">
        <f>$A89*'Verwerking Bouwdelen'!CM16</f>
        <v>0</v>
      </c>
      <c r="F89" s="227">
        <f>$A89*'Verwerking Bouwdelen'!CN16</f>
        <v>0</v>
      </c>
      <c r="G89" s="227">
        <f>$A89*'Verwerking Bouwdelen'!CO16</f>
        <v>0</v>
      </c>
      <c r="H89" s="227">
        <f>$A89*'Verwerking Bouwdelen'!CP16</f>
        <v>0</v>
      </c>
      <c r="I89" s="227">
        <f>$A89*'Verwerking Bouwdelen'!CQ16</f>
        <v>0</v>
      </c>
      <c r="J89" s="227">
        <f>$A89*'Verwerking Bouwdelen'!CR16</f>
        <v>0</v>
      </c>
      <c r="K89" s="227">
        <f>$A89*'Verwerking Bouwdelen'!CS16</f>
        <v>0</v>
      </c>
      <c r="L89" s="227">
        <f>$A89*'Verwerking Bouwdelen'!CT16</f>
        <v>0</v>
      </c>
      <c r="M89" s="228">
        <f>$A89*'Verwerking Bouwdelen'!CU16</f>
        <v>0</v>
      </c>
      <c r="DN89" s="89">
        <f>IF('Verwerking Bouwdelen'!A16=3,1,0)</f>
        <v>0</v>
      </c>
      <c r="DO89" s="223">
        <f>$DN89*'Verwerking Bouwdelen'!FT16</f>
        <v>0</v>
      </c>
      <c r="DP89" s="223">
        <f>$DN89*'Verwerking Bouwdelen'!FU16</f>
        <v>0</v>
      </c>
      <c r="DQ89" s="223">
        <f>$DN89*'Verwerking Bouwdelen'!FV16</f>
        <v>0</v>
      </c>
      <c r="DR89" s="223">
        <f>$DN89*'Verwerking Bouwdelen'!FW16</f>
        <v>0</v>
      </c>
      <c r="DS89" s="223">
        <f>$DN89*'Verwerking Bouwdelen'!FX16</f>
        <v>0</v>
      </c>
      <c r="DT89" s="223">
        <f>$DN89*'Verwerking Bouwdelen'!FY16</f>
        <v>0</v>
      </c>
      <c r="DU89" s="223">
        <f>$DN89*'Verwerking Bouwdelen'!FZ16</f>
        <v>0</v>
      </c>
      <c r="DV89" s="223">
        <f>$DN89*'Verwerking Bouwdelen'!GA16</f>
        <v>0</v>
      </c>
      <c r="DW89" s="223">
        <f>$DN89*'Verwerking Bouwdelen'!GB16</f>
        <v>0</v>
      </c>
      <c r="DX89" s="223">
        <f>$DN89*'Verwerking Bouwdelen'!GC16</f>
        <v>0</v>
      </c>
      <c r="DY89" s="223">
        <f>$DN89*'Verwerking Bouwdelen'!GD16</f>
        <v>0</v>
      </c>
      <c r="DZ89" s="223">
        <f>$DN89*'Verwerking Bouwdelen'!GE16</f>
        <v>0</v>
      </c>
      <c r="EA89" s="89">
        <f>'Verwerking Bouwdelen'!GO16*DN89</f>
        <v>0</v>
      </c>
      <c r="EB89" s="125">
        <f>'Verwerking Bouwdelen'!GP16*DN89</f>
        <v>0</v>
      </c>
      <c r="EC89" s="89">
        <f t="shared" si="41"/>
        <v>0</v>
      </c>
      <c r="GN89" s="220">
        <f t="shared" si="29"/>
        <v>0</v>
      </c>
      <c r="GO89" s="220">
        <f t="shared" si="30"/>
        <v>0</v>
      </c>
      <c r="GP89" s="220">
        <f t="shared" si="31"/>
        <v>0</v>
      </c>
      <c r="GQ89" s="220">
        <f t="shared" si="32"/>
        <v>0</v>
      </c>
      <c r="GR89" s="220">
        <f t="shared" si="33"/>
        <v>0</v>
      </c>
      <c r="GS89" s="220">
        <f t="shared" si="34"/>
        <v>0</v>
      </c>
      <c r="GT89" s="220">
        <f t="shared" si="35"/>
        <v>0</v>
      </c>
      <c r="GU89" s="220">
        <f t="shared" si="36"/>
        <v>0</v>
      </c>
      <c r="GV89" s="220">
        <f t="shared" si="37"/>
        <v>0</v>
      </c>
      <c r="GW89" s="220">
        <f t="shared" si="38"/>
        <v>0</v>
      </c>
      <c r="GX89" s="220">
        <f t="shared" si="39"/>
        <v>0</v>
      </c>
      <c r="GY89" s="220">
        <f t="shared" si="40"/>
        <v>0</v>
      </c>
    </row>
    <row r="90" spans="1:207" x14ac:dyDescent="0.2">
      <c r="A90" s="89">
        <f>IF('Verwerking Bouwdelen'!A17=3,1,0)</f>
        <v>0</v>
      </c>
      <c r="B90" s="226">
        <f>$A90*'Verwerking Bouwdelen'!CJ17</f>
        <v>0</v>
      </c>
      <c r="C90" s="227">
        <f>$A90*'Verwerking Bouwdelen'!CK17</f>
        <v>0</v>
      </c>
      <c r="D90" s="227">
        <f>$A90*'Verwerking Bouwdelen'!CL17</f>
        <v>0</v>
      </c>
      <c r="E90" s="227">
        <f>$A90*'Verwerking Bouwdelen'!CM17</f>
        <v>0</v>
      </c>
      <c r="F90" s="227">
        <f>$A90*'Verwerking Bouwdelen'!CN17</f>
        <v>0</v>
      </c>
      <c r="G90" s="227">
        <f>$A90*'Verwerking Bouwdelen'!CO17</f>
        <v>0</v>
      </c>
      <c r="H90" s="227">
        <f>$A90*'Verwerking Bouwdelen'!CP17</f>
        <v>0</v>
      </c>
      <c r="I90" s="227">
        <f>$A90*'Verwerking Bouwdelen'!CQ17</f>
        <v>0</v>
      </c>
      <c r="J90" s="227">
        <f>$A90*'Verwerking Bouwdelen'!CR17</f>
        <v>0</v>
      </c>
      <c r="K90" s="227">
        <f>$A90*'Verwerking Bouwdelen'!CS17</f>
        <v>0</v>
      </c>
      <c r="L90" s="227">
        <f>$A90*'Verwerking Bouwdelen'!CT17</f>
        <v>0</v>
      </c>
      <c r="M90" s="228">
        <f>$A90*'Verwerking Bouwdelen'!CU17</f>
        <v>0</v>
      </c>
      <c r="DN90" s="89">
        <f>IF('Verwerking Bouwdelen'!A17=3,1,0)</f>
        <v>0</v>
      </c>
      <c r="DO90" s="223">
        <f>$DN90*'Verwerking Bouwdelen'!FT17</f>
        <v>0</v>
      </c>
      <c r="DP90" s="223">
        <f>$DN90*'Verwerking Bouwdelen'!FU17</f>
        <v>0</v>
      </c>
      <c r="DQ90" s="223">
        <f>$DN90*'Verwerking Bouwdelen'!FV17</f>
        <v>0</v>
      </c>
      <c r="DR90" s="223">
        <f>$DN90*'Verwerking Bouwdelen'!FW17</f>
        <v>0</v>
      </c>
      <c r="DS90" s="223">
        <f>$DN90*'Verwerking Bouwdelen'!FX17</f>
        <v>0</v>
      </c>
      <c r="DT90" s="223">
        <f>$DN90*'Verwerking Bouwdelen'!FY17</f>
        <v>0</v>
      </c>
      <c r="DU90" s="223">
        <f>$DN90*'Verwerking Bouwdelen'!FZ17</f>
        <v>0</v>
      </c>
      <c r="DV90" s="223">
        <f>$DN90*'Verwerking Bouwdelen'!GA17</f>
        <v>0</v>
      </c>
      <c r="DW90" s="223">
        <f>$DN90*'Verwerking Bouwdelen'!GB17</f>
        <v>0</v>
      </c>
      <c r="DX90" s="223">
        <f>$DN90*'Verwerking Bouwdelen'!GC17</f>
        <v>0</v>
      </c>
      <c r="DY90" s="223">
        <f>$DN90*'Verwerking Bouwdelen'!GD17</f>
        <v>0</v>
      </c>
      <c r="DZ90" s="223">
        <f>$DN90*'Verwerking Bouwdelen'!GE17</f>
        <v>0</v>
      </c>
      <c r="EA90" s="89">
        <f>'Verwerking Bouwdelen'!GO17*DN90</f>
        <v>0</v>
      </c>
      <c r="EB90" s="125">
        <f>'Verwerking Bouwdelen'!GP17*DN90</f>
        <v>0</v>
      </c>
      <c r="EC90" s="89">
        <f t="shared" si="41"/>
        <v>0</v>
      </c>
      <c r="GN90" s="220">
        <f t="shared" si="29"/>
        <v>0</v>
      </c>
      <c r="GO90" s="220">
        <f t="shared" si="30"/>
        <v>0</v>
      </c>
      <c r="GP90" s="220">
        <f t="shared" si="31"/>
        <v>0</v>
      </c>
      <c r="GQ90" s="220">
        <f t="shared" si="32"/>
        <v>0</v>
      </c>
      <c r="GR90" s="220">
        <f t="shared" si="33"/>
        <v>0</v>
      </c>
      <c r="GS90" s="220">
        <f t="shared" si="34"/>
        <v>0</v>
      </c>
      <c r="GT90" s="220">
        <f t="shared" si="35"/>
        <v>0</v>
      </c>
      <c r="GU90" s="220">
        <f t="shared" si="36"/>
        <v>0</v>
      </c>
      <c r="GV90" s="220">
        <f t="shared" si="37"/>
        <v>0</v>
      </c>
      <c r="GW90" s="220">
        <f t="shared" si="38"/>
        <v>0</v>
      </c>
      <c r="GX90" s="220">
        <f t="shared" si="39"/>
        <v>0</v>
      </c>
      <c r="GY90" s="220">
        <f t="shared" si="40"/>
        <v>0</v>
      </c>
    </row>
    <row r="91" spans="1:207" x14ac:dyDescent="0.2">
      <c r="A91" s="89">
        <f>IF('Verwerking Bouwdelen'!A18=3,1,0)</f>
        <v>0</v>
      </c>
      <c r="B91" s="226">
        <f>$A91*'Verwerking Bouwdelen'!CJ18</f>
        <v>0</v>
      </c>
      <c r="C91" s="227">
        <f>$A91*'Verwerking Bouwdelen'!CK18</f>
        <v>0</v>
      </c>
      <c r="D91" s="227">
        <f>$A91*'Verwerking Bouwdelen'!CL18</f>
        <v>0</v>
      </c>
      <c r="E91" s="227">
        <f>$A91*'Verwerking Bouwdelen'!CM18</f>
        <v>0</v>
      </c>
      <c r="F91" s="227">
        <f>$A91*'Verwerking Bouwdelen'!CN18</f>
        <v>0</v>
      </c>
      <c r="G91" s="227">
        <f>$A91*'Verwerking Bouwdelen'!CO18</f>
        <v>0</v>
      </c>
      <c r="H91" s="227">
        <f>$A91*'Verwerking Bouwdelen'!CP18</f>
        <v>0</v>
      </c>
      <c r="I91" s="227">
        <f>$A91*'Verwerking Bouwdelen'!CQ18</f>
        <v>0</v>
      </c>
      <c r="J91" s="227">
        <f>$A91*'Verwerking Bouwdelen'!CR18</f>
        <v>0</v>
      </c>
      <c r="K91" s="227">
        <f>$A91*'Verwerking Bouwdelen'!CS18</f>
        <v>0</v>
      </c>
      <c r="L91" s="227">
        <f>$A91*'Verwerking Bouwdelen'!CT18</f>
        <v>0</v>
      </c>
      <c r="M91" s="228">
        <f>$A91*'Verwerking Bouwdelen'!CU18</f>
        <v>0</v>
      </c>
      <c r="DN91" s="89">
        <f>IF('Verwerking Bouwdelen'!A18=3,1,0)</f>
        <v>0</v>
      </c>
      <c r="DO91" s="223">
        <f>$DN91*'Verwerking Bouwdelen'!FT18</f>
        <v>0</v>
      </c>
      <c r="DP91" s="223">
        <f>$DN91*'Verwerking Bouwdelen'!FU18</f>
        <v>0</v>
      </c>
      <c r="DQ91" s="223">
        <f>$DN91*'Verwerking Bouwdelen'!FV18</f>
        <v>0</v>
      </c>
      <c r="DR91" s="223">
        <f>$DN91*'Verwerking Bouwdelen'!FW18</f>
        <v>0</v>
      </c>
      <c r="DS91" s="223">
        <f>$DN91*'Verwerking Bouwdelen'!FX18</f>
        <v>0</v>
      </c>
      <c r="DT91" s="223">
        <f>$DN91*'Verwerking Bouwdelen'!FY18</f>
        <v>0</v>
      </c>
      <c r="DU91" s="223">
        <f>$DN91*'Verwerking Bouwdelen'!FZ18</f>
        <v>0</v>
      </c>
      <c r="DV91" s="223">
        <f>$DN91*'Verwerking Bouwdelen'!GA18</f>
        <v>0</v>
      </c>
      <c r="DW91" s="223">
        <f>$DN91*'Verwerking Bouwdelen'!GB18</f>
        <v>0</v>
      </c>
      <c r="DX91" s="223">
        <f>$DN91*'Verwerking Bouwdelen'!GC18</f>
        <v>0</v>
      </c>
      <c r="DY91" s="223">
        <f>$DN91*'Verwerking Bouwdelen'!GD18</f>
        <v>0</v>
      </c>
      <c r="DZ91" s="223">
        <f>$DN91*'Verwerking Bouwdelen'!GE18</f>
        <v>0</v>
      </c>
      <c r="EA91" s="89">
        <f>'Verwerking Bouwdelen'!GO18*DN91</f>
        <v>0</v>
      </c>
      <c r="EB91" s="125">
        <f>'Verwerking Bouwdelen'!GP18*DN91</f>
        <v>0</v>
      </c>
      <c r="EC91" s="89">
        <f t="shared" si="41"/>
        <v>0</v>
      </c>
      <c r="GN91" s="220">
        <f t="shared" si="29"/>
        <v>0</v>
      </c>
      <c r="GO91" s="220">
        <f t="shared" si="30"/>
        <v>0</v>
      </c>
      <c r="GP91" s="220">
        <f t="shared" si="31"/>
        <v>0</v>
      </c>
      <c r="GQ91" s="220">
        <f t="shared" si="32"/>
        <v>0</v>
      </c>
      <c r="GR91" s="220">
        <f t="shared" si="33"/>
        <v>0</v>
      </c>
      <c r="GS91" s="220">
        <f t="shared" si="34"/>
        <v>0</v>
      </c>
      <c r="GT91" s="220">
        <f t="shared" si="35"/>
        <v>0</v>
      </c>
      <c r="GU91" s="220">
        <f t="shared" si="36"/>
        <v>0</v>
      </c>
      <c r="GV91" s="220">
        <f t="shared" si="37"/>
        <v>0</v>
      </c>
      <c r="GW91" s="220">
        <f t="shared" si="38"/>
        <v>0</v>
      </c>
      <c r="GX91" s="220">
        <f t="shared" si="39"/>
        <v>0</v>
      </c>
      <c r="GY91" s="220">
        <f t="shared" si="40"/>
        <v>0</v>
      </c>
    </row>
    <row r="92" spans="1:207" x14ac:dyDescent="0.2">
      <c r="A92" s="89">
        <f>IF('Verwerking Bouwdelen'!A19=3,1,0)</f>
        <v>0</v>
      </c>
      <c r="B92" s="226">
        <f>$A92*'Verwerking Bouwdelen'!CJ19</f>
        <v>0</v>
      </c>
      <c r="C92" s="227">
        <f>$A92*'Verwerking Bouwdelen'!CK19</f>
        <v>0</v>
      </c>
      <c r="D92" s="227">
        <f>$A92*'Verwerking Bouwdelen'!CL19</f>
        <v>0</v>
      </c>
      <c r="E92" s="227">
        <f>$A92*'Verwerking Bouwdelen'!CM19</f>
        <v>0</v>
      </c>
      <c r="F92" s="227">
        <f>$A92*'Verwerking Bouwdelen'!CN19</f>
        <v>0</v>
      </c>
      <c r="G92" s="227">
        <f>$A92*'Verwerking Bouwdelen'!CO19</f>
        <v>0</v>
      </c>
      <c r="H92" s="227">
        <f>$A92*'Verwerking Bouwdelen'!CP19</f>
        <v>0</v>
      </c>
      <c r="I92" s="227">
        <f>$A92*'Verwerking Bouwdelen'!CQ19</f>
        <v>0</v>
      </c>
      <c r="J92" s="227">
        <f>$A92*'Verwerking Bouwdelen'!CR19</f>
        <v>0</v>
      </c>
      <c r="K92" s="227">
        <f>$A92*'Verwerking Bouwdelen'!CS19</f>
        <v>0</v>
      </c>
      <c r="L92" s="227">
        <f>$A92*'Verwerking Bouwdelen'!CT19</f>
        <v>0</v>
      </c>
      <c r="M92" s="228">
        <f>$A92*'Verwerking Bouwdelen'!CU19</f>
        <v>0</v>
      </c>
      <c r="DN92" s="89">
        <f>IF('Verwerking Bouwdelen'!A19=3,1,0)</f>
        <v>0</v>
      </c>
      <c r="DO92" s="223">
        <f>$DN92*'Verwerking Bouwdelen'!FT19</f>
        <v>0</v>
      </c>
      <c r="DP92" s="223">
        <f>$DN92*'Verwerking Bouwdelen'!FU19</f>
        <v>0</v>
      </c>
      <c r="DQ92" s="223">
        <f>$DN92*'Verwerking Bouwdelen'!FV19</f>
        <v>0</v>
      </c>
      <c r="DR92" s="223">
        <f>$DN92*'Verwerking Bouwdelen'!FW19</f>
        <v>0</v>
      </c>
      <c r="DS92" s="223">
        <f>$DN92*'Verwerking Bouwdelen'!FX19</f>
        <v>0</v>
      </c>
      <c r="DT92" s="223">
        <f>$DN92*'Verwerking Bouwdelen'!FY19</f>
        <v>0</v>
      </c>
      <c r="DU92" s="223">
        <f>$DN92*'Verwerking Bouwdelen'!FZ19</f>
        <v>0</v>
      </c>
      <c r="DV92" s="223">
        <f>$DN92*'Verwerking Bouwdelen'!GA19</f>
        <v>0</v>
      </c>
      <c r="DW92" s="223">
        <f>$DN92*'Verwerking Bouwdelen'!GB19</f>
        <v>0</v>
      </c>
      <c r="DX92" s="223">
        <f>$DN92*'Verwerking Bouwdelen'!GC19</f>
        <v>0</v>
      </c>
      <c r="DY92" s="223">
        <f>$DN92*'Verwerking Bouwdelen'!GD19</f>
        <v>0</v>
      </c>
      <c r="DZ92" s="223">
        <f>$DN92*'Verwerking Bouwdelen'!GE19</f>
        <v>0</v>
      </c>
      <c r="EA92" s="89">
        <f>'Verwerking Bouwdelen'!GO19*DN92</f>
        <v>0</v>
      </c>
      <c r="EB92" s="125">
        <f>'Verwerking Bouwdelen'!GP19*DN92</f>
        <v>0</v>
      </c>
      <c r="EC92" s="89">
        <f t="shared" si="41"/>
        <v>0</v>
      </c>
      <c r="GN92" s="220">
        <f t="shared" si="29"/>
        <v>0</v>
      </c>
      <c r="GO92" s="220">
        <f t="shared" si="30"/>
        <v>0</v>
      </c>
      <c r="GP92" s="220">
        <f t="shared" si="31"/>
        <v>0</v>
      </c>
      <c r="GQ92" s="220">
        <f t="shared" si="32"/>
        <v>0</v>
      </c>
      <c r="GR92" s="220">
        <f t="shared" si="33"/>
        <v>0</v>
      </c>
      <c r="GS92" s="220">
        <f t="shared" si="34"/>
        <v>0</v>
      </c>
      <c r="GT92" s="220">
        <f t="shared" si="35"/>
        <v>0</v>
      </c>
      <c r="GU92" s="220">
        <f t="shared" si="36"/>
        <v>0</v>
      </c>
      <c r="GV92" s="220">
        <f t="shared" si="37"/>
        <v>0</v>
      </c>
      <c r="GW92" s="220">
        <f t="shared" si="38"/>
        <v>0</v>
      </c>
      <c r="GX92" s="220">
        <f t="shared" si="39"/>
        <v>0</v>
      </c>
      <c r="GY92" s="220">
        <f t="shared" si="40"/>
        <v>0</v>
      </c>
    </row>
    <row r="93" spans="1:207" x14ac:dyDescent="0.2">
      <c r="A93" s="89">
        <f>IF('Verwerking Bouwdelen'!A20=3,1,0)</f>
        <v>0</v>
      </c>
      <c r="B93" s="226">
        <f>$A93*'Verwerking Bouwdelen'!CJ20</f>
        <v>0</v>
      </c>
      <c r="C93" s="227">
        <f>$A93*'Verwerking Bouwdelen'!CK20</f>
        <v>0</v>
      </c>
      <c r="D93" s="227">
        <f>$A93*'Verwerking Bouwdelen'!CL20</f>
        <v>0</v>
      </c>
      <c r="E93" s="227">
        <f>$A93*'Verwerking Bouwdelen'!CM20</f>
        <v>0</v>
      </c>
      <c r="F93" s="227">
        <f>$A93*'Verwerking Bouwdelen'!CN20</f>
        <v>0</v>
      </c>
      <c r="G93" s="227">
        <f>$A93*'Verwerking Bouwdelen'!CO20</f>
        <v>0</v>
      </c>
      <c r="H93" s="227">
        <f>$A93*'Verwerking Bouwdelen'!CP20</f>
        <v>0</v>
      </c>
      <c r="I93" s="227">
        <f>$A93*'Verwerking Bouwdelen'!CQ20</f>
        <v>0</v>
      </c>
      <c r="J93" s="227">
        <f>$A93*'Verwerking Bouwdelen'!CR20</f>
        <v>0</v>
      </c>
      <c r="K93" s="227">
        <f>$A93*'Verwerking Bouwdelen'!CS20</f>
        <v>0</v>
      </c>
      <c r="L93" s="227">
        <f>$A93*'Verwerking Bouwdelen'!CT20</f>
        <v>0</v>
      </c>
      <c r="M93" s="228">
        <f>$A93*'Verwerking Bouwdelen'!CU20</f>
        <v>0</v>
      </c>
      <c r="DN93" s="89">
        <f>IF('Verwerking Bouwdelen'!A20=3,1,0)</f>
        <v>0</v>
      </c>
      <c r="DO93" s="223">
        <f>$DN93*'Verwerking Bouwdelen'!FT20</f>
        <v>0</v>
      </c>
      <c r="DP93" s="223">
        <f>$DN93*'Verwerking Bouwdelen'!FU20</f>
        <v>0</v>
      </c>
      <c r="DQ93" s="223">
        <f>$DN93*'Verwerking Bouwdelen'!FV20</f>
        <v>0</v>
      </c>
      <c r="DR93" s="223">
        <f>$DN93*'Verwerking Bouwdelen'!FW20</f>
        <v>0</v>
      </c>
      <c r="DS93" s="223">
        <f>$DN93*'Verwerking Bouwdelen'!FX20</f>
        <v>0</v>
      </c>
      <c r="DT93" s="223">
        <f>$DN93*'Verwerking Bouwdelen'!FY20</f>
        <v>0</v>
      </c>
      <c r="DU93" s="223">
        <f>$DN93*'Verwerking Bouwdelen'!FZ20</f>
        <v>0</v>
      </c>
      <c r="DV93" s="223">
        <f>$DN93*'Verwerking Bouwdelen'!GA20</f>
        <v>0</v>
      </c>
      <c r="DW93" s="223">
        <f>$DN93*'Verwerking Bouwdelen'!GB20</f>
        <v>0</v>
      </c>
      <c r="DX93" s="223">
        <f>$DN93*'Verwerking Bouwdelen'!GC20</f>
        <v>0</v>
      </c>
      <c r="DY93" s="223">
        <f>$DN93*'Verwerking Bouwdelen'!GD20</f>
        <v>0</v>
      </c>
      <c r="DZ93" s="223">
        <f>$DN93*'Verwerking Bouwdelen'!GE20</f>
        <v>0</v>
      </c>
      <c r="EA93" s="89">
        <f>'Verwerking Bouwdelen'!GO20*DN93</f>
        <v>0</v>
      </c>
      <c r="EB93" s="125">
        <f>'Verwerking Bouwdelen'!GP20*DN93</f>
        <v>0</v>
      </c>
      <c r="EC93" s="89">
        <f t="shared" si="41"/>
        <v>0</v>
      </c>
      <c r="GN93" s="220">
        <f t="shared" si="29"/>
        <v>0</v>
      </c>
      <c r="GO93" s="220">
        <f t="shared" si="30"/>
        <v>0</v>
      </c>
      <c r="GP93" s="220">
        <f t="shared" si="31"/>
        <v>0</v>
      </c>
      <c r="GQ93" s="220">
        <f t="shared" si="32"/>
        <v>0</v>
      </c>
      <c r="GR93" s="220">
        <f t="shared" si="33"/>
        <v>0</v>
      </c>
      <c r="GS93" s="220">
        <f t="shared" si="34"/>
        <v>0</v>
      </c>
      <c r="GT93" s="220">
        <f t="shared" si="35"/>
        <v>0</v>
      </c>
      <c r="GU93" s="220">
        <f t="shared" si="36"/>
        <v>0</v>
      </c>
      <c r="GV93" s="220">
        <f t="shared" si="37"/>
        <v>0</v>
      </c>
      <c r="GW93" s="220">
        <f t="shared" si="38"/>
        <v>0</v>
      </c>
      <c r="GX93" s="220">
        <f t="shared" si="39"/>
        <v>0</v>
      </c>
      <c r="GY93" s="220">
        <f t="shared" si="40"/>
        <v>0</v>
      </c>
    </row>
    <row r="94" spans="1:207" x14ac:dyDescent="0.2">
      <c r="A94" s="89">
        <f>IF('Verwerking Bouwdelen'!A21=3,1,0)</f>
        <v>0</v>
      </c>
      <c r="B94" s="226">
        <f>$A94*'Verwerking Bouwdelen'!CJ21</f>
        <v>0</v>
      </c>
      <c r="C94" s="227">
        <f>$A94*'Verwerking Bouwdelen'!CK21</f>
        <v>0</v>
      </c>
      <c r="D94" s="227">
        <f>$A94*'Verwerking Bouwdelen'!CL21</f>
        <v>0</v>
      </c>
      <c r="E94" s="227">
        <f>$A94*'Verwerking Bouwdelen'!CM21</f>
        <v>0</v>
      </c>
      <c r="F94" s="227">
        <f>$A94*'Verwerking Bouwdelen'!CN21</f>
        <v>0</v>
      </c>
      <c r="G94" s="227">
        <f>$A94*'Verwerking Bouwdelen'!CO21</f>
        <v>0</v>
      </c>
      <c r="H94" s="227">
        <f>$A94*'Verwerking Bouwdelen'!CP21</f>
        <v>0</v>
      </c>
      <c r="I94" s="227">
        <f>$A94*'Verwerking Bouwdelen'!CQ21</f>
        <v>0</v>
      </c>
      <c r="J94" s="227">
        <f>$A94*'Verwerking Bouwdelen'!CR21</f>
        <v>0</v>
      </c>
      <c r="K94" s="227">
        <f>$A94*'Verwerking Bouwdelen'!CS21</f>
        <v>0</v>
      </c>
      <c r="L94" s="227">
        <f>$A94*'Verwerking Bouwdelen'!CT21</f>
        <v>0</v>
      </c>
      <c r="M94" s="228">
        <f>$A94*'Verwerking Bouwdelen'!CU21</f>
        <v>0</v>
      </c>
      <c r="DN94" s="89">
        <f>IF('Verwerking Bouwdelen'!A21=3,1,0)</f>
        <v>0</v>
      </c>
      <c r="DO94" s="223">
        <f>$DN94*'Verwerking Bouwdelen'!FT21</f>
        <v>0</v>
      </c>
      <c r="DP94" s="223">
        <f>$DN94*'Verwerking Bouwdelen'!FU21</f>
        <v>0</v>
      </c>
      <c r="DQ94" s="223">
        <f>$DN94*'Verwerking Bouwdelen'!FV21</f>
        <v>0</v>
      </c>
      <c r="DR94" s="223">
        <f>$DN94*'Verwerking Bouwdelen'!FW21</f>
        <v>0</v>
      </c>
      <c r="DS94" s="223">
        <f>$DN94*'Verwerking Bouwdelen'!FX21</f>
        <v>0</v>
      </c>
      <c r="DT94" s="223">
        <f>$DN94*'Verwerking Bouwdelen'!FY21</f>
        <v>0</v>
      </c>
      <c r="DU94" s="223">
        <f>$DN94*'Verwerking Bouwdelen'!FZ21</f>
        <v>0</v>
      </c>
      <c r="DV94" s="223">
        <f>$DN94*'Verwerking Bouwdelen'!GA21</f>
        <v>0</v>
      </c>
      <c r="DW94" s="223">
        <f>$DN94*'Verwerking Bouwdelen'!GB21</f>
        <v>0</v>
      </c>
      <c r="DX94" s="223">
        <f>$DN94*'Verwerking Bouwdelen'!GC21</f>
        <v>0</v>
      </c>
      <c r="DY94" s="223">
        <f>$DN94*'Verwerking Bouwdelen'!GD21</f>
        <v>0</v>
      </c>
      <c r="DZ94" s="223">
        <f>$DN94*'Verwerking Bouwdelen'!GE21</f>
        <v>0</v>
      </c>
      <c r="EA94" s="89">
        <f>'Verwerking Bouwdelen'!GO21*DN94</f>
        <v>0</v>
      </c>
      <c r="EB94" s="125">
        <f>'Verwerking Bouwdelen'!GP21*DN94</f>
        <v>0</v>
      </c>
      <c r="EC94" s="89">
        <f t="shared" si="41"/>
        <v>0</v>
      </c>
      <c r="GN94" s="220">
        <f t="shared" si="29"/>
        <v>0</v>
      </c>
      <c r="GO94" s="220">
        <f t="shared" si="30"/>
        <v>0</v>
      </c>
      <c r="GP94" s="220">
        <f t="shared" si="31"/>
        <v>0</v>
      </c>
      <c r="GQ94" s="220">
        <f t="shared" si="32"/>
        <v>0</v>
      </c>
      <c r="GR94" s="220">
        <f t="shared" si="33"/>
        <v>0</v>
      </c>
      <c r="GS94" s="220">
        <f t="shared" si="34"/>
        <v>0</v>
      </c>
      <c r="GT94" s="220">
        <f t="shared" si="35"/>
        <v>0</v>
      </c>
      <c r="GU94" s="220">
        <f t="shared" si="36"/>
        <v>0</v>
      </c>
      <c r="GV94" s="220">
        <f t="shared" si="37"/>
        <v>0</v>
      </c>
      <c r="GW94" s="220">
        <f t="shared" si="38"/>
        <v>0</v>
      </c>
      <c r="GX94" s="220">
        <f t="shared" si="39"/>
        <v>0</v>
      </c>
      <c r="GY94" s="220">
        <f t="shared" si="40"/>
        <v>0</v>
      </c>
    </row>
    <row r="95" spans="1:207" x14ac:dyDescent="0.2">
      <c r="A95" s="89">
        <f>IF('Verwerking Bouwdelen'!A22=3,1,0)</f>
        <v>0</v>
      </c>
      <c r="B95" s="226">
        <f>$A95*'Verwerking Bouwdelen'!CJ22</f>
        <v>0</v>
      </c>
      <c r="C95" s="227">
        <f>$A95*'Verwerking Bouwdelen'!CK22</f>
        <v>0</v>
      </c>
      <c r="D95" s="227">
        <f>$A95*'Verwerking Bouwdelen'!CL22</f>
        <v>0</v>
      </c>
      <c r="E95" s="227">
        <f>$A95*'Verwerking Bouwdelen'!CM22</f>
        <v>0</v>
      </c>
      <c r="F95" s="227">
        <f>$A95*'Verwerking Bouwdelen'!CN22</f>
        <v>0</v>
      </c>
      <c r="G95" s="227">
        <f>$A95*'Verwerking Bouwdelen'!CO22</f>
        <v>0</v>
      </c>
      <c r="H95" s="227">
        <f>$A95*'Verwerking Bouwdelen'!CP22</f>
        <v>0</v>
      </c>
      <c r="I95" s="227">
        <f>$A95*'Verwerking Bouwdelen'!CQ22</f>
        <v>0</v>
      </c>
      <c r="J95" s="227">
        <f>$A95*'Verwerking Bouwdelen'!CR22</f>
        <v>0</v>
      </c>
      <c r="K95" s="227">
        <f>$A95*'Verwerking Bouwdelen'!CS22</f>
        <v>0</v>
      </c>
      <c r="L95" s="227">
        <f>$A95*'Verwerking Bouwdelen'!CT22</f>
        <v>0</v>
      </c>
      <c r="M95" s="228">
        <f>$A95*'Verwerking Bouwdelen'!CU22</f>
        <v>0</v>
      </c>
      <c r="DN95" s="89">
        <f>IF('Verwerking Bouwdelen'!A22=3,1,0)</f>
        <v>0</v>
      </c>
      <c r="DO95" s="223">
        <f>$DN95*'Verwerking Bouwdelen'!FT22</f>
        <v>0</v>
      </c>
      <c r="DP95" s="223">
        <f>$DN95*'Verwerking Bouwdelen'!FU22</f>
        <v>0</v>
      </c>
      <c r="DQ95" s="223">
        <f>$DN95*'Verwerking Bouwdelen'!FV22</f>
        <v>0</v>
      </c>
      <c r="DR95" s="223">
        <f>$DN95*'Verwerking Bouwdelen'!FW22</f>
        <v>0</v>
      </c>
      <c r="DS95" s="223">
        <f>$DN95*'Verwerking Bouwdelen'!FX22</f>
        <v>0</v>
      </c>
      <c r="DT95" s="223">
        <f>$DN95*'Verwerking Bouwdelen'!FY22</f>
        <v>0</v>
      </c>
      <c r="DU95" s="223">
        <f>$DN95*'Verwerking Bouwdelen'!FZ22</f>
        <v>0</v>
      </c>
      <c r="DV95" s="223">
        <f>$DN95*'Verwerking Bouwdelen'!GA22</f>
        <v>0</v>
      </c>
      <c r="DW95" s="223">
        <f>$DN95*'Verwerking Bouwdelen'!GB22</f>
        <v>0</v>
      </c>
      <c r="DX95" s="223">
        <f>$DN95*'Verwerking Bouwdelen'!GC22</f>
        <v>0</v>
      </c>
      <c r="DY95" s="223">
        <f>$DN95*'Verwerking Bouwdelen'!GD22</f>
        <v>0</v>
      </c>
      <c r="DZ95" s="223">
        <f>$DN95*'Verwerking Bouwdelen'!GE22</f>
        <v>0</v>
      </c>
      <c r="EA95" s="89">
        <f>'Verwerking Bouwdelen'!GO22*DN95</f>
        <v>0</v>
      </c>
      <c r="EB95" s="125">
        <f>'Verwerking Bouwdelen'!GP22*DN95</f>
        <v>0</v>
      </c>
      <c r="EC95" s="89">
        <f t="shared" si="41"/>
        <v>0</v>
      </c>
      <c r="GN95" s="220">
        <f t="shared" si="29"/>
        <v>0</v>
      </c>
      <c r="GO95" s="220">
        <f t="shared" si="30"/>
        <v>0</v>
      </c>
      <c r="GP95" s="220">
        <f t="shared" si="31"/>
        <v>0</v>
      </c>
      <c r="GQ95" s="220">
        <f t="shared" si="32"/>
        <v>0</v>
      </c>
      <c r="GR95" s="220">
        <f t="shared" si="33"/>
        <v>0</v>
      </c>
      <c r="GS95" s="220">
        <f t="shared" si="34"/>
        <v>0</v>
      </c>
      <c r="GT95" s="220">
        <f t="shared" si="35"/>
        <v>0</v>
      </c>
      <c r="GU95" s="220">
        <f t="shared" si="36"/>
        <v>0</v>
      </c>
      <c r="GV95" s="220">
        <f t="shared" si="37"/>
        <v>0</v>
      </c>
      <c r="GW95" s="220">
        <f t="shared" si="38"/>
        <v>0</v>
      </c>
      <c r="GX95" s="220">
        <f t="shared" si="39"/>
        <v>0</v>
      </c>
      <c r="GY95" s="220">
        <f t="shared" si="40"/>
        <v>0</v>
      </c>
    </row>
    <row r="96" spans="1:207" x14ac:dyDescent="0.2">
      <c r="A96" s="89">
        <f>IF('Verwerking Bouwdelen'!A23=3,1,0)</f>
        <v>0</v>
      </c>
      <c r="B96" s="226">
        <f>$A96*'Verwerking Bouwdelen'!CJ23</f>
        <v>0</v>
      </c>
      <c r="C96" s="227">
        <f>$A96*'Verwerking Bouwdelen'!CK23</f>
        <v>0</v>
      </c>
      <c r="D96" s="227">
        <f>$A96*'Verwerking Bouwdelen'!CL23</f>
        <v>0</v>
      </c>
      <c r="E96" s="227">
        <f>$A96*'Verwerking Bouwdelen'!CM23</f>
        <v>0</v>
      </c>
      <c r="F96" s="227">
        <f>$A96*'Verwerking Bouwdelen'!CN23</f>
        <v>0</v>
      </c>
      <c r="G96" s="227">
        <f>$A96*'Verwerking Bouwdelen'!CO23</f>
        <v>0</v>
      </c>
      <c r="H96" s="227">
        <f>$A96*'Verwerking Bouwdelen'!CP23</f>
        <v>0</v>
      </c>
      <c r="I96" s="227">
        <f>$A96*'Verwerking Bouwdelen'!CQ23</f>
        <v>0</v>
      </c>
      <c r="J96" s="227">
        <f>$A96*'Verwerking Bouwdelen'!CR23</f>
        <v>0</v>
      </c>
      <c r="K96" s="227">
        <f>$A96*'Verwerking Bouwdelen'!CS23</f>
        <v>0</v>
      </c>
      <c r="L96" s="227">
        <f>$A96*'Verwerking Bouwdelen'!CT23</f>
        <v>0</v>
      </c>
      <c r="M96" s="228">
        <f>$A96*'Verwerking Bouwdelen'!CU23</f>
        <v>0</v>
      </c>
      <c r="DN96" s="89">
        <f>IF('Verwerking Bouwdelen'!A23=3,1,0)</f>
        <v>0</v>
      </c>
      <c r="DO96" s="223">
        <f>$DN96*'Verwerking Bouwdelen'!FT23</f>
        <v>0</v>
      </c>
      <c r="DP96" s="223">
        <f>$DN96*'Verwerking Bouwdelen'!FU23</f>
        <v>0</v>
      </c>
      <c r="DQ96" s="223">
        <f>$DN96*'Verwerking Bouwdelen'!FV23</f>
        <v>0</v>
      </c>
      <c r="DR96" s="223">
        <f>$DN96*'Verwerking Bouwdelen'!FW23</f>
        <v>0</v>
      </c>
      <c r="DS96" s="223">
        <f>$DN96*'Verwerking Bouwdelen'!FX23</f>
        <v>0</v>
      </c>
      <c r="DT96" s="223">
        <f>$DN96*'Verwerking Bouwdelen'!FY23</f>
        <v>0</v>
      </c>
      <c r="DU96" s="223">
        <f>$DN96*'Verwerking Bouwdelen'!FZ23</f>
        <v>0</v>
      </c>
      <c r="DV96" s="223">
        <f>$DN96*'Verwerking Bouwdelen'!GA23</f>
        <v>0</v>
      </c>
      <c r="DW96" s="223">
        <f>$DN96*'Verwerking Bouwdelen'!GB23</f>
        <v>0</v>
      </c>
      <c r="DX96" s="223">
        <f>$DN96*'Verwerking Bouwdelen'!GC23</f>
        <v>0</v>
      </c>
      <c r="DY96" s="223">
        <f>$DN96*'Verwerking Bouwdelen'!GD23</f>
        <v>0</v>
      </c>
      <c r="DZ96" s="223">
        <f>$DN96*'Verwerking Bouwdelen'!GE23</f>
        <v>0</v>
      </c>
      <c r="EA96" s="89">
        <f>'Verwerking Bouwdelen'!GO23*DN96</f>
        <v>0</v>
      </c>
      <c r="EB96" s="125">
        <f>'Verwerking Bouwdelen'!GP23*DN96</f>
        <v>0</v>
      </c>
      <c r="EC96" s="89">
        <f t="shared" si="41"/>
        <v>0</v>
      </c>
      <c r="GN96" s="220">
        <f t="shared" si="29"/>
        <v>0</v>
      </c>
      <c r="GO96" s="220">
        <f t="shared" si="30"/>
        <v>0</v>
      </c>
      <c r="GP96" s="220">
        <f t="shared" si="31"/>
        <v>0</v>
      </c>
      <c r="GQ96" s="220">
        <f t="shared" si="32"/>
        <v>0</v>
      </c>
      <c r="GR96" s="220">
        <f t="shared" si="33"/>
        <v>0</v>
      </c>
      <c r="GS96" s="220">
        <f t="shared" si="34"/>
        <v>0</v>
      </c>
      <c r="GT96" s="220">
        <f t="shared" si="35"/>
        <v>0</v>
      </c>
      <c r="GU96" s="220">
        <f t="shared" si="36"/>
        <v>0</v>
      </c>
      <c r="GV96" s="220">
        <f t="shared" si="37"/>
        <v>0</v>
      </c>
      <c r="GW96" s="220">
        <f t="shared" si="38"/>
        <v>0</v>
      </c>
      <c r="GX96" s="220">
        <f t="shared" si="39"/>
        <v>0</v>
      </c>
      <c r="GY96" s="220">
        <f t="shared" si="40"/>
        <v>0</v>
      </c>
    </row>
    <row r="97" spans="1:207" x14ac:dyDescent="0.2">
      <c r="A97" s="89">
        <f>IF('Verwerking Bouwdelen'!A24=3,1,0)</f>
        <v>0</v>
      </c>
      <c r="B97" s="226">
        <f>$A97*'Verwerking Bouwdelen'!CJ24</f>
        <v>0</v>
      </c>
      <c r="C97" s="227">
        <f>$A97*'Verwerking Bouwdelen'!CK24</f>
        <v>0</v>
      </c>
      <c r="D97" s="227">
        <f>$A97*'Verwerking Bouwdelen'!CL24</f>
        <v>0</v>
      </c>
      <c r="E97" s="227">
        <f>$A97*'Verwerking Bouwdelen'!CM24</f>
        <v>0</v>
      </c>
      <c r="F97" s="227">
        <f>$A97*'Verwerking Bouwdelen'!CN24</f>
        <v>0</v>
      </c>
      <c r="G97" s="227">
        <f>$A97*'Verwerking Bouwdelen'!CO24</f>
        <v>0</v>
      </c>
      <c r="H97" s="227">
        <f>$A97*'Verwerking Bouwdelen'!CP24</f>
        <v>0</v>
      </c>
      <c r="I97" s="227">
        <f>$A97*'Verwerking Bouwdelen'!CQ24</f>
        <v>0</v>
      </c>
      <c r="J97" s="227">
        <f>$A97*'Verwerking Bouwdelen'!CR24</f>
        <v>0</v>
      </c>
      <c r="K97" s="227">
        <f>$A97*'Verwerking Bouwdelen'!CS24</f>
        <v>0</v>
      </c>
      <c r="L97" s="227">
        <f>$A97*'Verwerking Bouwdelen'!CT24</f>
        <v>0</v>
      </c>
      <c r="M97" s="228">
        <f>$A97*'Verwerking Bouwdelen'!CU24</f>
        <v>0</v>
      </c>
      <c r="DN97" s="89">
        <f>IF('Verwerking Bouwdelen'!A24=3,1,0)</f>
        <v>0</v>
      </c>
      <c r="DO97" s="223">
        <f>$DN97*'Verwerking Bouwdelen'!FT24</f>
        <v>0</v>
      </c>
      <c r="DP97" s="223">
        <f>$DN97*'Verwerking Bouwdelen'!FU24</f>
        <v>0</v>
      </c>
      <c r="DQ97" s="223">
        <f>$DN97*'Verwerking Bouwdelen'!FV24</f>
        <v>0</v>
      </c>
      <c r="DR97" s="223">
        <f>$DN97*'Verwerking Bouwdelen'!FW24</f>
        <v>0</v>
      </c>
      <c r="DS97" s="223">
        <f>$DN97*'Verwerking Bouwdelen'!FX24</f>
        <v>0</v>
      </c>
      <c r="DT97" s="223">
        <f>$DN97*'Verwerking Bouwdelen'!FY24</f>
        <v>0</v>
      </c>
      <c r="DU97" s="223">
        <f>$DN97*'Verwerking Bouwdelen'!FZ24</f>
        <v>0</v>
      </c>
      <c r="DV97" s="223">
        <f>$DN97*'Verwerking Bouwdelen'!GA24</f>
        <v>0</v>
      </c>
      <c r="DW97" s="223">
        <f>$DN97*'Verwerking Bouwdelen'!GB24</f>
        <v>0</v>
      </c>
      <c r="DX97" s="223">
        <f>$DN97*'Verwerking Bouwdelen'!GC24</f>
        <v>0</v>
      </c>
      <c r="DY97" s="223">
        <f>$DN97*'Verwerking Bouwdelen'!GD24</f>
        <v>0</v>
      </c>
      <c r="DZ97" s="223">
        <f>$DN97*'Verwerking Bouwdelen'!GE24</f>
        <v>0</v>
      </c>
      <c r="EA97" s="89">
        <f>'Verwerking Bouwdelen'!GO24*DN97</f>
        <v>0</v>
      </c>
      <c r="EB97" s="125">
        <f>'Verwerking Bouwdelen'!GP24*DN97</f>
        <v>0</v>
      </c>
      <c r="EC97" s="89">
        <f t="shared" si="41"/>
        <v>0</v>
      </c>
      <c r="GN97" s="220">
        <f t="shared" ref="GN97:GN118" si="42">DO97</f>
        <v>0</v>
      </c>
      <c r="GO97" s="220">
        <f t="shared" ref="GO97:GO118" si="43">DP97</f>
        <v>0</v>
      </c>
      <c r="GP97" s="220">
        <f t="shared" ref="GP97:GP118" si="44">DQ97</f>
        <v>0</v>
      </c>
      <c r="GQ97" s="220">
        <f t="shared" ref="GQ97:GY116" si="45">DR97</f>
        <v>0</v>
      </c>
      <c r="GR97" s="220">
        <f t="shared" si="45"/>
        <v>0</v>
      </c>
      <c r="GS97" s="220">
        <f t="shared" si="45"/>
        <v>0</v>
      </c>
      <c r="GT97" s="220">
        <f t="shared" si="45"/>
        <v>0</v>
      </c>
      <c r="GU97" s="220">
        <f t="shared" si="45"/>
        <v>0</v>
      </c>
      <c r="GV97" s="220">
        <f t="shared" si="45"/>
        <v>0</v>
      </c>
      <c r="GW97" s="220">
        <f t="shared" si="45"/>
        <v>0</v>
      </c>
      <c r="GX97" s="220">
        <f t="shared" si="45"/>
        <v>0</v>
      </c>
      <c r="GY97" s="220">
        <f t="shared" si="45"/>
        <v>0</v>
      </c>
    </row>
    <row r="98" spans="1:207" x14ac:dyDescent="0.2">
      <c r="A98" s="89">
        <f>IF('Verwerking Bouwdelen'!A25=3,1,0)</f>
        <v>0</v>
      </c>
      <c r="B98" s="226">
        <f>$A98*'Verwerking Bouwdelen'!CJ25</f>
        <v>0</v>
      </c>
      <c r="C98" s="227">
        <f>$A98*'Verwerking Bouwdelen'!CK25</f>
        <v>0</v>
      </c>
      <c r="D98" s="227">
        <f>$A98*'Verwerking Bouwdelen'!CL25</f>
        <v>0</v>
      </c>
      <c r="E98" s="227">
        <f>$A98*'Verwerking Bouwdelen'!CM25</f>
        <v>0</v>
      </c>
      <c r="F98" s="227">
        <f>$A98*'Verwerking Bouwdelen'!CN25</f>
        <v>0</v>
      </c>
      <c r="G98" s="227">
        <f>$A98*'Verwerking Bouwdelen'!CO25</f>
        <v>0</v>
      </c>
      <c r="H98" s="227">
        <f>$A98*'Verwerking Bouwdelen'!CP25</f>
        <v>0</v>
      </c>
      <c r="I98" s="227">
        <f>$A98*'Verwerking Bouwdelen'!CQ25</f>
        <v>0</v>
      </c>
      <c r="J98" s="227">
        <f>$A98*'Verwerking Bouwdelen'!CR25</f>
        <v>0</v>
      </c>
      <c r="K98" s="227">
        <f>$A98*'Verwerking Bouwdelen'!CS25</f>
        <v>0</v>
      </c>
      <c r="L98" s="227">
        <f>$A98*'Verwerking Bouwdelen'!CT25</f>
        <v>0</v>
      </c>
      <c r="M98" s="228">
        <f>$A98*'Verwerking Bouwdelen'!CU25</f>
        <v>0</v>
      </c>
      <c r="DN98" s="89">
        <f>IF('Verwerking Bouwdelen'!A25=3,1,0)</f>
        <v>0</v>
      </c>
      <c r="DO98" s="223">
        <f>$DN98*'Verwerking Bouwdelen'!FT25</f>
        <v>0</v>
      </c>
      <c r="DP98" s="223">
        <f>$DN98*'Verwerking Bouwdelen'!FU25</f>
        <v>0</v>
      </c>
      <c r="DQ98" s="223">
        <f>$DN98*'Verwerking Bouwdelen'!FV25</f>
        <v>0</v>
      </c>
      <c r="DR98" s="223">
        <f>$DN98*'Verwerking Bouwdelen'!FW25</f>
        <v>0</v>
      </c>
      <c r="DS98" s="223">
        <f>$DN98*'Verwerking Bouwdelen'!FX25</f>
        <v>0</v>
      </c>
      <c r="DT98" s="223">
        <f>$DN98*'Verwerking Bouwdelen'!FY25</f>
        <v>0</v>
      </c>
      <c r="DU98" s="223">
        <f>$DN98*'Verwerking Bouwdelen'!FZ25</f>
        <v>0</v>
      </c>
      <c r="DV98" s="223">
        <f>$DN98*'Verwerking Bouwdelen'!GA25</f>
        <v>0</v>
      </c>
      <c r="DW98" s="223">
        <f>$DN98*'Verwerking Bouwdelen'!GB25</f>
        <v>0</v>
      </c>
      <c r="DX98" s="223">
        <f>$DN98*'Verwerking Bouwdelen'!GC25</f>
        <v>0</v>
      </c>
      <c r="DY98" s="223">
        <f>$DN98*'Verwerking Bouwdelen'!GD25</f>
        <v>0</v>
      </c>
      <c r="DZ98" s="223">
        <f>$DN98*'Verwerking Bouwdelen'!GE25</f>
        <v>0</v>
      </c>
      <c r="EA98" s="89">
        <f>'Verwerking Bouwdelen'!GO25*DN98</f>
        <v>0</v>
      </c>
      <c r="EB98" s="125">
        <f>'Verwerking Bouwdelen'!GP25*DN98</f>
        <v>0</v>
      </c>
      <c r="EC98" s="89">
        <f t="shared" si="41"/>
        <v>0</v>
      </c>
      <c r="GN98" s="220">
        <f t="shared" si="42"/>
        <v>0</v>
      </c>
      <c r="GO98" s="220">
        <f t="shared" si="43"/>
        <v>0</v>
      </c>
      <c r="GP98" s="220">
        <f t="shared" si="44"/>
        <v>0</v>
      </c>
      <c r="GQ98" s="220">
        <f t="shared" si="45"/>
        <v>0</v>
      </c>
      <c r="GR98" s="220">
        <f t="shared" si="45"/>
        <v>0</v>
      </c>
      <c r="GS98" s="220">
        <f t="shared" si="45"/>
        <v>0</v>
      </c>
      <c r="GT98" s="220">
        <f t="shared" si="45"/>
        <v>0</v>
      </c>
      <c r="GU98" s="220">
        <f t="shared" si="45"/>
        <v>0</v>
      </c>
      <c r="GV98" s="220">
        <f t="shared" si="45"/>
        <v>0</v>
      </c>
      <c r="GW98" s="220">
        <f t="shared" si="45"/>
        <v>0</v>
      </c>
      <c r="GX98" s="220">
        <f t="shared" si="45"/>
        <v>0</v>
      </c>
      <c r="GY98" s="220">
        <f t="shared" si="45"/>
        <v>0</v>
      </c>
    </row>
    <row r="99" spans="1:207" x14ac:dyDescent="0.2">
      <c r="A99" s="89">
        <f>IF('Verwerking Bouwdelen'!A26=3,1,0)</f>
        <v>0</v>
      </c>
      <c r="B99" s="226">
        <f>$A99*'Verwerking Bouwdelen'!CJ26</f>
        <v>0</v>
      </c>
      <c r="C99" s="227">
        <f>$A99*'Verwerking Bouwdelen'!CK26</f>
        <v>0</v>
      </c>
      <c r="D99" s="227">
        <f>$A99*'Verwerking Bouwdelen'!CL26</f>
        <v>0</v>
      </c>
      <c r="E99" s="227">
        <f>$A99*'Verwerking Bouwdelen'!CM26</f>
        <v>0</v>
      </c>
      <c r="F99" s="227">
        <f>$A99*'Verwerking Bouwdelen'!CN26</f>
        <v>0</v>
      </c>
      <c r="G99" s="227">
        <f>$A99*'Verwerking Bouwdelen'!CO26</f>
        <v>0</v>
      </c>
      <c r="H99" s="227">
        <f>$A99*'Verwerking Bouwdelen'!CP26</f>
        <v>0</v>
      </c>
      <c r="I99" s="227">
        <f>$A99*'Verwerking Bouwdelen'!CQ26</f>
        <v>0</v>
      </c>
      <c r="J99" s="227">
        <f>$A99*'Verwerking Bouwdelen'!CR26</f>
        <v>0</v>
      </c>
      <c r="K99" s="227">
        <f>$A99*'Verwerking Bouwdelen'!CS26</f>
        <v>0</v>
      </c>
      <c r="L99" s="227">
        <f>$A99*'Verwerking Bouwdelen'!CT26</f>
        <v>0</v>
      </c>
      <c r="M99" s="228">
        <f>$A99*'Verwerking Bouwdelen'!CU26</f>
        <v>0</v>
      </c>
      <c r="DN99" s="89">
        <f>IF('Verwerking Bouwdelen'!A26=3,1,0)</f>
        <v>0</v>
      </c>
      <c r="DO99" s="223">
        <f>$DN99*'Verwerking Bouwdelen'!FT26</f>
        <v>0</v>
      </c>
      <c r="DP99" s="223">
        <f>$DN99*'Verwerking Bouwdelen'!FU26</f>
        <v>0</v>
      </c>
      <c r="DQ99" s="223">
        <f>$DN99*'Verwerking Bouwdelen'!FV26</f>
        <v>0</v>
      </c>
      <c r="DR99" s="223">
        <f>$DN99*'Verwerking Bouwdelen'!FW26</f>
        <v>0</v>
      </c>
      <c r="DS99" s="223">
        <f>$DN99*'Verwerking Bouwdelen'!FX26</f>
        <v>0</v>
      </c>
      <c r="DT99" s="223">
        <f>$DN99*'Verwerking Bouwdelen'!FY26</f>
        <v>0</v>
      </c>
      <c r="DU99" s="223">
        <f>$DN99*'Verwerking Bouwdelen'!FZ26</f>
        <v>0</v>
      </c>
      <c r="DV99" s="223">
        <f>$DN99*'Verwerking Bouwdelen'!GA26</f>
        <v>0</v>
      </c>
      <c r="DW99" s="223">
        <f>$DN99*'Verwerking Bouwdelen'!GB26</f>
        <v>0</v>
      </c>
      <c r="DX99" s="223">
        <f>$DN99*'Verwerking Bouwdelen'!GC26</f>
        <v>0</v>
      </c>
      <c r="DY99" s="223">
        <f>$DN99*'Verwerking Bouwdelen'!GD26</f>
        <v>0</v>
      </c>
      <c r="DZ99" s="223">
        <f>$DN99*'Verwerking Bouwdelen'!GE26</f>
        <v>0</v>
      </c>
      <c r="EA99" s="89">
        <f>'Verwerking Bouwdelen'!GO26*DN99</f>
        <v>0</v>
      </c>
      <c r="EB99" s="125">
        <f>'Verwerking Bouwdelen'!GP26*DN99</f>
        <v>0</v>
      </c>
      <c r="EC99" s="89">
        <f t="shared" si="41"/>
        <v>0</v>
      </c>
      <c r="GN99" s="220">
        <f t="shared" si="42"/>
        <v>0</v>
      </c>
      <c r="GO99" s="220">
        <f t="shared" si="43"/>
        <v>0</v>
      </c>
      <c r="GP99" s="220">
        <f t="shared" si="44"/>
        <v>0</v>
      </c>
      <c r="GQ99" s="220">
        <f t="shared" si="45"/>
        <v>0</v>
      </c>
      <c r="GR99" s="220">
        <f t="shared" si="45"/>
        <v>0</v>
      </c>
      <c r="GS99" s="220">
        <f t="shared" si="45"/>
        <v>0</v>
      </c>
      <c r="GT99" s="220">
        <f t="shared" si="45"/>
        <v>0</v>
      </c>
      <c r="GU99" s="220">
        <f t="shared" si="45"/>
        <v>0</v>
      </c>
      <c r="GV99" s="220">
        <f t="shared" si="45"/>
        <v>0</v>
      </c>
      <c r="GW99" s="220">
        <f t="shared" si="45"/>
        <v>0</v>
      </c>
      <c r="GX99" s="220">
        <f t="shared" si="45"/>
        <v>0</v>
      </c>
      <c r="GY99" s="220">
        <f t="shared" si="45"/>
        <v>0</v>
      </c>
    </row>
    <row r="100" spans="1:207" x14ac:dyDescent="0.2">
      <c r="A100" s="89">
        <f>IF('Verwerking Bouwdelen'!A27=3,1,0)</f>
        <v>0</v>
      </c>
      <c r="B100" s="226">
        <f>$A100*'Verwerking Bouwdelen'!CJ27</f>
        <v>0</v>
      </c>
      <c r="C100" s="227">
        <f>$A100*'Verwerking Bouwdelen'!CK27</f>
        <v>0</v>
      </c>
      <c r="D100" s="227">
        <f>$A100*'Verwerking Bouwdelen'!CL27</f>
        <v>0</v>
      </c>
      <c r="E100" s="227">
        <f>$A100*'Verwerking Bouwdelen'!CM27</f>
        <v>0</v>
      </c>
      <c r="F100" s="227">
        <f>$A100*'Verwerking Bouwdelen'!CN27</f>
        <v>0</v>
      </c>
      <c r="G100" s="227">
        <f>$A100*'Verwerking Bouwdelen'!CO27</f>
        <v>0</v>
      </c>
      <c r="H100" s="227">
        <f>$A100*'Verwerking Bouwdelen'!CP27</f>
        <v>0</v>
      </c>
      <c r="I100" s="227">
        <f>$A100*'Verwerking Bouwdelen'!CQ27</f>
        <v>0</v>
      </c>
      <c r="J100" s="227">
        <f>$A100*'Verwerking Bouwdelen'!CR27</f>
        <v>0</v>
      </c>
      <c r="K100" s="227">
        <f>$A100*'Verwerking Bouwdelen'!CS27</f>
        <v>0</v>
      </c>
      <c r="L100" s="227">
        <f>$A100*'Verwerking Bouwdelen'!CT27</f>
        <v>0</v>
      </c>
      <c r="M100" s="228">
        <f>$A100*'Verwerking Bouwdelen'!CU27</f>
        <v>0</v>
      </c>
      <c r="DN100" s="89">
        <f>IF('Verwerking Bouwdelen'!A27=3,1,0)</f>
        <v>0</v>
      </c>
      <c r="DO100" s="223">
        <f>$DN100*'Verwerking Bouwdelen'!FT27</f>
        <v>0</v>
      </c>
      <c r="DP100" s="223">
        <f>$DN100*'Verwerking Bouwdelen'!FU27</f>
        <v>0</v>
      </c>
      <c r="DQ100" s="223">
        <f>$DN100*'Verwerking Bouwdelen'!FV27</f>
        <v>0</v>
      </c>
      <c r="DR100" s="223">
        <f>$DN100*'Verwerking Bouwdelen'!FW27</f>
        <v>0</v>
      </c>
      <c r="DS100" s="223">
        <f>$DN100*'Verwerking Bouwdelen'!FX27</f>
        <v>0</v>
      </c>
      <c r="DT100" s="223">
        <f>$DN100*'Verwerking Bouwdelen'!FY27</f>
        <v>0</v>
      </c>
      <c r="DU100" s="223">
        <f>$DN100*'Verwerking Bouwdelen'!FZ27</f>
        <v>0</v>
      </c>
      <c r="DV100" s="223">
        <f>$DN100*'Verwerking Bouwdelen'!GA27</f>
        <v>0</v>
      </c>
      <c r="DW100" s="223">
        <f>$DN100*'Verwerking Bouwdelen'!GB27</f>
        <v>0</v>
      </c>
      <c r="DX100" s="223">
        <f>$DN100*'Verwerking Bouwdelen'!GC27</f>
        <v>0</v>
      </c>
      <c r="DY100" s="223">
        <f>$DN100*'Verwerking Bouwdelen'!GD27</f>
        <v>0</v>
      </c>
      <c r="DZ100" s="223">
        <f>$DN100*'Verwerking Bouwdelen'!GE27</f>
        <v>0</v>
      </c>
      <c r="EA100" s="89">
        <f>'Verwerking Bouwdelen'!GO27*DN100</f>
        <v>0</v>
      </c>
      <c r="EB100" s="125">
        <f>'Verwerking Bouwdelen'!GP27*DN100</f>
        <v>0</v>
      </c>
      <c r="EC100" s="89">
        <f t="shared" si="41"/>
        <v>0</v>
      </c>
      <c r="GN100" s="220">
        <f t="shared" si="42"/>
        <v>0</v>
      </c>
      <c r="GO100" s="220">
        <f t="shared" si="43"/>
        <v>0</v>
      </c>
      <c r="GP100" s="220">
        <f t="shared" si="44"/>
        <v>0</v>
      </c>
      <c r="GQ100" s="220">
        <f t="shared" si="45"/>
        <v>0</v>
      </c>
      <c r="GR100" s="220">
        <f t="shared" si="45"/>
        <v>0</v>
      </c>
      <c r="GS100" s="220">
        <f t="shared" si="45"/>
        <v>0</v>
      </c>
      <c r="GT100" s="220">
        <f t="shared" si="45"/>
        <v>0</v>
      </c>
      <c r="GU100" s="220">
        <f t="shared" si="45"/>
        <v>0</v>
      </c>
      <c r="GV100" s="220">
        <f t="shared" si="45"/>
        <v>0</v>
      </c>
      <c r="GW100" s="220">
        <f t="shared" si="45"/>
        <v>0</v>
      </c>
      <c r="GX100" s="220">
        <f t="shared" si="45"/>
        <v>0</v>
      </c>
      <c r="GY100" s="220">
        <f t="shared" si="45"/>
        <v>0</v>
      </c>
    </row>
    <row r="101" spans="1:207" x14ac:dyDescent="0.2">
      <c r="A101" s="89">
        <f>IF('Verwerking Bouwdelen'!A28=3,1,0)</f>
        <v>0</v>
      </c>
      <c r="B101" s="226">
        <f>$A101*'Verwerking Bouwdelen'!CJ28</f>
        <v>0</v>
      </c>
      <c r="C101" s="227">
        <f>$A101*'Verwerking Bouwdelen'!CK28</f>
        <v>0</v>
      </c>
      <c r="D101" s="227">
        <f>$A101*'Verwerking Bouwdelen'!CL28</f>
        <v>0</v>
      </c>
      <c r="E101" s="227">
        <f>$A101*'Verwerking Bouwdelen'!CM28</f>
        <v>0</v>
      </c>
      <c r="F101" s="227">
        <f>$A101*'Verwerking Bouwdelen'!CN28</f>
        <v>0</v>
      </c>
      <c r="G101" s="227">
        <f>$A101*'Verwerking Bouwdelen'!CO28</f>
        <v>0</v>
      </c>
      <c r="H101" s="227">
        <f>$A101*'Verwerking Bouwdelen'!CP28</f>
        <v>0</v>
      </c>
      <c r="I101" s="227">
        <f>$A101*'Verwerking Bouwdelen'!CQ28</f>
        <v>0</v>
      </c>
      <c r="J101" s="227">
        <f>$A101*'Verwerking Bouwdelen'!CR28</f>
        <v>0</v>
      </c>
      <c r="K101" s="227">
        <f>$A101*'Verwerking Bouwdelen'!CS28</f>
        <v>0</v>
      </c>
      <c r="L101" s="227">
        <f>$A101*'Verwerking Bouwdelen'!CT28</f>
        <v>0</v>
      </c>
      <c r="M101" s="228">
        <f>$A101*'Verwerking Bouwdelen'!CU28</f>
        <v>0</v>
      </c>
      <c r="DN101" s="89">
        <f>IF('Verwerking Bouwdelen'!A28=3,1,0)</f>
        <v>0</v>
      </c>
      <c r="DO101" s="223">
        <f>$DN101*'Verwerking Bouwdelen'!FT28</f>
        <v>0</v>
      </c>
      <c r="DP101" s="223">
        <f>$DN101*'Verwerking Bouwdelen'!FU28</f>
        <v>0</v>
      </c>
      <c r="DQ101" s="223">
        <f>$DN101*'Verwerking Bouwdelen'!FV28</f>
        <v>0</v>
      </c>
      <c r="DR101" s="223">
        <f>$DN101*'Verwerking Bouwdelen'!FW28</f>
        <v>0</v>
      </c>
      <c r="DS101" s="223">
        <f>$DN101*'Verwerking Bouwdelen'!FX28</f>
        <v>0</v>
      </c>
      <c r="DT101" s="223">
        <f>$DN101*'Verwerking Bouwdelen'!FY28</f>
        <v>0</v>
      </c>
      <c r="DU101" s="223">
        <f>$DN101*'Verwerking Bouwdelen'!FZ28</f>
        <v>0</v>
      </c>
      <c r="DV101" s="223">
        <f>$DN101*'Verwerking Bouwdelen'!GA28</f>
        <v>0</v>
      </c>
      <c r="DW101" s="223">
        <f>$DN101*'Verwerking Bouwdelen'!GB28</f>
        <v>0</v>
      </c>
      <c r="DX101" s="223">
        <f>$DN101*'Verwerking Bouwdelen'!GC28</f>
        <v>0</v>
      </c>
      <c r="DY101" s="223">
        <f>$DN101*'Verwerking Bouwdelen'!GD28</f>
        <v>0</v>
      </c>
      <c r="DZ101" s="223">
        <f>$DN101*'Verwerking Bouwdelen'!GE28</f>
        <v>0</v>
      </c>
      <c r="EA101" s="89">
        <f>'Verwerking Bouwdelen'!GO28*DN101</f>
        <v>0</v>
      </c>
      <c r="EB101" s="125">
        <f>'Verwerking Bouwdelen'!GP28*DN101</f>
        <v>0</v>
      </c>
      <c r="EC101" s="89">
        <f t="shared" si="41"/>
        <v>0</v>
      </c>
      <c r="GN101" s="220">
        <f t="shared" si="42"/>
        <v>0</v>
      </c>
      <c r="GO101" s="220">
        <f t="shared" si="43"/>
        <v>0</v>
      </c>
      <c r="GP101" s="220">
        <f t="shared" si="44"/>
        <v>0</v>
      </c>
      <c r="GQ101" s="220">
        <f t="shared" si="45"/>
        <v>0</v>
      </c>
      <c r="GR101" s="220">
        <f t="shared" si="45"/>
        <v>0</v>
      </c>
      <c r="GS101" s="220">
        <f t="shared" si="45"/>
        <v>0</v>
      </c>
      <c r="GT101" s="220">
        <f t="shared" si="45"/>
        <v>0</v>
      </c>
      <c r="GU101" s="220">
        <f t="shared" si="45"/>
        <v>0</v>
      </c>
      <c r="GV101" s="220">
        <f t="shared" si="45"/>
        <v>0</v>
      </c>
      <c r="GW101" s="220">
        <f t="shared" si="45"/>
        <v>0</v>
      </c>
      <c r="GX101" s="220">
        <f t="shared" si="45"/>
        <v>0</v>
      </c>
      <c r="GY101" s="220">
        <f t="shared" si="45"/>
        <v>0</v>
      </c>
    </row>
    <row r="102" spans="1:207" x14ac:dyDescent="0.2">
      <c r="A102" s="89">
        <f>IF('Verwerking Bouwdelen'!A29=3,1,0)</f>
        <v>0</v>
      </c>
      <c r="B102" s="226">
        <f>$A102*'Verwerking Bouwdelen'!CJ29</f>
        <v>0</v>
      </c>
      <c r="C102" s="227">
        <f>$A102*'Verwerking Bouwdelen'!CK29</f>
        <v>0</v>
      </c>
      <c r="D102" s="227">
        <f>$A102*'Verwerking Bouwdelen'!CL29</f>
        <v>0</v>
      </c>
      <c r="E102" s="227">
        <f>$A102*'Verwerking Bouwdelen'!CM29</f>
        <v>0</v>
      </c>
      <c r="F102" s="227">
        <f>$A102*'Verwerking Bouwdelen'!CN29</f>
        <v>0</v>
      </c>
      <c r="G102" s="227">
        <f>$A102*'Verwerking Bouwdelen'!CO29</f>
        <v>0</v>
      </c>
      <c r="H102" s="227">
        <f>$A102*'Verwerking Bouwdelen'!CP29</f>
        <v>0</v>
      </c>
      <c r="I102" s="227">
        <f>$A102*'Verwerking Bouwdelen'!CQ29</f>
        <v>0</v>
      </c>
      <c r="J102" s="227">
        <f>$A102*'Verwerking Bouwdelen'!CR29</f>
        <v>0</v>
      </c>
      <c r="K102" s="227">
        <f>$A102*'Verwerking Bouwdelen'!CS29</f>
        <v>0</v>
      </c>
      <c r="L102" s="227">
        <f>$A102*'Verwerking Bouwdelen'!CT29</f>
        <v>0</v>
      </c>
      <c r="M102" s="228">
        <f>$A102*'Verwerking Bouwdelen'!CU29</f>
        <v>0</v>
      </c>
      <c r="DN102" s="89">
        <f>IF('Verwerking Bouwdelen'!A29=3,1,0)</f>
        <v>0</v>
      </c>
      <c r="DO102" s="223">
        <f>$DN102*'Verwerking Bouwdelen'!FT29</f>
        <v>0</v>
      </c>
      <c r="DP102" s="223">
        <f>$DN102*'Verwerking Bouwdelen'!FU29</f>
        <v>0</v>
      </c>
      <c r="DQ102" s="223">
        <f>$DN102*'Verwerking Bouwdelen'!FV29</f>
        <v>0</v>
      </c>
      <c r="DR102" s="223">
        <f>$DN102*'Verwerking Bouwdelen'!FW29</f>
        <v>0</v>
      </c>
      <c r="DS102" s="223">
        <f>$DN102*'Verwerking Bouwdelen'!FX29</f>
        <v>0</v>
      </c>
      <c r="DT102" s="223">
        <f>$DN102*'Verwerking Bouwdelen'!FY29</f>
        <v>0</v>
      </c>
      <c r="DU102" s="223">
        <f>$DN102*'Verwerking Bouwdelen'!FZ29</f>
        <v>0</v>
      </c>
      <c r="DV102" s="223">
        <f>$DN102*'Verwerking Bouwdelen'!GA29</f>
        <v>0</v>
      </c>
      <c r="DW102" s="223">
        <f>$DN102*'Verwerking Bouwdelen'!GB29</f>
        <v>0</v>
      </c>
      <c r="DX102" s="223">
        <f>$DN102*'Verwerking Bouwdelen'!GC29</f>
        <v>0</v>
      </c>
      <c r="DY102" s="223">
        <f>$DN102*'Verwerking Bouwdelen'!GD29</f>
        <v>0</v>
      </c>
      <c r="DZ102" s="223">
        <f>$DN102*'Verwerking Bouwdelen'!GE29</f>
        <v>0</v>
      </c>
      <c r="EA102" s="89">
        <f>'Verwerking Bouwdelen'!GO29*DN102</f>
        <v>0</v>
      </c>
      <c r="EB102" s="125">
        <f>'Verwerking Bouwdelen'!GP29*DN102</f>
        <v>0</v>
      </c>
      <c r="EC102" s="89">
        <f t="shared" si="41"/>
        <v>0</v>
      </c>
      <c r="GN102" s="220">
        <f t="shared" si="42"/>
        <v>0</v>
      </c>
      <c r="GO102" s="220">
        <f t="shared" si="43"/>
        <v>0</v>
      </c>
      <c r="GP102" s="220">
        <f t="shared" si="44"/>
        <v>0</v>
      </c>
      <c r="GQ102" s="220">
        <f t="shared" si="45"/>
        <v>0</v>
      </c>
      <c r="GR102" s="220">
        <f t="shared" si="45"/>
        <v>0</v>
      </c>
      <c r="GS102" s="220">
        <f t="shared" si="45"/>
        <v>0</v>
      </c>
      <c r="GT102" s="220">
        <f t="shared" si="45"/>
        <v>0</v>
      </c>
      <c r="GU102" s="220">
        <f t="shared" si="45"/>
        <v>0</v>
      </c>
      <c r="GV102" s="220">
        <f t="shared" si="45"/>
        <v>0</v>
      </c>
      <c r="GW102" s="220">
        <f t="shared" si="45"/>
        <v>0</v>
      </c>
      <c r="GX102" s="220">
        <f t="shared" si="45"/>
        <v>0</v>
      </c>
      <c r="GY102" s="220">
        <f t="shared" si="45"/>
        <v>0</v>
      </c>
    </row>
    <row r="103" spans="1:207" x14ac:dyDescent="0.2">
      <c r="A103" s="89">
        <f>IF('Verwerking Bouwdelen'!A30=3,1,0)</f>
        <v>0</v>
      </c>
      <c r="B103" s="226">
        <f>$A103*'Verwerking Bouwdelen'!CJ30</f>
        <v>0</v>
      </c>
      <c r="C103" s="227">
        <f>$A103*'Verwerking Bouwdelen'!CK30</f>
        <v>0</v>
      </c>
      <c r="D103" s="227">
        <f>$A103*'Verwerking Bouwdelen'!CL30</f>
        <v>0</v>
      </c>
      <c r="E103" s="227">
        <f>$A103*'Verwerking Bouwdelen'!CM30</f>
        <v>0</v>
      </c>
      <c r="F103" s="227">
        <f>$A103*'Verwerking Bouwdelen'!CN30</f>
        <v>0</v>
      </c>
      <c r="G103" s="227">
        <f>$A103*'Verwerking Bouwdelen'!CO30</f>
        <v>0</v>
      </c>
      <c r="H103" s="227">
        <f>$A103*'Verwerking Bouwdelen'!CP30</f>
        <v>0</v>
      </c>
      <c r="I103" s="227">
        <f>$A103*'Verwerking Bouwdelen'!CQ30</f>
        <v>0</v>
      </c>
      <c r="J103" s="227">
        <f>$A103*'Verwerking Bouwdelen'!CR30</f>
        <v>0</v>
      </c>
      <c r="K103" s="227">
        <f>$A103*'Verwerking Bouwdelen'!CS30</f>
        <v>0</v>
      </c>
      <c r="L103" s="227">
        <f>$A103*'Verwerking Bouwdelen'!CT30</f>
        <v>0</v>
      </c>
      <c r="M103" s="228">
        <f>$A103*'Verwerking Bouwdelen'!CU30</f>
        <v>0</v>
      </c>
      <c r="DN103" s="89">
        <f>IF('Verwerking Bouwdelen'!A30=3,1,0)</f>
        <v>0</v>
      </c>
      <c r="DO103" s="223">
        <f>$DN103*'Verwerking Bouwdelen'!FT30</f>
        <v>0</v>
      </c>
      <c r="DP103" s="223">
        <f>$DN103*'Verwerking Bouwdelen'!FU30</f>
        <v>0</v>
      </c>
      <c r="DQ103" s="223">
        <f>$DN103*'Verwerking Bouwdelen'!FV30</f>
        <v>0</v>
      </c>
      <c r="DR103" s="223">
        <f>$DN103*'Verwerking Bouwdelen'!FW30</f>
        <v>0</v>
      </c>
      <c r="DS103" s="223">
        <f>$DN103*'Verwerking Bouwdelen'!FX30</f>
        <v>0</v>
      </c>
      <c r="DT103" s="223">
        <f>$DN103*'Verwerking Bouwdelen'!FY30</f>
        <v>0</v>
      </c>
      <c r="DU103" s="223">
        <f>$DN103*'Verwerking Bouwdelen'!FZ30</f>
        <v>0</v>
      </c>
      <c r="DV103" s="223">
        <f>$DN103*'Verwerking Bouwdelen'!GA30</f>
        <v>0</v>
      </c>
      <c r="DW103" s="223">
        <f>$DN103*'Verwerking Bouwdelen'!GB30</f>
        <v>0</v>
      </c>
      <c r="DX103" s="223">
        <f>$DN103*'Verwerking Bouwdelen'!GC30</f>
        <v>0</v>
      </c>
      <c r="DY103" s="223">
        <f>$DN103*'Verwerking Bouwdelen'!GD30</f>
        <v>0</v>
      </c>
      <c r="DZ103" s="223">
        <f>$DN103*'Verwerking Bouwdelen'!GE30</f>
        <v>0</v>
      </c>
      <c r="EA103" s="89">
        <f>'Verwerking Bouwdelen'!GO30*DN103</f>
        <v>0</v>
      </c>
      <c r="EB103" s="125">
        <f>'Verwerking Bouwdelen'!GP30*DN103</f>
        <v>0</v>
      </c>
      <c r="EC103" s="89">
        <f t="shared" si="41"/>
        <v>0</v>
      </c>
      <c r="GN103" s="220">
        <f t="shared" si="42"/>
        <v>0</v>
      </c>
      <c r="GO103" s="220">
        <f t="shared" si="43"/>
        <v>0</v>
      </c>
      <c r="GP103" s="220">
        <f t="shared" si="44"/>
        <v>0</v>
      </c>
      <c r="GQ103" s="220">
        <f t="shared" si="45"/>
        <v>0</v>
      </c>
      <c r="GR103" s="220">
        <f t="shared" si="45"/>
        <v>0</v>
      </c>
      <c r="GS103" s="220">
        <f t="shared" si="45"/>
        <v>0</v>
      </c>
      <c r="GT103" s="220">
        <f t="shared" si="45"/>
        <v>0</v>
      </c>
      <c r="GU103" s="220">
        <f t="shared" si="45"/>
        <v>0</v>
      </c>
      <c r="GV103" s="220">
        <f t="shared" si="45"/>
        <v>0</v>
      </c>
      <c r="GW103" s="220">
        <f t="shared" si="45"/>
        <v>0</v>
      </c>
      <c r="GX103" s="220">
        <f t="shared" si="45"/>
        <v>0</v>
      </c>
      <c r="GY103" s="220">
        <f t="shared" si="45"/>
        <v>0</v>
      </c>
    </row>
    <row r="104" spans="1:207" x14ac:dyDescent="0.2">
      <c r="A104" s="89">
        <f>IF('Verwerking Bouwdelen'!A31=3,1,0)</f>
        <v>0</v>
      </c>
      <c r="B104" s="226">
        <f>$A104*'Verwerking Bouwdelen'!CJ31</f>
        <v>0</v>
      </c>
      <c r="C104" s="227">
        <f>$A104*'Verwerking Bouwdelen'!CK31</f>
        <v>0</v>
      </c>
      <c r="D104" s="227">
        <f>$A104*'Verwerking Bouwdelen'!CL31</f>
        <v>0</v>
      </c>
      <c r="E104" s="227">
        <f>$A104*'Verwerking Bouwdelen'!CM31</f>
        <v>0</v>
      </c>
      <c r="F104" s="227">
        <f>$A104*'Verwerking Bouwdelen'!CN31</f>
        <v>0</v>
      </c>
      <c r="G104" s="227">
        <f>$A104*'Verwerking Bouwdelen'!CO31</f>
        <v>0</v>
      </c>
      <c r="H104" s="227">
        <f>$A104*'Verwerking Bouwdelen'!CP31</f>
        <v>0</v>
      </c>
      <c r="I104" s="227">
        <f>$A104*'Verwerking Bouwdelen'!CQ31</f>
        <v>0</v>
      </c>
      <c r="J104" s="227">
        <f>$A104*'Verwerking Bouwdelen'!CR31</f>
        <v>0</v>
      </c>
      <c r="K104" s="227">
        <f>$A104*'Verwerking Bouwdelen'!CS31</f>
        <v>0</v>
      </c>
      <c r="L104" s="227">
        <f>$A104*'Verwerking Bouwdelen'!CT31</f>
        <v>0</v>
      </c>
      <c r="M104" s="228">
        <f>$A104*'Verwerking Bouwdelen'!CU31</f>
        <v>0</v>
      </c>
      <c r="DN104" s="89">
        <f>IF('Verwerking Bouwdelen'!A31=3,1,0)</f>
        <v>0</v>
      </c>
      <c r="DO104" s="223">
        <f>$DN104*'Verwerking Bouwdelen'!FT31</f>
        <v>0</v>
      </c>
      <c r="DP104" s="223">
        <f>$DN104*'Verwerking Bouwdelen'!FU31</f>
        <v>0</v>
      </c>
      <c r="DQ104" s="223">
        <f>$DN104*'Verwerking Bouwdelen'!FV31</f>
        <v>0</v>
      </c>
      <c r="DR104" s="223">
        <f>$DN104*'Verwerking Bouwdelen'!FW31</f>
        <v>0</v>
      </c>
      <c r="DS104" s="223">
        <f>$DN104*'Verwerking Bouwdelen'!FX31</f>
        <v>0</v>
      </c>
      <c r="DT104" s="223">
        <f>$DN104*'Verwerking Bouwdelen'!FY31</f>
        <v>0</v>
      </c>
      <c r="DU104" s="223">
        <f>$DN104*'Verwerking Bouwdelen'!FZ31</f>
        <v>0</v>
      </c>
      <c r="DV104" s="223">
        <f>$DN104*'Verwerking Bouwdelen'!GA31</f>
        <v>0</v>
      </c>
      <c r="DW104" s="223">
        <f>$DN104*'Verwerking Bouwdelen'!GB31</f>
        <v>0</v>
      </c>
      <c r="DX104" s="223">
        <f>$DN104*'Verwerking Bouwdelen'!GC31</f>
        <v>0</v>
      </c>
      <c r="DY104" s="223">
        <f>$DN104*'Verwerking Bouwdelen'!GD31</f>
        <v>0</v>
      </c>
      <c r="DZ104" s="223">
        <f>$DN104*'Verwerking Bouwdelen'!GE31</f>
        <v>0</v>
      </c>
      <c r="EA104" s="89">
        <f>'Verwerking Bouwdelen'!GO31*DN104</f>
        <v>0</v>
      </c>
      <c r="EB104" s="125">
        <f>'Verwerking Bouwdelen'!GP31*DN104</f>
        <v>0</v>
      </c>
      <c r="EC104" s="89">
        <f t="shared" si="41"/>
        <v>0</v>
      </c>
      <c r="GN104" s="220">
        <f t="shared" si="42"/>
        <v>0</v>
      </c>
      <c r="GO104" s="220">
        <f t="shared" si="43"/>
        <v>0</v>
      </c>
      <c r="GP104" s="220">
        <f t="shared" si="44"/>
        <v>0</v>
      </c>
      <c r="GQ104" s="220">
        <f t="shared" si="45"/>
        <v>0</v>
      </c>
      <c r="GR104" s="220">
        <f t="shared" si="45"/>
        <v>0</v>
      </c>
      <c r="GS104" s="220">
        <f t="shared" si="45"/>
        <v>0</v>
      </c>
      <c r="GT104" s="220">
        <f t="shared" si="45"/>
        <v>0</v>
      </c>
      <c r="GU104" s="220">
        <f t="shared" si="45"/>
        <v>0</v>
      </c>
      <c r="GV104" s="220">
        <f t="shared" si="45"/>
        <v>0</v>
      </c>
      <c r="GW104" s="220">
        <f t="shared" si="45"/>
        <v>0</v>
      </c>
      <c r="GX104" s="220">
        <f t="shared" si="45"/>
        <v>0</v>
      </c>
      <c r="GY104" s="220">
        <f t="shared" si="45"/>
        <v>0</v>
      </c>
    </row>
    <row r="105" spans="1:207" x14ac:dyDescent="0.2">
      <c r="A105" s="89">
        <f>IF('Verwerking Bouwdelen'!A32=3,1,0)</f>
        <v>0</v>
      </c>
      <c r="B105" s="226">
        <f>$A105*'Verwerking Bouwdelen'!CJ32</f>
        <v>0</v>
      </c>
      <c r="C105" s="227">
        <f>$A105*'Verwerking Bouwdelen'!CK32</f>
        <v>0</v>
      </c>
      <c r="D105" s="227">
        <f>$A105*'Verwerking Bouwdelen'!CL32</f>
        <v>0</v>
      </c>
      <c r="E105" s="227">
        <f>$A105*'Verwerking Bouwdelen'!CM32</f>
        <v>0</v>
      </c>
      <c r="F105" s="227">
        <f>$A105*'Verwerking Bouwdelen'!CN32</f>
        <v>0</v>
      </c>
      <c r="G105" s="227">
        <f>$A105*'Verwerking Bouwdelen'!CO32</f>
        <v>0</v>
      </c>
      <c r="H105" s="227">
        <f>$A105*'Verwerking Bouwdelen'!CP32</f>
        <v>0</v>
      </c>
      <c r="I105" s="227">
        <f>$A105*'Verwerking Bouwdelen'!CQ32</f>
        <v>0</v>
      </c>
      <c r="J105" s="227">
        <f>$A105*'Verwerking Bouwdelen'!CR32</f>
        <v>0</v>
      </c>
      <c r="K105" s="227">
        <f>$A105*'Verwerking Bouwdelen'!CS32</f>
        <v>0</v>
      </c>
      <c r="L105" s="227">
        <f>$A105*'Verwerking Bouwdelen'!CT32</f>
        <v>0</v>
      </c>
      <c r="M105" s="228">
        <f>$A105*'Verwerking Bouwdelen'!CU32</f>
        <v>0</v>
      </c>
      <c r="DN105" s="89">
        <f>IF('Verwerking Bouwdelen'!A32=3,1,0)</f>
        <v>0</v>
      </c>
      <c r="DO105" s="223">
        <f>$DN105*'Verwerking Bouwdelen'!FT32</f>
        <v>0</v>
      </c>
      <c r="DP105" s="223">
        <f>$DN105*'Verwerking Bouwdelen'!FU32</f>
        <v>0</v>
      </c>
      <c r="DQ105" s="223">
        <f>$DN105*'Verwerking Bouwdelen'!FV32</f>
        <v>0</v>
      </c>
      <c r="DR105" s="223">
        <f>$DN105*'Verwerking Bouwdelen'!FW32</f>
        <v>0</v>
      </c>
      <c r="DS105" s="223">
        <f>$DN105*'Verwerking Bouwdelen'!FX32</f>
        <v>0</v>
      </c>
      <c r="DT105" s="223">
        <f>$DN105*'Verwerking Bouwdelen'!FY32</f>
        <v>0</v>
      </c>
      <c r="DU105" s="223">
        <f>$DN105*'Verwerking Bouwdelen'!FZ32</f>
        <v>0</v>
      </c>
      <c r="DV105" s="223">
        <f>$DN105*'Verwerking Bouwdelen'!GA32</f>
        <v>0</v>
      </c>
      <c r="DW105" s="223">
        <f>$DN105*'Verwerking Bouwdelen'!GB32</f>
        <v>0</v>
      </c>
      <c r="DX105" s="223">
        <f>$DN105*'Verwerking Bouwdelen'!GC32</f>
        <v>0</v>
      </c>
      <c r="DY105" s="223">
        <f>$DN105*'Verwerking Bouwdelen'!GD32</f>
        <v>0</v>
      </c>
      <c r="DZ105" s="223">
        <f>$DN105*'Verwerking Bouwdelen'!GE32</f>
        <v>0</v>
      </c>
      <c r="EA105" s="89">
        <f>'Verwerking Bouwdelen'!GO32*DN105</f>
        <v>0</v>
      </c>
      <c r="EB105" s="125">
        <f>'Verwerking Bouwdelen'!GP32*DN105</f>
        <v>0</v>
      </c>
      <c r="EC105" s="89">
        <f t="shared" si="41"/>
        <v>0</v>
      </c>
      <c r="GN105" s="220">
        <f t="shared" si="42"/>
        <v>0</v>
      </c>
      <c r="GO105" s="220">
        <f t="shared" si="43"/>
        <v>0</v>
      </c>
      <c r="GP105" s="220">
        <f t="shared" si="44"/>
        <v>0</v>
      </c>
      <c r="GQ105" s="220">
        <f t="shared" si="45"/>
        <v>0</v>
      </c>
      <c r="GR105" s="220">
        <f t="shared" si="45"/>
        <v>0</v>
      </c>
      <c r="GS105" s="220">
        <f t="shared" si="45"/>
        <v>0</v>
      </c>
      <c r="GT105" s="220">
        <f t="shared" si="45"/>
        <v>0</v>
      </c>
      <c r="GU105" s="220">
        <f t="shared" si="45"/>
        <v>0</v>
      </c>
      <c r="GV105" s="220">
        <f t="shared" si="45"/>
        <v>0</v>
      </c>
      <c r="GW105" s="220">
        <f t="shared" si="45"/>
        <v>0</v>
      </c>
      <c r="GX105" s="220">
        <f t="shared" si="45"/>
        <v>0</v>
      </c>
      <c r="GY105" s="220">
        <f t="shared" si="45"/>
        <v>0</v>
      </c>
    </row>
    <row r="106" spans="1:207" x14ac:dyDescent="0.2">
      <c r="A106" s="89">
        <f>IF('Verwerking Bouwdelen'!A33=3,1,0)</f>
        <v>0</v>
      </c>
      <c r="B106" s="226">
        <f>$A106*'Verwerking Bouwdelen'!CJ33</f>
        <v>0</v>
      </c>
      <c r="C106" s="227">
        <f>$A106*'Verwerking Bouwdelen'!CK33</f>
        <v>0</v>
      </c>
      <c r="D106" s="227">
        <f>$A106*'Verwerking Bouwdelen'!CL33</f>
        <v>0</v>
      </c>
      <c r="E106" s="227">
        <f>$A106*'Verwerking Bouwdelen'!CM33</f>
        <v>0</v>
      </c>
      <c r="F106" s="227">
        <f>$A106*'Verwerking Bouwdelen'!CN33</f>
        <v>0</v>
      </c>
      <c r="G106" s="227">
        <f>$A106*'Verwerking Bouwdelen'!CO33</f>
        <v>0</v>
      </c>
      <c r="H106" s="227">
        <f>$A106*'Verwerking Bouwdelen'!CP33</f>
        <v>0</v>
      </c>
      <c r="I106" s="227">
        <f>$A106*'Verwerking Bouwdelen'!CQ33</f>
        <v>0</v>
      </c>
      <c r="J106" s="227">
        <f>$A106*'Verwerking Bouwdelen'!CR33</f>
        <v>0</v>
      </c>
      <c r="K106" s="227">
        <f>$A106*'Verwerking Bouwdelen'!CS33</f>
        <v>0</v>
      </c>
      <c r="L106" s="227">
        <f>$A106*'Verwerking Bouwdelen'!CT33</f>
        <v>0</v>
      </c>
      <c r="M106" s="228">
        <f>$A106*'Verwerking Bouwdelen'!CU33</f>
        <v>0</v>
      </c>
      <c r="DN106" s="89">
        <f>IF('Verwerking Bouwdelen'!A33=3,1,0)</f>
        <v>0</v>
      </c>
      <c r="DO106" s="223">
        <f>$DN106*'Verwerking Bouwdelen'!FT33</f>
        <v>0</v>
      </c>
      <c r="DP106" s="223">
        <f>$DN106*'Verwerking Bouwdelen'!FU33</f>
        <v>0</v>
      </c>
      <c r="DQ106" s="223">
        <f>$DN106*'Verwerking Bouwdelen'!FV33</f>
        <v>0</v>
      </c>
      <c r="DR106" s="223">
        <f>$DN106*'Verwerking Bouwdelen'!FW33</f>
        <v>0</v>
      </c>
      <c r="DS106" s="223">
        <f>$DN106*'Verwerking Bouwdelen'!FX33</f>
        <v>0</v>
      </c>
      <c r="DT106" s="223">
        <f>$DN106*'Verwerking Bouwdelen'!FY33</f>
        <v>0</v>
      </c>
      <c r="DU106" s="223">
        <f>$DN106*'Verwerking Bouwdelen'!FZ33</f>
        <v>0</v>
      </c>
      <c r="DV106" s="223">
        <f>$DN106*'Verwerking Bouwdelen'!GA33</f>
        <v>0</v>
      </c>
      <c r="DW106" s="223">
        <f>$DN106*'Verwerking Bouwdelen'!GB33</f>
        <v>0</v>
      </c>
      <c r="DX106" s="223">
        <f>$DN106*'Verwerking Bouwdelen'!GC33</f>
        <v>0</v>
      </c>
      <c r="DY106" s="223">
        <f>$DN106*'Verwerking Bouwdelen'!GD33</f>
        <v>0</v>
      </c>
      <c r="DZ106" s="223">
        <f>$DN106*'Verwerking Bouwdelen'!GE33</f>
        <v>0</v>
      </c>
      <c r="EA106" s="89">
        <f>'Verwerking Bouwdelen'!GO33*DN106</f>
        <v>0</v>
      </c>
      <c r="EB106" s="125">
        <f>'Verwerking Bouwdelen'!GP33*DN106</f>
        <v>0</v>
      </c>
      <c r="EC106" s="89">
        <f t="shared" si="41"/>
        <v>0</v>
      </c>
      <c r="GN106" s="220">
        <f t="shared" si="42"/>
        <v>0</v>
      </c>
      <c r="GO106" s="220">
        <f t="shared" si="43"/>
        <v>0</v>
      </c>
      <c r="GP106" s="220">
        <f t="shared" si="44"/>
        <v>0</v>
      </c>
      <c r="GQ106" s="220">
        <f t="shared" si="45"/>
        <v>0</v>
      </c>
      <c r="GR106" s="220">
        <f t="shared" si="45"/>
        <v>0</v>
      </c>
      <c r="GS106" s="220">
        <f t="shared" si="45"/>
        <v>0</v>
      </c>
      <c r="GT106" s="220">
        <f t="shared" si="45"/>
        <v>0</v>
      </c>
      <c r="GU106" s="220">
        <f t="shared" si="45"/>
        <v>0</v>
      </c>
      <c r="GV106" s="220">
        <f t="shared" si="45"/>
        <v>0</v>
      </c>
      <c r="GW106" s="220">
        <f t="shared" si="45"/>
        <v>0</v>
      </c>
      <c r="GX106" s="220">
        <f t="shared" si="45"/>
        <v>0</v>
      </c>
      <c r="GY106" s="220">
        <f t="shared" si="45"/>
        <v>0</v>
      </c>
    </row>
    <row r="107" spans="1:207" x14ac:dyDescent="0.2">
      <c r="A107" s="89">
        <f>IF('Verwerking Bouwdelen'!A34=3,1,0)</f>
        <v>0</v>
      </c>
      <c r="B107" s="226">
        <f>$A107*'Verwerking Bouwdelen'!CJ34</f>
        <v>0</v>
      </c>
      <c r="C107" s="227">
        <f>$A107*'Verwerking Bouwdelen'!CK34</f>
        <v>0</v>
      </c>
      <c r="D107" s="227">
        <f>$A107*'Verwerking Bouwdelen'!CL34</f>
        <v>0</v>
      </c>
      <c r="E107" s="227">
        <f>$A107*'Verwerking Bouwdelen'!CM34</f>
        <v>0</v>
      </c>
      <c r="F107" s="227">
        <f>$A107*'Verwerking Bouwdelen'!CN34</f>
        <v>0</v>
      </c>
      <c r="G107" s="227">
        <f>$A107*'Verwerking Bouwdelen'!CO34</f>
        <v>0</v>
      </c>
      <c r="H107" s="227">
        <f>$A107*'Verwerking Bouwdelen'!CP34</f>
        <v>0</v>
      </c>
      <c r="I107" s="227">
        <f>$A107*'Verwerking Bouwdelen'!CQ34</f>
        <v>0</v>
      </c>
      <c r="J107" s="227">
        <f>$A107*'Verwerking Bouwdelen'!CR34</f>
        <v>0</v>
      </c>
      <c r="K107" s="227">
        <f>$A107*'Verwerking Bouwdelen'!CS34</f>
        <v>0</v>
      </c>
      <c r="L107" s="227">
        <f>$A107*'Verwerking Bouwdelen'!CT34</f>
        <v>0</v>
      </c>
      <c r="M107" s="228">
        <f>$A107*'Verwerking Bouwdelen'!CU34</f>
        <v>0</v>
      </c>
      <c r="DN107" s="89">
        <f>IF('Verwerking Bouwdelen'!A34=3,1,0)</f>
        <v>0</v>
      </c>
      <c r="DO107" s="223">
        <f>$DN107*'Verwerking Bouwdelen'!FT34</f>
        <v>0</v>
      </c>
      <c r="DP107" s="223">
        <f>$DN107*'Verwerking Bouwdelen'!FU34</f>
        <v>0</v>
      </c>
      <c r="DQ107" s="223">
        <f>$DN107*'Verwerking Bouwdelen'!FV34</f>
        <v>0</v>
      </c>
      <c r="DR107" s="223">
        <f>$DN107*'Verwerking Bouwdelen'!FW34</f>
        <v>0</v>
      </c>
      <c r="DS107" s="223">
        <f>$DN107*'Verwerking Bouwdelen'!FX34</f>
        <v>0</v>
      </c>
      <c r="DT107" s="223">
        <f>$DN107*'Verwerking Bouwdelen'!FY34</f>
        <v>0</v>
      </c>
      <c r="DU107" s="223">
        <f>$DN107*'Verwerking Bouwdelen'!FZ34</f>
        <v>0</v>
      </c>
      <c r="DV107" s="223">
        <f>$DN107*'Verwerking Bouwdelen'!GA34</f>
        <v>0</v>
      </c>
      <c r="DW107" s="223">
        <f>$DN107*'Verwerking Bouwdelen'!GB34</f>
        <v>0</v>
      </c>
      <c r="DX107" s="223">
        <f>$DN107*'Verwerking Bouwdelen'!GC34</f>
        <v>0</v>
      </c>
      <c r="DY107" s="223">
        <f>$DN107*'Verwerking Bouwdelen'!GD34</f>
        <v>0</v>
      </c>
      <c r="DZ107" s="223">
        <f>$DN107*'Verwerking Bouwdelen'!GE34</f>
        <v>0</v>
      </c>
      <c r="EA107" s="89">
        <f>'Verwerking Bouwdelen'!GO34*DN107</f>
        <v>0</v>
      </c>
      <c r="EB107" s="125">
        <f>'Verwerking Bouwdelen'!GP34*DN107</f>
        <v>0</v>
      </c>
      <c r="EC107" s="89">
        <f t="shared" si="41"/>
        <v>0</v>
      </c>
      <c r="GN107" s="220">
        <f t="shared" si="42"/>
        <v>0</v>
      </c>
      <c r="GO107" s="220">
        <f t="shared" si="43"/>
        <v>0</v>
      </c>
      <c r="GP107" s="220">
        <f t="shared" si="44"/>
        <v>0</v>
      </c>
      <c r="GQ107" s="220">
        <f t="shared" si="45"/>
        <v>0</v>
      </c>
      <c r="GR107" s="220">
        <f t="shared" si="45"/>
        <v>0</v>
      </c>
      <c r="GS107" s="220">
        <f t="shared" si="45"/>
        <v>0</v>
      </c>
      <c r="GT107" s="220">
        <f t="shared" si="45"/>
        <v>0</v>
      </c>
      <c r="GU107" s="220">
        <f t="shared" si="45"/>
        <v>0</v>
      </c>
      <c r="GV107" s="220">
        <f t="shared" si="45"/>
        <v>0</v>
      </c>
      <c r="GW107" s="220">
        <f t="shared" si="45"/>
        <v>0</v>
      </c>
      <c r="GX107" s="220">
        <f t="shared" si="45"/>
        <v>0</v>
      </c>
      <c r="GY107" s="220">
        <f t="shared" si="45"/>
        <v>0</v>
      </c>
    </row>
    <row r="108" spans="1:207" x14ac:dyDescent="0.2">
      <c r="A108" s="89">
        <f>IF('Verwerking Bouwdelen'!A35=3,1,0)</f>
        <v>0</v>
      </c>
      <c r="B108" s="226">
        <f>$A108*'Verwerking Bouwdelen'!CJ35</f>
        <v>0</v>
      </c>
      <c r="C108" s="227">
        <f>$A108*'Verwerking Bouwdelen'!CK35</f>
        <v>0</v>
      </c>
      <c r="D108" s="227">
        <f>$A108*'Verwerking Bouwdelen'!CL35</f>
        <v>0</v>
      </c>
      <c r="E108" s="227">
        <f>$A108*'Verwerking Bouwdelen'!CM35</f>
        <v>0</v>
      </c>
      <c r="F108" s="227">
        <f>$A108*'Verwerking Bouwdelen'!CN35</f>
        <v>0</v>
      </c>
      <c r="G108" s="227">
        <f>$A108*'Verwerking Bouwdelen'!CO35</f>
        <v>0</v>
      </c>
      <c r="H108" s="227">
        <f>$A108*'Verwerking Bouwdelen'!CP35</f>
        <v>0</v>
      </c>
      <c r="I108" s="227">
        <f>$A108*'Verwerking Bouwdelen'!CQ35</f>
        <v>0</v>
      </c>
      <c r="J108" s="227">
        <f>$A108*'Verwerking Bouwdelen'!CR35</f>
        <v>0</v>
      </c>
      <c r="K108" s="227">
        <f>$A108*'Verwerking Bouwdelen'!CS35</f>
        <v>0</v>
      </c>
      <c r="L108" s="227">
        <f>$A108*'Verwerking Bouwdelen'!CT35</f>
        <v>0</v>
      </c>
      <c r="M108" s="228">
        <f>$A108*'Verwerking Bouwdelen'!CU35</f>
        <v>0</v>
      </c>
      <c r="DN108" s="89">
        <f>IF('Verwerking Bouwdelen'!A35=3,1,0)</f>
        <v>0</v>
      </c>
      <c r="DO108" s="223">
        <f>$DN108*'Verwerking Bouwdelen'!FT35</f>
        <v>0</v>
      </c>
      <c r="DP108" s="223">
        <f>$DN108*'Verwerking Bouwdelen'!FU35</f>
        <v>0</v>
      </c>
      <c r="DQ108" s="223">
        <f>$DN108*'Verwerking Bouwdelen'!FV35</f>
        <v>0</v>
      </c>
      <c r="DR108" s="223">
        <f>$DN108*'Verwerking Bouwdelen'!FW35</f>
        <v>0</v>
      </c>
      <c r="DS108" s="223">
        <f>$DN108*'Verwerking Bouwdelen'!FX35</f>
        <v>0</v>
      </c>
      <c r="DT108" s="223">
        <f>$DN108*'Verwerking Bouwdelen'!FY35</f>
        <v>0</v>
      </c>
      <c r="DU108" s="223">
        <f>$DN108*'Verwerking Bouwdelen'!FZ35</f>
        <v>0</v>
      </c>
      <c r="DV108" s="223">
        <f>$DN108*'Verwerking Bouwdelen'!GA35</f>
        <v>0</v>
      </c>
      <c r="DW108" s="223">
        <f>$DN108*'Verwerking Bouwdelen'!GB35</f>
        <v>0</v>
      </c>
      <c r="DX108" s="223">
        <f>$DN108*'Verwerking Bouwdelen'!GC35</f>
        <v>0</v>
      </c>
      <c r="DY108" s="223">
        <f>$DN108*'Verwerking Bouwdelen'!GD35</f>
        <v>0</v>
      </c>
      <c r="DZ108" s="223">
        <f>$DN108*'Verwerking Bouwdelen'!GE35</f>
        <v>0</v>
      </c>
      <c r="EA108" s="89">
        <f>'Verwerking Bouwdelen'!GO35*DN108</f>
        <v>0</v>
      </c>
      <c r="EB108" s="125">
        <f>'Verwerking Bouwdelen'!GP35*DN108</f>
        <v>0</v>
      </c>
      <c r="EC108" s="89">
        <f t="shared" si="41"/>
        <v>0</v>
      </c>
      <c r="GN108" s="220">
        <f t="shared" si="42"/>
        <v>0</v>
      </c>
      <c r="GO108" s="220">
        <f t="shared" si="43"/>
        <v>0</v>
      </c>
      <c r="GP108" s="220">
        <f t="shared" si="44"/>
        <v>0</v>
      </c>
      <c r="GQ108" s="220">
        <f t="shared" si="45"/>
        <v>0</v>
      </c>
      <c r="GR108" s="220">
        <f t="shared" si="45"/>
        <v>0</v>
      </c>
      <c r="GS108" s="220">
        <f t="shared" si="45"/>
        <v>0</v>
      </c>
      <c r="GT108" s="220">
        <f t="shared" si="45"/>
        <v>0</v>
      </c>
      <c r="GU108" s="220">
        <f t="shared" si="45"/>
        <v>0</v>
      </c>
      <c r="GV108" s="220">
        <f t="shared" si="45"/>
        <v>0</v>
      </c>
      <c r="GW108" s="220">
        <f t="shared" si="45"/>
        <v>0</v>
      </c>
      <c r="GX108" s="220">
        <f t="shared" si="45"/>
        <v>0</v>
      </c>
      <c r="GY108" s="220">
        <f t="shared" si="45"/>
        <v>0</v>
      </c>
    </row>
    <row r="109" spans="1:207" x14ac:dyDescent="0.2">
      <c r="A109" s="89">
        <f>IF('Verwerking Bouwdelen'!A36=3,1,0)</f>
        <v>0</v>
      </c>
      <c r="B109" s="226">
        <f>$A109*'Verwerking Bouwdelen'!CJ36</f>
        <v>0</v>
      </c>
      <c r="C109" s="227">
        <f>$A109*'Verwerking Bouwdelen'!CK36</f>
        <v>0</v>
      </c>
      <c r="D109" s="227">
        <f>$A109*'Verwerking Bouwdelen'!CL36</f>
        <v>0</v>
      </c>
      <c r="E109" s="227">
        <f>$A109*'Verwerking Bouwdelen'!CM36</f>
        <v>0</v>
      </c>
      <c r="F109" s="227">
        <f>$A109*'Verwerking Bouwdelen'!CN36</f>
        <v>0</v>
      </c>
      <c r="G109" s="227">
        <f>$A109*'Verwerking Bouwdelen'!CO36</f>
        <v>0</v>
      </c>
      <c r="H109" s="227">
        <f>$A109*'Verwerking Bouwdelen'!CP36</f>
        <v>0</v>
      </c>
      <c r="I109" s="227">
        <f>$A109*'Verwerking Bouwdelen'!CQ36</f>
        <v>0</v>
      </c>
      <c r="J109" s="227">
        <f>$A109*'Verwerking Bouwdelen'!CR36</f>
        <v>0</v>
      </c>
      <c r="K109" s="227">
        <f>$A109*'Verwerking Bouwdelen'!CS36</f>
        <v>0</v>
      </c>
      <c r="L109" s="227">
        <f>$A109*'Verwerking Bouwdelen'!CT36</f>
        <v>0</v>
      </c>
      <c r="M109" s="228">
        <f>$A109*'Verwerking Bouwdelen'!CU36</f>
        <v>0</v>
      </c>
      <c r="DN109" s="89">
        <f>IF('Verwerking Bouwdelen'!A36=3,1,0)</f>
        <v>0</v>
      </c>
      <c r="DO109" s="223">
        <f>$DN109*'Verwerking Bouwdelen'!FT36</f>
        <v>0</v>
      </c>
      <c r="DP109" s="223">
        <f>$DN109*'Verwerking Bouwdelen'!FU36</f>
        <v>0</v>
      </c>
      <c r="DQ109" s="223">
        <f>$DN109*'Verwerking Bouwdelen'!FV36</f>
        <v>0</v>
      </c>
      <c r="DR109" s="223">
        <f>$DN109*'Verwerking Bouwdelen'!FW36</f>
        <v>0</v>
      </c>
      <c r="DS109" s="223">
        <f>$DN109*'Verwerking Bouwdelen'!FX36</f>
        <v>0</v>
      </c>
      <c r="DT109" s="223">
        <f>$DN109*'Verwerking Bouwdelen'!FY36</f>
        <v>0</v>
      </c>
      <c r="DU109" s="223">
        <f>$DN109*'Verwerking Bouwdelen'!FZ36</f>
        <v>0</v>
      </c>
      <c r="DV109" s="223">
        <f>$DN109*'Verwerking Bouwdelen'!GA36</f>
        <v>0</v>
      </c>
      <c r="DW109" s="223">
        <f>$DN109*'Verwerking Bouwdelen'!GB36</f>
        <v>0</v>
      </c>
      <c r="DX109" s="223">
        <f>$DN109*'Verwerking Bouwdelen'!GC36</f>
        <v>0</v>
      </c>
      <c r="DY109" s="223">
        <f>$DN109*'Verwerking Bouwdelen'!GD36</f>
        <v>0</v>
      </c>
      <c r="DZ109" s="223">
        <f>$DN109*'Verwerking Bouwdelen'!GE36</f>
        <v>0</v>
      </c>
      <c r="EA109" s="89">
        <f>'Verwerking Bouwdelen'!GO36*DN109</f>
        <v>0</v>
      </c>
      <c r="EB109" s="125">
        <f>'Verwerking Bouwdelen'!GP36*DN109</f>
        <v>0</v>
      </c>
      <c r="EC109" s="89">
        <f t="shared" si="41"/>
        <v>0</v>
      </c>
      <c r="GN109" s="220">
        <f t="shared" si="42"/>
        <v>0</v>
      </c>
      <c r="GO109" s="220">
        <f t="shared" si="43"/>
        <v>0</v>
      </c>
      <c r="GP109" s="220">
        <f t="shared" si="44"/>
        <v>0</v>
      </c>
      <c r="GQ109" s="220">
        <f t="shared" si="45"/>
        <v>0</v>
      </c>
      <c r="GR109" s="220">
        <f t="shared" si="45"/>
        <v>0</v>
      </c>
      <c r="GS109" s="220">
        <f t="shared" si="45"/>
        <v>0</v>
      </c>
      <c r="GT109" s="220">
        <f t="shared" si="45"/>
        <v>0</v>
      </c>
      <c r="GU109" s="220">
        <f t="shared" si="45"/>
        <v>0</v>
      </c>
      <c r="GV109" s="220">
        <f t="shared" si="45"/>
        <v>0</v>
      </c>
      <c r="GW109" s="220">
        <f t="shared" si="45"/>
        <v>0</v>
      </c>
      <c r="GX109" s="220">
        <f t="shared" si="45"/>
        <v>0</v>
      </c>
      <c r="GY109" s="220">
        <f t="shared" si="45"/>
        <v>0</v>
      </c>
    </row>
    <row r="110" spans="1:207" x14ac:dyDescent="0.2">
      <c r="A110" s="89">
        <f>IF('Verwerking Bouwdelen'!A37=3,1,0)</f>
        <v>0</v>
      </c>
      <c r="B110" s="226">
        <f>$A110*'Verwerking Bouwdelen'!CJ37</f>
        <v>0</v>
      </c>
      <c r="C110" s="227">
        <f>$A110*'Verwerking Bouwdelen'!CK37</f>
        <v>0</v>
      </c>
      <c r="D110" s="227">
        <f>$A110*'Verwerking Bouwdelen'!CL37</f>
        <v>0</v>
      </c>
      <c r="E110" s="227">
        <f>$A110*'Verwerking Bouwdelen'!CM37</f>
        <v>0</v>
      </c>
      <c r="F110" s="227">
        <f>$A110*'Verwerking Bouwdelen'!CN37</f>
        <v>0</v>
      </c>
      <c r="G110" s="227">
        <f>$A110*'Verwerking Bouwdelen'!CO37</f>
        <v>0</v>
      </c>
      <c r="H110" s="227">
        <f>$A110*'Verwerking Bouwdelen'!CP37</f>
        <v>0</v>
      </c>
      <c r="I110" s="227">
        <f>$A110*'Verwerking Bouwdelen'!CQ37</f>
        <v>0</v>
      </c>
      <c r="J110" s="227">
        <f>$A110*'Verwerking Bouwdelen'!CR37</f>
        <v>0</v>
      </c>
      <c r="K110" s="227">
        <f>$A110*'Verwerking Bouwdelen'!CS37</f>
        <v>0</v>
      </c>
      <c r="L110" s="227">
        <f>$A110*'Verwerking Bouwdelen'!CT37</f>
        <v>0</v>
      </c>
      <c r="M110" s="228">
        <f>$A110*'Verwerking Bouwdelen'!CU37</f>
        <v>0</v>
      </c>
      <c r="DN110" s="89">
        <f>IF('Verwerking Bouwdelen'!A37=3,1,0)</f>
        <v>0</v>
      </c>
      <c r="DO110" s="223">
        <f>$DN110*'Verwerking Bouwdelen'!FT37</f>
        <v>0</v>
      </c>
      <c r="DP110" s="223">
        <f>$DN110*'Verwerking Bouwdelen'!FU37</f>
        <v>0</v>
      </c>
      <c r="DQ110" s="223">
        <f>$DN110*'Verwerking Bouwdelen'!FV37</f>
        <v>0</v>
      </c>
      <c r="DR110" s="223">
        <f>$DN110*'Verwerking Bouwdelen'!FW37</f>
        <v>0</v>
      </c>
      <c r="DS110" s="223">
        <f>$DN110*'Verwerking Bouwdelen'!FX37</f>
        <v>0</v>
      </c>
      <c r="DT110" s="223">
        <f>$DN110*'Verwerking Bouwdelen'!FY37</f>
        <v>0</v>
      </c>
      <c r="DU110" s="223">
        <f>$DN110*'Verwerking Bouwdelen'!FZ37</f>
        <v>0</v>
      </c>
      <c r="DV110" s="223">
        <f>$DN110*'Verwerking Bouwdelen'!GA37</f>
        <v>0</v>
      </c>
      <c r="DW110" s="223">
        <f>$DN110*'Verwerking Bouwdelen'!GB37</f>
        <v>0</v>
      </c>
      <c r="DX110" s="223">
        <f>$DN110*'Verwerking Bouwdelen'!GC37</f>
        <v>0</v>
      </c>
      <c r="DY110" s="223">
        <f>$DN110*'Verwerking Bouwdelen'!GD37</f>
        <v>0</v>
      </c>
      <c r="DZ110" s="223">
        <f>$DN110*'Verwerking Bouwdelen'!GE37</f>
        <v>0</v>
      </c>
      <c r="EA110" s="89">
        <f>'Verwerking Bouwdelen'!GO37*DN110</f>
        <v>0</v>
      </c>
      <c r="EB110" s="125">
        <f>'Verwerking Bouwdelen'!GP37*DN110</f>
        <v>0</v>
      </c>
      <c r="EC110" s="89">
        <f t="shared" si="41"/>
        <v>0</v>
      </c>
      <c r="GN110" s="220">
        <f t="shared" si="42"/>
        <v>0</v>
      </c>
      <c r="GO110" s="220">
        <f t="shared" si="43"/>
        <v>0</v>
      </c>
      <c r="GP110" s="220">
        <f t="shared" si="44"/>
        <v>0</v>
      </c>
      <c r="GQ110" s="220">
        <f t="shared" si="45"/>
        <v>0</v>
      </c>
      <c r="GR110" s="220">
        <f t="shared" si="45"/>
        <v>0</v>
      </c>
      <c r="GS110" s="220">
        <f t="shared" si="45"/>
        <v>0</v>
      </c>
      <c r="GT110" s="220">
        <f t="shared" si="45"/>
        <v>0</v>
      </c>
      <c r="GU110" s="220">
        <f t="shared" si="45"/>
        <v>0</v>
      </c>
      <c r="GV110" s="220">
        <f t="shared" si="45"/>
        <v>0</v>
      </c>
      <c r="GW110" s="220">
        <f t="shared" si="45"/>
        <v>0</v>
      </c>
      <c r="GX110" s="220">
        <f t="shared" si="45"/>
        <v>0</v>
      </c>
      <c r="GY110" s="220">
        <f t="shared" si="45"/>
        <v>0</v>
      </c>
    </row>
    <row r="111" spans="1:207" x14ac:dyDescent="0.2">
      <c r="A111" s="89">
        <f>IF('Verwerking Bouwdelen'!A38=3,1,0)</f>
        <v>0</v>
      </c>
      <c r="B111" s="226">
        <f>$A111*'Verwerking Bouwdelen'!CJ38</f>
        <v>0</v>
      </c>
      <c r="C111" s="227">
        <f>$A111*'Verwerking Bouwdelen'!CK38</f>
        <v>0</v>
      </c>
      <c r="D111" s="227">
        <f>$A111*'Verwerking Bouwdelen'!CL38</f>
        <v>0</v>
      </c>
      <c r="E111" s="227">
        <f>$A111*'Verwerking Bouwdelen'!CM38</f>
        <v>0</v>
      </c>
      <c r="F111" s="227">
        <f>$A111*'Verwerking Bouwdelen'!CN38</f>
        <v>0</v>
      </c>
      <c r="G111" s="227">
        <f>$A111*'Verwerking Bouwdelen'!CO38</f>
        <v>0</v>
      </c>
      <c r="H111" s="227">
        <f>$A111*'Verwerking Bouwdelen'!CP38</f>
        <v>0</v>
      </c>
      <c r="I111" s="227">
        <f>$A111*'Verwerking Bouwdelen'!CQ38</f>
        <v>0</v>
      </c>
      <c r="J111" s="227">
        <f>$A111*'Verwerking Bouwdelen'!CR38</f>
        <v>0</v>
      </c>
      <c r="K111" s="227">
        <f>$A111*'Verwerking Bouwdelen'!CS38</f>
        <v>0</v>
      </c>
      <c r="L111" s="227">
        <f>$A111*'Verwerking Bouwdelen'!CT38</f>
        <v>0</v>
      </c>
      <c r="M111" s="228">
        <f>$A111*'Verwerking Bouwdelen'!CU38</f>
        <v>0</v>
      </c>
      <c r="DN111" s="89">
        <f>IF('Verwerking Bouwdelen'!A38=3,1,0)</f>
        <v>0</v>
      </c>
      <c r="DO111" s="223">
        <f>$DN111*'Verwerking Bouwdelen'!FT38</f>
        <v>0</v>
      </c>
      <c r="DP111" s="223">
        <f>$DN111*'Verwerking Bouwdelen'!FU38</f>
        <v>0</v>
      </c>
      <c r="DQ111" s="223">
        <f>$DN111*'Verwerking Bouwdelen'!FV38</f>
        <v>0</v>
      </c>
      <c r="DR111" s="223">
        <f>$DN111*'Verwerking Bouwdelen'!FW38</f>
        <v>0</v>
      </c>
      <c r="DS111" s="223">
        <f>$DN111*'Verwerking Bouwdelen'!FX38</f>
        <v>0</v>
      </c>
      <c r="DT111" s="223">
        <f>$DN111*'Verwerking Bouwdelen'!FY38</f>
        <v>0</v>
      </c>
      <c r="DU111" s="223">
        <f>$DN111*'Verwerking Bouwdelen'!FZ38</f>
        <v>0</v>
      </c>
      <c r="DV111" s="223">
        <f>$DN111*'Verwerking Bouwdelen'!GA38</f>
        <v>0</v>
      </c>
      <c r="DW111" s="223">
        <f>$DN111*'Verwerking Bouwdelen'!GB38</f>
        <v>0</v>
      </c>
      <c r="DX111" s="223">
        <f>$DN111*'Verwerking Bouwdelen'!GC38</f>
        <v>0</v>
      </c>
      <c r="DY111" s="223">
        <f>$DN111*'Verwerking Bouwdelen'!GD38</f>
        <v>0</v>
      </c>
      <c r="DZ111" s="223">
        <f>$DN111*'Verwerking Bouwdelen'!GE38</f>
        <v>0</v>
      </c>
      <c r="EA111" s="89">
        <f>'Verwerking Bouwdelen'!GO38*DN111</f>
        <v>0</v>
      </c>
      <c r="EB111" s="125">
        <f>'Verwerking Bouwdelen'!GP38*DN111</f>
        <v>0</v>
      </c>
      <c r="EC111" s="89">
        <f t="shared" si="41"/>
        <v>0</v>
      </c>
      <c r="GN111" s="220">
        <f t="shared" si="42"/>
        <v>0</v>
      </c>
      <c r="GO111" s="220">
        <f t="shared" si="43"/>
        <v>0</v>
      </c>
      <c r="GP111" s="220">
        <f t="shared" si="44"/>
        <v>0</v>
      </c>
      <c r="GQ111" s="220">
        <f t="shared" si="45"/>
        <v>0</v>
      </c>
      <c r="GR111" s="220">
        <f t="shared" si="45"/>
        <v>0</v>
      </c>
      <c r="GS111" s="220">
        <f t="shared" si="45"/>
        <v>0</v>
      </c>
      <c r="GT111" s="220">
        <f t="shared" si="45"/>
        <v>0</v>
      </c>
      <c r="GU111" s="220">
        <f t="shared" si="45"/>
        <v>0</v>
      </c>
      <c r="GV111" s="220">
        <f t="shared" si="45"/>
        <v>0</v>
      </c>
      <c r="GW111" s="220">
        <f t="shared" si="45"/>
        <v>0</v>
      </c>
      <c r="GX111" s="220">
        <f t="shared" si="45"/>
        <v>0</v>
      </c>
      <c r="GY111" s="220">
        <f t="shared" si="45"/>
        <v>0</v>
      </c>
    </row>
    <row r="112" spans="1:207" x14ac:dyDescent="0.2">
      <c r="A112" s="89">
        <f>IF('Verwerking Bouwdelen'!A39=3,1,0)</f>
        <v>0</v>
      </c>
      <c r="B112" s="226">
        <f>$A112*'Verwerking Bouwdelen'!CJ39</f>
        <v>0</v>
      </c>
      <c r="C112" s="227">
        <f>$A112*'Verwerking Bouwdelen'!CK39</f>
        <v>0</v>
      </c>
      <c r="D112" s="227">
        <f>$A112*'Verwerking Bouwdelen'!CL39</f>
        <v>0</v>
      </c>
      <c r="E112" s="227">
        <f>$A112*'Verwerking Bouwdelen'!CM39</f>
        <v>0</v>
      </c>
      <c r="F112" s="227">
        <f>$A112*'Verwerking Bouwdelen'!CN39</f>
        <v>0</v>
      </c>
      <c r="G112" s="227">
        <f>$A112*'Verwerking Bouwdelen'!CO39</f>
        <v>0</v>
      </c>
      <c r="H112" s="227">
        <f>$A112*'Verwerking Bouwdelen'!CP39</f>
        <v>0</v>
      </c>
      <c r="I112" s="227">
        <f>$A112*'Verwerking Bouwdelen'!CQ39</f>
        <v>0</v>
      </c>
      <c r="J112" s="227">
        <f>$A112*'Verwerking Bouwdelen'!CR39</f>
        <v>0</v>
      </c>
      <c r="K112" s="227">
        <f>$A112*'Verwerking Bouwdelen'!CS39</f>
        <v>0</v>
      </c>
      <c r="L112" s="227">
        <f>$A112*'Verwerking Bouwdelen'!CT39</f>
        <v>0</v>
      </c>
      <c r="M112" s="228">
        <f>$A112*'Verwerking Bouwdelen'!CU39</f>
        <v>0</v>
      </c>
      <c r="DN112" s="89">
        <f>IF('Verwerking Bouwdelen'!A39=3,1,0)</f>
        <v>0</v>
      </c>
      <c r="DO112" s="223">
        <f>$DN112*'Verwerking Bouwdelen'!FT39</f>
        <v>0</v>
      </c>
      <c r="DP112" s="223">
        <f>$DN112*'Verwerking Bouwdelen'!FU39</f>
        <v>0</v>
      </c>
      <c r="DQ112" s="223">
        <f>$DN112*'Verwerking Bouwdelen'!FV39</f>
        <v>0</v>
      </c>
      <c r="DR112" s="223">
        <f>$DN112*'Verwerking Bouwdelen'!FW39</f>
        <v>0</v>
      </c>
      <c r="DS112" s="223">
        <f>$DN112*'Verwerking Bouwdelen'!FX39</f>
        <v>0</v>
      </c>
      <c r="DT112" s="223">
        <f>$DN112*'Verwerking Bouwdelen'!FY39</f>
        <v>0</v>
      </c>
      <c r="DU112" s="223">
        <f>$DN112*'Verwerking Bouwdelen'!FZ39</f>
        <v>0</v>
      </c>
      <c r="DV112" s="223">
        <f>$DN112*'Verwerking Bouwdelen'!GA39</f>
        <v>0</v>
      </c>
      <c r="DW112" s="223">
        <f>$DN112*'Verwerking Bouwdelen'!GB39</f>
        <v>0</v>
      </c>
      <c r="DX112" s="223">
        <f>$DN112*'Verwerking Bouwdelen'!GC39</f>
        <v>0</v>
      </c>
      <c r="DY112" s="223">
        <f>$DN112*'Verwerking Bouwdelen'!GD39</f>
        <v>0</v>
      </c>
      <c r="DZ112" s="223">
        <f>$DN112*'Verwerking Bouwdelen'!GE39</f>
        <v>0</v>
      </c>
      <c r="EA112" s="89">
        <f>'Verwerking Bouwdelen'!GO39*DN112</f>
        <v>0</v>
      </c>
      <c r="EB112" s="125">
        <f>'Verwerking Bouwdelen'!GP39*DN112</f>
        <v>0</v>
      </c>
      <c r="EC112" s="89">
        <f t="shared" si="41"/>
        <v>0</v>
      </c>
      <c r="GN112" s="220">
        <f t="shared" si="42"/>
        <v>0</v>
      </c>
      <c r="GO112" s="220">
        <f t="shared" si="43"/>
        <v>0</v>
      </c>
      <c r="GP112" s="220">
        <f t="shared" si="44"/>
        <v>0</v>
      </c>
      <c r="GQ112" s="220">
        <f t="shared" si="45"/>
        <v>0</v>
      </c>
      <c r="GR112" s="220">
        <f t="shared" si="45"/>
        <v>0</v>
      </c>
      <c r="GS112" s="220">
        <f t="shared" si="45"/>
        <v>0</v>
      </c>
      <c r="GT112" s="220">
        <f t="shared" si="45"/>
        <v>0</v>
      </c>
      <c r="GU112" s="220">
        <f t="shared" si="45"/>
        <v>0</v>
      </c>
      <c r="GV112" s="220">
        <f t="shared" si="45"/>
        <v>0</v>
      </c>
      <c r="GW112" s="220">
        <f t="shared" si="45"/>
        <v>0</v>
      </c>
      <c r="GX112" s="220">
        <f t="shared" si="45"/>
        <v>0</v>
      </c>
      <c r="GY112" s="220">
        <f t="shared" si="45"/>
        <v>0</v>
      </c>
    </row>
    <row r="113" spans="1:208" x14ac:dyDescent="0.2">
      <c r="A113" s="89">
        <f>IF('Verwerking Bouwdelen'!A40=3,1,0)</f>
        <v>0</v>
      </c>
      <c r="B113" s="226">
        <f>$A113*'Verwerking Bouwdelen'!CJ40</f>
        <v>0</v>
      </c>
      <c r="C113" s="227">
        <f>$A113*'Verwerking Bouwdelen'!CK40</f>
        <v>0</v>
      </c>
      <c r="D113" s="227">
        <f>$A113*'Verwerking Bouwdelen'!CL40</f>
        <v>0</v>
      </c>
      <c r="E113" s="227">
        <f>$A113*'Verwerking Bouwdelen'!CM40</f>
        <v>0</v>
      </c>
      <c r="F113" s="227">
        <f>$A113*'Verwerking Bouwdelen'!CN40</f>
        <v>0</v>
      </c>
      <c r="G113" s="227">
        <f>$A113*'Verwerking Bouwdelen'!CO40</f>
        <v>0</v>
      </c>
      <c r="H113" s="227">
        <f>$A113*'Verwerking Bouwdelen'!CP40</f>
        <v>0</v>
      </c>
      <c r="I113" s="227">
        <f>$A113*'Verwerking Bouwdelen'!CQ40</f>
        <v>0</v>
      </c>
      <c r="J113" s="227">
        <f>$A113*'Verwerking Bouwdelen'!CR40</f>
        <v>0</v>
      </c>
      <c r="K113" s="227">
        <f>$A113*'Verwerking Bouwdelen'!CS40</f>
        <v>0</v>
      </c>
      <c r="L113" s="227">
        <f>$A113*'Verwerking Bouwdelen'!CT40</f>
        <v>0</v>
      </c>
      <c r="M113" s="228">
        <f>$A113*'Verwerking Bouwdelen'!CU40</f>
        <v>0</v>
      </c>
      <c r="DN113" s="89">
        <f>IF('Verwerking Bouwdelen'!A40=3,1,0)</f>
        <v>0</v>
      </c>
      <c r="DO113" s="223">
        <f>$DN113*'Verwerking Bouwdelen'!FT40</f>
        <v>0</v>
      </c>
      <c r="DP113" s="223">
        <f>$DN113*'Verwerking Bouwdelen'!FU40</f>
        <v>0</v>
      </c>
      <c r="DQ113" s="223">
        <f>$DN113*'Verwerking Bouwdelen'!FV40</f>
        <v>0</v>
      </c>
      <c r="DR113" s="223">
        <f>$DN113*'Verwerking Bouwdelen'!FW40</f>
        <v>0</v>
      </c>
      <c r="DS113" s="223">
        <f>$DN113*'Verwerking Bouwdelen'!FX40</f>
        <v>0</v>
      </c>
      <c r="DT113" s="223">
        <f>$DN113*'Verwerking Bouwdelen'!FY40</f>
        <v>0</v>
      </c>
      <c r="DU113" s="223">
        <f>$DN113*'Verwerking Bouwdelen'!FZ40</f>
        <v>0</v>
      </c>
      <c r="DV113" s="223">
        <f>$DN113*'Verwerking Bouwdelen'!GA40</f>
        <v>0</v>
      </c>
      <c r="DW113" s="223">
        <f>$DN113*'Verwerking Bouwdelen'!GB40</f>
        <v>0</v>
      </c>
      <c r="DX113" s="223">
        <f>$DN113*'Verwerking Bouwdelen'!GC40</f>
        <v>0</v>
      </c>
      <c r="DY113" s="223">
        <f>$DN113*'Verwerking Bouwdelen'!GD40</f>
        <v>0</v>
      </c>
      <c r="DZ113" s="223">
        <f>$DN113*'Verwerking Bouwdelen'!GE40</f>
        <v>0</v>
      </c>
      <c r="EA113" s="89">
        <f>'Verwerking Bouwdelen'!GO40*DN113</f>
        <v>0</v>
      </c>
      <c r="EB113" s="125">
        <f>'Verwerking Bouwdelen'!GP40*DN113</f>
        <v>0</v>
      </c>
      <c r="EC113" s="89">
        <f t="shared" si="41"/>
        <v>0</v>
      </c>
      <c r="GN113" s="220">
        <f t="shared" si="42"/>
        <v>0</v>
      </c>
      <c r="GO113" s="220">
        <f t="shared" si="43"/>
        <v>0</v>
      </c>
      <c r="GP113" s="220">
        <f t="shared" si="44"/>
        <v>0</v>
      </c>
      <c r="GQ113" s="220">
        <f t="shared" si="45"/>
        <v>0</v>
      </c>
      <c r="GR113" s="220">
        <f t="shared" si="45"/>
        <v>0</v>
      </c>
      <c r="GS113" s="220">
        <f t="shared" si="45"/>
        <v>0</v>
      </c>
      <c r="GT113" s="220">
        <f t="shared" si="45"/>
        <v>0</v>
      </c>
      <c r="GU113" s="220">
        <f t="shared" si="45"/>
        <v>0</v>
      </c>
      <c r="GV113" s="220">
        <f t="shared" si="45"/>
        <v>0</v>
      </c>
      <c r="GW113" s="220">
        <f t="shared" si="45"/>
        <v>0</v>
      </c>
      <c r="GX113" s="220">
        <f t="shared" si="45"/>
        <v>0</v>
      </c>
      <c r="GY113" s="220">
        <f t="shared" si="45"/>
        <v>0</v>
      </c>
    </row>
    <row r="114" spans="1:208" x14ac:dyDescent="0.2">
      <c r="A114" s="89">
        <f>IF('Verwerking Bouwdelen'!A41=3,1,0)</f>
        <v>0</v>
      </c>
      <c r="B114" s="226">
        <f>$A114*'Verwerking Bouwdelen'!CJ41</f>
        <v>0</v>
      </c>
      <c r="C114" s="227">
        <f>$A114*'Verwerking Bouwdelen'!CK41</f>
        <v>0</v>
      </c>
      <c r="D114" s="227">
        <f>$A114*'Verwerking Bouwdelen'!CL41</f>
        <v>0</v>
      </c>
      <c r="E114" s="227">
        <f>$A114*'Verwerking Bouwdelen'!CM41</f>
        <v>0</v>
      </c>
      <c r="F114" s="227">
        <f>$A114*'Verwerking Bouwdelen'!CN41</f>
        <v>0</v>
      </c>
      <c r="G114" s="227">
        <f>$A114*'Verwerking Bouwdelen'!CO41</f>
        <v>0</v>
      </c>
      <c r="H114" s="227">
        <f>$A114*'Verwerking Bouwdelen'!CP41</f>
        <v>0</v>
      </c>
      <c r="I114" s="227">
        <f>$A114*'Verwerking Bouwdelen'!CQ41</f>
        <v>0</v>
      </c>
      <c r="J114" s="227">
        <f>$A114*'Verwerking Bouwdelen'!CR41</f>
        <v>0</v>
      </c>
      <c r="K114" s="227">
        <f>$A114*'Verwerking Bouwdelen'!CS41</f>
        <v>0</v>
      </c>
      <c r="L114" s="227">
        <f>$A114*'Verwerking Bouwdelen'!CT41</f>
        <v>0</v>
      </c>
      <c r="M114" s="228">
        <f>$A114*'Verwerking Bouwdelen'!CU41</f>
        <v>0</v>
      </c>
      <c r="DN114" s="89">
        <f>IF('Verwerking Bouwdelen'!A41=3,1,0)</f>
        <v>0</v>
      </c>
      <c r="DO114" s="223">
        <f>$DN114*'Verwerking Bouwdelen'!FT41</f>
        <v>0</v>
      </c>
      <c r="DP114" s="223">
        <f>$DN114*'Verwerking Bouwdelen'!FU41</f>
        <v>0</v>
      </c>
      <c r="DQ114" s="223">
        <f>$DN114*'Verwerking Bouwdelen'!FV41</f>
        <v>0</v>
      </c>
      <c r="DR114" s="223">
        <f>$DN114*'Verwerking Bouwdelen'!FW41</f>
        <v>0</v>
      </c>
      <c r="DS114" s="223">
        <f>$DN114*'Verwerking Bouwdelen'!FX41</f>
        <v>0</v>
      </c>
      <c r="DT114" s="223">
        <f>$DN114*'Verwerking Bouwdelen'!FY41</f>
        <v>0</v>
      </c>
      <c r="DU114" s="223">
        <f>$DN114*'Verwerking Bouwdelen'!FZ41</f>
        <v>0</v>
      </c>
      <c r="DV114" s="223">
        <f>$DN114*'Verwerking Bouwdelen'!GA41</f>
        <v>0</v>
      </c>
      <c r="DW114" s="223">
        <f>$DN114*'Verwerking Bouwdelen'!GB41</f>
        <v>0</v>
      </c>
      <c r="DX114" s="223">
        <f>$DN114*'Verwerking Bouwdelen'!GC41</f>
        <v>0</v>
      </c>
      <c r="DY114" s="223">
        <f>$DN114*'Verwerking Bouwdelen'!GD41</f>
        <v>0</v>
      </c>
      <c r="DZ114" s="223">
        <f>$DN114*'Verwerking Bouwdelen'!GE41</f>
        <v>0</v>
      </c>
      <c r="EA114" s="89">
        <f>'Verwerking Bouwdelen'!GO41*DN114</f>
        <v>0</v>
      </c>
      <c r="EB114" s="125">
        <f>'Verwerking Bouwdelen'!GP41*DN114</f>
        <v>0</v>
      </c>
      <c r="EC114" s="89">
        <f t="shared" si="41"/>
        <v>0</v>
      </c>
      <c r="GN114" s="220">
        <f t="shared" si="42"/>
        <v>0</v>
      </c>
      <c r="GO114" s="220">
        <f t="shared" si="43"/>
        <v>0</v>
      </c>
      <c r="GP114" s="220">
        <f t="shared" si="44"/>
        <v>0</v>
      </c>
      <c r="GQ114" s="220">
        <f t="shared" si="45"/>
        <v>0</v>
      </c>
      <c r="GR114" s="220">
        <f t="shared" si="45"/>
        <v>0</v>
      </c>
      <c r="GS114" s="220">
        <f t="shared" si="45"/>
        <v>0</v>
      </c>
      <c r="GT114" s="220">
        <f t="shared" si="45"/>
        <v>0</v>
      </c>
      <c r="GU114" s="220">
        <f t="shared" si="45"/>
        <v>0</v>
      </c>
      <c r="GV114" s="220">
        <f t="shared" si="45"/>
        <v>0</v>
      </c>
      <c r="GW114" s="220">
        <f t="shared" si="45"/>
        <v>0</v>
      </c>
      <c r="GX114" s="220">
        <f t="shared" si="45"/>
        <v>0</v>
      </c>
      <c r="GY114" s="220">
        <f t="shared" si="45"/>
        <v>0</v>
      </c>
    </row>
    <row r="115" spans="1:208" x14ac:dyDescent="0.2">
      <c r="A115" s="89">
        <f>IF('Verwerking Bouwdelen'!A42=3,1,0)</f>
        <v>0</v>
      </c>
      <c r="B115" s="226">
        <f>$A115*'Verwerking Bouwdelen'!CJ42</f>
        <v>0</v>
      </c>
      <c r="C115" s="227">
        <f>$A115*'Verwerking Bouwdelen'!CK42</f>
        <v>0</v>
      </c>
      <c r="D115" s="227">
        <f>$A115*'Verwerking Bouwdelen'!CL42</f>
        <v>0</v>
      </c>
      <c r="E115" s="227">
        <f>$A115*'Verwerking Bouwdelen'!CM42</f>
        <v>0</v>
      </c>
      <c r="F115" s="227">
        <f>$A115*'Verwerking Bouwdelen'!CN42</f>
        <v>0</v>
      </c>
      <c r="G115" s="227">
        <f>$A115*'Verwerking Bouwdelen'!CO42</f>
        <v>0</v>
      </c>
      <c r="H115" s="227">
        <f>$A115*'Verwerking Bouwdelen'!CP42</f>
        <v>0</v>
      </c>
      <c r="I115" s="227">
        <f>$A115*'Verwerking Bouwdelen'!CQ42</f>
        <v>0</v>
      </c>
      <c r="J115" s="227">
        <f>$A115*'Verwerking Bouwdelen'!CR42</f>
        <v>0</v>
      </c>
      <c r="K115" s="227">
        <f>$A115*'Verwerking Bouwdelen'!CS42</f>
        <v>0</v>
      </c>
      <c r="L115" s="227">
        <f>$A115*'Verwerking Bouwdelen'!CT42</f>
        <v>0</v>
      </c>
      <c r="M115" s="228">
        <f>$A115*'Verwerking Bouwdelen'!CU42</f>
        <v>0</v>
      </c>
      <c r="DN115" s="89">
        <f>IF('Verwerking Bouwdelen'!A42=3,1,0)</f>
        <v>0</v>
      </c>
      <c r="DO115" s="223">
        <f>$DN115*'Verwerking Bouwdelen'!FT42</f>
        <v>0</v>
      </c>
      <c r="DP115" s="223">
        <f>$DN115*'Verwerking Bouwdelen'!FU42</f>
        <v>0</v>
      </c>
      <c r="DQ115" s="223">
        <f>$DN115*'Verwerking Bouwdelen'!FV42</f>
        <v>0</v>
      </c>
      <c r="DR115" s="223">
        <f>$DN115*'Verwerking Bouwdelen'!FW42</f>
        <v>0</v>
      </c>
      <c r="DS115" s="223">
        <f>$DN115*'Verwerking Bouwdelen'!FX42</f>
        <v>0</v>
      </c>
      <c r="DT115" s="223">
        <f>$DN115*'Verwerking Bouwdelen'!FY42</f>
        <v>0</v>
      </c>
      <c r="DU115" s="223">
        <f>$DN115*'Verwerking Bouwdelen'!FZ42</f>
        <v>0</v>
      </c>
      <c r="DV115" s="223">
        <f>$DN115*'Verwerking Bouwdelen'!GA42</f>
        <v>0</v>
      </c>
      <c r="DW115" s="223">
        <f>$DN115*'Verwerking Bouwdelen'!GB42</f>
        <v>0</v>
      </c>
      <c r="DX115" s="223">
        <f>$DN115*'Verwerking Bouwdelen'!GC42</f>
        <v>0</v>
      </c>
      <c r="DY115" s="223">
        <f>$DN115*'Verwerking Bouwdelen'!GD42</f>
        <v>0</v>
      </c>
      <c r="DZ115" s="223">
        <f>$DN115*'Verwerking Bouwdelen'!GE42</f>
        <v>0</v>
      </c>
      <c r="EA115" s="89">
        <f>'Verwerking Bouwdelen'!GO42*DN115</f>
        <v>0</v>
      </c>
      <c r="EB115" s="125">
        <f>'Verwerking Bouwdelen'!GP42*DN115</f>
        <v>0</v>
      </c>
      <c r="EC115" s="89">
        <f t="shared" si="41"/>
        <v>0</v>
      </c>
      <c r="GN115" s="220">
        <f t="shared" si="42"/>
        <v>0</v>
      </c>
      <c r="GO115" s="220">
        <f t="shared" si="43"/>
        <v>0</v>
      </c>
      <c r="GP115" s="220">
        <f t="shared" si="44"/>
        <v>0</v>
      </c>
      <c r="GQ115" s="220">
        <f t="shared" si="45"/>
        <v>0</v>
      </c>
      <c r="GR115" s="220">
        <f t="shared" si="45"/>
        <v>0</v>
      </c>
      <c r="GS115" s="220">
        <f t="shared" si="45"/>
        <v>0</v>
      </c>
      <c r="GT115" s="220">
        <f t="shared" si="45"/>
        <v>0</v>
      </c>
      <c r="GU115" s="220">
        <f t="shared" si="45"/>
        <v>0</v>
      </c>
      <c r="GV115" s="220">
        <f t="shared" si="45"/>
        <v>0</v>
      </c>
      <c r="GW115" s="220">
        <f t="shared" si="45"/>
        <v>0</v>
      </c>
      <c r="GX115" s="220">
        <f t="shared" si="45"/>
        <v>0</v>
      </c>
      <c r="GY115" s="220">
        <f t="shared" si="45"/>
        <v>0</v>
      </c>
    </row>
    <row r="116" spans="1:208" x14ac:dyDescent="0.2">
      <c r="A116" s="89">
        <f>IF('Verwerking Bouwdelen'!A43=3,1,0)</f>
        <v>0</v>
      </c>
      <c r="B116" s="226">
        <f>$A116*'Verwerking Bouwdelen'!CJ43</f>
        <v>0</v>
      </c>
      <c r="C116" s="227">
        <f>$A116*'Verwerking Bouwdelen'!CK43</f>
        <v>0</v>
      </c>
      <c r="D116" s="227">
        <f>$A116*'Verwerking Bouwdelen'!CL43</f>
        <v>0</v>
      </c>
      <c r="E116" s="227">
        <f>$A116*'Verwerking Bouwdelen'!CM43</f>
        <v>0</v>
      </c>
      <c r="F116" s="227">
        <f>$A116*'Verwerking Bouwdelen'!CN43</f>
        <v>0</v>
      </c>
      <c r="G116" s="227">
        <f>$A116*'Verwerking Bouwdelen'!CO43</f>
        <v>0</v>
      </c>
      <c r="H116" s="227">
        <f>$A116*'Verwerking Bouwdelen'!CP43</f>
        <v>0</v>
      </c>
      <c r="I116" s="227">
        <f>$A116*'Verwerking Bouwdelen'!CQ43</f>
        <v>0</v>
      </c>
      <c r="J116" s="227">
        <f>$A116*'Verwerking Bouwdelen'!CR43</f>
        <v>0</v>
      </c>
      <c r="K116" s="227">
        <f>$A116*'Verwerking Bouwdelen'!CS43</f>
        <v>0</v>
      </c>
      <c r="L116" s="227">
        <f>$A116*'Verwerking Bouwdelen'!CT43</f>
        <v>0</v>
      </c>
      <c r="M116" s="228">
        <f>$A116*'Verwerking Bouwdelen'!CU43</f>
        <v>0</v>
      </c>
      <c r="DN116" s="89">
        <f>IF('Verwerking Bouwdelen'!A43=3,1,0)</f>
        <v>0</v>
      </c>
      <c r="DO116" s="223">
        <f>$DN116*'Verwerking Bouwdelen'!FT43</f>
        <v>0</v>
      </c>
      <c r="DP116" s="223">
        <f>$DN116*'Verwerking Bouwdelen'!FU43</f>
        <v>0</v>
      </c>
      <c r="DQ116" s="223">
        <f>$DN116*'Verwerking Bouwdelen'!FV43</f>
        <v>0</v>
      </c>
      <c r="DR116" s="223">
        <f>$DN116*'Verwerking Bouwdelen'!FW43</f>
        <v>0</v>
      </c>
      <c r="DS116" s="223">
        <f>$DN116*'Verwerking Bouwdelen'!FX43</f>
        <v>0</v>
      </c>
      <c r="DT116" s="223">
        <f>$DN116*'Verwerking Bouwdelen'!FY43</f>
        <v>0</v>
      </c>
      <c r="DU116" s="223">
        <f>$DN116*'Verwerking Bouwdelen'!FZ43</f>
        <v>0</v>
      </c>
      <c r="DV116" s="223">
        <f>$DN116*'Verwerking Bouwdelen'!GA43</f>
        <v>0</v>
      </c>
      <c r="DW116" s="223">
        <f>$DN116*'Verwerking Bouwdelen'!GB43</f>
        <v>0</v>
      </c>
      <c r="DX116" s="223">
        <f>$DN116*'Verwerking Bouwdelen'!GC43</f>
        <v>0</v>
      </c>
      <c r="DY116" s="223">
        <f>$DN116*'Verwerking Bouwdelen'!GD43</f>
        <v>0</v>
      </c>
      <c r="DZ116" s="223">
        <f>$DN116*'Verwerking Bouwdelen'!GE43</f>
        <v>0</v>
      </c>
      <c r="EA116" s="89">
        <f>'Verwerking Bouwdelen'!GO43*DN116</f>
        <v>0</v>
      </c>
      <c r="EB116" s="125">
        <f>'Verwerking Bouwdelen'!GP43*DN116</f>
        <v>0</v>
      </c>
      <c r="EC116" s="89">
        <f t="shared" si="41"/>
        <v>0</v>
      </c>
      <c r="GN116" s="220">
        <f t="shared" si="42"/>
        <v>0</v>
      </c>
      <c r="GO116" s="220">
        <f t="shared" si="43"/>
        <v>0</v>
      </c>
      <c r="GP116" s="220">
        <f t="shared" si="44"/>
        <v>0</v>
      </c>
      <c r="GQ116" s="220">
        <f t="shared" si="45"/>
        <v>0</v>
      </c>
      <c r="GR116" s="220">
        <f t="shared" si="45"/>
        <v>0</v>
      </c>
      <c r="GS116" s="220">
        <f t="shared" si="45"/>
        <v>0</v>
      </c>
      <c r="GT116" s="220">
        <f t="shared" si="45"/>
        <v>0</v>
      </c>
      <c r="GU116" s="220">
        <f t="shared" si="45"/>
        <v>0</v>
      </c>
      <c r="GV116" s="220">
        <f t="shared" si="45"/>
        <v>0</v>
      </c>
      <c r="GW116" s="220">
        <f t="shared" si="45"/>
        <v>0</v>
      </c>
      <c r="GX116" s="220">
        <f t="shared" si="45"/>
        <v>0</v>
      </c>
      <c r="GY116" s="220">
        <f t="shared" si="45"/>
        <v>0</v>
      </c>
    </row>
    <row r="117" spans="1:208" x14ac:dyDescent="0.2">
      <c r="A117" s="89">
        <f>IF('Verwerking Bouwdelen'!A44=3,1,0)</f>
        <v>0</v>
      </c>
      <c r="B117" s="226">
        <f>$A117*'Verwerking Bouwdelen'!CJ44</f>
        <v>0</v>
      </c>
      <c r="C117" s="227">
        <f>$A117*'Verwerking Bouwdelen'!CK44</f>
        <v>0</v>
      </c>
      <c r="D117" s="227">
        <f>$A117*'Verwerking Bouwdelen'!CL44</f>
        <v>0</v>
      </c>
      <c r="E117" s="227">
        <f>$A117*'Verwerking Bouwdelen'!CM44</f>
        <v>0</v>
      </c>
      <c r="F117" s="227">
        <f>$A117*'Verwerking Bouwdelen'!CN44</f>
        <v>0</v>
      </c>
      <c r="G117" s="227">
        <f>$A117*'Verwerking Bouwdelen'!CO44</f>
        <v>0</v>
      </c>
      <c r="H117" s="227">
        <f>$A117*'Verwerking Bouwdelen'!CP44</f>
        <v>0</v>
      </c>
      <c r="I117" s="227">
        <f>$A117*'Verwerking Bouwdelen'!CQ44</f>
        <v>0</v>
      </c>
      <c r="J117" s="227">
        <f>$A117*'Verwerking Bouwdelen'!CR44</f>
        <v>0</v>
      </c>
      <c r="K117" s="227">
        <f>$A117*'Verwerking Bouwdelen'!CS44</f>
        <v>0</v>
      </c>
      <c r="L117" s="227">
        <f>$A117*'Verwerking Bouwdelen'!CT44</f>
        <v>0</v>
      </c>
      <c r="M117" s="228">
        <f>$A117*'Verwerking Bouwdelen'!CU44</f>
        <v>0</v>
      </c>
      <c r="DN117" s="89">
        <f>IF('Verwerking Bouwdelen'!A44=3,1,0)</f>
        <v>0</v>
      </c>
      <c r="DO117" s="223">
        <f>$DN117*'Verwerking Bouwdelen'!FT44</f>
        <v>0</v>
      </c>
      <c r="DP117" s="223">
        <f>$DN117*'Verwerking Bouwdelen'!FU44</f>
        <v>0</v>
      </c>
      <c r="DQ117" s="223">
        <f>$DN117*'Verwerking Bouwdelen'!FV44</f>
        <v>0</v>
      </c>
      <c r="DR117" s="223">
        <f>$DN117*'Verwerking Bouwdelen'!FW44</f>
        <v>0</v>
      </c>
      <c r="DS117" s="223">
        <f>$DN117*'Verwerking Bouwdelen'!FX44</f>
        <v>0</v>
      </c>
      <c r="DT117" s="223">
        <f>$DN117*'Verwerking Bouwdelen'!FY44</f>
        <v>0</v>
      </c>
      <c r="DU117" s="223">
        <f>$DN117*'Verwerking Bouwdelen'!FZ44</f>
        <v>0</v>
      </c>
      <c r="DV117" s="223">
        <f>$DN117*'Verwerking Bouwdelen'!GA44</f>
        <v>0</v>
      </c>
      <c r="DW117" s="223">
        <f>$DN117*'Verwerking Bouwdelen'!GB44</f>
        <v>0</v>
      </c>
      <c r="DX117" s="223">
        <f>$DN117*'Verwerking Bouwdelen'!GC44</f>
        <v>0</v>
      </c>
      <c r="DY117" s="223">
        <f>$DN117*'Verwerking Bouwdelen'!GD44</f>
        <v>0</v>
      </c>
      <c r="DZ117" s="223">
        <f>$DN117*'Verwerking Bouwdelen'!GE44</f>
        <v>0</v>
      </c>
      <c r="EA117" s="89">
        <f>'Verwerking Bouwdelen'!GO44*DN117</f>
        <v>0</v>
      </c>
      <c r="EB117" s="125">
        <f>'Verwerking Bouwdelen'!GP44*DN117</f>
        <v>0</v>
      </c>
      <c r="EC117" s="89">
        <f t="shared" si="41"/>
        <v>0</v>
      </c>
      <c r="GN117" s="220">
        <f t="shared" si="42"/>
        <v>0</v>
      </c>
      <c r="GO117" s="220">
        <f t="shared" si="43"/>
        <v>0</v>
      </c>
      <c r="GP117" s="220">
        <f t="shared" si="44"/>
        <v>0</v>
      </c>
      <c r="GQ117" s="220">
        <f t="shared" ref="GQ117:GY118" si="46">DR117</f>
        <v>0</v>
      </c>
      <c r="GR117" s="220">
        <f t="shared" si="46"/>
        <v>0</v>
      </c>
      <c r="GS117" s="220">
        <f t="shared" si="46"/>
        <v>0</v>
      </c>
      <c r="GT117" s="220">
        <f t="shared" si="46"/>
        <v>0</v>
      </c>
      <c r="GU117" s="220">
        <f t="shared" si="46"/>
        <v>0</v>
      </c>
      <c r="GV117" s="220">
        <f t="shared" si="46"/>
        <v>0</v>
      </c>
      <c r="GW117" s="220">
        <f t="shared" si="46"/>
        <v>0</v>
      </c>
      <c r="GX117" s="220">
        <f t="shared" si="46"/>
        <v>0</v>
      </c>
      <c r="GY117" s="220">
        <f t="shared" si="46"/>
        <v>0</v>
      </c>
    </row>
    <row r="118" spans="1:208" x14ac:dyDescent="0.2">
      <c r="B118" s="229">
        <f t="shared" ref="B118:M118" si="47">SUM(B76:B117)</f>
        <v>0</v>
      </c>
      <c r="C118" s="230">
        <f t="shared" si="47"/>
        <v>0</v>
      </c>
      <c r="D118" s="230">
        <f t="shared" si="47"/>
        <v>0</v>
      </c>
      <c r="E118" s="230">
        <f t="shared" si="47"/>
        <v>0</v>
      </c>
      <c r="F118" s="230">
        <f t="shared" si="47"/>
        <v>0</v>
      </c>
      <c r="G118" s="230">
        <f t="shared" si="47"/>
        <v>0</v>
      </c>
      <c r="H118" s="230">
        <f t="shared" si="47"/>
        <v>0</v>
      </c>
      <c r="I118" s="230">
        <f t="shared" si="47"/>
        <v>0</v>
      </c>
      <c r="J118" s="230">
        <f t="shared" si="47"/>
        <v>0</v>
      </c>
      <c r="K118" s="230">
        <f t="shared" si="47"/>
        <v>0</v>
      </c>
      <c r="L118" s="230">
        <f t="shared" si="47"/>
        <v>0</v>
      </c>
      <c r="M118" s="231">
        <f t="shared" si="47"/>
        <v>0</v>
      </c>
      <c r="DO118" s="229">
        <f t="shared" ref="DO118:DZ118" si="48">SUM(DO76:DO117)</f>
        <v>0</v>
      </c>
      <c r="DP118" s="230">
        <f t="shared" si="48"/>
        <v>0</v>
      </c>
      <c r="DQ118" s="230">
        <f t="shared" si="48"/>
        <v>0</v>
      </c>
      <c r="DR118" s="230">
        <f t="shared" si="48"/>
        <v>0</v>
      </c>
      <c r="DS118" s="230">
        <f t="shared" si="48"/>
        <v>0</v>
      </c>
      <c r="DT118" s="230">
        <f t="shared" si="48"/>
        <v>0</v>
      </c>
      <c r="DU118" s="230">
        <f t="shared" si="48"/>
        <v>0</v>
      </c>
      <c r="DV118" s="230">
        <f t="shared" si="48"/>
        <v>0</v>
      </c>
      <c r="DW118" s="230">
        <f t="shared" si="48"/>
        <v>0</v>
      </c>
      <c r="DX118" s="230">
        <f t="shared" si="48"/>
        <v>0</v>
      </c>
      <c r="DY118" s="230">
        <f t="shared" si="48"/>
        <v>0</v>
      </c>
      <c r="DZ118" s="231">
        <f t="shared" si="48"/>
        <v>0</v>
      </c>
      <c r="EA118" s="227">
        <f>SUM(EA76:EA117)</f>
        <v>0</v>
      </c>
      <c r="EB118" s="227">
        <f>SUM(EB76:EB117)</f>
        <v>0</v>
      </c>
      <c r="EC118" s="227">
        <f>0.6*EB118</f>
        <v>0</v>
      </c>
      <c r="GN118" s="220">
        <f t="shared" si="42"/>
        <v>0</v>
      </c>
      <c r="GO118" s="220">
        <f t="shared" si="43"/>
        <v>0</v>
      </c>
      <c r="GP118" s="220">
        <f t="shared" si="44"/>
        <v>0</v>
      </c>
      <c r="GQ118" s="220">
        <f t="shared" si="46"/>
        <v>0</v>
      </c>
      <c r="GR118" s="220">
        <f t="shared" si="46"/>
        <v>0</v>
      </c>
      <c r="GS118" s="220">
        <f t="shared" si="46"/>
        <v>0</v>
      </c>
      <c r="GT118" s="220">
        <f t="shared" si="46"/>
        <v>0</v>
      </c>
      <c r="GU118" s="220">
        <f t="shared" si="46"/>
        <v>0</v>
      </c>
      <c r="GV118" s="220">
        <f t="shared" si="46"/>
        <v>0</v>
      </c>
      <c r="GW118" s="220">
        <f t="shared" si="46"/>
        <v>0</v>
      </c>
      <c r="GX118" s="220">
        <f t="shared" si="46"/>
        <v>0</v>
      </c>
      <c r="GY118" s="220">
        <f t="shared" si="46"/>
        <v>0</v>
      </c>
    </row>
    <row r="119" spans="1:208" x14ac:dyDescent="0.2">
      <c r="GN119" s="220"/>
      <c r="GO119" s="220"/>
      <c r="GP119" s="220"/>
      <c r="GQ119" s="220"/>
      <c r="GR119" s="220"/>
      <c r="GS119" s="220"/>
      <c r="GT119" s="220"/>
      <c r="GU119" s="220"/>
      <c r="GV119" s="220"/>
      <c r="GW119" s="220"/>
      <c r="GX119" s="220"/>
      <c r="GY119" s="220"/>
    </row>
    <row r="120" spans="1:208" x14ac:dyDescent="0.2">
      <c r="B120" s="125" t="s">
        <v>452</v>
      </c>
      <c r="C120" s="125" t="s">
        <v>453</v>
      </c>
      <c r="D120" s="125" t="s">
        <v>398</v>
      </c>
      <c r="E120" s="125" t="s">
        <v>399</v>
      </c>
      <c r="F120" s="125" t="s">
        <v>400</v>
      </c>
      <c r="G120" s="125" t="s">
        <v>401</v>
      </c>
      <c r="H120" s="125" t="s">
        <v>402</v>
      </c>
      <c r="I120" s="125" t="s">
        <v>454</v>
      </c>
      <c r="J120" s="125" t="s">
        <v>455</v>
      </c>
      <c r="K120" s="125" t="s">
        <v>456</v>
      </c>
      <c r="L120" s="125" t="s">
        <v>457</v>
      </c>
      <c r="M120" s="125" t="s">
        <v>458</v>
      </c>
      <c r="AD120" s="125" t="s">
        <v>452</v>
      </c>
      <c r="AE120" s="125" t="s">
        <v>453</v>
      </c>
      <c r="AF120" s="125" t="s">
        <v>398</v>
      </c>
      <c r="AG120" s="125" t="s">
        <v>399</v>
      </c>
      <c r="AH120" s="125" t="s">
        <v>400</v>
      </c>
      <c r="AI120" s="125" t="s">
        <v>401</v>
      </c>
      <c r="AJ120" s="125" t="s">
        <v>402</v>
      </c>
      <c r="AK120" s="125" t="s">
        <v>454</v>
      </c>
      <c r="AL120" s="125" t="s">
        <v>455</v>
      </c>
      <c r="AM120" s="125" t="s">
        <v>456</v>
      </c>
      <c r="AN120" s="125" t="s">
        <v>457</v>
      </c>
      <c r="AO120" s="125" t="s">
        <v>458</v>
      </c>
      <c r="AP120" s="125"/>
      <c r="AQ120" s="125"/>
      <c r="AR120" s="125"/>
      <c r="AS120" s="245"/>
      <c r="AV120" s="125" t="s">
        <v>452</v>
      </c>
      <c r="AW120" s="125" t="s">
        <v>453</v>
      </c>
      <c r="AX120" s="125" t="s">
        <v>398</v>
      </c>
      <c r="AY120" s="125" t="s">
        <v>399</v>
      </c>
      <c r="AZ120" s="125" t="s">
        <v>400</v>
      </c>
      <c r="BA120" s="125" t="s">
        <v>401</v>
      </c>
      <c r="BB120" s="125" t="s">
        <v>402</v>
      </c>
      <c r="BC120" s="125" t="s">
        <v>454</v>
      </c>
      <c r="BD120" s="125" t="s">
        <v>455</v>
      </c>
      <c r="BE120" s="125" t="s">
        <v>456</v>
      </c>
      <c r="BF120" s="125" t="s">
        <v>457</v>
      </c>
      <c r="BG120" s="125" t="s">
        <v>458</v>
      </c>
      <c r="BH120" s="125"/>
      <c r="BI120" s="125"/>
      <c r="BJ120" s="125"/>
      <c r="BK120" s="125"/>
      <c r="BO120" s="125" t="s">
        <v>452</v>
      </c>
      <c r="BP120" s="125" t="s">
        <v>453</v>
      </c>
      <c r="BQ120" s="125" t="s">
        <v>398</v>
      </c>
      <c r="BR120" s="125" t="s">
        <v>399</v>
      </c>
      <c r="BS120" s="125" t="s">
        <v>400</v>
      </c>
      <c r="BT120" s="125" t="s">
        <v>401</v>
      </c>
      <c r="BU120" s="125" t="s">
        <v>402</v>
      </c>
      <c r="BV120" s="125" t="s">
        <v>454</v>
      </c>
      <c r="BW120" s="125" t="s">
        <v>455</v>
      </c>
      <c r="BX120" s="125" t="s">
        <v>456</v>
      </c>
      <c r="BY120" s="125" t="s">
        <v>457</v>
      </c>
      <c r="BZ120" s="125" t="s">
        <v>458</v>
      </c>
      <c r="CA120" s="125"/>
      <c r="CB120" s="125"/>
      <c r="CC120" s="125"/>
      <c r="CD120" s="245"/>
      <c r="CG120" s="125" t="s">
        <v>452</v>
      </c>
      <c r="CH120" s="125" t="s">
        <v>453</v>
      </c>
      <c r="CI120" s="125" t="s">
        <v>398</v>
      </c>
      <c r="CJ120" s="125" t="s">
        <v>399</v>
      </c>
      <c r="CK120" s="125" t="s">
        <v>400</v>
      </c>
      <c r="CL120" s="125" t="s">
        <v>401</v>
      </c>
      <c r="CM120" s="125" t="s">
        <v>402</v>
      </c>
      <c r="CN120" s="125" t="s">
        <v>454</v>
      </c>
      <c r="CO120" s="125" t="s">
        <v>455</v>
      </c>
      <c r="CP120" s="125" t="s">
        <v>456</v>
      </c>
      <c r="CQ120" s="125" t="s">
        <v>457</v>
      </c>
      <c r="CR120" s="125" t="s">
        <v>458</v>
      </c>
      <c r="CS120" s="125"/>
      <c r="CT120" s="125"/>
      <c r="CU120" s="125"/>
      <c r="CX120" s="125" t="s">
        <v>452</v>
      </c>
      <c r="CY120" s="125" t="s">
        <v>453</v>
      </c>
      <c r="CZ120" s="125" t="s">
        <v>398</v>
      </c>
      <c r="DA120" s="125" t="s">
        <v>399</v>
      </c>
      <c r="DB120" s="125" t="s">
        <v>400</v>
      </c>
      <c r="DC120" s="125" t="s">
        <v>401</v>
      </c>
      <c r="DD120" s="125" t="s">
        <v>402</v>
      </c>
      <c r="DE120" s="125" t="s">
        <v>454</v>
      </c>
      <c r="DF120" s="125" t="s">
        <v>455</v>
      </c>
      <c r="DG120" s="125" t="s">
        <v>456</v>
      </c>
      <c r="DH120" s="125" t="s">
        <v>457</v>
      </c>
      <c r="DI120" s="125" t="s">
        <v>458</v>
      </c>
      <c r="DJ120" s="125"/>
      <c r="DK120" s="125"/>
      <c r="DO120" s="125" t="s">
        <v>452</v>
      </c>
      <c r="DP120" s="125" t="s">
        <v>453</v>
      </c>
      <c r="DQ120" s="125" t="s">
        <v>398</v>
      </c>
      <c r="DR120" s="125" t="s">
        <v>399</v>
      </c>
      <c r="DS120" s="125" t="s">
        <v>400</v>
      </c>
      <c r="DT120" s="125" t="s">
        <v>401</v>
      </c>
      <c r="DU120" s="125" t="s">
        <v>402</v>
      </c>
      <c r="DV120" s="125" t="s">
        <v>454</v>
      </c>
      <c r="DW120" s="125" t="s">
        <v>455</v>
      </c>
      <c r="DX120" s="125" t="s">
        <v>456</v>
      </c>
      <c r="DY120" s="125" t="s">
        <v>457</v>
      </c>
      <c r="DZ120" s="125" t="s">
        <v>458</v>
      </c>
      <c r="FC120" s="125" t="s">
        <v>452</v>
      </c>
      <c r="FD120" s="125" t="s">
        <v>453</v>
      </c>
      <c r="FE120" s="125" t="s">
        <v>398</v>
      </c>
      <c r="FF120" s="125" t="s">
        <v>399</v>
      </c>
      <c r="FG120" s="125" t="s">
        <v>400</v>
      </c>
      <c r="FH120" s="125" t="s">
        <v>401</v>
      </c>
      <c r="FI120" s="125" t="s">
        <v>402</v>
      </c>
      <c r="FJ120" s="125" t="s">
        <v>454</v>
      </c>
      <c r="FK120" s="125" t="s">
        <v>455</v>
      </c>
      <c r="FL120" s="125" t="s">
        <v>456</v>
      </c>
      <c r="FM120" s="125" t="s">
        <v>457</v>
      </c>
      <c r="FN120" s="125" t="s">
        <v>458</v>
      </c>
      <c r="FW120" s="125" t="s">
        <v>452</v>
      </c>
      <c r="FX120" s="125" t="s">
        <v>453</v>
      </c>
      <c r="FY120" s="125" t="s">
        <v>398</v>
      </c>
      <c r="FZ120" s="125" t="s">
        <v>399</v>
      </c>
      <c r="GA120" s="125" t="s">
        <v>400</v>
      </c>
      <c r="GB120" s="125" t="s">
        <v>401</v>
      </c>
      <c r="GC120" s="125" t="s">
        <v>402</v>
      </c>
      <c r="GD120" s="125" t="s">
        <v>454</v>
      </c>
      <c r="GE120" s="125" t="s">
        <v>455</v>
      </c>
      <c r="GF120" s="125" t="s">
        <v>456</v>
      </c>
      <c r="GG120" s="125" t="s">
        <v>457</v>
      </c>
      <c r="GH120" s="125" t="s">
        <v>458</v>
      </c>
      <c r="GO120" s="125" t="s">
        <v>452</v>
      </c>
      <c r="GP120" s="125" t="s">
        <v>453</v>
      </c>
      <c r="GQ120" s="125" t="s">
        <v>398</v>
      </c>
      <c r="GR120" s="125" t="s">
        <v>399</v>
      </c>
      <c r="GS120" s="125" t="s">
        <v>400</v>
      </c>
      <c r="GT120" s="125" t="s">
        <v>401</v>
      </c>
      <c r="GU120" s="125" t="s">
        <v>402</v>
      </c>
      <c r="GV120" s="125" t="s">
        <v>454</v>
      </c>
      <c r="GW120" s="125" t="s">
        <v>455</v>
      </c>
      <c r="GX120" s="125" t="s">
        <v>456</v>
      </c>
      <c r="GY120" s="125" t="s">
        <v>457</v>
      </c>
      <c r="GZ120" s="125" t="s">
        <v>458</v>
      </c>
    </row>
    <row r="121" spans="1:208" x14ac:dyDescent="0.2">
      <c r="A121" s="155" t="s">
        <v>569</v>
      </c>
      <c r="B121" s="89">
        <f>B61+O61</f>
        <v>0</v>
      </c>
      <c r="C121" s="89">
        <f t="shared" ref="C121:M121" si="49">C61+P61</f>
        <v>0</v>
      </c>
      <c r="D121" s="89">
        <f t="shared" si="49"/>
        <v>0</v>
      </c>
      <c r="E121" s="89">
        <f t="shared" si="49"/>
        <v>0</v>
      </c>
      <c r="F121" s="89">
        <f t="shared" si="49"/>
        <v>0</v>
      </c>
      <c r="G121" s="89">
        <f t="shared" si="49"/>
        <v>0</v>
      </c>
      <c r="H121" s="89">
        <f t="shared" si="49"/>
        <v>0</v>
      </c>
      <c r="I121" s="89">
        <f t="shared" si="49"/>
        <v>0</v>
      </c>
      <c r="J121" s="89">
        <f t="shared" si="49"/>
        <v>0</v>
      </c>
      <c r="K121" s="89">
        <f t="shared" si="49"/>
        <v>0</v>
      </c>
      <c r="L121" s="89">
        <f t="shared" si="49"/>
        <v>0</v>
      </c>
      <c r="M121" s="89">
        <f t="shared" si="49"/>
        <v>0</v>
      </c>
      <c r="AC121" s="155" t="s">
        <v>569</v>
      </c>
      <c r="AD121" s="89">
        <f t="shared" ref="AD121:AO121" si="50">AD61+O61</f>
        <v>0</v>
      </c>
      <c r="AE121" s="89">
        <f t="shared" si="50"/>
        <v>0</v>
      </c>
      <c r="AF121" s="89">
        <f t="shared" si="50"/>
        <v>0</v>
      </c>
      <c r="AG121" s="89">
        <f t="shared" si="50"/>
        <v>0</v>
      </c>
      <c r="AH121" s="89">
        <f t="shared" si="50"/>
        <v>0</v>
      </c>
      <c r="AI121" s="89">
        <f t="shared" si="50"/>
        <v>0</v>
      </c>
      <c r="AJ121" s="89">
        <f t="shared" si="50"/>
        <v>0</v>
      </c>
      <c r="AK121" s="89">
        <f t="shared" si="50"/>
        <v>0</v>
      </c>
      <c r="AL121" s="89">
        <f t="shared" si="50"/>
        <v>0</v>
      </c>
      <c r="AM121" s="89">
        <f t="shared" si="50"/>
        <v>0</v>
      </c>
      <c r="AN121" s="89">
        <f t="shared" si="50"/>
        <v>0</v>
      </c>
      <c r="AO121" s="89">
        <f t="shared" si="50"/>
        <v>0</v>
      </c>
      <c r="AU121" s="155" t="s">
        <v>569</v>
      </c>
      <c r="AV121" s="89">
        <f>AV61+O61</f>
        <v>0</v>
      </c>
      <c r="AW121" s="89">
        <f t="shared" ref="AW121:BG121" si="51">AW61+P61</f>
        <v>0</v>
      </c>
      <c r="AX121" s="89">
        <f t="shared" si="51"/>
        <v>0</v>
      </c>
      <c r="AY121" s="89">
        <f t="shared" si="51"/>
        <v>0</v>
      </c>
      <c r="AZ121" s="89">
        <f t="shared" si="51"/>
        <v>0</v>
      </c>
      <c r="BA121" s="89">
        <f t="shared" si="51"/>
        <v>0</v>
      </c>
      <c r="BB121" s="89">
        <f t="shared" si="51"/>
        <v>0</v>
      </c>
      <c r="BC121" s="89">
        <f t="shared" si="51"/>
        <v>0</v>
      </c>
      <c r="BD121" s="89">
        <f t="shared" si="51"/>
        <v>0</v>
      </c>
      <c r="BE121" s="89">
        <f t="shared" si="51"/>
        <v>0</v>
      </c>
      <c r="BF121" s="89">
        <f t="shared" si="51"/>
        <v>0</v>
      </c>
      <c r="BG121" s="89">
        <f t="shared" si="51"/>
        <v>0</v>
      </c>
      <c r="BN121" s="155" t="s">
        <v>569</v>
      </c>
      <c r="BO121" s="89">
        <f t="shared" ref="BO121:BZ121" si="52">BO61+O61</f>
        <v>0</v>
      </c>
      <c r="BP121" s="89">
        <f t="shared" si="52"/>
        <v>0</v>
      </c>
      <c r="BQ121" s="89">
        <f t="shared" si="52"/>
        <v>0</v>
      </c>
      <c r="BR121" s="89">
        <f t="shared" si="52"/>
        <v>0</v>
      </c>
      <c r="BS121" s="89">
        <f t="shared" si="52"/>
        <v>0</v>
      </c>
      <c r="BT121" s="89">
        <f t="shared" si="52"/>
        <v>0</v>
      </c>
      <c r="BU121" s="89">
        <f t="shared" si="52"/>
        <v>0</v>
      </c>
      <c r="BV121" s="89">
        <f t="shared" si="52"/>
        <v>0</v>
      </c>
      <c r="BW121" s="89">
        <f t="shared" si="52"/>
        <v>0</v>
      </c>
      <c r="BX121" s="89">
        <f t="shared" si="52"/>
        <v>0</v>
      </c>
      <c r="BY121" s="89">
        <f t="shared" si="52"/>
        <v>0</v>
      </c>
      <c r="BZ121" s="89">
        <f t="shared" si="52"/>
        <v>0</v>
      </c>
      <c r="CF121" s="155" t="s">
        <v>569</v>
      </c>
      <c r="CG121" s="89">
        <f t="shared" ref="CG121:CR121" si="53">CG61+O61</f>
        <v>0</v>
      </c>
      <c r="CH121" s="89">
        <f t="shared" si="53"/>
        <v>0</v>
      </c>
      <c r="CI121" s="89">
        <f t="shared" si="53"/>
        <v>0</v>
      </c>
      <c r="CJ121" s="89">
        <f t="shared" si="53"/>
        <v>0</v>
      </c>
      <c r="CK121" s="89">
        <f t="shared" si="53"/>
        <v>0</v>
      </c>
      <c r="CL121" s="89">
        <f t="shared" si="53"/>
        <v>0</v>
      </c>
      <c r="CM121" s="89">
        <f t="shared" si="53"/>
        <v>0</v>
      </c>
      <c r="CN121" s="89">
        <f t="shared" si="53"/>
        <v>0</v>
      </c>
      <c r="CO121" s="89">
        <f t="shared" si="53"/>
        <v>0</v>
      </c>
      <c r="CP121" s="89">
        <f t="shared" si="53"/>
        <v>0</v>
      </c>
      <c r="CQ121" s="89">
        <f t="shared" si="53"/>
        <v>0</v>
      </c>
      <c r="CR121" s="89">
        <f t="shared" si="53"/>
        <v>0</v>
      </c>
      <c r="CW121" s="155" t="s">
        <v>569</v>
      </c>
      <c r="CX121" s="89">
        <f t="shared" ref="CX121:DI121" si="54">B61+CW61</f>
        <v>0</v>
      </c>
      <c r="CY121" s="89">
        <f t="shared" si="54"/>
        <v>0</v>
      </c>
      <c r="CZ121" s="89">
        <f t="shared" si="54"/>
        <v>0</v>
      </c>
      <c r="DA121" s="89">
        <f t="shared" si="54"/>
        <v>0</v>
      </c>
      <c r="DB121" s="89">
        <f t="shared" si="54"/>
        <v>0</v>
      </c>
      <c r="DC121" s="89">
        <f t="shared" si="54"/>
        <v>0</v>
      </c>
      <c r="DD121" s="89">
        <f t="shared" si="54"/>
        <v>0</v>
      </c>
      <c r="DE121" s="89">
        <f t="shared" si="54"/>
        <v>0</v>
      </c>
      <c r="DF121" s="89">
        <f t="shared" si="54"/>
        <v>0</v>
      </c>
      <c r="DG121" s="89">
        <f t="shared" si="54"/>
        <v>0</v>
      </c>
      <c r="DH121" s="89">
        <f t="shared" si="54"/>
        <v>0</v>
      </c>
      <c r="DI121" s="89">
        <f t="shared" si="54"/>
        <v>0</v>
      </c>
      <c r="DN121" s="155" t="s">
        <v>569</v>
      </c>
      <c r="DO121" s="89">
        <f>B61+O61</f>
        <v>0</v>
      </c>
      <c r="DP121" s="89">
        <f t="shared" ref="DP121:DZ121" si="55">C61+P61</f>
        <v>0</v>
      </c>
      <c r="DQ121" s="89">
        <f t="shared" si="55"/>
        <v>0</v>
      </c>
      <c r="DR121" s="89">
        <f t="shared" si="55"/>
        <v>0</v>
      </c>
      <c r="DS121" s="89">
        <f t="shared" si="55"/>
        <v>0</v>
      </c>
      <c r="DT121" s="89">
        <f t="shared" si="55"/>
        <v>0</v>
      </c>
      <c r="DU121" s="89">
        <f t="shared" si="55"/>
        <v>0</v>
      </c>
      <c r="DV121" s="89">
        <f t="shared" si="55"/>
        <v>0</v>
      </c>
      <c r="DW121" s="89">
        <f t="shared" si="55"/>
        <v>0</v>
      </c>
      <c r="DX121" s="89">
        <f t="shared" si="55"/>
        <v>0</v>
      </c>
      <c r="DY121" s="89">
        <f t="shared" si="55"/>
        <v>0</v>
      </c>
      <c r="DZ121" s="89">
        <f t="shared" si="55"/>
        <v>0</v>
      </c>
      <c r="FB121" s="155" t="s">
        <v>569</v>
      </c>
      <c r="FC121" s="89">
        <f>B121</f>
        <v>0</v>
      </c>
      <c r="FD121" s="89">
        <f t="shared" ref="FD121:FN121" si="56">C121</f>
        <v>0</v>
      </c>
      <c r="FE121" s="89">
        <f t="shared" si="56"/>
        <v>0</v>
      </c>
      <c r="FF121" s="89">
        <f t="shared" si="56"/>
        <v>0</v>
      </c>
      <c r="FG121" s="89">
        <f t="shared" si="56"/>
        <v>0</v>
      </c>
      <c r="FH121" s="89">
        <f t="shared" si="56"/>
        <v>0</v>
      </c>
      <c r="FI121" s="89">
        <f t="shared" si="56"/>
        <v>0</v>
      </c>
      <c r="FJ121" s="89">
        <f t="shared" si="56"/>
        <v>0</v>
      </c>
      <c r="FK121" s="89">
        <f t="shared" si="56"/>
        <v>0</v>
      </c>
      <c r="FL121" s="89">
        <f t="shared" si="56"/>
        <v>0</v>
      </c>
      <c r="FM121" s="89">
        <f t="shared" si="56"/>
        <v>0</v>
      </c>
      <c r="FN121" s="89">
        <f t="shared" si="56"/>
        <v>0</v>
      </c>
      <c r="FV121" s="155" t="s">
        <v>569</v>
      </c>
      <c r="FW121" s="89">
        <f>B121</f>
        <v>0</v>
      </c>
      <c r="FX121" s="89">
        <f t="shared" ref="FX121:GH122" si="57">C121</f>
        <v>0</v>
      </c>
      <c r="FY121" s="89">
        <f t="shared" si="57"/>
        <v>0</v>
      </c>
      <c r="FZ121" s="89">
        <f t="shared" si="57"/>
        <v>0</v>
      </c>
      <c r="GA121" s="89">
        <f t="shared" si="57"/>
        <v>0</v>
      </c>
      <c r="GB121" s="89">
        <f t="shared" si="57"/>
        <v>0</v>
      </c>
      <c r="GC121" s="89">
        <f t="shared" si="57"/>
        <v>0</v>
      </c>
      <c r="GD121" s="89">
        <f t="shared" si="57"/>
        <v>0</v>
      </c>
      <c r="GE121" s="89">
        <f t="shared" si="57"/>
        <v>0</v>
      </c>
      <c r="GF121" s="89">
        <f t="shared" si="57"/>
        <v>0</v>
      </c>
      <c r="GG121" s="89">
        <f t="shared" si="57"/>
        <v>0</v>
      </c>
      <c r="GH121" s="89">
        <f t="shared" si="57"/>
        <v>0</v>
      </c>
      <c r="GN121" s="155" t="s">
        <v>569</v>
      </c>
      <c r="GO121" s="89">
        <f>GO61+HB61</f>
        <v>0</v>
      </c>
      <c r="GP121" s="89">
        <f t="shared" ref="GP121:GZ121" si="58">GP61+HC61</f>
        <v>0</v>
      </c>
      <c r="GQ121" s="89">
        <f t="shared" si="58"/>
        <v>0</v>
      </c>
      <c r="GR121" s="89">
        <f t="shared" si="58"/>
        <v>0</v>
      </c>
      <c r="GS121" s="89">
        <f t="shared" si="58"/>
        <v>0</v>
      </c>
      <c r="GT121" s="89">
        <f t="shared" si="58"/>
        <v>0</v>
      </c>
      <c r="GU121" s="89">
        <f t="shared" si="58"/>
        <v>0</v>
      </c>
      <c r="GV121" s="89">
        <f t="shared" si="58"/>
        <v>0</v>
      </c>
      <c r="GW121" s="89">
        <f t="shared" si="58"/>
        <v>0</v>
      </c>
      <c r="GX121" s="89">
        <f t="shared" si="58"/>
        <v>0</v>
      </c>
      <c r="GY121" s="89">
        <f t="shared" si="58"/>
        <v>0</v>
      </c>
      <c r="GZ121" s="89">
        <f t="shared" si="58"/>
        <v>0</v>
      </c>
    </row>
    <row r="122" spans="1:208" x14ac:dyDescent="0.2">
      <c r="A122" s="155" t="s">
        <v>507</v>
      </c>
      <c r="B122" s="89">
        <f>H12</f>
        <v>0</v>
      </c>
      <c r="C122" s="89">
        <f t="shared" ref="C122:M122" si="59">I12</f>
        <v>0</v>
      </c>
      <c r="D122" s="89">
        <f t="shared" si="59"/>
        <v>0</v>
      </c>
      <c r="E122" s="89">
        <f t="shared" si="59"/>
        <v>0</v>
      </c>
      <c r="F122" s="89">
        <f t="shared" si="59"/>
        <v>0</v>
      </c>
      <c r="G122" s="89">
        <f t="shared" si="59"/>
        <v>0</v>
      </c>
      <c r="H122" s="89">
        <f t="shared" si="59"/>
        <v>0</v>
      </c>
      <c r="I122" s="89">
        <f t="shared" si="59"/>
        <v>0</v>
      </c>
      <c r="J122" s="89">
        <f t="shared" si="59"/>
        <v>0</v>
      </c>
      <c r="K122" s="89">
        <f t="shared" si="59"/>
        <v>0</v>
      </c>
      <c r="L122" s="89">
        <f t="shared" si="59"/>
        <v>0</v>
      </c>
      <c r="M122" s="89">
        <f t="shared" si="59"/>
        <v>0</v>
      </c>
      <c r="AC122" s="155" t="s">
        <v>507</v>
      </c>
      <c r="AD122" s="89">
        <f>H12</f>
        <v>0</v>
      </c>
      <c r="AE122" s="89">
        <f t="shared" ref="AE122:AO122" si="60">I12</f>
        <v>0</v>
      </c>
      <c r="AF122" s="89">
        <f t="shared" si="60"/>
        <v>0</v>
      </c>
      <c r="AG122" s="89">
        <f t="shared" si="60"/>
        <v>0</v>
      </c>
      <c r="AH122" s="89">
        <f t="shared" si="60"/>
        <v>0</v>
      </c>
      <c r="AI122" s="89">
        <f t="shared" si="60"/>
        <v>0</v>
      </c>
      <c r="AJ122" s="89">
        <f t="shared" si="60"/>
        <v>0</v>
      </c>
      <c r="AK122" s="89">
        <f t="shared" si="60"/>
        <v>0</v>
      </c>
      <c r="AL122" s="89">
        <f t="shared" si="60"/>
        <v>0</v>
      </c>
      <c r="AM122" s="89">
        <f t="shared" si="60"/>
        <v>0</v>
      </c>
      <c r="AN122" s="89">
        <f t="shared" si="60"/>
        <v>0</v>
      </c>
      <c r="AO122" s="89">
        <f t="shared" si="60"/>
        <v>0</v>
      </c>
      <c r="AU122" s="155" t="s">
        <v>507</v>
      </c>
      <c r="AV122" s="89">
        <f>H12</f>
        <v>0</v>
      </c>
      <c r="AW122" s="89">
        <f t="shared" ref="AW122:BG122" si="61">I12</f>
        <v>0</v>
      </c>
      <c r="AX122" s="89">
        <f t="shared" si="61"/>
        <v>0</v>
      </c>
      <c r="AY122" s="89">
        <f t="shared" si="61"/>
        <v>0</v>
      </c>
      <c r="AZ122" s="89">
        <f t="shared" si="61"/>
        <v>0</v>
      </c>
      <c r="BA122" s="89">
        <f t="shared" si="61"/>
        <v>0</v>
      </c>
      <c r="BB122" s="89">
        <f t="shared" si="61"/>
        <v>0</v>
      </c>
      <c r="BC122" s="89">
        <f t="shared" si="61"/>
        <v>0</v>
      </c>
      <c r="BD122" s="89">
        <f t="shared" si="61"/>
        <v>0</v>
      </c>
      <c r="BE122" s="89">
        <f t="shared" si="61"/>
        <v>0</v>
      </c>
      <c r="BF122" s="89">
        <f t="shared" si="61"/>
        <v>0</v>
      </c>
      <c r="BG122" s="89">
        <f t="shared" si="61"/>
        <v>0</v>
      </c>
      <c r="BN122" s="155" t="s">
        <v>507</v>
      </c>
      <c r="BO122" s="89">
        <f>H12</f>
        <v>0</v>
      </c>
      <c r="BP122" s="89">
        <f t="shared" ref="BP122:BZ122" si="62">I12</f>
        <v>0</v>
      </c>
      <c r="BQ122" s="89">
        <f t="shared" si="62"/>
        <v>0</v>
      </c>
      <c r="BR122" s="89">
        <f t="shared" si="62"/>
        <v>0</v>
      </c>
      <c r="BS122" s="89">
        <f t="shared" si="62"/>
        <v>0</v>
      </c>
      <c r="BT122" s="89">
        <f t="shared" si="62"/>
        <v>0</v>
      </c>
      <c r="BU122" s="89">
        <f t="shared" si="62"/>
        <v>0</v>
      </c>
      <c r="BV122" s="89">
        <f t="shared" si="62"/>
        <v>0</v>
      </c>
      <c r="BW122" s="89">
        <f t="shared" si="62"/>
        <v>0</v>
      </c>
      <c r="BX122" s="89">
        <f t="shared" si="62"/>
        <v>0</v>
      </c>
      <c r="BY122" s="89">
        <f t="shared" si="62"/>
        <v>0</v>
      </c>
      <c r="BZ122" s="89">
        <f t="shared" si="62"/>
        <v>0</v>
      </c>
      <c r="CF122" s="155" t="s">
        <v>507</v>
      </c>
      <c r="CG122" s="89">
        <f>H12</f>
        <v>0</v>
      </c>
      <c r="CH122" s="89">
        <f t="shared" ref="CH122:CR122" si="63">I12</f>
        <v>0</v>
      </c>
      <c r="CI122" s="89">
        <f t="shared" si="63"/>
        <v>0</v>
      </c>
      <c r="CJ122" s="89">
        <f t="shared" si="63"/>
        <v>0</v>
      </c>
      <c r="CK122" s="89">
        <f t="shared" si="63"/>
        <v>0</v>
      </c>
      <c r="CL122" s="89">
        <f t="shared" si="63"/>
        <v>0</v>
      </c>
      <c r="CM122" s="89">
        <f t="shared" si="63"/>
        <v>0</v>
      </c>
      <c r="CN122" s="89">
        <f t="shared" si="63"/>
        <v>0</v>
      </c>
      <c r="CO122" s="89">
        <f t="shared" si="63"/>
        <v>0</v>
      </c>
      <c r="CP122" s="89">
        <f t="shared" si="63"/>
        <v>0</v>
      </c>
      <c r="CQ122" s="89">
        <f t="shared" si="63"/>
        <v>0</v>
      </c>
      <c r="CR122" s="89">
        <f t="shared" si="63"/>
        <v>0</v>
      </c>
      <c r="CW122" s="155" t="s">
        <v>507</v>
      </c>
      <c r="CX122" s="89">
        <f>H12</f>
        <v>0</v>
      </c>
      <c r="CY122" s="89">
        <f t="shared" ref="CY122:DI122" si="64">I12</f>
        <v>0</v>
      </c>
      <c r="CZ122" s="89">
        <f t="shared" si="64"/>
        <v>0</v>
      </c>
      <c r="DA122" s="89">
        <f t="shared" si="64"/>
        <v>0</v>
      </c>
      <c r="DB122" s="89">
        <f t="shared" si="64"/>
        <v>0</v>
      </c>
      <c r="DC122" s="89">
        <f t="shared" si="64"/>
        <v>0</v>
      </c>
      <c r="DD122" s="89">
        <f t="shared" si="64"/>
        <v>0</v>
      </c>
      <c r="DE122" s="89">
        <f t="shared" si="64"/>
        <v>0</v>
      </c>
      <c r="DF122" s="89">
        <f t="shared" si="64"/>
        <v>0</v>
      </c>
      <c r="DG122" s="89">
        <f t="shared" si="64"/>
        <v>0</v>
      </c>
      <c r="DH122" s="89">
        <f t="shared" si="64"/>
        <v>0</v>
      </c>
      <c r="DI122" s="89">
        <f t="shared" si="64"/>
        <v>0</v>
      </c>
      <c r="DN122" s="155" t="s">
        <v>507</v>
      </c>
      <c r="DO122" s="89">
        <f>H12</f>
        <v>0</v>
      </c>
      <c r="DP122" s="89">
        <f t="shared" ref="DP122:DZ122" si="65">I12</f>
        <v>0</v>
      </c>
      <c r="DQ122" s="89">
        <f t="shared" si="65"/>
        <v>0</v>
      </c>
      <c r="DR122" s="89">
        <f t="shared" si="65"/>
        <v>0</v>
      </c>
      <c r="DS122" s="89">
        <f t="shared" si="65"/>
        <v>0</v>
      </c>
      <c r="DT122" s="89">
        <f t="shared" si="65"/>
        <v>0</v>
      </c>
      <c r="DU122" s="89">
        <f t="shared" si="65"/>
        <v>0</v>
      </c>
      <c r="DV122" s="89">
        <f t="shared" si="65"/>
        <v>0</v>
      </c>
      <c r="DW122" s="89">
        <f t="shared" si="65"/>
        <v>0</v>
      </c>
      <c r="DX122" s="89">
        <f t="shared" si="65"/>
        <v>0</v>
      </c>
      <c r="DY122" s="89">
        <f t="shared" si="65"/>
        <v>0</v>
      </c>
      <c r="DZ122" s="89">
        <f t="shared" si="65"/>
        <v>0</v>
      </c>
      <c r="FB122" s="155" t="s">
        <v>507</v>
      </c>
      <c r="FC122" s="89">
        <f t="shared" ref="FC122:FN122" si="66">FI12</f>
        <v>0</v>
      </c>
      <c r="FD122" s="89">
        <f t="shared" si="66"/>
        <v>0</v>
      </c>
      <c r="FE122" s="89">
        <f t="shared" si="66"/>
        <v>0</v>
      </c>
      <c r="FF122" s="89">
        <f t="shared" si="66"/>
        <v>0</v>
      </c>
      <c r="FG122" s="89">
        <f t="shared" si="66"/>
        <v>0</v>
      </c>
      <c r="FH122" s="89">
        <f t="shared" si="66"/>
        <v>0</v>
      </c>
      <c r="FI122" s="89">
        <f t="shared" si="66"/>
        <v>0</v>
      </c>
      <c r="FJ122" s="89">
        <f t="shared" si="66"/>
        <v>0</v>
      </c>
      <c r="FK122" s="89">
        <f t="shared" si="66"/>
        <v>0</v>
      </c>
      <c r="FL122" s="89">
        <f t="shared" si="66"/>
        <v>0</v>
      </c>
      <c r="FM122" s="89">
        <f t="shared" si="66"/>
        <v>0</v>
      </c>
      <c r="FN122" s="89">
        <f t="shared" si="66"/>
        <v>0</v>
      </c>
      <c r="FV122" s="155" t="s">
        <v>507</v>
      </c>
      <c r="FW122" s="89">
        <f>B122</f>
        <v>0</v>
      </c>
      <c r="FX122" s="89">
        <f t="shared" si="57"/>
        <v>0</v>
      </c>
      <c r="FY122" s="89">
        <f t="shared" si="57"/>
        <v>0</v>
      </c>
      <c r="FZ122" s="89">
        <f t="shared" si="57"/>
        <v>0</v>
      </c>
      <c r="GA122" s="89">
        <f t="shared" si="57"/>
        <v>0</v>
      </c>
      <c r="GB122" s="89">
        <f t="shared" si="57"/>
        <v>0</v>
      </c>
      <c r="GC122" s="89">
        <f t="shared" si="57"/>
        <v>0</v>
      </c>
      <c r="GD122" s="89">
        <f t="shared" si="57"/>
        <v>0</v>
      </c>
      <c r="GE122" s="89">
        <f t="shared" si="57"/>
        <v>0</v>
      </c>
      <c r="GF122" s="89">
        <f t="shared" si="57"/>
        <v>0</v>
      </c>
      <c r="GG122" s="89">
        <f t="shared" si="57"/>
        <v>0</v>
      </c>
      <c r="GH122" s="89">
        <f t="shared" si="57"/>
        <v>0</v>
      </c>
      <c r="GN122" s="155" t="s">
        <v>507</v>
      </c>
      <c r="GO122" s="89">
        <f>GT12</f>
        <v>0</v>
      </c>
      <c r="GP122" s="89">
        <f t="shared" ref="GP122:GZ122" si="67">GU12</f>
        <v>0</v>
      </c>
      <c r="GQ122" s="89">
        <f t="shared" si="67"/>
        <v>0</v>
      </c>
      <c r="GR122" s="89">
        <f t="shared" si="67"/>
        <v>0</v>
      </c>
      <c r="GS122" s="89">
        <f t="shared" si="67"/>
        <v>0</v>
      </c>
      <c r="GT122" s="89">
        <f t="shared" si="67"/>
        <v>0</v>
      </c>
      <c r="GU122" s="89">
        <f t="shared" si="67"/>
        <v>0</v>
      </c>
      <c r="GV122" s="89">
        <f t="shared" si="67"/>
        <v>0</v>
      </c>
      <c r="GW122" s="89">
        <f t="shared" si="67"/>
        <v>0</v>
      </c>
      <c r="GX122" s="89">
        <f t="shared" si="67"/>
        <v>0</v>
      </c>
      <c r="GY122" s="89">
        <f t="shared" si="67"/>
        <v>0</v>
      </c>
      <c r="GZ122" s="89">
        <f t="shared" si="67"/>
        <v>0</v>
      </c>
    </row>
    <row r="123" spans="1:208" x14ac:dyDescent="0.2">
      <c r="A123" s="155" t="s">
        <v>720</v>
      </c>
      <c r="B123" s="89">
        <f>'Verwerken Algemeen'!C31</f>
        <v>0</v>
      </c>
      <c r="C123" s="89">
        <f>$B$123</f>
        <v>0</v>
      </c>
      <c r="D123" s="89">
        <f t="shared" ref="D123:M123" si="68">$B$123</f>
        <v>0</v>
      </c>
      <c r="E123" s="89">
        <f t="shared" si="68"/>
        <v>0</v>
      </c>
      <c r="F123" s="89">
        <f t="shared" si="68"/>
        <v>0</v>
      </c>
      <c r="G123" s="89">
        <f t="shared" si="68"/>
        <v>0</v>
      </c>
      <c r="H123" s="89">
        <f t="shared" si="68"/>
        <v>0</v>
      </c>
      <c r="I123" s="89">
        <f t="shared" si="68"/>
        <v>0</v>
      </c>
      <c r="J123" s="89">
        <f t="shared" si="68"/>
        <v>0</v>
      </c>
      <c r="K123" s="89">
        <f t="shared" si="68"/>
        <v>0</v>
      </c>
      <c r="L123" s="89">
        <f t="shared" si="68"/>
        <v>0</v>
      </c>
      <c r="M123" s="89">
        <f t="shared" si="68"/>
        <v>0</v>
      </c>
      <c r="AC123" s="155" t="s">
        <v>720</v>
      </c>
      <c r="AD123" s="89">
        <f>$B$123</f>
        <v>0</v>
      </c>
      <c r="AE123" s="89">
        <f t="shared" ref="AE123:AO123" si="69">$B$123</f>
        <v>0</v>
      </c>
      <c r="AF123" s="89">
        <f t="shared" si="69"/>
        <v>0</v>
      </c>
      <c r="AG123" s="89">
        <f t="shared" si="69"/>
        <v>0</v>
      </c>
      <c r="AH123" s="89">
        <f t="shared" si="69"/>
        <v>0</v>
      </c>
      <c r="AI123" s="89">
        <f t="shared" si="69"/>
        <v>0</v>
      </c>
      <c r="AJ123" s="89">
        <f t="shared" si="69"/>
        <v>0</v>
      </c>
      <c r="AK123" s="89">
        <f t="shared" si="69"/>
        <v>0</v>
      </c>
      <c r="AL123" s="89">
        <f t="shared" si="69"/>
        <v>0</v>
      </c>
      <c r="AM123" s="89">
        <f t="shared" si="69"/>
        <v>0</v>
      </c>
      <c r="AN123" s="89">
        <f t="shared" si="69"/>
        <v>0</v>
      </c>
      <c r="AO123" s="89">
        <f t="shared" si="69"/>
        <v>0</v>
      </c>
      <c r="AU123" s="155" t="s">
        <v>720</v>
      </c>
      <c r="AV123" s="89">
        <f>$B$123</f>
        <v>0</v>
      </c>
      <c r="AW123" s="89">
        <f t="shared" ref="AW123:BG123" si="70">$B$123</f>
        <v>0</v>
      </c>
      <c r="AX123" s="89">
        <f t="shared" si="70"/>
        <v>0</v>
      </c>
      <c r="AY123" s="89">
        <f t="shared" si="70"/>
        <v>0</v>
      </c>
      <c r="AZ123" s="89">
        <f t="shared" si="70"/>
        <v>0</v>
      </c>
      <c r="BA123" s="89">
        <f t="shared" si="70"/>
        <v>0</v>
      </c>
      <c r="BB123" s="89">
        <f t="shared" si="70"/>
        <v>0</v>
      </c>
      <c r="BC123" s="89">
        <f t="shared" si="70"/>
        <v>0</v>
      </c>
      <c r="BD123" s="89">
        <f t="shared" si="70"/>
        <v>0</v>
      </c>
      <c r="BE123" s="89">
        <f t="shared" si="70"/>
        <v>0</v>
      </c>
      <c r="BF123" s="89">
        <f t="shared" si="70"/>
        <v>0</v>
      </c>
      <c r="BG123" s="89">
        <f t="shared" si="70"/>
        <v>0</v>
      </c>
      <c r="BN123" s="155" t="s">
        <v>720</v>
      </c>
      <c r="BO123" s="89">
        <f>$B$123</f>
        <v>0</v>
      </c>
      <c r="BP123" s="89">
        <f t="shared" ref="BP123:BZ123" si="71">$B$123</f>
        <v>0</v>
      </c>
      <c r="BQ123" s="89">
        <f t="shared" si="71"/>
        <v>0</v>
      </c>
      <c r="BR123" s="89">
        <f t="shared" si="71"/>
        <v>0</v>
      </c>
      <c r="BS123" s="89">
        <f t="shared" si="71"/>
        <v>0</v>
      </c>
      <c r="BT123" s="89">
        <f t="shared" si="71"/>
        <v>0</v>
      </c>
      <c r="BU123" s="89">
        <f t="shared" si="71"/>
        <v>0</v>
      </c>
      <c r="BV123" s="89">
        <f t="shared" si="71"/>
        <v>0</v>
      </c>
      <c r="BW123" s="89">
        <f t="shared" si="71"/>
        <v>0</v>
      </c>
      <c r="BX123" s="89">
        <f t="shared" si="71"/>
        <v>0</v>
      </c>
      <c r="BY123" s="89">
        <f t="shared" si="71"/>
        <v>0</v>
      </c>
      <c r="BZ123" s="89">
        <f t="shared" si="71"/>
        <v>0</v>
      </c>
      <c r="CF123" s="155" t="s">
        <v>720</v>
      </c>
      <c r="CG123" s="89">
        <f>$B$123</f>
        <v>0</v>
      </c>
      <c r="CH123" s="89">
        <f t="shared" ref="CH123:CR123" si="72">$B$123</f>
        <v>0</v>
      </c>
      <c r="CI123" s="89">
        <f t="shared" si="72"/>
        <v>0</v>
      </c>
      <c r="CJ123" s="89">
        <f t="shared" si="72"/>
        <v>0</v>
      </c>
      <c r="CK123" s="89">
        <f t="shared" si="72"/>
        <v>0</v>
      </c>
      <c r="CL123" s="89">
        <f t="shared" si="72"/>
        <v>0</v>
      </c>
      <c r="CM123" s="89">
        <f t="shared" si="72"/>
        <v>0</v>
      </c>
      <c r="CN123" s="89">
        <f t="shared" si="72"/>
        <v>0</v>
      </c>
      <c r="CO123" s="89">
        <f t="shared" si="72"/>
        <v>0</v>
      </c>
      <c r="CP123" s="89">
        <f t="shared" si="72"/>
        <v>0</v>
      </c>
      <c r="CQ123" s="89">
        <f t="shared" si="72"/>
        <v>0</v>
      </c>
      <c r="CR123" s="89">
        <f t="shared" si="72"/>
        <v>0</v>
      </c>
      <c r="CW123" s="155" t="s">
        <v>720</v>
      </c>
      <c r="CX123" s="89">
        <f>$B$123</f>
        <v>0</v>
      </c>
      <c r="CY123" s="89">
        <f t="shared" ref="CY123:DI123" si="73">$B$123</f>
        <v>0</v>
      </c>
      <c r="CZ123" s="89">
        <f t="shared" si="73"/>
        <v>0</v>
      </c>
      <c r="DA123" s="89">
        <f t="shared" si="73"/>
        <v>0</v>
      </c>
      <c r="DB123" s="89">
        <f t="shared" si="73"/>
        <v>0</v>
      </c>
      <c r="DC123" s="89">
        <f t="shared" si="73"/>
        <v>0</v>
      </c>
      <c r="DD123" s="89">
        <f t="shared" si="73"/>
        <v>0</v>
      </c>
      <c r="DE123" s="89">
        <f t="shared" si="73"/>
        <v>0</v>
      </c>
      <c r="DF123" s="89">
        <f t="shared" si="73"/>
        <v>0</v>
      </c>
      <c r="DG123" s="89">
        <f t="shared" si="73"/>
        <v>0</v>
      </c>
      <c r="DH123" s="89">
        <f t="shared" si="73"/>
        <v>0</v>
      </c>
      <c r="DI123" s="89">
        <f t="shared" si="73"/>
        <v>0</v>
      </c>
      <c r="DN123" s="155" t="s">
        <v>720</v>
      </c>
      <c r="DO123" s="89">
        <f>$B$123</f>
        <v>0</v>
      </c>
      <c r="DP123" s="89">
        <f t="shared" ref="DP123:DZ123" si="74">$B$123</f>
        <v>0</v>
      </c>
      <c r="DQ123" s="89">
        <f t="shared" si="74"/>
        <v>0</v>
      </c>
      <c r="DR123" s="89">
        <f t="shared" si="74"/>
        <v>0</v>
      </c>
      <c r="DS123" s="89">
        <f t="shared" si="74"/>
        <v>0</v>
      </c>
      <c r="DT123" s="89">
        <f t="shared" si="74"/>
        <v>0</v>
      </c>
      <c r="DU123" s="89">
        <f t="shared" si="74"/>
        <v>0</v>
      </c>
      <c r="DV123" s="89">
        <f t="shared" si="74"/>
        <v>0</v>
      </c>
      <c r="DW123" s="89">
        <f t="shared" si="74"/>
        <v>0</v>
      </c>
      <c r="DX123" s="89">
        <f t="shared" si="74"/>
        <v>0</v>
      </c>
      <c r="DY123" s="89">
        <f t="shared" si="74"/>
        <v>0</v>
      </c>
      <c r="DZ123" s="89">
        <f t="shared" si="74"/>
        <v>0</v>
      </c>
      <c r="FB123" s="155" t="s">
        <v>720</v>
      </c>
      <c r="FC123" s="89">
        <f>$B$123</f>
        <v>0</v>
      </c>
      <c r="FD123" s="89">
        <f t="shared" ref="FD123:FN123" si="75">$B$123</f>
        <v>0</v>
      </c>
      <c r="FE123" s="89">
        <f t="shared" si="75"/>
        <v>0</v>
      </c>
      <c r="FF123" s="89">
        <f t="shared" si="75"/>
        <v>0</v>
      </c>
      <c r="FG123" s="89">
        <f t="shared" si="75"/>
        <v>0</v>
      </c>
      <c r="FH123" s="89">
        <f t="shared" si="75"/>
        <v>0</v>
      </c>
      <c r="FI123" s="89">
        <f t="shared" si="75"/>
        <v>0</v>
      </c>
      <c r="FJ123" s="89">
        <f t="shared" si="75"/>
        <v>0</v>
      </c>
      <c r="FK123" s="89">
        <f t="shared" si="75"/>
        <v>0</v>
      </c>
      <c r="FL123" s="89">
        <f t="shared" si="75"/>
        <v>0</v>
      </c>
      <c r="FM123" s="89">
        <f t="shared" si="75"/>
        <v>0</v>
      </c>
      <c r="FN123" s="89">
        <f t="shared" si="75"/>
        <v>0</v>
      </c>
      <c r="FV123" s="155" t="s">
        <v>720</v>
      </c>
      <c r="FW123" s="89">
        <f>$B$123</f>
        <v>0</v>
      </c>
      <c r="FX123" s="89">
        <f t="shared" ref="FX123:GH123" si="76">$B$123</f>
        <v>0</v>
      </c>
      <c r="FY123" s="89">
        <f t="shared" si="76"/>
        <v>0</v>
      </c>
      <c r="FZ123" s="89">
        <f t="shared" si="76"/>
        <v>0</v>
      </c>
      <c r="GA123" s="89">
        <f t="shared" si="76"/>
        <v>0</v>
      </c>
      <c r="GB123" s="89">
        <f t="shared" si="76"/>
        <v>0</v>
      </c>
      <c r="GC123" s="89">
        <f t="shared" si="76"/>
        <v>0</v>
      </c>
      <c r="GD123" s="89">
        <f t="shared" si="76"/>
        <v>0</v>
      </c>
      <c r="GE123" s="89">
        <f t="shared" si="76"/>
        <v>0</v>
      </c>
      <c r="GF123" s="89">
        <f t="shared" si="76"/>
        <v>0</v>
      </c>
      <c r="GG123" s="89">
        <f t="shared" si="76"/>
        <v>0</v>
      </c>
      <c r="GH123" s="89">
        <f t="shared" si="76"/>
        <v>0</v>
      </c>
      <c r="GN123" s="155" t="s">
        <v>720</v>
      </c>
      <c r="GO123" s="89">
        <f>$B$123</f>
        <v>0</v>
      </c>
      <c r="GP123" s="89">
        <f t="shared" ref="GP123:GZ123" si="77">$B$123</f>
        <v>0</v>
      </c>
      <c r="GQ123" s="89">
        <f t="shared" si="77"/>
        <v>0</v>
      </c>
      <c r="GR123" s="89">
        <f t="shared" si="77"/>
        <v>0</v>
      </c>
      <c r="GS123" s="89">
        <f t="shared" si="77"/>
        <v>0</v>
      </c>
      <c r="GT123" s="89">
        <f t="shared" si="77"/>
        <v>0</v>
      </c>
      <c r="GU123" s="89">
        <f t="shared" si="77"/>
        <v>0</v>
      </c>
      <c r="GV123" s="89">
        <f t="shared" si="77"/>
        <v>0</v>
      </c>
      <c r="GW123" s="89">
        <f t="shared" si="77"/>
        <v>0</v>
      </c>
      <c r="GX123" s="89">
        <f t="shared" si="77"/>
        <v>0</v>
      </c>
      <c r="GY123" s="89">
        <f t="shared" si="77"/>
        <v>0</v>
      </c>
      <c r="GZ123" s="89">
        <f t="shared" si="77"/>
        <v>0</v>
      </c>
    </row>
    <row r="124" spans="1:208" x14ac:dyDescent="0.2">
      <c r="A124" s="155" t="s">
        <v>449</v>
      </c>
      <c r="B124" s="89" t="e">
        <f>0.81+((1/76.9)*((B123*'Invoer Algemeen'!D17)/(E12+'Verwerking Bouwdelen'!HA45)))</f>
        <v>#DIV/0!</v>
      </c>
      <c r="C124" s="89" t="e">
        <f>$B$124</f>
        <v>#DIV/0!</v>
      </c>
      <c r="D124" s="89" t="e">
        <f t="shared" ref="D124:M124" si="78">$B$124</f>
        <v>#DIV/0!</v>
      </c>
      <c r="E124" s="89" t="e">
        <f t="shared" si="78"/>
        <v>#DIV/0!</v>
      </c>
      <c r="F124" s="89" t="e">
        <f t="shared" si="78"/>
        <v>#DIV/0!</v>
      </c>
      <c r="G124" s="89" t="e">
        <f t="shared" si="78"/>
        <v>#DIV/0!</v>
      </c>
      <c r="H124" s="89" t="e">
        <f t="shared" si="78"/>
        <v>#DIV/0!</v>
      </c>
      <c r="I124" s="89" t="e">
        <f t="shared" si="78"/>
        <v>#DIV/0!</v>
      </c>
      <c r="J124" s="89" t="e">
        <f t="shared" si="78"/>
        <v>#DIV/0!</v>
      </c>
      <c r="K124" s="89" t="e">
        <f t="shared" si="78"/>
        <v>#DIV/0!</v>
      </c>
      <c r="L124" s="89" t="e">
        <f t="shared" si="78"/>
        <v>#DIV/0!</v>
      </c>
      <c r="M124" s="89" t="e">
        <f t="shared" si="78"/>
        <v>#DIV/0!</v>
      </c>
      <c r="AC124" s="155" t="s">
        <v>449</v>
      </c>
      <c r="AD124" s="89" t="e">
        <f>$B$124</f>
        <v>#DIV/0!</v>
      </c>
      <c r="AE124" s="89" t="e">
        <f t="shared" ref="AE124:AO124" si="79">$B$124</f>
        <v>#DIV/0!</v>
      </c>
      <c r="AF124" s="89" t="e">
        <f t="shared" si="79"/>
        <v>#DIV/0!</v>
      </c>
      <c r="AG124" s="89" t="e">
        <f t="shared" si="79"/>
        <v>#DIV/0!</v>
      </c>
      <c r="AH124" s="89" t="e">
        <f t="shared" si="79"/>
        <v>#DIV/0!</v>
      </c>
      <c r="AI124" s="89" t="e">
        <f t="shared" si="79"/>
        <v>#DIV/0!</v>
      </c>
      <c r="AJ124" s="89" t="e">
        <f t="shared" si="79"/>
        <v>#DIV/0!</v>
      </c>
      <c r="AK124" s="89" t="e">
        <f t="shared" si="79"/>
        <v>#DIV/0!</v>
      </c>
      <c r="AL124" s="89" t="e">
        <f t="shared" si="79"/>
        <v>#DIV/0!</v>
      </c>
      <c r="AM124" s="89" t="e">
        <f t="shared" si="79"/>
        <v>#DIV/0!</v>
      </c>
      <c r="AN124" s="89" t="e">
        <f t="shared" si="79"/>
        <v>#DIV/0!</v>
      </c>
      <c r="AO124" s="89" t="e">
        <f t="shared" si="79"/>
        <v>#DIV/0!</v>
      </c>
      <c r="AU124" s="155" t="s">
        <v>449</v>
      </c>
      <c r="AV124" s="89" t="e">
        <f>$B$124</f>
        <v>#DIV/0!</v>
      </c>
      <c r="AW124" s="89" t="e">
        <f t="shared" ref="AW124:BG124" si="80">$B$124</f>
        <v>#DIV/0!</v>
      </c>
      <c r="AX124" s="89" t="e">
        <f t="shared" si="80"/>
        <v>#DIV/0!</v>
      </c>
      <c r="AY124" s="89" t="e">
        <f t="shared" si="80"/>
        <v>#DIV/0!</v>
      </c>
      <c r="AZ124" s="89" t="e">
        <f t="shared" si="80"/>
        <v>#DIV/0!</v>
      </c>
      <c r="BA124" s="89" t="e">
        <f t="shared" si="80"/>
        <v>#DIV/0!</v>
      </c>
      <c r="BB124" s="89" t="e">
        <f t="shared" si="80"/>
        <v>#DIV/0!</v>
      </c>
      <c r="BC124" s="89" t="e">
        <f t="shared" si="80"/>
        <v>#DIV/0!</v>
      </c>
      <c r="BD124" s="89" t="e">
        <f t="shared" si="80"/>
        <v>#DIV/0!</v>
      </c>
      <c r="BE124" s="89" t="e">
        <f t="shared" si="80"/>
        <v>#DIV/0!</v>
      </c>
      <c r="BF124" s="89" t="e">
        <f t="shared" si="80"/>
        <v>#DIV/0!</v>
      </c>
      <c r="BG124" s="89" t="e">
        <f t="shared" si="80"/>
        <v>#DIV/0!</v>
      </c>
      <c r="BN124" s="155" t="s">
        <v>449</v>
      </c>
      <c r="BO124" s="89" t="e">
        <f>$B$124</f>
        <v>#DIV/0!</v>
      </c>
      <c r="BP124" s="89" t="e">
        <f t="shared" ref="BP124:BZ124" si="81">$B$124</f>
        <v>#DIV/0!</v>
      </c>
      <c r="BQ124" s="89" t="e">
        <f t="shared" si="81"/>
        <v>#DIV/0!</v>
      </c>
      <c r="BR124" s="89" t="e">
        <f t="shared" si="81"/>
        <v>#DIV/0!</v>
      </c>
      <c r="BS124" s="89" t="e">
        <f t="shared" si="81"/>
        <v>#DIV/0!</v>
      </c>
      <c r="BT124" s="89" t="e">
        <f t="shared" si="81"/>
        <v>#DIV/0!</v>
      </c>
      <c r="BU124" s="89" t="e">
        <f t="shared" si="81"/>
        <v>#DIV/0!</v>
      </c>
      <c r="BV124" s="89" t="e">
        <f t="shared" si="81"/>
        <v>#DIV/0!</v>
      </c>
      <c r="BW124" s="89" t="e">
        <f t="shared" si="81"/>
        <v>#DIV/0!</v>
      </c>
      <c r="BX124" s="89" t="e">
        <f t="shared" si="81"/>
        <v>#DIV/0!</v>
      </c>
      <c r="BY124" s="89" t="e">
        <f t="shared" si="81"/>
        <v>#DIV/0!</v>
      </c>
      <c r="BZ124" s="89" t="e">
        <f t="shared" si="81"/>
        <v>#DIV/0!</v>
      </c>
      <c r="CF124" s="155" t="s">
        <v>449</v>
      </c>
      <c r="CG124" s="89" t="e">
        <f>$B$124</f>
        <v>#DIV/0!</v>
      </c>
      <c r="CH124" s="89" t="e">
        <f t="shared" ref="CH124:CR124" si="82">$B$124</f>
        <v>#DIV/0!</v>
      </c>
      <c r="CI124" s="89" t="e">
        <f t="shared" si="82"/>
        <v>#DIV/0!</v>
      </c>
      <c r="CJ124" s="89" t="e">
        <f t="shared" si="82"/>
        <v>#DIV/0!</v>
      </c>
      <c r="CK124" s="89" t="e">
        <f t="shared" si="82"/>
        <v>#DIV/0!</v>
      </c>
      <c r="CL124" s="89" t="e">
        <f t="shared" si="82"/>
        <v>#DIV/0!</v>
      </c>
      <c r="CM124" s="89" t="e">
        <f t="shared" si="82"/>
        <v>#DIV/0!</v>
      </c>
      <c r="CN124" s="89" t="e">
        <f t="shared" si="82"/>
        <v>#DIV/0!</v>
      </c>
      <c r="CO124" s="89" t="e">
        <f t="shared" si="82"/>
        <v>#DIV/0!</v>
      </c>
      <c r="CP124" s="89" t="e">
        <f t="shared" si="82"/>
        <v>#DIV/0!</v>
      </c>
      <c r="CQ124" s="89" t="e">
        <f t="shared" si="82"/>
        <v>#DIV/0!</v>
      </c>
      <c r="CR124" s="89" t="e">
        <f t="shared" si="82"/>
        <v>#DIV/0!</v>
      </c>
      <c r="CW124" s="155" t="s">
        <v>449</v>
      </c>
      <c r="CX124" s="89" t="e">
        <f>$B$124</f>
        <v>#DIV/0!</v>
      </c>
      <c r="CY124" s="89" t="e">
        <f t="shared" ref="CY124:DI124" si="83">$B$124</f>
        <v>#DIV/0!</v>
      </c>
      <c r="CZ124" s="89" t="e">
        <f t="shared" si="83"/>
        <v>#DIV/0!</v>
      </c>
      <c r="DA124" s="89" t="e">
        <f t="shared" si="83"/>
        <v>#DIV/0!</v>
      </c>
      <c r="DB124" s="89" t="e">
        <f t="shared" si="83"/>
        <v>#DIV/0!</v>
      </c>
      <c r="DC124" s="89" t="e">
        <f t="shared" si="83"/>
        <v>#DIV/0!</v>
      </c>
      <c r="DD124" s="89" t="e">
        <f t="shared" si="83"/>
        <v>#DIV/0!</v>
      </c>
      <c r="DE124" s="89" t="e">
        <f t="shared" si="83"/>
        <v>#DIV/0!</v>
      </c>
      <c r="DF124" s="89" t="e">
        <f t="shared" si="83"/>
        <v>#DIV/0!</v>
      </c>
      <c r="DG124" s="89" t="e">
        <f t="shared" si="83"/>
        <v>#DIV/0!</v>
      </c>
      <c r="DH124" s="89" t="e">
        <f t="shared" si="83"/>
        <v>#DIV/0!</v>
      </c>
      <c r="DI124" s="89" t="e">
        <f t="shared" si="83"/>
        <v>#DIV/0!</v>
      </c>
      <c r="DN124" s="155" t="s">
        <v>449</v>
      </c>
      <c r="DO124" s="89" t="e">
        <f>$B$124</f>
        <v>#DIV/0!</v>
      </c>
      <c r="DP124" s="89" t="e">
        <f t="shared" ref="DP124:DZ124" si="84">$B$124</f>
        <v>#DIV/0!</v>
      </c>
      <c r="DQ124" s="89" t="e">
        <f t="shared" si="84"/>
        <v>#DIV/0!</v>
      </c>
      <c r="DR124" s="89" t="e">
        <f t="shared" si="84"/>
        <v>#DIV/0!</v>
      </c>
      <c r="DS124" s="89" t="e">
        <f t="shared" si="84"/>
        <v>#DIV/0!</v>
      </c>
      <c r="DT124" s="89" t="e">
        <f t="shared" si="84"/>
        <v>#DIV/0!</v>
      </c>
      <c r="DU124" s="89" t="e">
        <f t="shared" si="84"/>
        <v>#DIV/0!</v>
      </c>
      <c r="DV124" s="89" t="e">
        <f t="shared" si="84"/>
        <v>#DIV/0!</v>
      </c>
      <c r="DW124" s="89" t="e">
        <f t="shared" si="84"/>
        <v>#DIV/0!</v>
      </c>
      <c r="DX124" s="89" t="e">
        <f t="shared" si="84"/>
        <v>#DIV/0!</v>
      </c>
      <c r="DY124" s="89" t="e">
        <f t="shared" si="84"/>
        <v>#DIV/0!</v>
      </c>
      <c r="DZ124" s="89" t="e">
        <f t="shared" si="84"/>
        <v>#DIV/0!</v>
      </c>
      <c r="FB124" s="155" t="s">
        <v>449</v>
      </c>
      <c r="FC124" s="89" t="e">
        <f>$B$124</f>
        <v>#DIV/0!</v>
      </c>
      <c r="FD124" s="89" t="e">
        <f t="shared" ref="FD124:FN124" si="85">$B$124</f>
        <v>#DIV/0!</v>
      </c>
      <c r="FE124" s="89" t="e">
        <f t="shared" si="85"/>
        <v>#DIV/0!</v>
      </c>
      <c r="FF124" s="89" t="e">
        <f t="shared" si="85"/>
        <v>#DIV/0!</v>
      </c>
      <c r="FG124" s="89" t="e">
        <f t="shared" si="85"/>
        <v>#DIV/0!</v>
      </c>
      <c r="FH124" s="89" t="e">
        <f t="shared" si="85"/>
        <v>#DIV/0!</v>
      </c>
      <c r="FI124" s="89" t="e">
        <f t="shared" si="85"/>
        <v>#DIV/0!</v>
      </c>
      <c r="FJ124" s="89" t="e">
        <f t="shared" si="85"/>
        <v>#DIV/0!</v>
      </c>
      <c r="FK124" s="89" t="e">
        <f t="shared" si="85"/>
        <v>#DIV/0!</v>
      </c>
      <c r="FL124" s="89" t="e">
        <f t="shared" si="85"/>
        <v>#DIV/0!</v>
      </c>
      <c r="FM124" s="89" t="e">
        <f t="shared" si="85"/>
        <v>#DIV/0!</v>
      </c>
      <c r="FN124" s="89" t="e">
        <f t="shared" si="85"/>
        <v>#DIV/0!</v>
      </c>
      <c r="FV124" s="155" t="s">
        <v>449</v>
      </c>
      <c r="FW124" s="89" t="e">
        <f>$B$124</f>
        <v>#DIV/0!</v>
      </c>
      <c r="FX124" s="89" t="e">
        <f t="shared" ref="FX124:GH124" si="86">$B$124</f>
        <v>#DIV/0!</v>
      </c>
      <c r="FY124" s="89" t="e">
        <f t="shared" si="86"/>
        <v>#DIV/0!</v>
      </c>
      <c r="FZ124" s="89" t="e">
        <f t="shared" si="86"/>
        <v>#DIV/0!</v>
      </c>
      <c r="GA124" s="89" t="e">
        <f t="shared" si="86"/>
        <v>#DIV/0!</v>
      </c>
      <c r="GB124" s="89" t="e">
        <f t="shared" si="86"/>
        <v>#DIV/0!</v>
      </c>
      <c r="GC124" s="89" t="e">
        <f t="shared" si="86"/>
        <v>#DIV/0!</v>
      </c>
      <c r="GD124" s="89" t="e">
        <f t="shared" si="86"/>
        <v>#DIV/0!</v>
      </c>
      <c r="GE124" s="89" t="e">
        <f t="shared" si="86"/>
        <v>#DIV/0!</v>
      </c>
      <c r="GF124" s="89" t="e">
        <f t="shared" si="86"/>
        <v>#DIV/0!</v>
      </c>
      <c r="GG124" s="89" t="e">
        <f t="shared" si="86"/>
        <v>#DIV/0!</v>
      </c>
      <c r="GH124" s="89" t="e">
        <f t="shared" si="86"/>
        <v>#DIV/0!</v>
      </c>
      <c r="GN124" s="155" t="s">
        <v>449</v>
      </c>
      <c r="GO124" s="89" t="e">
        <f>$B$124</f>
        <v>#DIV/0!</v>
      </c>
      <c r="GP124" s="89" t="e">
        <f t="shared" ref="GP124:GZ124" si="87">$B$124</f>
        <v>#DIV/0!</v>
      </c>
      <c r="GQ124" s="89" t="e">
        <f t="shared" si="87"/>
        <v>#DIV/0!</v>
      </c>
      <c r="GR124" s="89" t="e">
        <f t="shared" si="87"/>
        <v>#DIV/0!</v>
      </c>
      <c r="GS124" s="89" t="e">
        <f t="shared" si="87"/>
        <v>#DIV/0!</v>
      </c>
      <c r="GT124" s="89" t="e">
        <f t="shared" si="87"/>
        <v>#DIV/0!</v>
      </c>
      <c r="GU124" s="89" t="e">
        <f t="shared" si="87"/>
        <v>#DIV/0!</v>
      </c>
      <c r="GV124" s="89" t="e">
        <f t="shared" si="87"/>
        <v>#DIV/0!</v>
      </c>
      <c r="GW124" s="89" t="e">
        <f t="shared" si="87"/>
        <v>#DIV/0!</v>
      </c>
      <c r="GX124" s="89" t="e">
        <f t="shared" si="87"/>
        <v>#DIV/0!</v>
      </c>
      <c r="GY124" s="89" t="e">
        <f t="shared" si="87"/>
        <v>#DIV/0!</v>
      </c>
      <c r="GZ124" s="89" t="e">
        <f t="shared" si="87"/>
        <v>#DIV/0!</v>
      </c>
    </row>
    <row r="125" spans="1:208" x14ac:dyDescent="0.2">
      <c r="A125" s="155" t="s">
        <v>570</v>
      </c>
      <c r="B125" s="89" t="e">
        <f>IF(B128=1,B124/(1+B124),(1-B128^B124)/(1-B128^(B124+1)))</f>
        <v>#DIV/0!</v>
      </c>
      <c r="C125" s="89" t="e">
        <f t="shared" ref="C125:M125" si="88">IF(C128=1,C124/(1+C124),(1-C128^C124)/(1-C128^(C124+1)))</f>
        <v>#DIV/0!</v>
      </c>
      <c r="D125" s="89" t="e">
        <f t="shared" si="88"/>
        <v>#DIV/0!</v>
      </c>
      <c r="E125" s="89" t="e">
        <f t="shared" si="88"/>
        <v>#DIV/0!</v>
      </c>
      <c r="F125" s="89" t="e">
        <f t="shared" si="88"/>
        <v>#DIV/0!</v>
      </c>
      <c r="G125" s="89" t="e">
        <f t="shared" si="88"/>
        <v>#DIV/0!</v>
      </c>
      <c r="H125" s="89" t="e">
        <f t="shared" si="88"/>
        <v>#DIV/0!</v>
      </c>
      <c r="I125" s="89" t="e">
        <f t="shared" si="88"/>
        <v>#DIV/0!</v>
      </c>
      <c r="J125" s="89" t="e">
        <f t="shared" si="88"/>
        <v>#DIV/0!</v>
      </c>
      <c r="K125" s="89" t="e">
        <f t="shared" si="88"/>
        <v>#DIV/0!</v>
      </c>
      <c r="L125" s="89" t="e">
        <f t="shared" si="88"/>
        <v>#DIV/0!</v>
      </c>
      <c r="M125" s="89" t="e">
        <f t="shared" si="88"/>
        <v>#DIV/0!</v>
      </c>
      <c r="AC125" s="155" t="s">
        <v>570</v>
      </c>
      <c r="AD125" s="89" t="e">
        <f>IF(AD128=1,AD124/(1+AD124),(1-AD128^AD124)/(1-AD128^(AD124+1)))</f>
        <v>#DIV/0!</v>
      </c>
      <c r="AE125" s="89" t="e">
        <f t="shared" ref="AE125:AO125" si="89">IF(AE128=1,AE124/(1+AE124),(1-AE128^AE124)/(1-AE128^(AE124+1)))</f>
        <v>#DIV/0!</v>
      </c>
      <c r="AF125" s="89" t="e">
        <f t="shared" si="89"/>
        <v>#DIV/0!</v>
      </c>
      <c r="AG125" s="89" t="e">
        <f t="shared" si="89"/>
        <v>#DIV/0!</v>
      </c>
      <c r="AH125" s="89" t="e">
        <f t="shared" si="89"/>
        <v>#DIV/0!</v>
      </c>
      <c r="AI125" s="89" t="e">
        <f t="shared" si="89"/>
        <v>#DIV/0!</v>
      </c>
      <c r="AJ125" s="89" t="e">
        <f t="shared" si="89"/>
        <v>#DIV/0!</v>
      </c>
      <c r="AK125" s="89" t="e">
        <f t="shared" si="89"/>
        <v>#DIV/0!</v>
      </c>
      <c r="AL125" s="89" t="e">
        <f t="shared" si="89"/>
        <v>#DIV/0!</v>
      </c>
      <c r="AM125" s="89" t="e">
        <f t="shared" si="89"/>
        <v>#DIV/0!</v>
      </c>
      <c r="AN125" s="89" t="e">
        <f t="shared" si="89"/>
        <v>#DIV/0!</v>
      </c>
      <c r="AO125" s="89" t="e">
        <f t="shared" si="89"/>
        <v>#DIV/0!</v>
      </c>
      <c r="AU125" s="155" t="s">
        <v>570</v>
      </c>
      <c r="AV125" s="89" t="e">
        <f>IF(AV128=1,AV124/(1+AV124),(1-AV128^AV124)/(1-AV128^(AV124+1)))</f>
        <v>#DIV/0!</v>
      </c>
      <c r="AW125" s="89" t="e">
        <f t="shared" ref="AW125:BG125" si="90">IF(AW128=1,AW124/(1+AW124),(1-AW128^AW124)/(1-AW128^(AW124+1)))</f>
        <v>#DIV/0!</v>
      </c>
      <c r="AX125" s="89" t="e">
        <f t="shared" si="90"/>
        <v>#DIV/0!</v>
      </c>
      <c r="AY125" s="89" t="e">
        <f t="shared" si="90"/>
        <v>#DIV/0!</v>
      </c>
      <c r="AZ125" s="89" t="e">
        <f t="shared" si="90"/>
        <v>#DIV/0!</v>
      </c>
      <c r="BA125" s="89" t="e">
        <f t="shared" si="90"/>
        <v>#DIV/0!</v>
      </c>
      <c r="BB125" s="89" t="e">
        <f t="shared" si="90"/>
        <v>#DIV/0!</v>
      </c>
      <c r="BC125" s="89" t="e">
        <f t="shared" si="90"/>
        <v>#DIV/0!</v>
      </c>
      <c r="BD125" s="89" t="e">
        <f t="shared" si="90"/>
        <v>#DIV/0!</v>
      </c>
      <c r="BE125" s="89" t="e">
        <f t="shared" si="90"/>
        <v>#DIV/0!</v>
      </c>
      <c r="BF125" s="89" t="e">
        <f t="shared" si="90"/>
        <v>#DIV/0!</v>
      </c>
      <c r="BG125" s="89" t="e">
        <f t="shared" si="90"/>
        <v>#DIV/0!</v>
      </c>
      <c r="BN125" s="155" t="s">
        <v>570</v>
      </c>
      <c r="BO125" s="89" t="e">
        <f t="shared" ref="BO125:BZ125" si="91">IF(BO128=1,BO124/(1+BO124),(1-BO128^BO124)/(1-BO128^(BO124+1)))</f>
        <v>#DIV/0!</v>
      </c>
      <c r="BP125" s="89" t="e">
        <f t="shared" si="91"/>
        <v>#DIV/0!</v>
      </c>
      <c r="BQ125" s="89" t="e">
        <f t="shared" si="91"/>
        <v>#DIV/0!</v>
      </c>
      <c r="BR125" s="89" t="e">
        <f t="shared" si="91"/>
        <v>#DIV/0!</v>
      </c>
      <c r="BS125" s="89" t="e">
        <f t="shared" si="91"/>
        <v>#DIV/0!</v>
      </c>
      <c r="BT125" s="89" t="e">
        <f t="shared" si="91"/>
        <v>#DIV/0!</v>
      </c>
      <c r="BU125" s="89" t="e">
        <f t="shared" si="91"/>
        <v>#DIV/0!</v>
      </c>
      <c r="BV125" s="89" t="e">
        <f t="shared" si="91"/>
        <v>#DIV/0!</v>
      </c>
      <c r="BW125" s="89" t="e">
        <f t="shared" si="91"/>
        <v>#DIV/0!</v>
      </c>
      <c r="BX125" s="89" t="e">
        <f t="shared" si="91"/>
        <v>#DIV/0!</v>
      </c>
      <c r="BY125" s="89" t="e">
        <f t="shared" si="91"/>
        <v>#DIV/0!</v>
      </c>
      <c r="BZ125" s="89" t="e">
        <f t="shared" si="91"/>
        <v>#DIV/0!</v>
      </c>
      <c r="CF125" s="155" t="s">
        <v>570</v>
      </c>
      <c r="CG125" s="89" t="e">
        <f t="shared" ref="CG125:CR125" si="92">IF(CG128=1,CG124/(1+CG124),(1-CG128^CG124)/(1-CG128^(CG124+1)))</f>
        <v>#DIV/0!</v>
      </c>
      <c r="CH125" s="89" t="e">
        <f t="shared" si="92"/>
        <v>#DIV/0!</v>
      </c>
      <c r="CI125" s="89" t="e">
        <f t="shared" si="92"/>
        <v>#DIV/0!</v>
      </c>
      <c r="CJ125" s="89" t="e">
        <f t="shared" si="92"/>
        <v>#DIV/0!</v>
      </c>
      <c r="CK125" s="89" t="e">
        <f t="shared" si="92"/>
        <v>#DIV/0!</v>
      </c>
      <c r="CL125" s="89" t="e">
        <f t="shared" si="92"/>
        <v>#DIV/0!</v>
      </c>
      <c r="CM125" s="89" t="e">
        <f t="shared" si="92"/>
        <v>#DIV/0!</v>
      </c>
      <c r="CN125" s="89" t="e">
        <f t="shared" si="92"/>
        <v>#DIV/0!</v>
      </c>
      <c r="CO125" s="89" t="e">
        <f t="shared" si="92"/>
        <v>#DIV/0!</v>
      </c>
      <c r="CP125" s="89" t="e">
        <f t="shared" si="92"/>
        <v>#DIV/0!</v>
      </c>
      <c r="CQ125" s="89" t="e">
        <f t="shared" si="92"/>
        <v>#DIV/0!</v>
      </c>
      <c r="CR125" s="89" t="e">
        <f t="shared" si="92"/>
        <v>#DIV/0!</v>
      </c>
      <c r="CW125" s="155" t="s">
        <v>570</v>
      </c>
      <c r="CX125" s="89" t="e">
        <f t="shared" ref="CX125:DI125" si="93">IF(CX128=1,CX124/(1+CX124),(1-CX128^CX124)/(1-CX128^(CX124+1)))</f>
        <v>#DIV/0!</v>
      </c>
      <c r="CY125" s="89" t="e">
        <f t="shared" si="93"/>
        <v>#DIV/0!</v>
      </c>
      <c r="CZ125" s="89" t="e">
        <f t="shared" si="93"/>
        <v>#DIV/0!</v>
      </c>
      <c r="DA125" s="89" t="e">
        <f t="shared" si="93"/>
        <v>#DIV/0!</v>
      </c>
      <c r="DB125" s="89" t="e">
        <f t="shared" si="93"/>
        <v>#DIV/0!</v>
      </c>
      <c r="DC125" s="89" t="e">
        <f t="shared" si="93"/>
        <v>#DIV/0!</v>
      </c>
      <c r="DD125" s="89" t="e">
        <f t="shared" si="93"/>
        <v>#DIV/0!</v>
      </c>
      <c r="DE125" s="89" t="e">
        <f t="shared" si="93"/>
        <v>#DIV/0!</v>
      </c>
      <c r="DF125" s="89" t="e">
        <f t="shared" si="93"/>
        <v>#DIV/0!</v>
      </c>
      <c r="DG125" s="89" t="e">
        <f t="shared" si="93"/>
        <v>#DIV/0!</v>
      </c>
      <c r="DH125" s="89" t="e">
        <f t="shared" si="93"/>
        <v>#DIV/0!</v>
      </c>
      <c r="DI125" s="89" t="e">
        <f t="shared" si="93"/>
        <v>#DIV/0!</v>
      </c>
      <c r="DN125" s="155" t="s">
        <v>570</v>
      </c>
      <c r="DO125" s="89" t="e">
        <f t="shared" ref="DO125:DZ125" si="94">IF(DO128=1,DO124/(1+DO124),(1-DO128^DO124)/(1-DO128^(DO124+1)))</f>
        <v>#DIV/0!</v>
      </c>
      <c r="DP125" s="89" t="e">
        <f t="shared" si="94"/>
        <v>#DIV/0!</v>
      </c>
      <c r="DQ125" s="89" t="e">
        <f t="shared" si="94"/>
        <v>#DIV/0!</v>
      </c>
      <c r="DR125" s="89" t="e">
        <f t="shared" si="94"/>
        <v>#DIV/0!</v>
      </c>
      <c r="DS125" s="89" t="e">
        <f t="shared" si="94"/>
        <v>#DIV/0!</v>
      </c>
      <c r="DT125" s="89" t="e">
        <f t="shared" si="94"/>
        <v>#DIV/0!</v>
      </c>
      <c r="DU125" s="89" t="e">
        <f t="shared" si="94"/>
        <v>#DIV/0!</v>
      </c>
      <c r="DV125" s="89" t="e">
        <f t="shared" si="94"/>
        <v>#DIV/0!</v>
      </c>
      <c r="DW125" s="89" t="e">
        <f t="shared" si="94"/>
        <v>#DIV/0!</v>
      </c>
      <c r="DX125" s="89" t="e">
        <f t="shared" si="94"/>
        <v>#DIV/0!</v>
      </c>
      <c r="DY125" s="89" t="e">
        <f t="shared" si="94"/>
        <v>#DIV/0!</v>
      </c>
      <c r="DZ125" s="89" t="e">
        <f t="shared" si="94"/>
        <v>#DIV/0!</v>
      </c>
      <c r="FB125" s="155" t="s">
        <v>570</v>
      </c>
      <c r="FC125" s="89" t="e">
        <f t="shared" ref="FC125:FN125" si="95">IF(FC128=1,FC124/(1+FC124),(1-FC128^FC124)/(1-FC128^(FC124+1)))</f>
        <v>#DIV/0!</v>
      </c>
      <c r="FD125" s="89" t="e">
        <f t="shared" si="95"/>
        <v>#DIV/0!</v>
      </c>
      <c r="FE125" s="89" t="e">
        <f t="shared" si="95"/>
        <v>#DIV/0!</v>
      </c>
      <c r="FF125" s="89" t="e">
        <f t="shared" si="95"/>
        <v>#DIV/0!</v>
      </c>
      <c r="FG125" s="89" t="e">
        <f t="shared" si="95"/>
        <v>#DIV/0!</v>
      </c>
      <c r="FH125" s="89" t="e">
        <f t="shared" si="95"/>
        <v>#DIV/0!</v>
      </c>
      <c r="FI125" s="89" t="e">
        <f t="shared" si="95"/>
        <v>#DIV/0!</v>
      </c>
      <c r="FJ125" s="89" t="e">
        <f t="shared" si="95"/>
        <v>#DIV/0!</v>
      </c>
      <c r="FK125" s="89" t="e">
        <f t="shared" si="95"/>
        <v>#DIV/0!</v>
      </c>
      <c r="FL125" s="89" t="e">
        <f t="shared" si="95"/>
        <v>#DIV/0!</v>
      </c>
      <c r="FM125" s="89" t="e">
        <f t="shared" si="95"/>
        <v>#DIV/0!</v>
      </c>
      <c r="FN125" s="89" t="e">
        <f t="shared" si="95"/>
        <v>#DIV/0!</v>
      </c>
      <c r="FV125" s="155" t="s">
        <v>570</v>
      </c>
      <c r="FW125" s="89" t="e">
        <f t="shared" ref="FW125:GH125" si="96">IF(FW128=1,FW124/(1+FW124),(1-FW128^FW124)/(1-FW128^(FW124+1)))</f>
        <v>#DIV/0!</v>
      </c>
      <c r="FX125" s="89" t="e">
        <f t="shared" si="96"/>
        <v>#DIV/0!</v>
      </c>
      <c r="FY125" s="89" t="e">
        <f t="shared" si="96"/>
        <v>#DIV/0!</v>
      </c>
      <c r="FZ125" s="89" t="e">
        <f t="shared" si="96"/>
        <v>#DIV/0!</v>
      </c>
      <c r="GA125" s="89" t="e">
        <f t="shared" si="96"/>
        <v>#DIV/0!</v>
      </c>
      <c r="GB125" s="89" t="e">
        <f t="shared" si="96"/>
        <v>#DIV/0!</v>
      </c>
      <c r="GC125" s="89" t="e">
        <f t="shared" si="96"/>
        <v>#DIV/0!</v>
      </c>
      <c r="GD125" s="89" t="e">
        <f t="shared" si="96"/>
        <v>#DIV/0!</v>
      </c>
      <c r="GE125" s="89" t="e">
        <f t="shared" si="96"/>
        <v>#DIV/0!</v>
      </c>
      <c r="GF125" s="89" t="e">
        <f t="shared" si="96"/>
        <v>#DIV/0!</v>
      </c>
      <c r="GG125" s="89" t="e">
        <f t="shared" si="96"/>
        <v>#DIV/0!</v>
      </c>
      <c r="GH125" s="89" t="e">
        <f t="shared" si="96"/>
        <v>#DIV/0!</v>
      </c>
      <c r="GN125" s="155" t="s">
        <v>570</v>
      </c>
      <c r="GO125" s="89" t="e">
        <f>IF(GO128=1,GO124/(1+GO124),(1-GO128^GO124)/(1-GO128^(GO124+1)))</f>
        <v>#DIV/0!</v>
      </c>
      <c r="GP125" s="89" t="e">
        <f t="shared" ref="GP125:GZ125" si="97">IF(GP128=1,GP124/(1+GP124),(1-GP128^GP124)/(1-GP128^(GP124+1)))</f>
        <v>#DIV/0!</v>
      </c>
      <c r="GQ125" s="89" t="e">
        <f t="shared" si="97"/>
        <v>#DIV/0!</v>
      </c>
      <c r="GR125" s="89" t="e">
        <f t="shared" si="97"/>
        <v>#DIV/0!</v>
      </c>
      <c r="GS125" s="89" t="e">
        <f t="shared" si="97"/>
        <v>#DIV/0!</v>
      </c>
      <c r="GT125" s="89" t="e">
        <f t="shared" si="97"/>
        <v>#DIV/0!</v>
      </c>
      <c r="GU125" s="89" t="e">
        <f t="shared" si="97"/>
        <v>#DIV/0!</v>
      </c>
      <c r="GV125" s="89" t="e">
        <f t="shared" si="97"/>
        <v>#DIV/0!</v>
      </c>
      <c r="GW125" s="89" t="e">
        <f t="shared" si="97"/>
        <v>#DIV/0!</v>
      </c>
      <c r="GX125" s="89" t="e">
        <f t="shared" si="97"/>
        <v>#DIV/0!</v>
      </c>
      <c r="GY125" s="89" t="e">
        <f t="shared" si="97"/>
        <v>#DIV/0!</v>
      </c>
      <c r="GZ125" s="89" t="e">
        <f t="shared" si="97"/>
        <v>#DIV/0!</v>
      </c>
    </row>
    <row r="126" spans="1:208" x14ac:dyDescent="0.2">
      <c r="A126" s="155" t="s">
        <v>571</v>
      </c>
      <c r="B126" s="89">
        <f>$G$71</f>
        <v>0</v>
      </c>
      <c r="C126" s="89">
        <f t="shared" ref="C126:M126" si="98">$G$71</f>
        <v>0</v>
      </c>
      <c r="D126" s="89">
        <f t="shared" si="98"/>
        <v>0</v>
      </c>
      <c r="E126" s="89">
        <f t="shared" si="98"/>
        <v>0</v>
      </c>
      <c r="F126" s="89">
        <f t="shared" si="98"/>
        <v>0</v>
      </c>
      <c r="G126" s="89">
        <f t="shared" si="98"/>
        <v>0</v>
      </c>
      <c r="H126" s="89">
        <f t="shared" si="98"/>
        <v>0</v>
      </c>
      <c r="I126" s="89">
        <f t="shared" si="98"/>
        <v>0</v>
      </c>
      <c r="J126" s="89">
        <f t="shared" si="98"/>
        <v>0</v>
      </c>
      <c r="K126" s="89">
        <f t="shared" si="98"/>
        <v>0</v>
      </c>
      <c r="L126" s="89">
        <f t="shared" si="98"/>
        <v>0</v>
      </c>
      <c r="M126" s="89">
        <f t="shared" si="98"/>
        <v>0</v>
      </c>
      <c r="AC126" s="155" t="s">
        <v>571</v>
      </c>
      <c r="AD126" s="89">
        <f>$G$71</f>
        <v>0</v>
      </c>
      <c r="AE126" s="89">
        <f t="shared" ref="AE126:AO126" si="99">$G$71</f>
        <v>0</v>
      </c>
      <c r="AF126" s="89">
        <f t="shared" si="99"/>
        <v>0</v>
      </c>
      <c r="AG126" s="89">
        <f t="shared" si="99"/>
        <v>0</v>
      </c>
      <c r="AH126" s="89">
        <f t="shared" si="99"/>
        <v>0</v>
      </c>
      <c r="AI126" s="89">
        <f t="shared" si="99"/>
        <v>0</v>
      </c>
      <c r="AJ126" s="89">
        <f t="shared" si="99"/>
        <v>0</v>
      </c>
      <c r="AK126" s="89">
        <f t="shared" si="99"/>
        <v>0</v>
      </c>
      <c r="AL126" s="89">
        <f t="shared" si="99"/>
        <v>0</v>
      </c>
      <c r="AM126" s="89">
        <f t="shared" si="99"/>
        <v>0</v>
      </c>
      <c r="AN126" s="89">
        <f t="shared" si="99"/>
        <v>0</v>
      </c>
      <c r="AO126" s="89">
        <f t="shared" si="99"/>
        <v>0</v>
      </c>
      <c r="AU126" s="155" t="s">
        <v>571</v>
      </c>
      <c r="AV126" s="89">
        <f>$G$71</f>
        <v>0</v>
      </c>
      <c r="AW126" s="89">
        <f t="shared" ref="AW126:BG126" si="100">$G$71</f>
        <v>0</v>
      </c>
      <c r="AX126" s="89">
        <f t="shared" si="100"/>
        <v>0</v>
      </c>
      <c r="AY126" s="89">
        <f t="shared" si="100"/>
        <v>0</v>
      </c>
      <c r="AZ126" s="89">
        <f t="shared" si="100"/>
        <v>0</v>
      </c>
      <c r="BA126" s="89">
        <f t="shared" si="100"/>
        <v>0</v>
      </c>
      <c r="BB126" s="89">
        <f t="shared" si="100"/>
        <v>0</v>
      </c>
      <c r="BC126" s="89">
        <f t="shared" si="100"/>
        <v>0</v>
      </c>
      <c r="BD126" s="89">
        <f t="shared" si="100"/>
        <v>0</v>
      </c>
      <c r="BE126" s="89">
        <f t="shared" si="100"/>
        <v>0</v>
      </c>
      <c r="BF126" s="89">
        <f t="shared" si="100"/>
        <v>0</v>
      </c>
      <c r="BG126" s="89">
        <f t="shared" si="100"/>
        <v>0</v>
      </c>
      <c r="BN126" s="155" t="s">
        <v>571</v>
      </c>
      <c r="BO126" s="89">
        <f>$G$71</f>
        <v>0</v>
      </c>
      <c r="BP126" s="89">
        <f t="shared" ref="BP126:BZ126" si="101">$G$71</f>
        <v>0</v>
      </c>
      <c r="BQ126" s="89">
        <f t="shared" si="101"/>
        <v>0</v>
      </c>
      <c r="BR126" s="89">
        <f t="shared" si="101"/>
        <v>0</v>
      </c>
      <c r="BS126" s="89">
        <f t="shared" si="101"/>
        <v>0</v>
      </c>
      <c r="BT126" s="89">
        <f t="shared" si="101"/>
        <v>0</v>
      </c>
      <c r="BU126" s="89">
        <f t="shared" si="101"/>
        <v>0</v>
      </c>
      <c r="BV126" s="89">
        <f t="shared" si="101"/>
        <v>0</v>
      </c>
      <c r="BW126" s="89">
        <f t="shared" si="101"/>
        <v>0</v>
      </c>
      <c r="BX126" s="89">
        <f t="shared" si="101"/>
        <v>0</v>
      </c>
      <c r="BY126" s="89">
        <f t="shared" si="101"/>
        <v>0</v>
      </c>
      <c r="BZ126" s="89">
        <f t="shared" si="101"/>
        <v>0</v>
      </c>
      <c r="CF126" s="155" t="s">
        <v>571</v>
      </c>
      <c r="CG126" s="89">
        <f>$G$71</f>
        <v>0</v>
      </c>
      <c r="CH126" s="89">
        <f t="shared" ref="CH126:CR126" si="102">$G$71</f>
        <v>0</v>
      </c>
      <c r="CI126" s="89">
        <f t="shared" si="102"/>
        <v>0</v>
      </c>
      <c r="CJ126" s="89">
        <f t="shared" si="102"/>
        <v>0</v>
      </c>
      <c r="CK126" s="89">
        <f t="shared" si="102"/>
        <v>0</v>
      </c>
      <c r="CL126" s="89">
        <f t="shared" si="102"/>
        <v>0</v>
      </c>
      <c r="CM126" s="89">
        <f t="shared" si="102"/>
        <v>0</v>
      </c>
      <c r="CN126" s="89">
        <f t="shared" si="102"/>
        <v>0</v>
      </c>
      <c r="CO126" s="89">
        <f t="shared" si="102"/>
        <v>0</v>
      </c>
      <c r="CP126" s="89">
        <f t="shared" si="102"/>
        <v>0</v>
      </c>
      <c r="CQ126" s="89">
        <f t="shared" si="102"/>
        <v>0</v>
      </c>
      <c r="CR126" s="89">
        <f t="shared" si="102"/>
        <v>0</v>
      </c>
      <c r="CW126" s="155" t="s">
        <v>571</v>
      </c>
      <c r="CX126" s="89">
        <f>$G$71</f>
        <v>0</v>
      </c>
      <c r="CY126" s="89">
        <f t="shared" ref="CY126:DI126" si="103">$G$71</f>
        <v>0</v>
      </c>
      <c r="CZ126" s="89">
        <f t="shared" si="103"/>
        <v>0</v>
      </c>
      <c r="DA126" s="89">
        <f t="shared" si="103"/>
        <v>0</v>
      </c>
      <c r="DB126" s="89">
        <f t="shared" si="103"/>
        <v>0</v>
      </c>
      <c r="DC126" s="89">
        <f t="shared" si="103"/>
        <v>0</v>
      </c>
      <c r="DD126" s="89">
        <f t="shared" si="103"/>
        <v>0</v>
      </c>
      <c r="DE126" s="89">
        <f t="shared" si="103"/>
        <v>0</v>
      </c>
      <c r="DF126" s="89">
        <f t="shared" si="103"/>
        <v>0</v>
      </c>
      <c r="DG126" s="89">
        <f t="shared" si="103"/>
        <v>0</v>
      </c>
      <c r="DH126" s="89">
        <f t="shared" si="103"/>
        <v>0</v>
      </c>
      <c r="DI126" s="89">
        <f t="shared" si="103"/>
        <v>0</v>
      </c>
      <c r="DN126" s="155" t="s">
        <v>571</v>
      </c>
      <c r="DO126" s="89">
        <f>$G$71</f>
        <v>0</v>
      </c>
      <c r="DP126" s="89">
        <f t="shared" ref="DP126:DZ126" si="104">$G$71</f>
        <v>0</v>
      </c>
      <c r="DQ126" s="89">
        <f t="shared" si="104"/>
        <v>0</v>
      </c>
      <c r="DR126" s="89">
        <f t="shared" si="104"/>
        <v>0</v>
      </c>
      <c r="DS126" s="89">
        <f t="shared" si="104"/>
        <v>0</v>
      </c>
      <c r="DT126" s="89">
        <f t="shared" si="104"/>
        <v>0</v>
      </c>
      <c r="DU126" s="89">
        <f t="shared" si="104"/>
        <v>0</v>
      </c>
      <c r="DV126" s="89">
        <f t="shared" si="104"/>
        <v>0</v>
      </c>
      <c r="DW126" s="89">
        <f t="shared" si="104"/>
        <v>0</v>
      </c>
      <c r="DX126" s="89">
        <f t="shared" si="104"/>
        <v>0</v>
      </c>
      <c r="DY126" s="89">
        <f t="shared" si="104"/>
        <v>0</v>
      </c>
      <c r="DZ126" s="89">
        <f t="shared" si="104"/>
        <v>0</v>
      </c>
      <c r="FB126" s="155" t="s">
        <v>571</v>
      </c>
      <c r="FC126" s="89">
        <f>$G$71</f>
        <v>0</v>
      </c>
      <c r="FD126" s="89">
        <f t="shared" ref="FD126:FN126" si="105">$G$71</f>
        <v>0</v>
      </c>
      <c r="FE126" s="89">
        <f t="shared" si="105"/>
        <v>0</v>
      </c>
      <c r="FF126" s="89">
        <f t="shared" si="105"/>
        <v>0</v>
      </c>
      <c r="FG126" s="89">
        <f t="shared" si="105"/>
        <v>0</v>
      </c>
      <c r="FH126" s="89">
        <f t="shared" si="105"/>
        <v>0</v>
      </c>
      <c r="FI126" s="89">
        <f t="shared" si="105"/>
        <v>0</v>
      </c>
      <c r="FJ126" s="89">
        <f t="shared" si="105"/>
        <v>0</v>
      </c>
      <c r="FK126" s="89">
        <f t="shared" si="105"/>
        <v>0</v>
      </c>
      <c r="FL126" s="89">
        <f t="shared" si="105"/>
        <v>0</v>
      </c>
      <c r="FM126" s="89">
        <f t="shared" si="105"/>
        <v>0</v>
      </c>
      <c r="FN126" s="89">
        <f t="shared" si="105"/>
        <v>0</v>
      </c>
      <c r="FV126" s="155" t="s">
        <v>571</v>
      </c>
      <c r="FW126" s="89">
        <f>$GB$71</f>
        <v>0</v>
      </c>
      <c r="FX126" s="89">
        <f t="shared" ref="FX126:GH126" si="106">$GB$71</f>
        <v>0</v>
      </c>
      <c r="FY126" s="89">
        <f t="shared" si="106"/>
        <v>0</v>
      </c>
      <c r="FZ126" s="89">
        <f t="shared" si="106"/>
        <v>0</v>
      </c>
      <c r="GA126" s="89">
        <f t="shared" si="106"/>
        <v>0</v>
      </c>
      <c r="GB126" s="89">
        <f t="shared" si="106"/>
        <v>0</v>
      </c>
      <c r="GC126" s="89">
        <f t="shared" si="106"/>
        <v>0</v>
      </c>
      <c r="GD126" s="89">
        <f t="shared" si="106"/>
        <v>0</v>
      </c>
      <c r="GE126" s="89">
        <f t="shared" si="106"/>
        <v>0</v>
      </c>
      <c r="GF126" s="89">
        <f t="shared" si="106"/>
        <v>0</v>
      </c>
      <c r="GG126" s="89">
        <f t="shared" si="106"/>
        <v>0</v>
      </c>
      <c r="GH126" s="89">
        <f t="shared" si="106"/>
        <v>0</v>
      </c>
      <c r="GN126" s="155" t="s">
        <v>571</v>
      </c>
      <c r="GO126" s="89">
        <f>GS71</f>
        <v>0</v>
      </c>
      <c r="GP126" s="89">
        <f>$GO$126</f>
        <v>0</v>
      </c>
      <c r="GQ126" s="89">
        <f t="shared" ref="GQ126:GZ126" si="107">$GO$126</f>
        <v>0</v>
      </c>
      <c r="GR126" s="89">
        <f t="shared" si="107"/>
        <v>0</v>
      </c>
      <c r="GS126" s="89">
        <f t="shared" si="107"/>
        <v>0</v>
      </c>
      <c r="GT126" s="89">
        <f t="shared" si="107"/>
        <v>0</v>
      </c>
      <c r="GU126" s="89">
        <f t="shared" si="107"/>
        <v>0</v>
      </c>
      <c r="GV126" s="89">
        <f t="shared" si="107"/>
        <v>0</v>
      </c>
      <c r="GW126" s="89">
        <f t="shared" si="107"/>
        <v>0</v>
      </c>
      <c r="GX126" s="89">
        <f t="shared" si="107"/>
        <v>0</v>
      </c>
      <c r="GY126" s="89">
        <f t="shared" si="107"/>
        <v>0</v>
      </c>
      <c r="GZ126" s="89">
        <f t="shared" si="107"/>
        <v>0</v>
      </c>
    </row>
    <row r="127" spans="1:208" x14ac:dyDescent="0.2">
      <c r="A127" s="155" t="s">
        <v>572</v>
      </c>
      <c r="B127" s="220">
        <f>B118</f>
        <v>0</v>
      </c>
      <c r="C127" s="220">
        <f t="shared" ref="C127:M127" si="108">C118</f>
        <v>0</v>
      </c>
      <c r="D127" s="220">
        <f t="shared" si="108"/>
        <v>0</v>
      </c>
      <c r="E127" s="220">
        <f t="shared" si="108"/>
        <v>0</v>
      </c>
      <c r="F127" s="220">
        <f t="shared" si="108"/>
        <v>0</v>
      </c>
      <c r="G127" s="220">
        <f t="shared" si="108"/>
        <v>0</v>
      </c>
      <c r="H127" s="220">
        <f t="shared" si="108"/>
        <v>0</v>
      </c>
      <c r="I127" s="220">
        <f t="shared" si="108"/>
        <v>0</v>
      </c>
      <c r="J127" s="220">
        <f t="shared" si="108"/>
        <v>0</v>
      </c>
      <c r="K127" s="220">
        <f t="shared" si="108"/>
        <v>0</v>
      </c>
      <c r="L127" s="220">
        <f t="shared" si="108"/>
        <v>0</v>
      </c>
      <c r="M127" s="220">
        <f t="shared" si="108"/>
        <v>0</v>
      </c>
      <c r="AC127" s="155" t="s">
        <v>572</v>
      </c>
      <c r="AD127" s="220">
        <f>B118</f>
        <v>0</v>
      </c>
      <c r="AE127" s="220">
        <f t="shared" ref="AE127:AO127" si="109">C118</f>
        <v>0</v>
      </c>
      <c r="AF127" s="220">
        <f t="shared" si="109"/>
        <v>0</v>
      </c>
      <c r="AG127" s="220">
        <f t="shared" si="109"/>
        <v>0</v>
      </c>
      <c r="AH127" s="220">
        <f t="shared" si="109"/>
        <v>0</v>
      </c>
      <c r="AI127" s="220">
        <f t="shared" si="109"/>
        <v>0</v>
      </c>
      <c r="AJ127" s="220">
        <f t="shared" si="109"/>
        <v>0</v>
      </c>
      <c r="AK127" s="220">
        <f t="shared" si="109"/>
        <v>0</v>
      </c>
      <c r="AL127" s="220">
        <f t="shared" si="109"/>
        <v>0</v>
      </c>
      <c r="AM127" s="220">
        <f t="shared" si="109"/>
        <v>0</v>
      </c>
      <c r="AN127" s="220">
        <f t="shared" si="109"/>
        <v>0</v>
      </c>
      <c r="AO127" s="220">
        <f t="shared" si="109"/>
        <v>0</v>
      </c>
      <c r="AP127" s="220"/>
      <c r="AQ127" s="220"/>
      <c r="AR127" s="220"/>
      <c r="AS127" s="250"/>
      <c r="AU127" s="155" t="s">
        <v>572</v>
      </c>
      <c r="AV127" s="220">
        <f>B118</f>
        <v>0</v>
      </c>
      <c r="AW127" s="220">
        <f t="shared" ref="AW127:BG127" si="110">C118</f>
        <v>0</v>
      </c>
      <c r="AX127" s="220">
        <f t="shared" si="110"/>
        <v>0</v>
      </c>
      <c r="AY127" s="220">
        <f t="shared" si="110"/>
        <v>0</v>
      </c>
      <c r="AZ127" s="220">
        <f t="shared" si="110"/>
        <v>0</v>
      </c>
      <c r="BA127" s="220">
        <f t="shared" si="110"/>
        <v>0</v>
      </c>
      <c r="BB127" s="220">
        <f t="shared" si="110"/>
        <v>0</v>
      </c>
      <c r="BC127" s="220">
        <f t="shared" si="110"/>
        <v>0</v>
      </c>
      <c r="BD127" s="220">
        <f t="shared" si="110"/>
        <v>0</v>
      </c>
      <c r="BE127" s="220">
        <f t="shared" si="110"/>
        <v>0</v>
      </c>
      <c r="BF127" s="220">
        <f t="shared" si="110"/>
        <v>0</v>
      </c>
      <c r="BG127" s="220">
        <f t="shared" si="110"/>
        <v>0</v>
      </c>
      <c r="BH127" s="220"/>
      <c r="BI127" s="220"/>
      <c r="BJ127" s="220"/>
      <c r="BK127" s="220"/>
      <c r="BN127" s="155" t="s">
        <v>572</v>
      </c>
      <c r="BO127" s="220">
        <f>B118</f>
        <v>0</v>
      </c>
      <c r="BP127" s="220">
        <f t="shared" ref="BP127:BZ127" si="111">C118</f>
        <v>0</v>
      </c>
      <c r="BQ127" s="220">
        <f t="shared" si="111"/>
        <v>0</v>
      </c>
      <c r="BR127" s="220">
        <f t="shared" si="111"/>
        <v>0</v>
      </c>
      <c r="BS127" s="220">
        <f t="shared" si="111"/>
        <v>0</v>
      </c>
      <c r="BT127" s="220">
        <f t="shared" si="111"/>
        <v>0</v>
      </c>
      <c r="BU127" s="220">
        <f t="shared" si="111"/>
        <v>0</v>
      </c>
      <c r="BV127" s="220">
        <f t="shared" si="111"/>
        <v>0</v>
      </c>
      <c r="BW127" s="220">
        <f t="shared" si="111"/>
        <v>0</v>
      </c>
      <c r="BX127" s="220">
        <f t="shared" si="111"/>
        <v>0</v>
      </c>
      <c r="BY127" s="220">
        <f t="shared" si="111"/>
        <v>0</v>
      </c>
      <c r="BZ127" s="220">
        <f t="shared" si="111"/>
        <v>0</v>
      </c>
      <c r="CA127" s="220"/>
      <c r="CB127" s="220"/>
      <c r="CC127" s="220"/>
      <c r="CD127" s="250"/>
      <c r="CF127" s="155" t="s">
        <v>572</v>
      </c>
      <c r="CG127" s="220">
        <f>B118</f>
        <v>0</v>
      </c>
      <c r="CH127" s="220">
        <f t="shared" ref="CH127:CR127" si="112">C118</f>
        <v>0</v>
      </c>
      <c r="CI127" s="220">
        <f t="shared" si="112"/>
        <v>0</v>
      </c>
      <c r="CJ127" s="220">
        <f t="shared" si="112"/>
        <v>0</v>
      </c>
      <c r="CK127" s="220">
        <f t="shared" si="112"/>
        <v>0</v>
      </c>
      <c r="CL127" s="220">
        <f t="shared" si="112"/>
        <v>0</v>
      </c>
      <c r="CM127" s="220">
        <f t="shared" si="112"/>
        <v>0</v>
      </c>
      <c r="CN127" s="220">
        <f t="shared" si="112"/>
        <v>0</v>
      </c>
      <c r="CO127" s="220">
        <f t="shared" si="112"/>
        <v>0</v>
      </c>
      <c r="CP127" s="220">
        <f t="shared" si="112"/>
        <v>0</v>
      </c>
      <c r="CQ127" s="220">
        <f t="shared" si="112"/>
        <v>0</v>
      </c>
      <c r="CR127" s="220">
        <f t="shared" si="112"/>
        <v>0</v>
      </c>
      <c r="CS127" s="220"/>
      <c r="CT127" s="220"/>
      <c r="CU127" s="220"/>
      <c r="CW127" s="155" t="s">
        <v>572</v>
      </c>
      <c r="CX127" s="220">
        <f>B118</f>
        <v>0</v>
      </c>
      <c r="CY127" s="220">
        <f t="shared" ref="CY127:DI127" si="113">C118</f>
        <v>0</v>
      </c>
      <c r="CZ127" s="220">
        <f t="shared" si="113"/>
        <v>0</v>
      </c>
      <c r="DA127" s="220">
        <f t="shared" si="113"/>
        <v>0</v>
      </c>
      <c r="DB127" s="220">
        <f t="shared" si="113"/>
        <v>0</v>
      </c>
      <c r="DC127" s="220">
        <f t="shared" si="113"/>
        <v>0</v>
      </c>
      <c r="DD127" s="220">
        <f t="shared" si="113"/>
        <v>0</v>
      </c>
      <c r="DE127" s="220">
        <f t="shared" si="113"/>
        <v>0</v>
      </c>
      <c r="DF127" s="220">
        <f t="shared" si="113"/>
        <v>0</v>
      </c>
      <c r="DG127" s="220">
        <f t="shared" si="113"/>
        <v>0</v>
      </c>
      <c r="DH127" s="220">
        <f t="shared" si="113"/>
        <v>0</v>
      </c>
      <c r="DI127" s="220">
        <f t="shared" si="113"/>
        <v>0</v>
      </c>
      <c r="DJ127" s="220"/>
      <c r="DK127" s="220"/>
      <c r="DN127" s="155" t="s">
        <v>572</v>
      </c>
      <c r="DO127" s="220">
        <f>DO118</f>
        <v>0</v>
      </c>
      <c r="DP127" s="220">
        <f t="shared" ref="DP127:DZ127" si="114">DP118</f>
        <v>0</v>
      </c>
      <c r="DQ127" s="220">
        <f t="shared" si="114"/>
        <v>0</v>
      </c>
      <c r="DR127" s="220">
        <f t="shared" si="114"/>
        <v>0</v>
      </c>
      <c r="DS127" s="220">
        <f t="shared" si="114"/>
        <v>0</v>
      </c>
      <c r="DT127" s="220">
        <f t="shared" si="114"/>
        <v>0</v>
      </c>
      <c r="DU127" s="220">
        <f t="shared" si="114"/>
        <v>0</v>
      </c>
      <c r="DV127" s="220">
        <f t="shared" si="114"/>
        <v>0</v>
      </c>
      <c r="DW127" s="220">
        <f t="shared" si="114"/>
        <v>0</v>
      </c>
      <c r="DX127" s="220">
        <f t="shared" si="114"/>
        <v>0</v>
      </c>
      <c r="DY127" s="220">
        <f t="shared" si="114"/>
        <v>0</v>
      </c>
      <c r="DZ127" s="220">
        <f t="shared" si="114"/>
        <v>0</v>
      </c>
      <c r="FB127" s="155" t="s">
        <v>572</v>
      </c>
      <c r="FC127" s="220">
        <f>B127</f>
        <v>0</v>
      </c>
      <c r="FD127" s="220">
        <f t="shared" ref="FD127:FN127" si="115">C127</f>
        <v>0</v>
      </c>
      <c r="FE127" s="220">
        <f t="shared" si="115"/>
        <v>0</v>
      </c>
      <c r="FF127" s="220">
        <f t="shared" si="115"/>
        <v>0</v>
      </c>
      <c r="FG127" s="220">
        <f t="shared" si="115"/>
        <v>0</v>
      </c>
      <c r="FH127" s="220">
        <f t="shared" si="115"/>
        <v>0</v>
      </c>
      <c r="FI127" s="220">
        <f t="shared" si="115"/>
        <v>0</v>
      </c>
      <c r="FJ127" s="220">
        <f t="shared" si="115"/>
        <v>0</v>
      </c>
      <c r="FK127" s="220">
        <f t="shared" si="115"/>
        <v>0</v>
      </c>
      <c r="FL127" s="220">
        <f t="shared" si="115"/>
        <v>0</v>
      </c>
      <c r="FM127" s="220">
        <f t="shared" si="115"/>
        <v>0</v>
      </c>
      <c r="FN127" s="220">
        <f t="shared" si="115"/>
        <v>0</v>
      </c>
      <c r="FV127" s="155" t="s">
        <v>572</v>
      </c>
      <c r="FW127" s="89">
        <f>B127</f>
        <v>0</v>
      </c>
      <c r="FX127" s="89">
        <f t="shared" ref="FX127:GH127" si="116">C127</f>
        <v>0</v>
      </c>
      <c r="FY127" s="89">
        <f t="shared" si="116"/>
        <v>0</v>
      </c>
      <c r="FZ127" s="89">
        <f t="shared" si="116"/>
        <v>0</v>
      </c>
      <c r="GA127" s="89">
        <f t="shared" si="116"/>
        <v>0</v>
      </c>
      <c r="GB127" s="89">
        <f t="shared" si="116"/>
        <v>0</v>
      </c>
      <c r="GC127" s="89">
        <f t="shared" si="116"/>
        <v>0</v>
      </c>
      <c r="GD127" s="89">
        <f t="shared" si="116"/>
        <v>0</v>
      </c>
      <c r="GE127" s="89">
        <f t="shared" si="116"/>
        <v>0</v>
      </c>
      <c r="GF127" s="89">
        <f t="shared" si="116"/>
        <v>0</v>
      </c>
      <c r="GG127" s="89">
        <f t="shared" si="116"/>
        <v>0</v>
      </c>
      <c r="GH127" s="89">
        <f t="shared" si="116"/>
        <v>0</v>
      </c>
      <c r="GN127" s="155" t="s">
        <v>572</v>
      </c>
      <c r="GO127" s="220">
        <f>GN118</f>
        <v>0</v>
      </c>
      <c r="GP127" s="220">
        <f t="shared" ref="GP127:GZ127" si="117">GO118</f>
        <v>0</v>
      </c>
      <c r="GQ127" s="220">
        <f t="shared" si="117"/>
        <v>0</v>
      </c>
      <c r="GR127" s="220">
        <f t="shared" si="117"/>
        <v>0</v>
      </c>
      <c r="GS127" s="220">
        <f t="shared" si="117"/>
        <v>0</v>
      </c>
      <c r="GT127" s="220">
        <f t="shared" si="117"/>
        <v>0</v>
      </c>
      <c r="GU127" s="220">
        <f t="shared" si="117"/>
        <v>0</v>
      </c>
      <c r="GV127" s="220">
        <f t="shared" si="117"/>
        <v>0</v>
      </c>
      <c r="GW127" s="220">
        <f t="shared" si="117"/>
        <v>0</v>
      </c>
      <c r="GX127" s="220">
        <f t="shared" si="117"/>
        <v>0</v>
      </c>
      <c r="GY127" s="220">
        <f t="shared" si="117"/>
        <v>0</v>
      </c>
      <c r="GZ127" s="220">
        <f t="shared" si="117"/>
        <v>0</v>
      </c>
    </row>
    <row r="128" spans="1:208" x14ac:dyDescent="0.2">
      <c r="A128" s="237" t="s">
        <v>574</v>
      </c>
      <c r="B128" s="89" t="e">
        <f>(B126+B127)/(B121+B122)</f>
        <v>#DIV/0!</v>
      </c>
      <c r="C128" s="89" t="e">
        <f t="shared" ref="C128:M128" si="118">(C126+C127)/(C121+C122)</f>
        <v>#DIV/0!</v>
      </c>
      <c r="D128" s="89" t="e">
        <f t="shared" si="118"/>
        <v>#DIV/0!</v>
      </c>
      <c r="E128" s="89" t="e">
        <f t="shared" si="118"/>
        <v>#DIV/0!</v>
      </c>
      <c r="F128" s="89" t="e">
        <f t="shared" si="118"/>
        <v>#DIV/0!</v>
      </c>
      <c r="G128" s="89" t="e">
        <f t="shared" si="118"/>
        <v>#DIV/0!</v>
      </c>
      <c r="H128" s="89" t="e">
        <f t="shared" si="118"/>
        <v>#DIV/0!</v>
      </c>
      <c r="I128" s="89" t="e">
        <f t="shared" si="118"/>
        <v>#DIV/0!</v>
      </c>
      <c r="J128" s="89" t="e">
        <f t="shared" si="118"/>
        <v>#DIV/0!</v>
      </c>
      <c r="K128" s="89" t="e">
        <f t="shared" si="118"/>
        <v>#DIV/0!</v>
      </c>
      <c r="L128" s="89" t="e">
        <f t="shared" si="118"/>
        <v>#DIV/0!</v>
      </c>
      <c r="M128" s="89" t="e">
        <f t="shared" si="118"/>
        <v>#DIV/0!</v>
      </c>
      <c r="AC128" s="237" t="s">
        <v>574</v>
      </c>
      <c r="AD128" s="89" t="e">
        <f>(AD126+AD127)/(AD121+AD122)</f>
        <v>#DIV/0!</v>
      </c>
      <c r="AE128" s="89" t="e">
        <f t="shared" ref="AE128:AO128" si="119">(AE126+AE127)/(AE121+AE122)</f>
        <v>#DIV/0!</v>
      </c>
      <c r="AF128" s="89" t="e">
        <f t="shared" si="119"/>
        <v>#DIV/0!</v>
      </c>
      <c r="AG128" s="89" t="e">
        <f t="shared" si="119"/>
        <v>#DIV/0!</v>
      </c>
      <c r="AH128" s="89" t="e">
        <f t="shared" si="119"/>
        <v>#DIV/0!</v>
      </c>
      <c r="AI128" s="89" t="e">
        <f t="shared" si="119"/>
        <v>#DIV/0!</v>
      </c>
      <c r="AJ128" s="89" t="e">
        <f t="shared" si="119"/>
        <v>#DIV/0!</v>
      </c>
      <c r="AK128" s="89" t="e">
        <f t="shared" si="119"/>
        <v>#DIV/0!</v>
      </c>
      <c r="AL128" s="89" t="e">
        <f t="shared" si="119"/>
        <v>#DIV/0!</v>
      </c>
      <c r="AM128" s="89" t="e">
        <f t="shared" si="119"/>
        <v>#DIV/0!</v>
      </c>
      <c r="AN128" s="89" t="e">
        <f t="shared" si="119"/>
        <v>#DIV/0!</v>
      </c>
      <c r="AO128" s="89" t="e">
        <f t="shared" si="119"/>
        <v>#DIV/0!</v>
      </c>
      <c r="AU128" s="237" t="s">
        <v>574</v>
      </c>
      <c r="AV128" s="89" t="e">
        <f>(AV126+AV127)/(AV121+AV122)</f>
        <v>#DIV/0!</v>
      </c>
      <c r="AW128" s="89" t="e">
        <f t="shared" ref="AW128:BG128" si="120">(AW126+AW127)/(AW121+AW122)</f>
        <v>#DIV/0!</v>
      </c>
      <c r="AX128" s="89" t="e">
        <f t="shared" si="120"/>
        <v>#DIV/0!</v>
      </c>
      <c r="AY128" s="89" t="e">
        <f t="shared" si="120"/>
        <v>#DIV/0!</v>
      </c>
      <c r="AZ128" s="89" t="e">
        <f t="shared" si="120"/>
        <v>#DIV/0!</v>
      </c>
      <c r="BA128" s="89" t="e">
        <f t="shared" si="120"/>
        <v>#DIV/0!</v>
      </c>
      <c r="BB128" s="89" t="e">
        <f t="shared" si="120"/>
        <v>#DIV/0!</v>
      </c>
      <c r="BC128" s="89" t="e">
        <f t="shared" si="120"/>
        <v>#DIV/0!</v>
      </c>
      <c r="BD128" s="89" t="e">
        <f t="shared" si="120"/>
        <v>#DIV/0!</v>
      </c>
      <c r="BE128" s="89" t="e">
        <f t="shared" si="120"/>
        <v>#DIV/0!</v>
      </c>
      <c r="BF128" s="89" t="e">
        <f t="shared" si="120"/>
        <v>#DIV/0!</v>
      </c>
      <c r="BG128" s="89" t="e">
        <f t="shared" si="120"/>
        <v>#DIV/0!</v>
      </c>
      <c r="BN128" s="237" t="s">
        <v>574</v>
      </c>
      <c r="BO128" s="89" t="e">
        <f>(BO126+BO127)/(BO121+BO122)</f>
        <v>#DIV/0!</v>
      </c>
      <c r="BP128" s="89" t="e">
        <f t="shared" ref="BP128:BZ128" si="121">(BP126+BP127)/(BP121+BP122)</f>
        <v>#DIV/0!</v>
      </c>
      <c r="BQ128" s="89" t="e">
        <f t="shared" si="121"/>
        <v>#DIV/0!</v>
      </c>
      <c r="BR128" s="89" t="e">
        <f t="shared" si="121"/>
        <v>#DIV/0!</v>
      </c>
      <c r="BS128" s="89" t="e">
        <f t="shared" si="121"/>
        <v>#DIV/0!</v>
      </c>
      <c r="BT128" s="89" t="e">
        <f t="shared" si="121"/>
        <v>#DIV/0!</v>
      </c>
      <c r="BU128" s="89" t="e">
        <f t="shared" si="121"/>
        <v>#DIV/0!</v>
      </c>
      <c r="BV128" s="89" t="e">
        <f t="shared" si="121"/>
        <v>#DIV/0!</v>
      </c>
      <c r="BW128" s="89" t="e">
        <f t="shared" si="121"/>
        <v>#DIV/0!</v>
      </c>
      <c r="BX128" s="89" t="e">
        <f t="shared" si="121"/>
        <v>#DIV/0!</v>
      </c>
      <c r="BY128" s="89" t="e">
        <f t="shared" si="121"/>
        <v>#DIV/0!</v>
      </c>
      <c r="BZ128" s="89" t="e">
        <f t="shared" si="121"/>
        <v>#DIV/0!</v>
      </c>
      <c r="CF128" s="237" t="s">
        <v>574</v>
      </c>
      <c r="CG128" s="89" t="e">
        <f>(CG126+CG127)/(CG121+CG122)</f>
        <v>#DIV/0!</v>
      </c>
      <c r="CH128" s="89" t="e">
        <f t="shared" ref="CH128:CR128" si="122">(CH126+CH127)/(CH121+CH122)</f>
        <v>#DIV/0!</v>
      </c>
      <c r="CI128" s="89" t="e">
        <f t="shared" si="122"/>
        <v>#DIV/0!</v>
      </c>
      <c r="CJ128" s="89" t="e">
        <f t="shared" si="122"/>
        <v>#DIV/0!</v>
      </c>
      <c r="CK128" s="89" t="e">
        <f t="shared" si="122"/>
        <v>#DIV/0!</v>
      </c>
      <c r="CL128" s="89" t="e">
        <f t="shared" si="122"/>
        <v>#DIV/0!</v>
      </c>
      <c r="CM128" s="89" t="e">
        <f t="shared" si="122"/>
        <v>#DIV/0!</v>
      </c>
      <c r="CN128" s="89" t="e">
        <f t="shared" si="122"/>
        <v>#DIV/0!</v>
      </c>
      <c r="CO128" s="89" t="e">
        <f t="shared" si="122"/>
        <v>#DIV/0!</v>
      </c>
      <c r="CP128" s="89" t="e">
        <f t="shared" si="122"/>
        <v>#DIV/0!</v>
      </c>
      <c r="CQ128" s="89" t="e">
        <f t="shared" si="122"/>
        <v>#DIV/0!</v>
      </c>
      <c r="CR128" s="89" t="e">
        <f t="shared" si="122"/>
        <v>#DIV/0!</v>
      </c>
      <c r="CW128" s="237" t="s">
        <v>574</v>
      </c>
      <c r="CX128" s="89" t="e">
        <f>(CX126+CX127)/(CX121+CX122)</f>
        <v>#DIV/0!</v>
      </c>
      <c r="CY128" s="89" t="e">
        <f t="shared" ref="CY128:DI128" si="123">(CY126+CY127)/(CY121+CY122)</f>
        <v>#DIV/0!</v>
      </c>
      <c r="CZ128" s="89" t="e">
        <f t="shared" si="123"/>
        <v>#DIV/0!</v>
      </c>
      <c r="DA128" s="89" t="e">
        <f t="shared" si="123"/>
        <v>#DIV/0!</v>
      </c>
      <c r="DB128" s="89" t="e">
        <f t="shared" si="123"/>
        <v>#DIV/0!</v>
      </c>
      <c r="DC128" s="89" t="e">
        <f t="shared" si="123"/>
        <v>#DIV/0!</v>
      </c>
      <c r="DD128" s="89" t="e">
        <f t="shared" si="123"/>
        <v>#DIV/0!</v>
      </c>
      <c r="DE128" s="89" t="e">
        <f t="shared" si="123"/>
        <v>#DIV/0!</v>
      </c>
      <c r="DF128" s="89" t="e">
        <f t="shared" si="123"/>
        <v>#DIV/0!</v>
      </c>
      <c r="DG128" s="89" t="e">
        <f t="shared" si="123"/>
        <v>#DIV/0!</v>
      </c>
      <c r="DH128" s="89" t="e">
        <f t="shared" si="123"/>
        <v>#DIV/0!</v>
      </c>
      <c r="DI128" s="89" t="e">
        <f t="shared" si="123"/>
        <v>#DIV/0!</v>
      </c>
      <c r="DN128" s="237" t="s">
        <v>574</v>
      </c>
      <c r="DO128" s="89" t="e">
        <f>(DO126+DO127)/(DO121+DO122)</f>
        <v>#DIV/0!</v>
      </c>
      <c r="DP128" s="89" t="e">
        <f t="shared" ref="DP128:DZ128" si="124">(DP126+DP127)/(DP121+DP122)</f>
        <v>#DIV/0!</v>
      </c>
      <c r="DQ128" s="89" t="e">
        <f t="shared" si="124"/>
        <v>#DIV/0!</v>
      </c>
      <c r="DR128" s="89" t="e">
        <f t="shared" si="124"/>
        <v>#DIV/0!</v>
      </c>
      <c r="DS128" s="89" t="e">
        <f t="shared" si="124"/>
        <v>#DIV/0!</v>
      </c>
      <c r="DT128" s="89" t="e">
        <f t="shared" si="124"/>
        <v>#DIV/0!</v>
      </c>
      <c r="DU128" s="89" t="e">
        <f t="shared" si="124"/>
        <v>#DIV/0!</v>
      </c>
      <c r="DV128" s="89" t="e">
        <f t="shared" si="124"/>
        <v>#DIV/0!</v>
      </c>
      <c r="DW128" s="89" t="e">
        <f t="shared" si="124"/>
        <v>#DIV/0!</v>
      </c>
      <c r="DX128" s="89" t="e">
        <f t="shared" si="124"/>
        <v>#DIV/0!</v>
      </c>
      <c r="DY128" s="89" t="e">
        <f t="shared" si="124"/>
        <v>#DIV/0!</v>
      </c>
      <c r="DZ128" s="89" t="e">
        <f t="shared" si="124"/>
        <v>#DIV/0!</v>
      </c>
      <c r="FB128" s="237" t="s">
        <v>574</v>
      </c>
      <c r="FC128" s="89" t="e">
        <f>(FC126+FC127)/(FC121+FC122)</f>
        <v>#DIV/0!</v>
      </c>
      <c r="FD128" s="89" t="e">
        <f t="shared" ref="FD128:FN128" si="125">(FD126+FD127)/(FD121+FD122)</f>
        <v>#DIV/0!</v>
      </c>
      <c r="FE128" s="89" t="e">
        <f t="shared" si="125"/>
        <v>#DIV/0!</v>
      </c>
      <c r="FF128" s="89" t="e">
        <f t="shared" si="125"/>
        <v>#DIV/0!</v>
      </c>
      <c r="FG128" s="89" t="e">
        <f t="shared" si="125"/>
        <v>#DIV/0!</v>
      </c>
      <c r="FH128" s="89" t="e">
        <f t="shared" si="125"/>
        <v>#DIV/0!</v>
      </c>
      <c r="FI128" s="89" t="e">
        <f t="shared" si="125"/>
        <v>#DIV/0!</v>
      </c>
      <c r="FJ128" s="89" t="e">
        <f t="shared" si="125"/>
        <v>#DIV/0!</v>
      </c>
      <c r="FK128" s="89" t="e">
        <f t="shared" si="125"/>
        <v>#DIV/0!</v>
      </c>
      <c r="FL128" s="89" t="e">
        <f t="shared" si="125"/>
        <v>#DIV/0!</v>
      </c>
      <c r="FM128" s="89" t="e">
        <f t="shared" si="125"/>
        <v>#DIV/0!</v>
      </c>
      <c r="FN128" s="89" t="e">
        <f t="shared" si="125"/>
        <v>#DIV/0!</v>
      </c>
      <c r="FV128" s="237" t="s">
        <v>574</v>
      </c>
      <c r="FW128" s="89" t="e">
        <f>(FW126+FW127)/(FW121+FW122)</f>
        <v>#DIV/0!</v>
      </c>
      <c r="FX128" s="89" t="e">
        <f t="shared" ref="FX128:GH128" si="126">(FX126+FX127)/(FX121+FX122)</f>
        <v>#DIV/0!</v>
      </c>
      <c r="FY128" s="89" t="e">
        <f t="shared" si="126"/>
        <v>#DIV/0!</v>
      </c>
      <c r="FZ128" s="89" t="e">
        <f t="shared" si="126"/>
        <v>#DIV/0!</v>
      </c>
      <c r="GA128" s="89" t="e">
        <f t="shared" si="126"/>
        <v>#DIV/0!</v>
      </c>
      <c r="GB128" s="89" t="e">
        <f t="shared" si="126"/>
        <v>#DIV/0!</v>
      </c>
      <c r="GC128" s="89" t="e">
        <f t="shared" si="126"/>
        <v>#DIV/0!</v>
      </c>
      <c r="GD128" s="89" t="e">
        <f t="shared" si="126"/>
        <v>#DIV/0!</v>
      </c>
      <c r="GE128" s="89" t="e">
        <f t="shared" si="126"/>
        <v>#DIV/0!</v>
      </c>
      <c r="GF128" s="89" t="e">
        <f t="shared" si="126"/>
        <v>#DIV/0!</v>
      </c>
      <c r="GG128" s="89" t="e">
        <f t="shared" si="126"/>
        <v>#DIV/0!</v>
      </c>
      <c r="GH128" s="89" t="e">
        <f t="shared" si="126"/>
        <v>#DIV/0!</v>
      </c>
      <c r="GN128" s="237" t="s">
        <v>574</v>
      </c>
      <c r="GO128" s="89" t="e">
        <f>(GO126+GO127)/(GO121+GO122)</f>
        <v>#DIV/0!</v>
      </c>
      <c r="GP128" s="89" t="e">
        <f t="shared" ref="GP128:GZ128" si="127">(GP126+GP127)/(GP121+GP122)</f>
        <v>#DIV/0!</v>
      </c>
      <c r="GQ128" s="89" t="e">
        <f t="shared" si="127"/>
        <v>#DIV/0!</v>
      </c>
      <c r="GR128" s="89" t="e">
        <f t="shared" si="127"/>
        <v>#DIV/0!</v>
      </c>
      <c r="GS128" s="89" t="e">
        <f t="shared" si="127"/>
        <v>#DIV/0!</v>
      </c>
      <c r="GT128" s="89" t="e">
        <f t="shared" si="127"/>
        <v>#DIV/0!</v>
      </c>
      <c r="GU128" s="89" t="e">
        <f t="shared" si="127"/>
        <v>#DIV/0!</v>
      </c>
      <c r="GV128" s="89" t="e">
        <f t="shared" si="127"/>
        <v>#DIV/0!</v>
      </c>
      <c r="GW128" s="89" t="e">
        <f t="shared" si="127"/>
        <v>#DIV/0!</v>
      </c>
      <c r="GX128" s="89" t="e">
        <f t="shared" si="127"/>
        <v>#DIV/0!</v>
      </c>
      <c r="GY128" s="89" t="e">
        <f t="shared" si="127"/>
        <v>#DIV/0!</v>
      </c>
      <c r="GZ128" s="89" t="e">
        <f t="shared" si="127"/>
        <v>#DIV/0!</v>
      </c>
    </row>
    <row r="129" spans="1:208" x14ac:dyDescent="0.2">
      <c r="A129" s="155" t="s">
        <v>568</v>
      </c>
      <c r="B129" s="89" t="e">
        <f>IF(B128&lt;2.51,B121+B122-B125*(B126+B127),0)</f>
        <v>#DIV/0!</v>
      </c>
      <c r="C129" s="89" t="e">
        <f t="shared" ref="C129:M129" si="128">IF(C128&lt;2.51,C121+C122-C125*(C126+C127),0)</f>
        <v>#DIV/0!</v>
      </c>
      <c r="D129" s="89" t="e">
        <f t="shared" si="128"/>
        <v>#DIV/0!</v>
      </c>
      <c r="E129" s="89" t="e">
        <f t="shared" si="128"/>
        <v>#DIV/0!</v>
      </c>
      <c r="F129" s="89" t="e">
        <f>0.5*IF(F128&lt;2.51,F121+F122-F125*(F126+F127),0)</f>
        <v>#DIV/0!</v>
      </c>
      <c r="G129" s="89">
        <v>0</v>
      </c>
      <c r="H129" s="89">
        <v>0</v>
      </c>
      <c r="I129" s="89">
        <v>0</v>
      </c>
      <c r="J129" s="89" t="e">
        <f>0.5*IF(J128&lt;2.51,J121+J122-J125*(J126+J127),0)</f>
        <v>#DIV/0!</v>
      </c>
      <c r="K129" s="89" t="e">
        <f t="shared" si="128"/>
        <v>#DIV/0!</v>
      </c>
      <c r="L129" s="89" t="e">
        <f t="shared" si="128"/>
        <v>#DIV/0!</v>
      </c>
      <c r="M129" s="89" t="e">
        <f t="shared" si="128"/>
        <v>#DIV/0!</v>
      </c>
      <c r="AC129" s="155" t="s">
        <v>568</v>
      </c>
      <c r="AD129" s="89" t="e">
        <f>IF(AD128&lt;2.51,AD121+AD122-AD125*(AD126+AD127),0)</f>
        <v>#DIV/0!</v>
      </c>
      <c r="AE129" s="89" t="e">
        <f t="shared" ref="AE129:AO129" si="129">IF(AE128&lt;2.51,AE121+AE122-AE125*(AE126+AE127),0)</f>
        <v>#DIV/0!</v>
      </c>
      <c r="AF129" s="89" t="e">
        <f t="shared" si="129"/>
        <v>#DIV/0!</v>
      </c>
      <c r="AG129" s="89" t="e">
        <f t="shared" si="129"/>
        <v>#DIV/0!</v>
      </c>
      <c r="AH129" s="89" t="e">
        <f>0.5*IF(AH128&lt;2.51,AH121+AH122-AH125*(AH126+AH127),0)</f>
        <v>#DIV/0!</v>
      </c>
      <c r="AI129" s="89">
        <v>0</v>
      </c>
      <c r="AJ129" s="89">
        <v>0</v>
      </c>
      <c r="AK129" s="89">
        <v>0</v>
      </c>
      <c r="AL129" s="89" t="e">
        <f>0.5*IF(AL128&lt;2.51,AL121+AL122-AL125*(AL126+AL127),0)</f>
        <v>#DIV/0!</v>
      </c>
      <c r="AM129" s="89" t="e">
        <f t="shared" si="129"/>
        <v>#DIV/0!</v>
      </c>
      <c r="AN129" s="89" t="e">
        <f t="shared" si="129"/>
        <v>#DIV/0!</v>
      </c>
      <c r="AO129" s="89" t="e">
        <f t="shared" si="129"/>
        <v>#DIV/0!</v>
      </c>
      <c r="AU129" s="155" t="s">
        <v>568</v>
      </c>
      <c r="AV129" s="89" t="e">
        <f>IF(AV128&lt;2.51,AV121+AV122-AV125*(AV126+AV127),0)</f>
        <v>#DIV/0!</v>
      </c>
      <c r="AW129" s="89" t="e">
        <f t="shared" ref="AW129:BG129" si="130">IF(AW128&lt;2.51,AW121+AW122-AW125*(AW126+AW127),0)</f>
        <v>#DIV/0!</v>
      </c>
      <c r="AX129" s="89" t="e">
        <f t="shared" si="130"/>
        <v>#DIV/0!</v>
      </c>
      <c r="AY129" s="89" t="e">
        <f t="shared" si="130"/>
        <v>#DIV/0!</v>
      </c>
      <c r="AZ129" s="89" t="e">
        <f>0.5*IF(AZ128&lt;2.51,AZ121+AZ122-AZ125*(AZ126+AZ127),0)</f>
        <v>#DIV/0!</v>
      </c>
      <c r="BA129" s="89">
        <v>0</v>
      </c>
      <c r="BB129" s="89">
        <v>0</v>
      </c>
      <c r="BC129" s="89">
        <v>0</v>
      </c>
      <c r="BD129" s="89" t="e">
        <f>0.5*IF(BD128&lt;2.51,BD121+BD122-BD125*(BD126+BD127),0)</f>
        <v>#DIV/0!</v>
      </c>
      <c r="BE129" s="89" t="e">
        <f t="shared" si="130"/>
        <v>#DIV/0!</v>
      </c>
      <c r="BF129" s="89" t="e">
        <f t="shared" si="130"/>
        <v>#DIV/0!</v>
      </c>
      <c r="BG129" s="89" t="e">
        <f t="shared" si="130"/>
        <v>#DIV/0!</v>
      </c>
      <c r="BN129" s="155" t="s">
        <v>568</v>
      </c>
      <c r="BO129" s="89" t="e">
        <f>IF(BO128&lt;2.51,BO121+BO122-BO125*(BO126+BO127),0)</f>
        <v>#DIV/0!</v>
      </c>
      <c r="BP129" s="89" t="e">
        <f t="shared" ref="BP129:BZ129" si="131">IF(BP128&lt;2.51,BP121+BP122-BP125*(BP126+BP127),0)</f>
        <v>#DIV/0!</v>
      </c>
      <c r="BQ129" s="89" t="e">
        <f t="shared" si="131"/>
        <v>#DIV/0!</v>
      </c>
      <c r="BR129" s="89" t="e">
        <f t="shared" si="131"/>
        <v>#DIV/0!</v>
      </c>
      <c r="BS129" s="89" t="e">
        <f>0.5*IF(BS128&lt;2.51,BS121+BS122-BS125*(BS126+BS127),0)</f>
        <v>#DIV/0!</v>
      </c>
      <c r="BT129" s="89">
        <v>0</v>
      </c>
      <c r="BU129" s="89">
        <v>0</v>
      </c>
      <c r="BV129" s="89">
        <v>0</v>
      </c>
      <c r="BW129" s="89" t="e">
        <f>0.5*IF(BW128&lt;2.51,BW121+BW122-BW125*(BW126+BW127),0)</f>
        <v>#DIV/0!</v>
      </c>
      <c r="BX129" s="89" t="e">
        <f t="shared" si="131"/>
        <v>#DIV/0!</v>
      </c>
      <c r="BY129" s="89" t="e">
        <f t="shared" si="131"/>
        <v>#DIV/0!</v>
      </c>
      <c r="BZ129" s="89" t="e">
        <f t="shared" si="131"/>
        <v>#DIV/0!</v>
      </c>
      <c r="CF129" s="155" t="s">
        <v>568</v>
      </c>
      <c r="CG129" s="89" t="e">
        <f>IF(CG128&lt;2.51,CG121+CG122-CG125*(CG126+CG127),0)</f>
        <v>#DIV/0!</v>
      </c>
      <c r="CH129" s="89" t="e">
        <f t="shared" ref="CH129:CR129" si="132">IF(CH128&lt;2.51,CH121+CH122-CH125*(CH126+CH127),0)</f>
        <v>#DIV/0!</v>
      </c>
      <c r="CI129" s="89" t="e">
        <f t="shared" si="132"/>
        <v>#DIV/0!</v>
      </c>
      <c r="CJ129" s="89" t="e">
        <f t="shared" si="132"/>
        <v>#DIV/0!</v>
      </c>
      <c r="CK129" s="89" t="e">
        <f>0.5*IF(CK128&lt;2.51,CK121+CK122-CK125*(CK126+CK127),0)</f>
        <v>#DIV/0!</v>
      </c>
      <c r="CL129" s="89">
        <v>0</v>
      </c>
      <c r="CM129" s="89">
        <v>0</v>
      </c>
      <c r="CN129" s="89">
        <v>0</v>
      </c>
      <c r="CO129" s="89" t="e">
        <f>0.5*IF(CO128&lt;2.51,CO121+CO122-CO125*(CO126+CO127),0)</f>
        <v>#DIV/0!</v>
      </c>
      <c r="CP129" s="89" t="e">
        <f t="shared" si="132"/>
        <v>#DIV/0!</v>
      </c>
      <c r="CQ129" s="89" t="e">
        <f t="shared" si="132"/>
        <v>#DIV/0!</v>
      </c>
      <c r="CR129" s="89" t="e">
        <f t="shared" si="132"/>
        <v>#DIV/0!</v>
      </c>
      <c r="CW129" s="155" t="s">
        <v>568</v>
      </c>
      <c r="CX129" s="89" t="e">
        <f>IF(CX128&lt;2.51,CX121+CX122-CX125*(CX126+CX127),0)</f>
        <v>#DIV/0!</v>
      </c>
      <c r="CY129" s="89" t="e">
        <f t="shared" ref="CY129:DI129" si="133">IF(CY128&lt;2.51,CY121+CY122-CY125*(CY126+CY127),0)</f>
        <v>#DIV/0!</v>
      </c>
      <c r="CZ129" s="89" t="e">
        <f t="shared" si="133"/>
        <v>#DIV/0!</v>
      </c>
      <c r="DA129" s="89" t="e">
        <f t="shared" si="133"/>
        <v>#DIV/0!</v>
      </c>
      <c r="DB129" s="89" t="e">
        <f>0.5*IF(DB128&lt;2.51,DB121+DB122-DB125*(DB126+DB127),0)</f>
        <v>#DIV/0!</v>
      </c>
      <c r="DC129" s="89">
        <v>0</v>
      </c>
      <c r="DD129" s="89">
        <v>0</v>
      </c>
      <c r="DE129" s="89">
        <v>0</v>
      </c>
      <c r="DF129" s="89" t="e">
        <f>0.5*IF(DF128&lt;2.51,DF121+DF122-DF125*(DF126+DF127),0)</f>
        <v>#DIV/0!</v>
      </c>
      <c r="DG129" s="89" t="e">
        <f t="shared" si="133"/>
        <v>#DIV/0!</v>
      </c>
      <c r="DH129" s="89" t="e">
        <f t="shared" si="133"/>
        <v>#DIV/0!</v>
      </c>
      <c r="DI129" s="89" t="e">
        <f t="shared" si="133"/>
        <v>#DIV/0!</v>
      </c>
      <c r="DN129" s="155" t="s">
        <v>568</v>
      </c>
      <c r="DO129" s="89" t="e">
        <f>IF(DO128&lt;2.51,DO121+DO122-DO125*(DO126+DO127),0)</f>
        <v>#DIV/0!</v>
      </c>
      <c r="DP129" s="89" t="e">
        <f t="shared" ref="DP129:DZ129" si="134">IF(DP128&lt;2.51,DP121+DP122-DP125*(DP126+DP127),0)</f>
        <v>#DIV/0!</v>
      </c>
      <c r="DQ129" s="89" t="e">
        <f t="shared" si="134"/>
        <v>#DIV/0!</v>
      </c>
      <c r="DR129" s="89" t="e">
        <f t="shared" si="134"/>
        <v>#DIV/0!</v>
      </c>
      <c r="DS129" s="89" t="e">
        <f>0.5*IF(DS128&lt;2.51,DS121+DS122-DS125*(DS126+DS127),0)</f>
        <v>#DIV/0!</v>
      </c>
      <c r="DT129" s="89">
        <v>0</v>
      </c>
      <c r="DU129" s="89">
        <v>0</v>
      </c>
      <c r="DV129" s="89">
        <v>0</v>
      </c>
      <c r="DW129" s="89" t="e">
        <f>0.5*IF(DW128&lt;2.51,DW121+DW122-DW125*(DW126+DW127),0)</f>
        <v>#DIV/0!</v>
      </c>
      <c r="DX129" s="89" t="e">
        <f t="shared" si="134"/>
        <v>#DIV/0!</v>
      </c>
      <c r="DY129" s="89" t="e">
        <f t="shared" si="134"/>
        <v>#DIV/0!</v>
      </c>
      <c r="DZ129" s="89" t="e">
        <f t="shared" si="134"/>
        <v>#DIV/0!</v>
      </c>
      <c r="FB129" s="155" t="s">
        <v>568</v>
      </c>
      <c r="FC129" s="89" t="e">
        <f>IF(FC128&lt;2.51,FC121+FC122-FC125*(FC126+FC127),0)</f>
        <v>#DIV/0!</v>
      </c>
      <c r="FD129" s="89" t="e">
        <f t="shared" ref="FD129:FN129" si="135">IF(FD128&lt;2.51,FD121+FD122-FD125*(FD126+FD127),0)</f>
        <v>#DIV/0!</v>
      </c>
      <c r="FE129" s="89" t="e">
        <f t="shared" si="135"/>
        <v>#DIV/0!</v>
      </c>
      <c r="FF129" s="89" t="e">
        <f t="shared" si="135"/>
        <v>#DIV/0!</v>
      </c>
      <c r="FG129" s="89" t="e">
        <f>0.5*IF(FG128&lt;2.51,FG121+FG122-FG125*(FG126+FG127),0)</f>
        <v>#DIV/0!</v>
      </c>
      <c r="FH129" s="89">
        <v>0</v>
      </c>
      <c r="FI129" s="89">
        <v>0</v>
      </c>
      <c r="FJ129" s="89">
        <v>0</v>
      </c>
      <c r="FK129" s="89" t="e">
        <f>0.5*IF(FK128&lt;2.51,FK121+FK122-FK125*(FK126+FK127),0)</f>
        <v>#DIV/0!</v>
      </c>
      <c r="FL129" s="89" t="e">
        <f t="shared" si="135"/>
        <v>#DIV/0!</v>
      </c>
      <c r="FM129" s="89" t="e">
        <f t="shared" si="135"/>
        <v>#DIV/0!</v>
      </c>
      <c r="FN129" s="89" t="e">
        <f t="shared" si="135"/>
        <v>#DIV/0!</v>
      </c>
      <c r="FV129" s="155" t="s">
        <v>568</v>
      </c>
      <c r="FW129" s="89" t="e">
        <f>IF(FW128&lt;2.51,FW121+FW122-FW125*(FW126+FW127),0)</f>
        <v>#DIV/0!</v>
      </c>
      <c r="FX129" s="89" t="e">
        <f t="shared" ref="FX129:GH129" si="136">IF(FX128&lt;2.51,FX121+FX122-FX125*(FX126+FX127),0)</f>
        <v>#DIV/0!</v>
      </c>
      <c r="FY129" s="89" t="e">
        <f t="shared" si="136"/>
        <v>#DIV/0!</v>
      </c>
      <c r="FZ129" s="89" t="e">
        <f t="shared" si="136"/>
        <v>#DIV/0!</v>
      </c>
      <c r="GA129" s="89" t="e">
        <f>0.5*IF(GA128&lt;2.51,GA121+GA122-GA125*(GA126+GA127),0)</f>
        <v>#DIV/0!</v>
      </c>
      <c r="GB129" s="89">
        <v>0</v>
      </c>
      <c r="GC129" s="89">
        <v>0</v>
      </c>
      <c r="GD129" s="89">
        <v>0</v>
      </c>
      <c r="GE129" s="89" t="e">
        <f>0.5*IF(GE128&lt;2.51,GE121+GE122-GE125*(GE126+GE127),0)</f>
        <v>#DIV/0!</v>
      </c>
      <c r="GF129" s="89" t="e">
        <f t="shared" si="136"/>
        <v>#DIV/0!</v>
      </c>
      <c r="GG129" s="89" t="e">
        <f t="shared" si="136"/>
        <v>#DIV/0!</v>
      </c>
      <c r="GH129" s="89" t="e">
        <f t="shared" si="136"/>
        <v>#DIV/0!</v>
      </c>
      <c r="GN129" s="155" t="s">
        <v>568</v>
      </c>
      <c r="GO129" s="89" t="e">
        <f>IF(GO128&lt;2.51,GO121+GO122-GO125*(GO126+GO127),0)</f>
        <v>#DIV/0!</v>
      </c>
      <c r="GP129" s="89" t="e">
        <f t="shared" ref="GP129:GZ129" si="137">IF(GP128&lt;2.51,GP121+GP122-GP125*(GP126+GP127),0)</f>
        <v>#DIV/0!</v>
      </c>
      <c r="GQ129" s="89" t="e">
        <f t="shared" si="137"/>
        <v>#DIV/0!</v>
      </c>
      <c r="GR129" s="89" t="e">
        <f t="shared" si="137"/>
        <v>#DIV/0!</v>
      </c>
      <c r="GS129" s="89" t="e">
        <f>0.5*IF(GS128&lt;2.51,GS121+GS122-GS125*(GS126+GS127),0)</f>
        <v>#DIV/0!</v>
      </c>
      <c r="GT129" s="89">
        <v>0</v>
      </c>
      <c r="GU129" s="89">
        <v>0</v>
      </c>
      <c r="GV129" s="89">
        <v>0</v>
      </c>
      <c r="GW129" s="89" t="e">
        <f>0.5*IF(GW128&lt;2.51,GW121+GW122-GW125*(GW126+GW127),0)</f>
        <v>#DIV/0!</v>
      </c>
      <c r="GX129" s="89" t="e">
        <f t="shared" si="137"/>
        <v>#DIV/0!</v>
      </c>
      <c r="GY129" s="89" t="e">
        <f t="shared" si="137"/>
        <v>#DIV/0!</v>
      </c>
      <c r="GZ129" s="89" t="e">
        <f t="shared" si="137"/>
        <v>#DIV/0!</v>
      </c>
    </row>
    <row r="130" spans="1:208" x14ac:dyDescent="0.2">
      <c r="A130" s="155" t="s">
        <v>562</v>
      </c>
      <c r="B130" s="89">
        <f>'Fitten energieverbruik'!C21*'Fitten energieverbruik'!C22*IF(B3=0,0,SUM(B129:M129)/($B$3*$C$3))</f>
        <v>0</v>
      </c>
      <c r="AC130" s="155" t="s">
        <v>562</v>
      </c>
      <c r="AD130" s="89">
        <f>'Fitten energieverbruik'!C21*IF(B3=0,0,SUM(AD129:AO129)/($B$3*$C$3))</f>
        <v>0</v>
      </c>
      <c r="AU130" s="155" t="s">
        <v>562</v>
      </c>
      <c r="AV130" s="89">
        <f>'Fitten energieverbruik'!C21*IF(B3=0,0,SUM(AV129:BG129)/($B$3*$C$3))</f>
        <v>0</v>
      </c>
      <c r="BN130" s="155" t="s">
        <v>562</v>
      </c>
      <c r="BO130" s="89">
        <f>'Fitten energieverbruik'!C21*IF(B3=0,0,SUM(BO129:BZ129)/($B$3*$C$3))</f>
        <v>0</v>
      </c>
      <c r="CF130" s="155" t="s">
        <v>562</v>
      </c>
      <c r="CG130" s="89">
        <f>'Fitten energieverbruik'!C21*IF(B3=0,0,SUM(CG129:CR129)/($B$3*$C$3)-35.17*CU61)</f>
        <v>0</v>
      </c>
      <c r="CW130" s="155" t="s">
        <v>562</v>
      </c>
      <c r="CX130" s="89">
        <f>'Fitten energieverbruik'!C21*IF(B3=0,0,SUM(CX129:DI129)/($B$3*$C$3))</f>
        <v>0</v>
      </c>
      <c r="DN130" s="155" t="s">
        <v>562</v>
      </c>
      <c r="DO130" s="89">
        <f>'Fitten energieverbruik'!C21*IF(B3=0,0,SUM(DO129:DZ129)/($B$3*$C$3))</f>
        <v>0</v>
      </c>
      <c r="EF130" s="155" t="s">
        <v>562</v>
      </c>
      <c r="EG130" s="89">
        <f>'Fitten energieverbruik'!C21*IF(EG3=0,0,SUM(B129:M129)/(EG3*EH3))</f>
        <v>0</v>
      </c>
      <c r="EQ130" s="155" t="s">
        <v>562</v>
      </c>
      <c r="ER130" s="89">
        <f>'Fitten energieverbruik'!C21*IF(ER3=0,0,SUM(B129:M129)/(ER3*ES3))</f>
        <v>0</v>
      </c>
      <c r="FB130" s="155" t="s">
        <v>562</v>
      </c>
      <c r="FC130" s="89">
        <f>'Fitten energieverbruik'!C21*IF(B3=0,0,SUM(FC129:FN129)/($B$3*$C$3))</f>
        <v>0</v>
      </c>
      <c r="FV130" s="155" t="s">
        <v>562</v>
      </c>
      <c r="FW130" s="89">
        <f>'Fitten energieverbruik'!C21*IF(B3=0,0,SUM(FW129:GH129)/($B$3*$C$3))</f>
        <v>0</v>
      </c>
      <c r="GN130" s="155" t="s">
        <v>562</v>
      </c>
      <c r="GO130" s="89">
        <f>'Fitten energieverbruik'!C21*IF(GN3=0,0,SUM(GO129:GZ129)/($GN$3*$GO$3))</f>
        <v>0</v>
      </c>
    </row>
    <row r="131" spans="1:208" x14ac:dyDescent="0.2">
      <c r="A131" s="155" t="s">
        <v>513</v>
      </c>
      <c r="B131" s="89">
        <f>'Verwerken ventilatie'!D60</f>
        <v>0</v>
      </c>
      <c r="AC131" s="155" t="s">
        <v>513</v>
      </c>
      <c r="AD131" s="89">
        <f>$B$131</f>
        <v>0</v>
      </c>
      <c r="AU131" s="155" t="s">
        <v>513</v>
      </c>
      <c r="AV131" s="89">
        <f>B131</f>
        <v>0</v>
      </c>
      <c r="BN131" s="155" t="s">
        <v>513</v>
      </c>
      <c r="BO131" s="89">
        <f>$B$131</f>
        <v>0</v>
      </c>
      <c r="CF131" s="155" t="s">
        <v>513</v>
      </c>
      <c r="CG131" s="89">
        <f>$B$131</f>
        <v>0</v>
      </c>
      <c r="CW131" s="155" t="s">
        <v>513</v>
      </c>
      <c r="CX131" s="89">
        <f>$B$131</f>
        <v>0</v>
      </c>
      <c r="DN131" s="155" t="s">
        <v>513</v>
      </c>
      <c r="DO131" s="89">
        <f>$B$131</f>
        <v>0</v>
      </c>
      <c r="EF131" s="155" t="s">
        <v>513</v>
      </c>
      <c r="EG131" s="89">
        <f t="shared" ref="EG131:EG136" si="138">B131</f>
        <v>0</v>
      </c>
      <c r="EQ131" s="155" t="s">
        <v>513</v>
      </c>
      <c r="ER131" s="89">
        <f t="shared" ref="ER131:ER136" si="139">B131</f>
        <v>0</v>
      </c>
      <c r="FB131" s="155" t="s">
        <v>513</v>
      </c>
      <c r="FC131" s="89">
        <f>'Verwerken ventilatie'!AM60</f>
        <v>0</v>
      </c>
      <c r="FV131" s="155" t="s">
        <v>513</v>
      </c>
      <c r="FW131" s="89">
        <f>B131</f>
        <v>0</v>
      </c>
      <c r="GN131" s="155" t="s">
        <v>513</v>
      </c>
      <c r="GO131" s="89">
        <f>FC131</f>
        <v>0</v>
      </c>
    </row>
    <row r="132" spans="1:208" x14ac:dyDescent="0.2">
      <c r="A132" s="155" t="s">
        <v>563</v>
      </c>
      <c r="B132" s="89">
        <f>'Verwerken verlichting'!R29*12</f>
        <v>0</v>
      </c>
      <c r="AC132" s="155" t="s">
        <v>563</v>
      </c>
      <c r="AD132" s="89">
        <f>$B$132</f>
        <v>0</v>
      </c>
      <c r="AU132" s="155" t="s">
        <v>563</v>
      </c>
      <c r="AV132" s="89">
        <f>B132</f>
        <v>0</v>
      </c>
      <c r="BN132" s="155" t="s">
        <v>563</v>
      </c>
      <c r="BO132" s="89">
        <f>$B$132</f>
        <v>0</v>
      </c>
      <c r="CF132" s="155" t="s">
        <v>563</v>
      </c>
      <c r="CG132" s="89">
        <f>$B$132</f>
        <v>0</v>
      </c>
      <c r="CW132" s="155" t="s">
        <v>563</v>
      </c>
      <c r="CX132" s="89">
        <f>$B$132</f>
        <v>0</v>
      </c>
      <c r="DN132" s="155" t="s">
        <v>563</v>
      </c>
      <c r="DO132" s="89">
        <f>$B$132</f>
        <v>0</v>
      </c>
      <c r="EF132" s="155" t="s">
        <v>563</v>
      </c>
      <c r="EG132" s="89">
        <f t="shared" si="138"/>
        <v>0</v>
      </c>
      <c r="EQ132" s="155" t="s">
        <v>563</v>
      </c>
      <c r="ER132" s="89">
        <f t="shared" si="139"/>
        <v>0</v>
      </c>
      <c r="FB132" s="155" t="s">
        <v>563</v>
      </c>
      <c r="FC132" s="89">
        <f>B132</f>
        <v>0</v>
      </c>
      <c r="FV132" s="155" t="s">
        <v>563</v>
      </c>
      <c r="FW132" s="89">
        <f>FW65*12</f>
        <v>0</v>
      </c>
      <c r="FX132" s="89">
        <f>FX65*12</f>
        <v>0</v>
      </c>
      <c r="FY132" s="89">
        <f>FY65*12</f>
        <v>0</v>
      </c>
      <c r="GN132" s="155" t="s">
        <v>563</v>
      </c>
      <c r="GO132" s="89">
        <f>GN65*12</f>
        <v>0</v>
      </c>
    </row>
    <row r="133" spans="1:208" x14ac:dyDescent="0.2">
      <c r="A133" s="155" t="s">
        <v>564</v>
      </c>
      <c r="B133" s="89">
        <f>IF(B121=0,0,(8/(0.39*12))*0.75*'Invoer Algemeen'!D17*12)</f>
        <v>0</v>
      </c>
      <c r="AC133" s="155" t="s">
        <v>564</v>
      </c>
      <c r="AD133" s="89">
        <f>$B$133</f>
        <v>0</v>
      </c>
      <c r="AU133" s="155" t="s">
        <v>564</v>
      </c>
      <c r="AV133" s="89">
        <f>$B$133</f>
        <v>0</v>
      </c>
      <c r="BN133" s="155" t="s">
        <v>564</v>
      </c>
      <c r="BO133" s="89">
        <f>$B$133</f>
        <v>0</v>
      </c>
      <c r="CF133" s="155" t="s">
        <v>564</v>
      </c>
      <c r="CG133" s="89">
        <f>$B$133</f>
        <v>0</v>
      </c>
      <c r="CW133" s="155" t="s">
        <v>564</v>
      </c>
      <c r="CX133" s="89">
        <f>$B$133</f>
        <v>0</v>
      </c>
      <c r="DN133" s="155" t="s">
        <v>564</v>
      </c>
      <c r="DO133" s="89">
        <f>$B$133</f>
        <v>0</v>
      </c>
      <c r="EF133" s="155" t="s">
        <v>564</v>
      </c>
      <c r="EG133" s="89">
        <f t="shared" si="138"/>
        <v>0</v>
      </c>
      <c r="EQ133" s="155" t="s">
        <v>564</v>
      </c>
      <c r="ER133" s="89">
        <f t="shared" si="139"/>
        <v>0</v>
      </c>
      <c r="FB133" s="155" t="s">
        <v>564</v>
      </c>
      <c r="FC133" s="89">
        <f>B133</f>
        <v>0</v>
      </c>
      <c r="FV133" s="155" t="s">
        <v>564</v>
      </c>
      <c r="FW133" s="89">
        <f>B133</f>
        <v>0</v>
      </c>
      <c r="GN133" s="155" t="s">
        <v>564</v>
      </c>
      <c r="GO133" s="89">
        <f>$B$133</f>
        <v>0</v>
      </c>
    </row>
    <row r="134" spans="1:208" x14ac:dyDescent="0.2">
      <c r="A134" s="155" t="s">
        <v>565</v>
      </c>
      <c r="B134" s="89">
        <v>0</v>
      </c>
      <c r="AC134" s="155" t="s">
        <v>565</v>
      </c>
      <c r="AD134" s="89">
        <v>0</v>
      </c>
      <c r="AU134" s="155" t="s">
        <v>565</v>
      </c>
      <c r="AV134" s="89">
        <v>0</v>
      </c>
      <c r="BN134" s="155" t="s">
        <v>565</v>
      </c>
      <c r="BO134" s="89">
        <v>0</v>
      </c>
      <c r="CF134" s="155" t="s">
        <v>565</v>
      </c>
      <c r="CG134" s="89">
        <v>0</v>
      </c>
      <c r="CW134" s="155" t="s">
        <v>565</v>
      </c>
      <c r="CX134" s="89">
        <v>0</v>
      </c>
      <c r="DN134" s="155" t="s">
        <v>565</v>
      </c>
      <c r="DO134" s="89">
        <v>0</v>
      </c>
      <c r="EF134" s="155" t="s">
        <v>565</v>
      </c>
      <c r="EG134" s="89">
        <f t="shared" si="138"/>
        <v>0</v>
      </c>
      <c r="EQ134" s="155" t="s">
        <v>565</v>
      </c>
      <c r="ER134" s="89">
        <f t="shared" si="139"/>
        <v>0</v>
      </c>
      <c r="FB134" s="155" t="s">
        <v>565</v>
      </c>
      <c r="FC134" s="89">
        <f>B134</f>
        <v>0</v>
      </c>
      <c r="FV134" s="155" t="s">
        <v>565</v>
      </c>
      <c r="FW134" s="89">
        <f>B134</f>
        <v>0</v>
      </c>
      <c r="GN134" s="155" t="s">
        <v>565</v>
      </c>
      <c r="GO134" s="89">
        <v>0</v>
      </c>
    </row>
    <row r="135" spans="1:208" x14ac:dyDescent="0.2">
      <c r="A135" s="155" t="s">
        <v>566</v>
      </c>
      <c r="B135" s="89">
        <v>0</v>
      </c>
      <c r="AC135" s="155" t="s">
        <v>566</v>
      </c>
      <c r="AD135" s="89">
        <v>0</v>
      </c>
      <c r="AU135" s="155" t="s">
        <v>566</v>
      </c>
      <c r="AV135" s="89">
        <v>0</v>
      </c>
      <c r="BN135" s="155" t="s">
        <v>566</v>
      </c>
      <c r="BO135" s="89">
        <v>0</v>
      </c>
      <c r="CF135" s="155" t="s">
        <v>566</v>
      </c>
      <c r="CG135" s="89">
        <v>0</v>
      </c>
      <c r="CW135" s="155" t="s">
        <v>566</v>
      </c>
      <c r="CX135" s="89">
        <v>0</v>
      </c>
      <c r="DN135" s="155" t="s">
        <v>566</v>
      </c>
      <c r="DO135" s="89">
        <v>0</v>
      </c>
      <c r="EF135" s="155" t="s">
        <v>566</v>
      </c>
      <c r="EG135" s="89">
        <f t="shared" si="138"/>
        <v>0</v>
      </c>
      <c r="EQ135" s="155" t="s">
        <v>566</v>
      </c>
      <c r="ER135" s="89">
        <f t="shared" si="139"/>
        <v>0</v>
      </c>
      <c r="FB135" s="155" t="s">
        <v>566</v>
      </c>
      <c r="FC135" s="89">
        <f>B135</f>
        <v>0</v>
      </c>
      <c r="FV135" s="155" t="s">
        <v>566</v>
      </c>
      <c r="FW135" s="89">
        <f>B135</f>
        <v>0</v>
      </c>
      <c r="GN135" s="155" t="s">
        <v>566</v>
      </c>
      <c r="GO135" s="89">
        <v>0</v>
      </c>
    </row>
    <row r="136" spans="1:208" x14ac:dyDescent="0.2">
      <c r="A136" s="155" t="s">
        <v>567</v>
      </c>
      <c r="B136" s="89">
        <f>'Verwerken Verwarming en Tapwate'!H11</f>
        <v>0</v>
      </c>
      <c r="AC136" s="155" t="s">
        <v>567</v>
      </c>
      <c r="AD136" s="89">
        <f>$B$136</f>
        <v>0</v>
      </c>
      <c r="AU136" s="155" t="s">
        <v>567</v>
      </c>
      <c r="AV136" s="89">
        <f>B136</f>
        <v>0</v>
      </c>
      <c r="BN136" s="155" t="s">
        <v>567</v>
      </c>
      <c r="BO136" s="89">
        <f>$B$136</f>
        <v>0</v>
      </c>
      <c r="CF136" s="155" t="s">
        <v>567</v>
      </c>
      <c r="CG136" s="89">
        <f>$B$136</f>
        <v>0</v>
      </c>
      <c r="CW136" s="155" t="s">
        <v>567</v>
      </c>
      <c r="CX136" s="89">
        <f>$B$136</f>
        <v>0</v>
      </c>
      <c r="DN136" s="155" t="s">
        <v>567</v>
      </c>
      <c r="DO136" s="89">
        <f>$B$136</f>
        <v>0</v>
      </c>
      <c r="EF136" s="155" t="s">
        <v>567</v>
      </c>
      <c r="EG136" s="89">
        <f t="shared" si="138"/>
        <v>0</v>
      </c>
      <c r="EQ136" s="155" t="s">
        <v>567</v>
      </c>
      <c r="ER136" s="89">
        <f t="shared" si="139"/>
        <v>0</v>
      </c>
      <c r="FB136" s="155" t="s">
        <v>567</v>
      </c>
      <c r="FC136" s="89">
        <f>B136</f>
        <v>0</v>
      </c>
      <c r="FV136" s="155" t="s">
        <v>567</v>
      </c>
      <c r="FW136" s="89">
        <f>B136</f>
        <v>0</v>
      </c>
      <c r="GN136" s="155" t="s">
        <v>567</v>
      </c>
      <c r="GO136" s="89">
        <f>B136</f>
        <v>0</v>
      </c>
    </row>
    <row r="137" spans="1:208" x14ac:dyDescent="0.2">
      <c r="A137" s="155" t="s">
        <v>561</v>
      </c>
      <c r="B137" s="89">
        <f>IF('Invoer Algemeen'!$D$17=0,0,B130+B131+B132+B133+B134+B135+B136)</f>
        <v>0</v>
      </c>
      <c r="AC137" s="155" t="s">
        <v>561</v>
      </c>
      <c r="AD137" s="89">
        <f>IF('Invoer Algemeen'!$D$17=0,0,AD130+AD131+AD132+AD133+AD134+AD135+AD136)</f>
        <v>0</v>
      </c>
      <c r="AU137" s="155" t="s">
        <v>561</v>
      </c>
      <c r="AV137" s="89">
        <f>IF('Invoer Algemeen'!$D$16=0,0,AV130+AV131+AV132+AV133+AV134+AV135+AV136)</f>
        <v>0</v>
      </c>
      <c r="BN137" s="155" t="s">
        <v>561</v>
      </c>
      <c r="BO137" s="89">
        <f>IF('Invoer Algemeen'!$D$17=0,0,BO130+BO131+BO132+BO133+BO134+BO135+BO136)</f>
        <v>0</v>
      </c>
      <c r="CF137" s="155" t="s">
        <v>561</v>
      </c>
      <c r="CG137" s="89">
        <f>IF('Invoer Algemeen'!$D$17=0,0,CG130+CG131+CG132+CG133+CG134+CG135+CG136)</f>
        <v>0</v>
      </c>
      <c r="CW137" s="155" t="s">
        <v>561</v>
      </c>
      <c r="CX137" s="89">
        <f>IF('Invoer Algemeen'!$D$17=0,0,CX130+CX131+CX132+CX133+CX134+CX135+CX136)</f>
        <v>0</v>
      </c>
      <c r="DN137" s="155" t="s">
        <v>561</v>
      </c>
      <c r="DO137" s="89">
        <f>IF('Invoer Algemeen'!$D$17=0,0,DO130+DO131+DO132+DO133+DO134+DO135+DO136)</f>
        <v>0</v>
      </c>
      <c r="EF137" s="155" t="s">
        <v>561</v>
      </c>
      <c r="EG137" s="89">
        <f>IF('Invoer Algemeen'!$D$17=0,0,EG130+EG131+EG132+EG133+EG134+EG135+EG136)</f>
        <v>0</v>
      </c>
      <c r="EQ137" s="155" t="s">
        <v>561</v>
      </c>
      <c r="ER137" s="89">
        <f>IF('Invoer Algemeen'!$D$17=0,0,ER130+ER131+ER132+ER133+ER134+ER135+ER136)</f>
        <v>0</v>
      </c>
      <c r="FB137" s="155" t="s">
        <v>561</v>
      </c>
      <c r="FC137" s="89">
        <f>IF('Invoer Algemeen'!$D$17=0,0,FC130+FC131+FC132+FC133+FC134+FC135+FC136)</f>
        <v>0</v>
      </c>
      <c r="FV137" s="155" t="s">
        <v>561</v>
      </c>
      <c r="FW137" s="89">
        <f>IF('Invoer Algemeen'!$D$17=0,0,FW130+FW131+FW132+FW133+FW134+FW135+FW136)</f>
        <v>0</v>
      </c>
      <c r="GN137" s="155" t="s">
        <v>561</v>
      </c>
      <c r="GO137" s="89">
        <f>IF('Invoer Algemeen'!$D$17=0,0,GO130+GO131+GO132+GO133+GO134+GO135+GO136)</f>
        <v>0</v>
      </c>
    </row>
    <row r="139" spans="1:208" x14ac:dyDescent="0.2">
      <c r="D139" s="89" t="s">
        <v>593</v>
      </c>
    </row>
    <row r="140" spans="1:208" x14ac:dyDescent="0.2">
      <c r="A140" s="89" t="s">
        <v>588</v>
      </c>
      <c r="B140" s="89">
        <f>IF(B137=0,0,330*'Invoer Algemeen'!D17*1.4*1.19+1.25*135*0.3*3.5*'Invoer Algemeen'!D17*0.8)</f>
        <v>0</v>
      </c>
      <c r="AC140" s="89" t="s">
        <v>588</v>
      </c>
      <c r="AD140" s="89">
        <f>330*'Invoer Algemeen'!D17*1.4*1.19+1.25*135*0.3*3.5*'Invoer Algemeen'!D17*0.8</f>
        <v>0</v>
      </c>
      <c r="AU140" s="89" t="s">
        <v>588</v>
      </c>
      <c r="AV140" s="89">
        <f>330*'Invoer Algemeen'!D16*1.4*1.19+1.25*135*0.3*3.5*'Invoer Algemeen'!D16*0.8</f>
        <v>0</v>
      </c>
      <c r="BN140" s="89" t="s">
        <v>588</v>
      </c>
      <c r="BO140" s="89">
        <f>330*'Invoer Algemeen'!D17*1.4*1.19+1.25*135*0.3*3.5*'Invoer Algemeen'!D17*0.8</f>
        <v>0</v>
      </c>
      <c r="CF140" s="89" t="s">
        <v>588</v>
      </c>
      <c r="CG140" s="89">
        <f>330*'Invoer Algemeen'!D17*1.4*1.19+1.25*135*0.3*3.5*'Invoer Algemeen'!D17*0.8</f>
        <v>0</v>
      </c>
      <c r="CW140" s="89" t="s">
        <v>588</v>
      </c>
      <c r="CX140" s="89">
        <f>330*'Invoer Algemeen'!D17*1.4*1.19+1.25*135*0.3*3.5*'Invoer Algemeen'!D17*0.8</f>
        <v>0</v>
      </c>
      <c r="DN140" s="89" t="s">
        <v>588</v>
      </c>
      <c r="DO140" s="89">
        <f>330*'Invoer Algemeen'!D17*1.4*1.19+1.25*135*0.3*3.5*'Invoer Algemeen'!D17*0.8</f>
        <v>0</v>
      </c>
      <c r="EF140" s="89" t="s">
        <v>588</v>
      </c>
      <c r="EG140" s="89">
        <f>330*'Invoer Algemeen'!D17*1.4*1.19+1.25*135*0.3*3.5*'Invoer Algemeen'!D17*0.8</f>
        <v>0</v>
      </c>
      <c r="EQ140" s="89" t="s">
        <v>588</v>
      </c>
      <c r="ER140" s="89">
        <f>330*'Invoer Algemeen'!D17*1.4*1.19+1.25*135*0.3*3.5*'Invoer Algemeen'!D17*0.8</f>
        <v>0</v>
      </c>
      <c r="FB140" s="89" t="s">
        <v>588</v>
      </c>
      <c r="FC140" s="89">
        <f>330*'Invoer Algemeen'!D17*1.4*1.19+1.25*135*0.3*3.5*'Invoer Algemeen'!D17*0.8</f>
        <v>0</v>
      </c>
      <c r="FV140" s="89" t="s">
        <v>588</v>
      </c>
      <c r="FW140" s="89">
        <f>330*'Invoer Algemeen'!D17*1.4*1.19+1.25*135*0.3*3.5*'Invoer Algemeen'!D17*0.8</f>
        <v>0</v>
      </c>
      <c r="GN140" s="89" t="s">
        <v>588</v>
      </c>
      <c r="GO140" s="89">
        <f>330*'Invoer Algemeen'!D17*1.4*1.19+1.25*135*0.3*3.5*'Invoer Algemeen'!D17*0.8</f>
        <v>0</v>
      </c>
    </row>
    <row r="142" spans="1:208" x14ac:dyDescent="0.2">
      <c r="A142" s="155" t="s">
        <v>900</v>
      </c>
      <c r="B142" s="89">
        <f>IF('Verwerken Verwarming en Tapwate'!E4=1,1,0.79)</f>
        <v>1</v>
      </c>
      <c r="AC142" s="155" t="s">
        <v>900</v>
      </c>
      <c r="AD142" s="89">
        <f>B142</f>
        <v>1</v>
      </c>
      <c r="AU142" s="155" t="s">
        <v>900</v>
      </c>
      <c r="AV142" s="89">
        <f>T142</f>
        <v>0</v>
      </c>
      <c r="BN142" s="155" t="s">
        <v>900</v>
      </c>
      <c r="BO142" s="89">
        <f>B142</f>
        <v>1</v>
      </c>
      <c r="CF142" s="155" t="s">
        <v>900</v>
      </c>
      <c r="CG142" s="89">
        <f>B142</f>
        <v>1</v>
      </c>
      <c r="CW142" s="155" t="s">
        <v>900</v>
      </c>
      <c r="CX142" s="89">
        <f>B142</f>
        <v>1</v>
      </c>
      <c r="DN142" s="155" t="s">
        <v>900</v>
      </c>
      <c r="DO142" s="89">
        <f>B142</f>
        <v>1</v>
      </c>
      <c r="EF142" s="155" t="s">
        <v>900</v>
      </c>
      <c r="EG142" s="89">
        <f>IF(AND('Verwerken Verwarming en Tapwate'!$T$4=1,'Verwerken Verwarming en Tapwate'!$W$4=1),$B$142,IF('Verwerken Verwarming en Tapwate'!$W$4=1,1,0.79))</f>
        <v>1</v>
      </c>
      <c r="EQ142" s="155" t="s">
        <v>900</v>
      </c>
      <c r="ER142" s="155">
        <f>B142</f>
        <v>1</v>
      </c>
      <c r="FB142" s="155" t="s">
        <v>900</v>
      </c>
      <c r="FC142" s="89">
        <f>B142</f>
        <v>1</v>
      </c>
      <c r="FV142" s="155" t="s">
        <v>900</v>
      </c>
      <c r="FW142" s="89">
        <f>B142</f>
        <v>1</v>
      </c>
      <c r="GN142" s="155" t="s">
        <v>900</v>
      </c>
      <c r="GO142" s="89">
        <f>IF(AND('Verwerken Verwarming en Tapwate'!$T$4=1,'Verwerken Verwarming en Tapwate'!$W$4=1),$B$142,IF('Verwerken Verwarming en Tapwate'!$W$4=1,1,0.79))</f>
        <v>1</v>
      </c>
    </row>
    <row r="143" spans="1:208" x14ac:dyDescent="0.2">
      <c r="B143" s="619" t="s">
        <v>904</v>
      </c>
      <c r="C143" s="619"/>
      <c r="D143" s="619"/>
      <c r="E143" s="619" t="s">
        <v>611</v>
      </c>
      <c r="F143" s="619"/>
      <c r="G143" s="619"/>
      <c r="H143" s="155" t="s">
        <v>724</v>
      </c>
      <c r="AD143" s="619" t="s">
        <v>904</v>
      </c>
      <c r="AE143" s="619"/>
      <c r="AF143" s="619"/>
      <c r="AG143" s="619" t="s">
        <v>611</v>
      </c>
      <c r="AH143" s="619"/>
      <c r="AI143" s="619"/>
      <c r="AJ143" s="155" t="s">
        <v>724</v>
      </c>
      <c r="AV143" s="619" t="s">
        <v>904</v>
      </c>
      <c r="AW143" s="619"/>
      <c r="AX143" s="619"/>
      <c r="AY143" s="619" t="s">
        <v>611</v>
      </c>
      <c r="AZ143" s="619"/>
      <c r="BA143" s="619"/>
      <c r="BB143" s="155" t="s">
        <v>724</v>
      </c>
      <c r="BO143" s="619" t="s">
        <v>904</v>
      </c>
      <c r="BP143" s="619"/>
      <c r="BQ143" s="619"/>
      <c r="BR143" s="619" t="s">
        <v>611</v>
      </c>
      <c r="BS143" s="619"/>
      <c r="BT143" s="619"/>
      <c r="BU143" s="155" t="s">
        <v>724</v>
      </c>
      <c r="CG143" s="619" t="s">
        <v>904</v>
      </c>
      <c r="CH143" s="619"/>
      <c r="CI143" s="619"/>
      <c r="CJ143" s="619" t="s">
        <v>611</v>
      </c>
      <c r="CK143" s="619"/>
      <c r="CL143" s="619"/>
      <c r="CM143" s="155" t="s">
        <v>724</v>
      </c>
      <c r="CX143" s="619" t="s">
        <v>904</v>
      </c>
      <c r="CY143" s="619"/>
      <c r="CZ143" s="619"/>
      <c r="DA143" s="619" t="s">
        <v>611</v>
      </c>
      <c r="DB143" s="619"/>
      <c r="DC143" s="619"/>
      <c r="DD143" s="155" t="s">
        <v>724</v>
      </c>
      <c r="DO143" s="619" t="s">
        <v>904</v>
      </c>
      <c r="DP143" s="619"/>
      <c r="DQ143" s="619"/>
      <c r="DR143" s="619" t="s">
        <v>611</v>
      </c>
      <c r="DS143" s="619"/>
      <c r="DT143" s="619"/>
      <c r="DU143" s="155" t="s">
        <v>724</v>
      </c>
      <c r="EG143" s="619" t="s">
        <v>904</v>
      </c>
      <c r="EH143" s="619"/>
      <c r="EI143" s="619"/>
      <c r="EJ143" s="619" t="s">
        <v>611</v>
      </c>
      <c r="EK143" s="619"/>
      <c r="EL143" s="619"/>
      <c r="EM143" s="155" t="s">
        <v>724</v>
      </c>
      <c r="ER143" s="619" t="s">
        <v>904</v>
      </c>
      <c r="ES143" s="619"/>
      <c r="ET143" s="619"/>
      <c r="EU143" s="619" t="s">
        <v>611</v>
      </c>
      <c r="EV143" s="619"/>
      <c r="EW143" s="619"/>
      <c r="EX143" s="155" t="s">
        <v>724</v>
      </c>
      <c r="FC143" s="619" t="s">
        <v>904</v>
      </c>
      <c r="FD143" s="619"/>
      <c r="FE143" s="619"/>
      <c r="FF143" s="619" t="s">
        <v>611</v>
      </c>
      <c r="FG143" s="619"/>
      <c r="FH143" s="619"/>
      <c r="FI143" s="155" t="s">
        <v>724</v>
      </c>
      <c r="FW143" s="619" t="s">
        <v>904</v>
      </c>
      <c r="FX143" s="619"/>
      <c r="FY143" s="619"/>
      <c r="FZ143" s="619" t="s">
        <v>611</v>
      </c>
      <c r="GA143" s="619"/>
      <c r="GB143" s="619"/>
      <c r="GC143" s="155" t="s">
        <v>724</v>
      </c>
      <c r="GO143" s="619" t="s">
        <v>904</v>
      </c>
      <c r="GP143" s="619"/>
      <c r="GQ143" s="619"/>
      <c r="GR143" s="619" t="s">
        <v>611</v>
      </c>
      <c r="GS143" s="619"/>
      <c r="GT143" s="619"/>
      <c r="GU143" s="155" t="s">
        <v>724</v>
      </c>
    </row>
    <row r="144" spans="1:208" x14ac:dyDescent="0.2">
      <c r="B144" s="155" t="s">
        <v>608</v>
      </c>
      <c r="C144" s="155" t="s">
        <v>609</v>
      </c>
      <c r="D144" s="155" t="s">
        <v>610</v>
      </c>
      <c r="E144" s="155" t="s">
        <v>608</v>
      </c>
      <c r="F144" s="155" t="s">
        <v>609</v>
      </c>
      <c r="G144" s="155" t="s">
        <v>610</v>
      </c>
      <c r="H144" s="155" t="s">
        <v>608</v>
      </c>
      <c r="I144" s="155" t="s">
        <v>609</v>
      </c>
      <c r="J144" s="155" t="s">
        <v>610</v>
      </c>
      <c r="AD144" s="155" t="s">
        <v>608</v>
      </c>
      <c r="AE144" s="155" t="s">
        <v>609</v>
      </c>
      <c r="AF144" s="155" t="s">
        <v>610</v>
      </c>
      <c r="AG144" s="155" t="s">
        <v>608</v>
      </c>
      <c r="AH144" s="155" t="s">
        <v>609</v>
      </c>
      <c r="AI144" s="155" t="s">
        <v>610</v>
      </c>
      <c r="AJ144" s="155" t="s">
        <v>608</v>
      </c>
      <c r="AK144" s="155" t="s">
        <v>609</v>
      </c>
      <c r="AL144" s="155" t="s">
        <v>610</v>
      </c>
      <c r="AV144" s="155" t="s">
        <v>608</v>
      </c>
      <c r="AW144" s="155" t="s">
        <v>609</v>
      </c>
      <c r="AX144" s="155" t="s">
        <v>610</v>
      </c>
      <c r="AY144" s="155" t="s">
        <v>608</v>
      </c>
      <c r="AZ144" s="155" t="s">
        <v>609</v>
      </c>
      <c r="BA144" s="155" t="s">
        <v>610</v>
      </c>
      <c r="BB144" s="155" t="s">
        <v>608</v>
      </c>
      <c r="BC144" s="155" t="s">
        <v>609</v>
      </c>
      <c r="BD144" s="155" t="s">
        <v>610</v>
      </c>
      <c r="BO144" s="155" t="s">
        <v>608</v>
      </c>
      <c r="BP144" s="155" t="s">
        <v>609</v>
      </c>
      <c r="BQ144" s="155" t="s">
        <v>610</v>
      </c>
      <c r="BR144" s="155" t="s">
        <v>608</v>
      </c>
      <c r="BS144" s="155" t="s">
        <v>609</v>
      </c>
      <c r="BT144" s="155" t="s">
        <v>610</v>
      </c>
      <c r="BU144" s="155" t="s">
        <v>608</v>
      </c>
      <c r="BV144" s="155" t="s">
        <v>609</v>
      </c>
      <c r="BW144" s="155" t="s">
        <v>610</v>
      </c>
      <c r="CG144" s="155" t="s">
        <v>608</v>
      </c>
      <c r="CH144" s="155" t="s">
        <v>609</v>
      </c>
      <c r="CI144" s="155" t="s">
        <v>610</v>
      </c>
      <c r="CJ144" s="155" t="s">
        <v>608</v>
      </c>
      <c r="CK144" s="155" t="s">
        <v>609</v>
      </c>
      <c r="CL144" s="155" t="s">
        <v>610</v>
      </c>
      <c r="CM144" s="155" t="s">
        <v>608</v>
      </c>
      <c r="CN144" s="155" t="s">
        <v>609</v>
      </c>
      <c r="CO144" s="155" t="s">
        <v>610</v>
      </c>
      <c r="CX144" s="155" t="s">
        <v>608</v>
      </c>
      <c r="CY144" s="155" t="s">
        <v>609</v>
      </c>
      <c r="CZ144" s="155" t="s">
        <v>610</v>
      </c>
      <c r="DA144" s="155" t="s">
        <v>608</v>
      </c>
      <c r="DB144" s="155" t="s">
        <v>609</v>
      </c>
      <c r="DC144" s="155" t="s">
        <v>610</v>
      </c>
      <c r="DD144" s="155" t="s">
        <v>608</v>
      </c>
      <c r="DE144" s="155" t="s">
        <v>609</v>
      </c>
      <c r="DF144" s="155" t="s">
        <v>610</v>
      </c>
      <c r="DO144" s="155" t="s">
        <v>608</v>
      </c>
      <c r="DP144" s="155" t="s">
        <v>609</v>
      </c>
      <c r="DQ144" s="155" t="s">
        <v>610</v>
      </c>
      <c r="DR144" s="155" t="s">
        <v>608</v>
      </c>
      <c r="DS144" s="155" t="s">
        <v>609</v>
      </c>
      <c r="DT144" s="155" t="s">
        <v>610</v>
      </c>
      <c r="DU144" s="155" t="s">
        <v>608</v>
      </c>
      <c r="DV144" s="155" t="s">
        <v>609</v>
      </c>
      <c r="DW144" s="155" t="s">
        <v>610</v>
      </c>
      <c r="EG144" s="155" t="s">
        <v>608</v>
      </c>
      <c r="EH144" s="155" t="s">
        <v>609</v>
      </c>
      <c r="EI144" s="155" t="s">
        <v>610</v>
      </c>
      <c r="EJ144" s="155" t="s">
        <v>608</v>
      </c>
      <c r="EK144" s="155" t="s">
        <v>609</v>
      </c>
      <c r="EL144" s="155" t="s">
        <v>610</v>
      </c>
      <c r="EM144" s="155" t="s">
        <v>608</v>
      </c>
      <c r="EN144" s="155" t="s">
        <v>609</v>
      </c>
      <c r="EO144" s="155" t="s">
        <v>610</v>
      </c>
      <c r="ER144" s="155" t="s">
        <v>608</v>
      </c>
      <c r="ES144" s="155" t="s">
        <v>609</v>
      </c>
      <c r="ET144" s="155" t="s">
        <v>610</v>
      </c>
      <c r="EU144" s="155" t="s">
        <v>608</v>
      </c>
      <c r="EV144" s="155" t="s">
        <v>609</v>
      </c>
      <c r="EW144" s="155" t="s">
        <v>610</v>
      </c>
      <c r="EX144" s="155" t="s">
        <v>608</v>
      </c>
      <c r="EY144" s="155" t="s">
        <v>609</v>
      </c>
      <c r="EZ144" s="155" t="s">
        <v>610</v>
      </c>
      <c r="FC144" s="155" t="s">
        <v>608</v>
      </c>
      <c r="FD144" s="155" t="s">
        <v>609</v>
      </c>
      <c r="FE144" s="155" t="s">
        <v>610</v>
      </c>
      <c r="FF144" s="155" t="s">
        <v>608</v>
      </c>
      <c r="FG144" s="155" t="s">
        <v>609</v>
      </c>
      <c r="FH144" s="155" t="s">
        <v>610</v>
      </c>
      <c r="FI144" s="155" t="s">
        <v>608</v>
      </c>
      <c r="FJ144" s="155" t="s">
        <v>609</v>
      </c>
      <c r="FK144" s="155" t="s">
        <v>610</v>
      </c>
      <c r="FW144" s="155" t="s">
        <v>608</v>
      </c>
      <c r="FX144" s="155" t="s">
        <v>609</v>
      </c>
      <c r="FY144" s="155" t="s">
        <v>610</v>
      </c>
      <c r="FZ144" s="155" t="s">
        <v>608</v>
      </c>
      <c r="GA144" s="155" t="s">
        <v>609</v>
      </c>
      <c r="GB144" s="155" t="s">
        <v>610</v>
      </c>
      <c r="GC144" s="155" t="s">
        <v>608</v>
      </c>
      <c r="GD144" s="155" t="s">
        <v>609</v>
      </c>
      <c r="GE144" s="155" t="s">
        <v>610</v>
      </c>
      <c r="GO144" s="155" t="s">
        <v>608</v>
      </c>
      <c r="GP144" s="155" t="s">
        <v>609</v>
      </c>
      <c r="GQ144" s="155" t="s">
        <v>610</v>
      </c>
      <c r="GR144" s="155" t="s">
        <v>608</v>
      </c>
      <c r="GS144" s="155" t="s">
        <v>609</v>
      </c>
      <c r="GT144" s="155" t="s">
        <v>610</v>
      </c>
      <c r="GU144" s="155" t="s">
        <v>608</v>
      </c>
      <c r="GV144" s="155" t="s">
        <v>609</v>
      </c>
      <c r="GW144" s="155" t="s">
        <v>610</v>
      </c>
    </row>
    <row r="145" spans="1:205" x14ac:dyDescent="0.2">
      <c r="A145" s="155" t="s">
        <v>901</v>
      </c>
      <c r="B145" s="89">
        <f>IF(OR('Verwerken Verwarming en Tapwate'!$B$4=7,'Verwerken Verwarming en Tapwate'!$B$4=11),0,IF('Verwerken Verwarming en Tapwate'!$B$4=8,0,$B$142*$B$130/35.17))</f>
        <v>0</v>
      </c>
      <c r="C145" s="89">
        <f>IF(OR('Verwerken Verwarming en Tapwate'!$B$4=7,'Verwerken Verwarming en Tapwate'!$B$4=11),0,IF('Verwerken Verwarming en Tapwate'!$B$4=8,$B$142*$B$130/1000,0))</f>
        <v>0</v>
      </c>
      <c r="D145" s="89">
        <f>IF(OR('Verwerken Verwarming en Tapwate'!$B$4=7,'Verwerken Verwarming en Tapwate'!$B$4=11),$B$142*$B$130/9.23,IF('Verwerken Verwarming en Tapwate'!$B$4=8,0,0))</f>
        <v>0</v>
      </c>
      <c r="E145" s="89">
        <f>IF(OR('Verwerken Verwarming en Tapwate'!$E$4=7,'Verwerken Verwarming en Tapwate'!$E$4=11),0,IF('Verwerken Verwarming en Tapwate'!$E$4=8,0,(1-$B$142)*$B$130/35.17))</f>
        <v>0</v>
      </c>
      <c r="F145" s="89">
        <f>IF(OR('Verwerken Verwarming en Tapwate'!$E$4=7,'Verwerken Verwarming en Tapwate'!$E$4=11),0,IF('Verwerken Verwarming en Tapwate'!$E$4=8,(1-$B$142)*$B$130/1000,0))</f>
        <v>0</v>
      </c>
      <c r="G145" s="89">
        <f>IF(OR('Verwerken Verwarming en Tapwate'!$E$4=7,'Verwerken Verwarming en Tapwate'!$E$4=11),(1-$B$142)*$B$130/9.23,IF('Verwerken Verwarming en Tapwate'!$E$4=8,0,0))</f>
        <v>0</v>
      </c>
      <c r="H145" s="89">
        <f>B145+E145</f>
        <v>0</v>
      </c>
      <c r="I145" s="89">
        <f>C145+F145</f>
        <v>0</v>
      </c>
      <c r="J145" s="89">
        <f>D145+G145</f>
        <v>0</v>
      </c>
      <c r="AC145" s="155" t="s">
        <v>901</v>
      </c>
      <c r="AD145" s="89">
        <f>IF(OR('Verwerken Verwarming en Tapwate'!$B$4=7,'Verwerken Verwarming en Tapwate'!$B$4=11),0,IF('Verwerken Verwarming en Tapwate'!$B$4=8,0,$B$142*$AD$130/35.17))</f>
        <v>0</v>
      </c>
      <c r="AE145" s="89">
        <f>IF(OR('Verwerken Verwarming en Tapwate'!$B$4=7,'Verwerken Verwarming en Tapwate'!$B$4=11),0,IF('Verwerken Verwarming en Tapwate'!$B$4=8,$B$142*$AD$130/1000,0))</f>
        <v>0</v>
      </c>
      <c r="AF145" s="89">
        <f>IF(OR('Verwerken Verwarming en Tapwate'!$B$4=7,'Verwerken Verwarming en Tapwate'!$B$4=11),$B$142*$AD$130/9.23,IF('Verwerken Verwarming en Tapwate'!$B$4=8,0,0))</f>
        <v>0</v>
      </c>
      <c r="AG145" s="89">
        <f>IF(OR('Verwerken Verwarming en Tapwate'!$E$4=7,'Verwerken Verwarming en Tapwate'!$E$4=11),0,IF('Verwerken Verwarming en Tapwate'!$E$4=8,0,(1-$B$142)*$AD$130/35.17))</f>
        <v>0</v>
      </c>
      <c r="AH145" s="89">
        <f>IF(OR('Verwerken Verwarming en Tapwate'!$E$4=7,'Verwerken Verwarming en Tapwate'!$E$4=11),0,IF('Verwerken Verwarming en Tapwate'!$E$4=8,(1-$B$142)*$AD$130/1000,0))</f>
        <v>0</v>
      </c>
      <c r="AI145" s="89">
        <f>IF(OR('Verwerken Verwarming en Tapwate'!$E$4=7,'Verwerken Verwarming en Tapwate'!$E$4=11),(1-$B$142)*$AD$130/9.23,IF('Verwerken Verwarming en Tapwate'!$E$4=8,0,0))</f>
        <v>0</v>
      </c>
      <c r="AJ145" s="89">
        <f>AD145+AG145</f>
        <v>0</v>
      </c>
      <c r="AK145" s="89">
        <f>AE145+AH145</f>
        <v>0</v>
      </c>
      <c r="AL145" s="89">
        <f>AF145+AI145</f>
        <v>0</v>
      </c>
      <c r="AU145" s="155" t="s">
        <v>901</v>
      </c>
      <c r="AV145" s="89">
        <f>IF(OR('Verwerken Verwarming en Tapwate'!$B$3=7,'Verwerken Verwarming en Tapwate'!$B$3=11),0,IF('Verwerken Verwarming en Tapwate'!$B$3=8,0,$B$142*$AV$130/35.17))</f>
        <v>0</v>
      </c>
      <c r="AW145" s="89">
        <f>IF(OR('Verwerken Verwarming en Tapwate'!$B$3=7,'Verwerken Verwarming en Tapwate'!$B$3=11),0,IF('Verwerken Verwarming en Tapwate'!$B$3=8,$B$142*$AV$130/1000,0))</f>
        <v>0</v>
      </c>
      <c r="AX145" s="89">
        <f>IF(OR('Verwerken Verwarming en Tapwate'!$B$3=7,'Verwerken Verwarming en Tapwate'!$B$3=11),$B$142*$AV$130/9.23,IF('Verwerken Verwarming en Tapwate'!$B$3=8,0,0))</f>
        <v>0</v>
      </c>
      <c r="AY145" s="89">
        <f>IF(OR('Verwerken Verwarming en Tapwate'!$E$3=7,'Verwerken Verwarming en Tapwate'!$E$3=11),0,IF('Verwerken Verwarming en Tapwate'!$E$3=8,0,(1-$B$142)*$AV$130/35.17))</f>
        <v>0</v>
      </c>
      <c r="AZ145" s="89">
        <f>IF(OR('Verwerken Verwarming en Tapwate'!$E$3=7,'Verwerken Verwarming en Tapwate'!$E$3=11),0,IF('Verwerken Verwarming en Tapwate'!$E$3=8,(1-$B$142)*$AV$130/1000,0))</f>
        <v>0</v>
      </c>
      <c r="BA145" s="89">
        <f>IF(OR('Verwerken Verwarming en Tapwate'!$E$3=7,'Verwerken Verwarming en Tapwate'!$E$3=11),(1-$B$142)*$AV$130/9.23,IF('Verwerken Verwarming en Tapwate'!$E$3=8,0,0))</f>
        <v>0</v>
      </c>
      <c r="BB145" s="89">
        <f>AV145+AY145</f>
        <v>0</v>
      </c>
      <c r="BC145" s="89">
        <f>AW145+AZ145</f>
        <v>0</v>
      </c>
      <c r="BD145" s="89">
        <f>AX145+BA145</f>
        <v>0</v>
      </c>
      <c r="BN145" s="155" t="s">
        <v>901</v>
      </c>
      <c r="BO145" s="89">
        <f>IF(OR('Verwerken Verwarming en Tapwate'!$B$4=7,'Verwerken Verwarming en Tapwate'!$B$4=11),0,IF('Verwerken Verwarming en Tapwate'!$B$4=8,0,$B$142*$BO$130/35.17))</f>
        <v>0</v>
      </c>
      <c r="BP145" s="89">
        <f>IF(OR('Verwerken Verwarming en Tapwate'!$B$4=7,'Verwerken Verwarming en Tapwate'!$B$4=11),0,IF('Verwerken Verwarming en Tapwate'!$B$4=8,$B$142*$BO$130/1000,0))</f>
        <v>0</v>
      </c>
      <c r="BQ145" s="89">
        <f>IF(OR('Verwerken Verwarming en Tapwate'!$B$4=7,'Verwerken Verwarming en Tapwate'!$B$4=11),$B$142*$BO$130/9.23,IF('Verwerken Verwarming en Tapwate'!$B$4=8,0,0))</f>
        <v>0</v>
      </c>
      <c r="BR145" s="89">
        <f>IF(OR('Verwerken Verwarming en Tapwate'!$E$4=7,'Verwerken Verwarming en Tapwate'!$E$4=11),0,IF('Verwerken Verwarming en Tapwate'!$E$4=8,0,(1-$B$142)*$BO$130/35.17))</f>
        <v>0</v>
      </c>
      <c r="BS145" s="89">
        <f>IF(OR('Verwerken Verwarming en Tapwate'!$E$4=7,'Verwerken Verwarming en Tapwate'!$E$4=11),0,IF('Verwerken Verwarming en Tapwate'!$E$4=8,(1-$B$142)*$BO$130/1000,0))</f>
        <v>0</v>
      </c>
      <c r="BT145" s="89">
        <f>IF(OR('Verwerken Verwarming en Tapwate'!$E$4=7,'Verwerken Verwarming en Tapwate'!$E$4=11),(1-$B$142)*$BO$130/9.23,IF('Verwerken Verwarming en Tapwate'!$E$4=8,0,0))</f>
        <v>0</v>
      </c>
      <c r="BU145" s="89">
        <f>BO145+BR145</f>
        <v>0</v>
      </c>
      <c r="BV145" s="89">
        <f>BP145+BS145</f>
        <v>0</v>
      </c>
      <c r="BW145" s="89">
        <f>BQ145+BT145</f>
        <v>0</v>
      </c>
      <c r="CF145" s="155" t="s">
        <v>901</v>
      </c>
      <c r="CG145" s="89">
        <f>IF(OR('Verwerken Verwarming en Tapwate'!$B$4=7,'Verwerken Verwarming en Tapwate'!$B$4=11),0,IF('Verwerken Verwarming en Tapwate'!$B$4=8,0,$B$142*$CG$130/35.17))</f>
        <v>0</v>
      </c>
      <c r="CH145" s="89">
        <f>IF(OR('Verwerken Verwarming en Tapwate'!$B$4=7,'Verwerken Verwarming en Tapwate'!$B$4=11),0,IF('Verwerken Verwarming en Tapwate'!$B$4=8,$B$142*$CG$130/1000,0))</f>
        <v>0</v>
      </c>
      <c r="CI145" s="89">
        <f>IF(OR('Verwerken Verwarming en Tapwate'!$B$4=7,'Verwerken Verwarming en Tapwate'!$B$4=11),$B$142*$CG$130/9.23,IF('Verwerken Verwarming en Tapwate'!$B$4=8,0,0))</f>
        <v>0</v>
      </c>
      <c r="CJ145" s="89">
        <f>IF(OR('Verwerken Verwarming en Tapwate'!$E$4=7,'Verwerken Verwarming en Tapwate'!$E$4=11),0,IF('Verwerken Verwarming en Tapwate'!$E$4=8,0,(1-$B$142)*$CG$130/35.17))</f>
        <v>0</v>
      </c>
      <c r="CK145" s="89">
        <f>IF(OR('Verwerken Verwarming en Tapwate'!$E$4=7,'Verwerken Verwarming en Tapwate'!$E$4=11),0,IF('Verwerken Verwarming en Tapwate'!$E$4=8,(1-$B$142)*$CG$130/1000,0))</f>
        <v>0</v>
      </c>
      <c r="CL145" s="89">
        <f>IF(OR('Verwerken Verwarming en Tapwate'!$E$4=7,'Verwerken Verwarming en Tapwate'!$E$4=11),(1-$B$142)*$CG$130/9.23,IF('Verwerken Verwarming en Tapwate'!$E$4=8,0,0))</f>
        <v>0</v>
      </c>
      <c r="CM145" s="89">
        <f>CG145+CJ145</f>
        <v>0</v>
      </c>
      <c r="CN145" s="89">
        <f>CH145+CK145</f>
        <v>0</v>
      </c>
      <c r="CO145" s="89">
        <f>CI145+CL145</f>
        <v>0</v>
      </c>
      <c r="CW145" s="155" t="s">
        <v>901</v>
      </c>
      <c r="CX145" s="89">
        <f>IF(OR('Verwerken Verwarming en Tapwate'!$B$4=7,'Verwerken Verwarming en Tapwate'!$B$4=11),0,IF('Verwerken Verwarming en Tapwate'!$B$4=8,0,$B$142*$CX$130/35.17))</f>
        <v>0</v>
      </c>
      <c r="CY145" s="89">
        <f>IF(OR('Verwerken Verwarming en Tapwate'!$B$4=7,'Verwerken Verwarming en Tapwate'!$B$4=11),0,IF('Verwerken Verwarming en Tapwate'!$B$4=8,$B$142*$CX$130/1000,0))</f>
        <v>0</v>
      </c>
      <c r="CZ145" s="89">
        <f>IF(OR('Verwerken Verwarming en Tapwate'!$B$4=7,'Verwerken Verwarming en Tapwate'!$B$4=11),$B$142*$CX$130/9.23,IF('Verwerken Verwarming en Tapwate'!$B$4=8,0,0))</f>
        <v>0</v>
      </c>
      <c r="DA145" s="89">
        <f>IF(OR('Verwerken Verwarming en Tapwate'!$E$4=7,'Verwerken Verwarming en Tapwate'!$E$4=11),0,IF('Verwerken Verwarming en Tapwate'!$E$4=8,0,(1-$B$142)*$CX$130/35.17))</f>
        <v>0</v>
      </c>
      <c r="DB145" s="89">
        <f>IF(OR('Verwerken Verwarming en Tapwate'!$E$4=7,'Verwerken Verwarming en Tapwate'!$E$4=11),0,IF('Verwerken Verwarming en Tapwate'!$E$4=8,(1-$B$142)*$CX$130/1000,0))</f>
        <v>0</v>
      </c>
      <c r="DC145" s="89">
        <f>IF(OR('Verwerken Verwarming en Tapwate'!$E$4=7,'Verwerken Verwarming en Tapwate'!$E$4=11),(1-$B$142)*$CX$130/9.23,IF('Verwerken Verwarming en Tapwate'!$E$4=8,0,0))</f>
        <v>0</v>
      </c>
      <c r="DD145" s="89">
        <f>CX145+DA145</f>
        <v>0</v>
      </c>
      <c r="DE145" s="89">
        <f>CY145+DB145</f>
        <v>0</v>
      </c>
      <c r="DF145" s="89">
        <f>CZ145+DC145</f>
        <v>0</v>
      </c>
      <c r="DN145" s="155" t="s">
        <v>901</v>
      </c>
      <c r="DO145" s="89">
        <f>IF(OR('Verwerken Verwarming en Tapwate'!$B$4=7,'Verwerken Verwarming en Tapwate'!$B$4=11),0,IF('Verwerken Verwarming en Tapwate'!$B$4=8,0,$B$142*$DO$130/35.17))</f>
        <v>0</v>
      </c>
      <c r="DP145" s="89">
        <f>IF(OR('Verwerken Verwarming en Tapwate'!$B$4=7,'Verwerken Verwarming en Tapwate'!$B$4=11),0,IF('Verwerken Verwarming en Tapwate'!$B$4=8,$B$142*$DO$130/1000,0))</f>
        <v>0</v>
      </c>
      <c r="DQ145" s="89">
        <f>IF(OR('Verwerken Verwarming en Tapwate'!$B$4=7,'Verwerken Verwarming en Tapwate'!$B$4=11),$B$142*$DO$130/9.23,IF('Verwerken Verwarming en Tapwate'!$B$4=8,0,0))</f>
        <v>0</v>
      </c>
      <c r="DR145" s="89">
        <f>IF(OR('Verwerken Verwarming en Tapwate'!$E$4=7,'Verwerken Verwarming en Tapwate'!$E$4=11),0,IF('Verwerken Verwarming en Tapwate'!$E$4=8,0,(1-$B$142)*$DO$130/35.17))</f>
        <v>0</v>
      </c>
      <c r="DS145" s="89">
        <f>IF(OR('Verwerken Verwarming en Tapwate'!$E$4=7,'Verwerken Verwarming en Tapwate'!$E$4=11),0,IF('Verwerken Verwarming en Tapwate'!$E$4=8,(1-$B$142)*$DO$130/1000,0))</f>
        <v>0</v>
      </c>
      <c r="DT145" s="89">
        <f>IF(OR('Verwerken Verwarming en Tapwate'!$E$4=7,'Verwerken Verwarming en Tapwate'!$E$4=11),(1-$B$142)*$DO$130/9.23,IF('Verwerken Verwarming en Tapwate'!$E$4=8,0,0))</f>
        <v>0</v>
      </c>
      <c r="DU145" s="89">
        <f>DO145+DR145</f>
        <v>0</v>
      </c>
      <c r="DV145" s="89">
        <f>DP145+DS145</f>
        <v>0</v>
      </c>
      <c r="DW145" s="89">
        <f>DQ145+DT145</f>
        <v>0</v>
      </c>
      <c r="EF145" s="155" t="s">
        <v>901</v>
      </c>
      <c r="EG145" s="89">
        <f>IF(OR('Verwerken Verwarming en Tapwate'!$B$4=7,'Verwerken Verwarming en Tapwate'!$B$4=11),0,IF('Verwerken Verwarming en Tapwate'!$B$4=8,0,$B$142*$EG$130/35.17))</f>
        <v>0</v>
      </c>
      <c r="EH145" s="89">
        <f>IF(OR('Verwerken Verwarming en Tapwate'!$B$4=7,'Verwerken Verwarming en Tapwate'!$B$4=11),0,IF('Verwerken Verwarming en Tapwate'!$B$4=8,$B$142*$EG$130/1000,0))</f>
        <v>0</v>
      </c>
      <c r="EI145" s="89">
        <f>IF(OR('Verwerken Verwarming en Tapwate'!$B$4=7,'Verwerken Verwarming en Tapwate'!$B$4=11),$B$142*$EG$130/9.23,IF('Verwerken Verwarming en Tapwate'!$B$4=8,0,0))</f>
        <v>0</v>
      </c>
      <c r="EJ145" s="89">
        <f>IF(OR('Verwerken Verwarming en Tapwate'!$E$4=7,'Verwerken Verwarming en Tapwate'!$E$4=11),0,IF('Verwerken Verwarming en Tapwate'!$E$4=8,0,(1-$B$142)*$EG$130/35.17))</f>
        <v>0</v>
      </c>
      <c r="EK145" s="89">
        <f>IF(OR('Verwerken Verwarming en Tapwate'!$E$4=7,'Verwerken Verwarming en Tapwate'!$E$4=11),0,IF('Verwerken Verwarming en Tapwate'!$E$4=8,(1-$B$142)*$EG$130/1000,0))</f>
        <v>0</v>
      </c>
      <c r="EL145" s="89">
        <f>IF(OR('Verwerken Verwarming en Tapwate'!$E$4=7,'Verwerken Verwarming en Tapwate'!$E$4=11),(1-$B$142)*$EG$130/9.23,IF('Verwerken Verwarming en Tapwate'!$E$4=8,0,0))</f>
        <v>0</v>
      </c>
      <c r="EM145" s="89">
        <f>EG145+EJ145</f>
        <v>0</v>
      </c>
      <c r="EN145" s="89">
        <f>EH145+EK145</f>
        <v>0</v>
      </c>
      <c r="EO145" s="89">
        <f>EI145+EL145</f>
        <v>0</v>
      </c>
      <c r="EQ145" s="155" t="s">
        <v>901</v>
      </c>
      <c r="ER145" s="89">
        <f>IF(OR('Verwerken Verwarming en Tapwate'!$B$4=7,'Verwerken Verwarming en Tapwate'!$B$4=11),0,IF('Verwerken Verwarming en Tapwate'!$B$4=8,0,$B$142*$ER$130/35.17))</f>
        <v>0</v>
      </c>
      <c r="ES145" s="89">
        <f>IF(OR('Verwerken Verwarming en Tapwate'!$B$4=7,'Verwerken Verwarming en Tapwate'!$B$4=11),0,IF('Verwerken Verwarming en Tapwate'!$B$4=8,$B$142*$ER$130/1000,0))</f>
        <v>0</v>
      </c>
      <c r="ET145" s="89">
        <f>IF(OR('Verwerken Verwarming en Tapwate'!$B$4=7,'Verwerken Verwarming en Tapwate'!$B$4=11),$B$142*$ER$130/9.23,IF('Verwerken Verwarming en Tapwate'!$B$4=8,0,0))</f>
        <v>0</v>
      </c>
      <c r="EU145" s="89">
        <f>IF(OR('Verwerken Verwarming en Tapwate'!$E$4=7,'Verwerken Verwarming en Tapwate'!$E$4=11),0,IF('Verwerken Verwarming en Tapwate'!$E$4=8,0,(1-$B$142)*$ER$130/35.17))</f>
        <v>0</v>
      </c>
      <c r="EV145" s="89">
        <f>IF(OR('Verwerken Verwarming en Tapwate'!$E$4=7,'Verwerken Verwarming en Tapwate'!$E$4=11),0,IF('Verwerken Verwarming en Tapwate'!$E$4=8,(1-$B$142)*$ER$130/1000,0))</f>
        <v>0</v>
      </c>
      <c r="EW145" s="89">
        <f>IF(OR('Verwerken Verwarming en Tapwate'!$E$4=7,'Verwerken Verwarming en Tapwate'!$E$4=11),(1-$B$142)*$ER$130/9.23,IF('Verwerken Verwarming en Tapwate'!$E$4=8,0,0))</f>
        <v>0</v>
      </c>
      <c r="EX145" s="89">
        <f>ER145+EU145</f>
        <v>0</v>
      </c>
      <c r="EY145" s="89">
        <f>ES145+EV145</f>
        <v>0</v>
      </c>
      <c r="EZ145" s="89">
        <f>ET145+EW145</f>
        <v>0</v>
      </c>
      <c r="FB145" s="155" t="s">
        <v>901</v>
      </c>
      <c r="FC145" s="89">
        <f>IF(OR('Verwerken Verwarming en Tapwate'!$B$4=7,'Verwerken Verwarming en Tapwate'!$B$4=11),0,IF('Verwerken Verwarming en Tapwate'!$B$4=8,0,$B$142*$FC$130/35.17))</f>
        <v>0</v>
      </c>
      <c r="FD145" s="89">
        <f>IF(OR('Verwerken Verwarming en Tapwate'!$B$4=7,'Verwerken Verwarming en Tapwate'!$B$4=11),0,IF('Verwerken Verwarming en Tapwate'!$B$4=8,$B$142*$FC$130/1000,0))</f>
        <v>0</v>
      </c>
      <c r="FE145" s="89">
        <f>IF(OR('Verwerken Verwarming en Tapwate'!$B$4=7,'Verwerken Verwarming en Tapwate'!$B$4=11),$B$142*$FC$130/9.23,IF('Verwerken Verwarming en Tapwate'!$B$4=8,0,0))</f>
        <v>0</v>
      </c>
      <c r="FF145" s="89">
        <f>IF(OR('Verwerken Verwarming en Tapwate'!$E$4=7,'Verwerken Verwarming en Tapwate'!$E$4=11),0,IF('Verwerken Verwarming en Tapwate'!$E$4=8,0,(1-$B$142)*$FC$130/35.17))</f>
        <v>0</v>
      </c>
      <c r="FG145" s="89">
        <f>IF(OR('Verwerken Verwarming en Tapwate'!$E$4=7,'Verwerken Verwarming en Tapwate'!$E$4=11),0,IF('Verwerken Verwarming en Tapwate'!$E$4=8,(1-$B$142)*$FC$130/1000,0))</f>
        <v>0</v>
      </c>
      <c r="FH145" s="89">
        <f>IF(OR('Verwerken Verwarming en Tapwate'!$E$4=7,'Verwerken Verwarming en Tapwate'!$E$4=11),(1-$B$142)*$FC$130/9.23,IF('Verwerken Verwarming en Tapwate'!$E$4=8,0,0))</f>
        <v>0</v>
      </c>
      <c r="FI145" s="89">
        <f>FC145+FF145</f>
        <v>0</v>
      </c>
      <c r="FJ145" s="89">
        <f>FD145+FG145</f>
        <v>0</v>
      </c>
      <c r="FK145" s="89">
        <f>FE145+FH145</f>
        <v>0</v>
      </c>
      <c r="FV145" s="155" t="s">
        <v>901</v>
      </c>
      <c r="FW145" s="89">
        <f>IF(OR('Verwerken Verwarming en Tapwate'!$B$4=7,'Verwerken Verwarming en Tapwate'!$B$4=11),0,IF('Verwerken Verwarming en Tapwate'!$B$4=8,0,$B$142*$FW$130/35.17))</f>
        <v>0</v>
      </c>
      <c r="FX145" s="89">
        <f>IF(OR('Verwerken Verwarming en Tapwate'!$B$4=7,'Verwerken Verwarming en Tapwate'!$B$4=11),0,IF('Verwerken Verwarming en Tapwate'!$B$4=8,$B$142*$FW$130/1000,0))</f>
        <v>0</v>
      </c>
      <c r="FY145" s="89">
        <f>IF(OR('Verwerken Verwarming en Tapwate'!$B$4=7,'Verwerken Verwarming en Tapwate'!$B$4=11),$B$142*$FW$130/9.23,IF('Verwerken Verwarming en Tapwate'!$B$4=8,0,0))</f>
        <v>0</v>
      </c>
      <c r="FZ145" s="89">
        <f>IF(OR('Verwerken Verwarming en Tapwate'!$E$4=7,'Verwerken Verwarming en Tapwate'!$E$4=11),0,IF('Verwerken Verwarming en Tapwate'!$E$4=8,0,(1-$B$142)*$FW$130/35.17))</f>
        <v>0</v>
      </c>
      <c r="GA145" s="89">
        <f>IF(OR('Verwerken Verwarming en Tapwate'!$E$4=7,'Verwerken Verwarming en Tapwate'!$E$4=11),0,IF('Verwerken Verwarming en Tapwate'!$E$4=8,(1-$B$142)*$FW$130/1000,0))</f>
        <v>0</v>
      </c>
      <c r="GB145" s="89">
        <f>IF(OR('Verwerken Verwarming en Tapwate'!$E$4=7,'Verwerken Verwarming en Tapwate'!$E$4=11),(1-$B$142)*$FW$130/9.23,IF('Verwerken Verwarming en Tapwate'!$E$4=8,0,0))</f>
        <v>0</v>
      </c>
      <c r="GC145" s="89">
        <f>FW145+FZ145</f>
        <v>0</v>
      </c>
      <c r="GD145" s="89">
        <f>FX145+GA145</f>
        <v>0</v>
      </c>
      <c r="GE145" s="89">
        <f>FY145+GB145</f>
        <v>0</v>
      </c>
      <c r="GN145" s="155" t="s">
        <v>901</v>
      </c>
      <c r="GO145" s="89">
        <f>IF(OR('Verwerken Verwarming en Tapwate'!$B$4=7,'Verwerken Verwarming en Tapwate'!$B$4=11),0,IF('Verwerken Verwarming en Tapwate'!$B$4=8,0,$B$142*$GO$130/35.17))</f>
        <v>0</v>
      </c>
      <c r="GP145" s="89">
        <f>IF(OR('Verwerken Verwarming en Tapwate'!$B$4=7,'Verwerken Verwarming en Tapwate'!$B$4=11),0,IF('Verwerken Verwarming en Tapwate'!$B$4=8,$B$142*$GO$130/1000,0))</f>
        <v>0</v>
      </c>
      <c r="GQ145" s="89">
        <f>IF(OR('Verwerken Verwarming en Tapwate'!$B$4=7,'Verwerken Verwarming en Tapwate'!$B$4=11),$B$142*$GO$130/9.23,IF('Verwerken Verwarming en Tapwate'!$B$4=8,0,0))</f>
        <v>0</v>
      </c>
      <c r="GR145" s="89">
        <f>IF(OR('Verwerken Verwarming en Tapwate'!$E$4=7,'Verwerken Verwarming en Tapwate'!$E$4=11),0,IF('Verwerken Verwarming en Tapwate'!$E$4=8,0,(1-$B$142)*$GO$130/35.17))</f>
        <v>0</v>
      </c>
      <c r="GS145" s="89">
        <f>IF(OR('Verwerken Verwarming en Tapwate'!$E$4=7,'Verwerken Verwarming en Tapwate'!$E$4=11),0,IF('Verwerken Verwarming en Tapwate'!$E$4=8,(1-$B$142)*$GO$130/1000,0))</f>
        <v>0</v>
      </c>
      <c r="GT145" s="89">
        <f>IF(OR('Verwerken Verwarming en Tapwate'!$E$4=7,'Verwerken Verwarming en Tapwate'!$E$4=11),(1-$B$142)*$GO$130/9.23,IF('Verwerken Verwarming en Tapwate'!$E$4=8,0,0))</f>
        <v>0</v>
      </c>
      <c r="GU145" s="89">
        <f>GO145+GR145</f>
        <v>0</v>
      </c>
      <c r="GV145" s="89">
        <f>GP145+GS145</f>
        <v>0</v>
      </c>
      <c r="GW145" s="89">
        <f>GQ145+GT145</f>
        <v>0</v>
      </c>
    </row>
    <row r="146" spans="1:205" x14ac:dyDescent="0.2">
      <c r="A146" s="155" t="s">
        <v>893</v>
      </c>
      <c r="J146" s="89">
        <f>B131/9.23</f>
        <v>0</v>
      </c>
      <c r="AC146" s="155" t="s">
        <v>893</v>
      </c>
      <c r="AL146" s="89">
        <f>AD131/9.23</f>
        <v>0</v>
      </c>
      <c r="AU146" s="155" t="s">
        <v>893</v>
      </c>
      <c r="BD146" s="89">
        <f>AV131/9.23</f>
        <v>0</v>
      </c>
      <c r="BN146" s="155" t="s">
        <v>893</v>
      </c>
      <c r="BW146" s="89">
        <f>BO131/9.23</f>
        <v>0</v>
      </c>
      <c r="CF146" s="155" t="s">
        <v>893</v>
      </c>
      <c r="CO146" s="89">
        <f>CG131/9.23</f>
        <v>0</v>
      </c>
      <c r="CW146" s="155" t="s">
        <v>893</v>
      </c>
      <c r="DF146" s="89">
        <f>CX131/9.23</f>
        <v>0</v>
      </c>
      <c r="DN146" s="155" t="s">
        <v>893</v>
      </c>
      <c r="DW146" s="89">
        <f>DO131/9.23</f>
        <v>0</v>
      </c>
      <c r="EF146" s="155" t="s">
        <v>893</v>
      </c>
      <c r="EO146" s="89">
        <f>EG131/9.23</f>
        <v>0</v>
      </c>
      <c r="EQ146" s="155" t="s">
        <v>893</v>
      </c>
      <c r="EZ146" s="89">
        <f>ER131/9.23</f>
        <v>0</v>
      </c>
      <c r="FB146" s="155" t="s">
        <v>893</v>
      </c>
      <c r="FK146" s="89">
        <f>FC131/9.23</f>
        <v>0</v>
      </c>
      <c r="FV146" s="155" t="s">
        <v>893</v>
      </c>
      <c r="GE146" s="89">
        <f>FW131/9.23</f>
        <v>0</v>
      </c>
      <c r="GN146" s="155" t="s">
        <v>893</v>
      </c>
      <c r="GW146" s="89">
        <f>GO131/9.23</f>
        <v>0</v>
      </c>
    </row>
    <row r="147" spans="1:205" x14ac:dyDescent="0.2">
      <c r="A147" s="155" t="s">
        <v>902</v>
      </c>
      <c r="J147" s="89">
        <f>B133/9.23</f>
        <v>0</v>
      </c>
      <c r="AC147" s="155" t="s">
        <v>902</v>
      </c>
      <c r="AL147" s="89">
        <f>AD133/9.23</f>
        <v>0</v>
      </c>
      <c r="AU147" s="155" t="s">
        <v>902</v>
      </c>
      <c r="BD147" s="89">
        <f>AV133/9.23</f>
        <v>0</v>
      </c>
      <c r="BN147" s="155" t="s">
        <v>902</v>
      </c>
      <c r="BW147" s="89">
        <f>BO133/9.23</f>
        <v>0</v>
      </c>
      <c r="CF147" s="155" t="s">
        <v>902</v>
      </c>
      <c r="CO147" s="89">
        <f>CG133/9.23</f>
        <v>0</v>
      </c>
      <c r="CW147" s="155" t="s">
        <v>902</v>
      </c>
      <c r="DF147" s="89">
        <f>CX133/9.23</f>
        <v>0</v>
      </c>
      <c r="DN147" s="155" t="s">
        <v>902</v>
      </c>
      <c r="DW147" s="89">
        <f>DO133/9.23</f>
        <v>0</v>
      </c>
      <c r="EF147" s="155" t="s">
        <v>902</v>
      </c>
      <c r="EO147" s="89">
        <f>EG133/9.23</f>
        <v>0</v>
      </c>
      <c r="EQ147" s="155" t="s">
        <v>902</v>
      </c>
      <c r="EZ147" s="89">
        <f>ER133/9.23</f>
        <v>0</v>
      </c>
      <c r="FB147" s="155" t="s">
        <v>902</v>
      </c>
      <c r="FK147" s="89">
        <f>FC133/9.23</f>
        <v>0</v>
      </c>
      <c r="FV147" s="155" t="s">
        <v>902</v>
      </c>
      <c r="GE147" s="89">
        <f>FW133/9.23</f>
        <v>0</v>
      </c>
      <c r="GN147" s="155" t="s">
        <v>902</v>
      </c>
      <c r="GW147" s="89">
        <f>GO133/9.23</f>
        <v>0</v>
      </c>
    </row>
    <row r="148" spans="1:205" x14ac:dyDescent="0.2">
      <c r="A148" s="155" t="s">
        <v>903</v>
      </c>
      <c r="H148" s="89">
        <f>IF('Verwerken Verwarming en Tapwate'!C11&lt;3,0,IF('Verwerken Verwarming en Tapwate'!C11=9,0,'Verwerken Verwarming en Tapwate'!H11/35.17))</f>
        <v>0</v>
      </c>
      <c r="I148" s="89">
        <f>IF('Verwerken Verwarming en Tapwate'!C11&lt;3,0,IF('Verwerken Verwarming en Tapwate'!C11=9,'Verwerken Verwarming en Tapwate'!H11/1000,0))</f>
        <v>0</v>
      </c>
      <c r="J148" s="89">
        <f>IF('Verwerken Verwarming en Tapwate'!C11=2,'Verwerken Verwarming en Tapwate'!H11/9.23,IF('Verwerken Verwarming en Tapwate'!C11=9,0,0))</f>
        <v>0</v>
      </c>
      <c r="AC148" s="155" t="s">
        <v>903</v>
      </c>
      <c r="AJ148" s="89">
        <f>H148</f>
        <v>0</v>
      </c>
      <c r="AK148" s="89">
        <f>I148</f>
        <v>0</v>
      </c>
      <c r="AL148" s="89">
        <f>J148</f>
        <v>0</v>
      </c>
      <c r="AU148" s="155" t="s">
        <v>903</v>
      </c>
      <c r="BB148" s="89">
        <f>H148</f>
        <v>0</v>
      </c>
      <c r="BC148" s="89">
        <f>I148</f>
        <v>0</v>
      </c>
      <c r="BD148" s="89">
        <f>J148</f>
        <v>0</v>
      </c>
      <c r="BN148" s="155" t="s">
        <v>903</v>
      </c>
      <c r="BU148" s="89">
        <f>H148</f>
        <v>0</v>
      </c>
      <c r="BV148" s="89">
        <f>I148</f>
        <v>0</v>
      </c>
      <c r="BW148" s="89">
        <f>J148</f>
        <v>0</v>
      </c>
      <c r="CF148" s="155" t="s">
        <v>903</v>
      </c>
      <c r="CM148" s="89">
        <f>H148</f>
        <v>0</v>
      </c>
      <c r="CN148" s="89">
        <f>I148</f>
        <v>0</v>
      </c>
      <c r="CO148" s="89">
        <f>J148</f>
        <v>0</v>
      </c>
      <c r="CW148" s="155" t="s">
        <v>903</v>
      </c>
      <c r="DD148" s="89">
        <f>H148</f>
        <v>0</v>
      </c>
      <c r="DE148" s="89">
        <f>I148</f>
        <v>0</v>
      </c>
      <c r="DF148" s="89">
        <f>J148</f>
        <v>0</v>
      </c>
      <c r="DN148" s="155" t="s">
        <v>903</v>
      </c>
      <c r="DU148" s="89">
        <f>H148</f>
        <v>0</v>
      </c>
      <c r="DV148" s="89">
        <f>I148</f>
        <v>0</v>
      </c>
      <c r="DW148" s="89">
        <f>J148</f>
        <v>0</v>
      </c>
      <c r="EF148" s="155" t="s">
        <v>903</v>
      </c>
      <c r="EM148" s="89">
        <f>H148</f>
        <v>0</v>
      </c>
      <c r="EN148" s="89">
        <f>I148</f>
        <v>0</v>
      </c>
      <c r="EO148" s="89">
        <f>J148</f>
        <v>0</v>
      </c>
      <c r="EQ148" s="155" t="s">
        <v>903</v>
      </c>
      <c r="EX148" s="89">
        <f>H148</f>
        <v>0</v>
      </c>
      <c r="EY148" s="89">
        <f>I148</f>
        <v>0</v>
      </c>
      <c r="EZ148" s="89">
        <f>J148</f>
        <v>0</v>
      </c>
      <c r="FB148" s="155" t="s">
        <v>903</v>
      </c>
      <c r="FI148" s="89">
        <f>H148</f>
        <v>0</v>
      </c>
      <c r="FJ148" s="89">
        <f>I148</f>
        <v>0</v>
      </c>
      <c r="FK148" s="89">
        <f>J148</f>
        <v>0</v>
      </c>
      <c r="FV148" s="155" t="s">
        <v>903</v>
      </c>
      <c r="GC148" s="89">
        <f>H148</f>
        <v>0</v>
      </c>
      <c r="GD148" s="89">
        <f>I148</f>
        <v>0</v>
      </c>
      <c r="GE148" s="89">
        <f>J148</f>
        <v>0</v>
      </c>
      <c r="GN148" s="155" t="s">
        <v>903</v>
      </c>
      <c r="GU148" s="89">
        <f>H148</f>
        <v>0</v>
      </c>
      <c r="GV148" s="89">
        <f>I148</f>
        <v>0</v>
      </c>
      <c r="GW148" s="89">
        <f>J148</f>
        <v>0</v>
      </c>
    </row>
    <row r="149" spans="1:205" x14ac:dyDescent="0.2">
      <c r="A149" s="155" t="s">
        <v>895</v>
      </c>
      <c r="J149" s="89">
        <f>B132/9.23</f>
        <v>0</v>
      </c>
      <c r="AC149" s="155" t="s">
        <v>895</v>
      </c>
      <c r="AL149" s="89">
        <f>AD132/9.23</f>
        <v>0</v>
      </c>
      <c r="AU149" s="155" t="s">
        <v>895</v>
      </c>
      <c r="BD149" s="89">
        <f>AV132/9.23</f>
        <v>0</v>
      </c>
      <c r="BN149" s="155" t="s">
        <v>895</v>
      </c>
      <c r="BW149" s="89">
        <f>BO132/9.23</f>
        <v>0</v>
      </c>
      <c r="CF149" s="155" t="s">
        <v>895</v>
      </c>
      <c r="CO149" s="89">
        <f>CG132/9.23</f>
        <v>0</v>
      </c>
      <c r="CW149" s="155" t="s">
        <v>895</v>
      </c>
      <c r="DF149" s="89">
        <f>CX132/9.23</f>
        <v>0</v>
      </c>
      <c r="DN149" s="155" t="s">
        <v>895</v>
      </c>
      <c r="DW149" s="89">
        <f>DO132/9.23</f>
        <v>0</v>
      </c>
      <c r="EF149" s="155" t="s">
        <v>895</v>
      </c>
      <c r="EO149" s="89">
        <f>EG132/9.23</f>
        <v>0</v>
      </c>
      <c r="EQ149" s="155" t="s">
        <v>895</v>
      </c>
      <c r="EZ149" s="89">
        <f>ER132/9.23</f>
        <v>0</v>
      </c>
      <c r="FB149" s="155" t="s">
        <v>895</v>
      </c>
      <c r="FK149" s="89">
        <f>FC132/9.23</f>
        <v>0</v>
      </c>
      <c r="FV149" s="155" t="s">
        <v>895</v>
      </c>
      <c r="GE149" s="89">
        <f>FW132/9.23</f>
        <v>0</v>
      </c>
      <c r="GF149" s="89">
        <f>FX132/9.23</f>
        <v>0</v>
      </c>
      <c r="GG149" s="89">
        <f>FY132/9.23</f>
        <v>0</v>
      </c>
      <c r="GN149" s="155" t="s">
        <v>895</v>
      </c>
      <c r="GW149" s="89">
        <f>GO132/9.23</f>
        <v>0</v>
      </c>
    </row>
    <row r="150" spans="1:205" x14ac:dyDescent="0.2">
      <c r="B150" s="155" t="s">
        <v>724</v>
      </c>
      <c r="AD150" s="155" t="s">
        <v>724</v>
      </c>
      <c r="AV150" s="155" t="s">
        <v>724</v>
      </c>
      <c r="BO150" s="155" t="s">
        <v>724</v>
      </c>
      <c r="CG150" s="155" t="s">
        <v>724</v>
      </c>
      <c r="CX150" s="155" t="s">
        <v>724</v>
      </c>
      <c r="DO150" s="155" t="s">
        <v>724</v>
      </c>
      <c r="EG150" s="155" t="s">
        <v>724</v>
      </c>
      <c r="ER150" s="155" t="s">
        <v>724</v>
      </c>
      <c r="FC150" s="155" t="s">
        <v>724</v>
      </c>
      <c r="FW150" s="155" t="s">
        <v>724</v>
      </c>
      <c r="GO150" s="155" t="s">
        <v>724</v>
      </c>
    </row>
    <row r="151" spans="1:205" x14ac:dyDescent="0.2">
      <c r="A151" s="247" t="s">
        <v>5</v>
      </c>
      <c r="B151" s="89">
        <f>H145+H146+H147+H148</f>
        <v>0</v>
      </c>
      <c r="AC151" s="247" t="s">
        <v>5</v>
      </c>
      <c r="AD151" s="89">
        <f>AJ145+AJ146+AJ147+AJ148</f>
        <v>0</v>
      </c>
      <c r="AU151" s="247" t="s">
        <v>5</v>
      </c>
      <c r="AV151" s="89">
        <f>BB145+BB146+BB147+BB148</f>
        <v>0</v>
      </c>
      <c r="BN151" s="247" t="s">
        <v>5</v>
      </c>
      <c r="BO151" s="89">
        <f>BU145+BU146+BU147+BU148</f>
        <v>0</v>
      </c>
      <c r="CF151" s="247" t="s">
        <v>5</v>
      </c>
      <c r="CG151" s="89">
        <f>CM145+CM146+CM147+CM148</f>
        <v>0</v>
      </c>
      <c r="CW151" s="247" t="s">
        <v>5</v>
      </c>
      <c r="CX151" s="89">
        <f>DD145+DD146+DD147+DD148</f>
        <v>0</v>
      </c>
      <c r="DN151" s="247" t="s">
        <v>5</v>
      </c>
      <c r="DO151" s="89">
        <f>DU145+DU146+DU147+DU148</f>
        <v>0</v>
      </c>
      <c r="EF151" s="247" t="s">
        <v>5</v>
      </c>
      <c r="EG151" s="89">
        <f>EM145+EM146+EM147+EM148</f>
        <v>0</v>
      </c>
      <c r="EQ151" s="247" t="s">
        <v>5</v>
      </c>
      <c r="ER151" s="89">
        <f>EX145+EX146+EX147+EX148</f>
        <v>0</v>
      </c>
      <c r="FB151" s="247" t="s">
        <v>5</v>
      </c>
      <c r="FC151" s="89">
        <f>FI145+FI146+FI147+FI148</f>
        <v>0</v>
      </c>
      <c r="FV151" s="247" t="s">
        <v>5</v>
      </c>
      <c r="FW151" s="89">
        <f>GC145+GC146+GC147+GC148</f>
        <v>0</v>
      </c>
      <c r="GN151" s="247" t="s">
        <v>5</v>
      </c>
      <c r="GO151" s="89">
        <f>GU145+GU146+GU147+GU148</f>
        <v>0</v>
      </c>
    </row>
    <row r="152" spans="1:205" x14ac:dyDescent="0.2">
      <c r="A152" s="155" t="s">
        <v>6</v>
      </c>
      <c r="B152" s="89">
        <f>I145+I146+I147+I148</f>
        <v>0</v>
      </c>
      <c r="AC152" s="155" t="s">
        <v>6</v>
      </c>
      <c r="AD152" s="89">
        <f>AK145+AK146+AK147+AK148</f>
        <v>0</v>
      </c>
      <c r="AU152" s="155" t="s">
        <v>6</v>
      </c>
      <c r="AV152" s="89">
        <f>BC145+BC146+BC147+BC148</f>
        <v>0</v>
      </c>
      <c r="BN152" s="155" t="s">
        <v>6</v>
      </c>
      <c r="BO152" s="89">
        <f>BV145+BV146+BV147+BV148</f>
        <v>0</v>
      </c>
      <c r="CF152" s="155" t="s">
        <v>6</v>
      </c>
      <c r="CG152" s="89">
        <f>CN145+CN146+CN147+CN148</f>
        <v>0</v>
      </c>
      <c r="CW152" s="155" t="s">
        <v>6</v>
      </c>
      <c r="CX152" s="89">
        <f>DE145+DE146+DE147+DE148</f>
        <v>0</v>
      </c>
      <c r="DN152" s="155" t="s">
        <v>6</v>
      </c>
      <c r="DO152" s="89">
        <f>DV145+DV146+DV147+DV148</f>
        <v>0</v>
      </c>
      <c r="EF152" s="155" t="s">
        <v>6</v>
      </c>
      <c r="EG152" s="89">
        <f>EN145+EN146+EN147+EN148</f>
        <v>0</v>
      </c>
      <c r="EQ152" s="155" t="s">
        <v>6</v>
      </c>
      <c r="ER152" s="89">
        <f>EY145+EY146+EY147+EY148</f>
        <v>0</v>
      </c>
      <c r="FB152" s="155" t="s">
        <v>6</v>
      </c>
      <c r="FC152" s="89">
        <f>FJ145+FJ146+FJ147+FJ148</f>
        <v>0</v>
      </c>
      <c r="FV152" s="155" t="s">
        <v>6</v>
      </c>
      <c r="FW152" s="89">
        <f>GD145+GD146+GD147+GD148</f>
        <v>0</v>
      </c>
      <c r="GN152" s="155" t="s">
        <v>6</v>
      </c>
      <c r="GO152" s="89">
        <f>GV145+GV146+GV147+GV148</f>
        <v>0</v>
      </c>
    </row>
    <row r="153" spans="1:205" x14ac:dyDescent="0.2">
      <c r="A153" s="247" t="s">
        <v>610</v>
      </c>
      <c r="B153" s="89">
        <f>J145+J146+J147+J148+J149</f>
        <v>0</v>
      </c>
      <c r="AC153" s="247" t="s">
        <v>610</v>
      </c>
      <c r="AD153" s="89">
        <f>AL145+AL146+AL147+AL148+AL149</f>
        <v>0</v>
      </c>
      <c r="AU153" s="247" t="s">
        <v>610</v>
      </c>
      <c r="AV153" s="89">
        <f>BD145+BD146+BD147+BD148+BD149</f>
        <v>0</v>
      </c>
      <c r="BN153" s="247" t="s">
        <v>610</v>
      </c>
      <c r="BO153" s="89">
        <f>BW145+BW146+BW147+BW148+BW149</f>
        <v>0</v>
      </c>
      <c r="CF153" s="247" t="s">
        <v>610</v>
      </c>
      <c r="CG153" s="89">
        <f>CO145+CO146+CO147+CO148+CO149</f>
        <v>0</v>
      </c>
      <c r="CW153" s="247" t="s">
        <v>610</v>
      </c>
      <c r="CX153" s="89">
        <f>DF145+DF146+DF147+DF148+DF149</f>
        <v>0</v>
      </c>
      <c r="DN153" s="247" t="s">
        <v>610</v>
      </c>
      <c r="DO153" s="89">
        <f>DW145+DW146+DW147+DW148+DW149</f>
        <v>0</v>
      </c>
      <c r="EF153" s="247" t="s">
        <v>610</v>
      </c>
      <c r="EG153" s="89">
        <f>EO145+EO146+EO147+EO148+EO149</f>
        <v>0</v>
      </c>
      <c r="EQ153" s="247" t="s">
        <v>610</v>
      </c>
      <c r="ER153" s="89">
        <f>EZ145+EZ146+EZ147+EZ148+EZ149</f>
        <v>0</v>
      </c>
      <c r="FB153" s="247" t="s">
        <v>610</v>
      </c>
      <c r="FC153" s="89">
        <f>FK145+FK146+FK147+FK148+FK149</f>
        <v>0</v>
      </c>
      <c r="FV153" s="247" t="s">
        <v>610</v>
      </c>
      <c r="FW153" s="89">
        <f>GE145+GE146+GE147+GE148+GE149</f>
        <v>0</v>
      </c>
      <c r="GN153" s="247" t="s">
        <v>610</v>
      </c>
      <c r="GO153" s="89">
        <f>GW145+GW146+GW147+GW148+GW149</f>
        <v>0</v>
      </c>
    </row>
    <row r="157" spans="1:205" x14ac:dyDescent="0.2">
      <c r="A157" s="118" t="s">
        <v>725</v>
      </c>
      <c r="B157"/>
      <c r="C157"/>
      <c r="D157"/>
      <c r="E157"/>
    </row>
    <row r="158" spans="1:205" x14ac:dyDescent="0.2">
      <c r="A158" s="118"/>
      <c r="B158"/>
      <c r="C158"/>
      <c r="D158"/>
      <c r="E158"/>
    </row>
    <row r="159" spans="1:205" x14ac:dyDescent="0.2">
      <c r="A159"/>
      <c r="B159"/>
      <c r="C159" s="118" t="s">
        <v>605</v>
      </c>
      <c r="D159"/>
      <c r="E159"/>
      <c r="F159"/>
      <c r="G159" s="118"/>
      <c r="AA159" s="89"/>
      <c r="AB159" s="244"/>
    </row>
    <row r="160" spans="1:205" x14ac:dyDescent="0.2">
      <c r="A160"/>
      <c r="B160" s="118" t="s">
        <v>754</v>
      </c>
      <c r="C160" s="118" t="s">
        <v>608</v>
      </c>
      <c r="D160" s="118" t="s">
        <v>609</v>
      </c>
      <c r="E160" s="118" t="s">
        <v>610</v>
      </c>
      <c r="F160" s="118" t="s">
        <v>613</v>
      </c>
      <c r="G160" s="118" t="s">
        <v>47</v>
      </c>
      <c r="H160" s="155" t="s">
        <v>614</v>
      </c>
      <c r="I160" s="155" t="s">
        <v>905</v>
      </c>
      <c r="J160" s="155" t="s">
        <v>906</v>
      </c>
      <c r="AA160" s="89"/>
      <c r="AB160" s="244"/>
    </row>
    <row r="161" spans="1:28" x14ac:dyDescent="0.2">
      <c r="A161" s="118" t="s">
        <v>909</v>
      </c>
      <c r="B161" s="118">
        <f>AP61</f>
        <v>0</v>
      </c>
      <c r="C161">
        <f>IF('Verwerken Verwarming en Tapwate'!J4=1,0,$B$151-AD151)</f>
        <v>0</v>
      </c>
      <c r="D161">
        <f>$B$152-AD152</f>
        <v>0</v>
      </c>
      <c r="E161">
        <v>0</v>
      </c>
      <c r="F161">
        <f>(C161*('Invoer energieverbruik'!$C$23+'Energiebelasting en transport'!$D$13)+D161*('Invoer energieverbruik'!$C$27)+E161*'Energiebelasting en transport'!$C$24)*1.21</f>
        <v>0</v>
      </c>
      <c r="G161">
        <f>AQ61</f>
        <v>0</v>
      </c>
      <c r="H161">
        <v>0</v>
      </c>
      <c r="I161" s="89">
        <f>IF(F161&gt;0,(G161-H161)/F161,0)</f>
        <v>0</v>
      </c>
      <c r="J161" s="280">
        <f>IF(F161=0,0,(C161*35.17+D161*1000+E161*9.23)/($B$151*35.17+$B$152*1000+$B$153*9.23))</f>
        <v>0</v>
      </c>
      <c r="AA161" s="89"/>
      <c r="AB161" s="244"/>
    </row>
    <row r="162" spans="1:28" x14ac:dyDescent="0.2">
      <c r="A162" s="118" t="s">
        <v>45</v>
      </c>
      <c r="B162" s="118">
        <f>BH61</f>
        <v>0</v>
      </c>
      <c r="C162">
        <f>IF('Verwerken Verwarming en Tapwate'!J4=1,0,$B$151-AV151)</f>
        <v>0</v>
      </c>
      <c r="D162">
        <f>$B$152-AV152</f>
        <v>0</v>
      </c>
      <c r="E162">
        <v>0</v>
      </c>
      <c r="F162">
        <f>(C162*('Invoer energieverbruik'!$C$23+'Energiebelasting en transport'!$D$13)+D162*('Invoer energieverbruik'!$C$27)+E162*'Energiebelasting en transport'!$C$24)*1.21</f>
        <v>0</v>
      </c>
      <c r="G162">
        <f>BI61</f>
        <v>0</v>
      </c>
      <c r="H162">
        <v>0</v>
      </c>
      <c r="I162" s="89">
        <f>IF(F162&gt;0,(G162-H162)/F162,0)</f>
        <v>0</v>
      </c>
      <c r="J162" s="280">
        <f>IF(F162=0,0,(C162*35.17+D162*1000+E162*9.23)/($B$151*35.17+$B$152*1000+$B$153*9.23))</f>
        <v>0</v>
      </c>
      <c r="AA162" s="89"/>
      <c r="AB162" s="244"/>
    </row>
    <row r="163" spans="1:28" x14ac:dyDescent="0.2">
      <c r="A163" s="118" t="s">
        <v>847</v>
      </c>
      <c r="B163" s="118">
        <f>CA61</f>
        <v>0</v>
      </c>
      <c r="C163">
        <f>IF('Verwerken Verwarming en Tapwate'!J4=1,0,$B$151-BO151)</f>
        <v>0</v>
      </c>
      <c r="D163">
        <f>$B$152-BO152</f>
        <v>0</v>
      </c>
      <c r="E163">
        <v>0</v>
      </c>
      <c r="F163">
        <f>(C163*('Invoer energieverbruik'!$C$23+'Energiebelasting en transport'!$D$13)+D163*('Invoer energieverbruik'!$C$27)+E163*'Energiebelasting en transport'!$C$24)*1.21</f>
        <v>0</v>
      </c>
      <c r="G163">
        <f>CB61</f>
        <v>0</v>
      </c>
      <c r="H163" s="89">
        <v>0</v>
      </c>
      <c r="I163" s="89">
        <f t="shared" ref="I163:I172" si="140">IF(F163&gt;0,(G163-H163)/F163,0)</f>
        <v>0</v>
      </c>
      <c r="J163" s="280">
        <f t="shared" ref="J163:J175" si="141">IF(F163=0,0,(C163*35.17+D163*1000+E163*9.23)/($B$151*35.17+$B$152*1000+$B$153*9.23))</f>
        <v>0</v>
      </c>
      <c r="AA163" s="89"/>
      <c r="AB163" s="244"/>
    </row>
    <row r="164" spans="1:28" x14ac:dyDescent="0.2">
      <c r="A164" s="118" t="s">
        <v>848</v>
      </c>
      <c r="B164" s="118">
        <f>CS61</f>
        <v>0</v>
      </c>
      <c r="C164">
        <f>IF('Verwerken Verwarming en Tapwate'!J4=1,0,$B$151-CG151)</f>
        <v>0</v>
      </c>
      <c r="D164">
        <f>$B$152-CG152</f>
        <v>0</v>
      </c>
      <c r="E164">
        <v>0</v>
      </c>
      <c r="F164">
        <f>(C164*('Invoer energieverbruik'!$C$23+'Energiebelasting en transport'!$D$13)+D164*('Invoer energieverbruik'!$C$27)+E164*'Energiebelasting en transport'!$C$24)*1.21</f>
        <v>0</v>
      </c>
      <c r="G164">
        <f>CT61</f>
        <v>0</v>
      </c>
      <c r="H164" s="89">
        <v>0</v>
      </c>
      <c r="I164" s="89">
        <f t="shared" si="140"/>
        <v>0</v>
      </c>
      <c r="J164" s="280">
        <f t="shared" si="141"/>
        <v>0</v>
      </c>
      <c r="AA164" s="89"/>
      <c r="AB164" s="244"/>
    </row>
    <row r="165" spans="1:28" x14ac:dyDescent="0.2">
      <c r="A165" s="118" t="s">
        <v>849</v>
      </c>
      <c r="B165" s="118">
        <f>DI61</f>
        <v>0</v>
      </c>
      <c r="C165">
        <f>IF('Verwerken Verwarming en Tapwate'!J4=1,0,$B$151-CX151)</f>
        <v>0</v>
      </c>
      <c r="D165">
        <f>$B$152-CX152</f>
        <v>0</v>
      </c>
      <c r="E165">
        <v>0</v>
      </c>
      <c r="F165">
        <f>(C165*('Invoer energieverbruik'!$C$23+'Energiebelasting en transport'!$D$13)+D165*('Invoer energieverbruik'!$C$27)+E165*'Energiebelasting en transport'!$C$24)*1.21</f>
        <v>0</v>
      </c>
      <c r="G165">
        <f>DJ61</f>
        <v>0</v>
      </c>
      <c r="H165">
        <v>0</v>
      </c>
      <c r="I165" s="89">
        <f t="shared" si="140"/>
        <v>0</v>
      </c>
      <c r="J165" s="280">
        <f t="shared" si="141"/>
        <v>0</v>
      </c>
      <c r="AA165" s="89"/>
      <c r="AB165" s="244"/>
    </row>
    <row r="166" spans="1:28" x14ac:dyDescent="0.2">
      <c r="A166" s="118" t="s">
        <v>282</v>
      </c>
      <c r="B166" s="329">
        <f>EA118</f>
        <v>0</v>
      </c>
      <c r="C166">
        <f>IF('Verwerken Verwarming en Tapwate'!J4=1,0,$B$151-DO151)</f>
        <v>0</v>
      </c>
      <c r="D166">
        <f>$B$152-DO152</f>
        <v>0</v>
      </c>
      <c r="E166">
        <f>$B$153-DO153</f>
        <v>0</v>
      </c>
      <c r="F166">
        <f>(C166*('Invoer energieverbruik'!$C$23+'Energiebelasting en transport'!$D$13)+D166*('Invoer energieverbruik'!$C$27)+E166*'Energiebelasting en transport'!$C$24)*1.21</f>
        <v>0</v>
      </c>
      <c r="G166" s="219">
        <f>EB118</f>
        <v>0</v>
      </c>
      <c r="H166" s="219">
        <v>0</v>
      </c>
      <c r="I166" s="89">
        <f t="shared" si="140"/>
        <v>0</v>
      </c>
      <c r="J166" s="280">
        <f t="shared" si="141"/>
        <v>0</v>
      </c>
      <c r="AA166" s="89"/>
      <c r="AB166" s="244"/>
    </row>
    <row r="167" spans="1:28" x14ac:dyDescent="0.2">
      <c r="A167" s="155" t="s">
        <v>625</v>
      </c>
      <c r="B167" s="155">
        <f>'Verwerken Verwarming en Tapwate'!AJ4</f>
        <v>0</v>
      </c>
      <c r="C167">
        <f>IF('Verwerken Verwarming en Tapwate'!J4=1,0,$B$151-EG151)</f>
        <v>0</v>
      </c>
      <c r="D167">
        <f>$B$152-EG152</f>
        <v>0</v>
      </c>
      <c r="E167">
        <v>0</v>
      </c>
      <c r="F167">
        <f>(C167*('Invoer energieverbruik'!$C$23+'Energiebelasting en transport'!$D$13)+D167*('Invoer energieverbruik'!$C$27)+E167*'Energiebelasting en transport'!$C$24)*1.21</f>
        <v>0</v>
      </c>
      <c r="G167" s="89">
        <f>EJ3</f>
        <v>0</v>
      </c>
      <c r="H167" s="89">
        <v>0</v>
      </c>
      <c r="I167" s="89">
        <f t="shared" si="140"/>
        <v>0</v>
      </c>
      <c r="J167" s="280">
        <f t="shared" si="141"/>
        <v>0</v>
      </c>
      <c r="AA167" s="89"/>
      <c r="AB167" s="244"/>
    </row>
    <row r="168" spans="1:28" x14ac:dyDescent="0.2">
      <c r="A168" s="155" t="s">
        <v>850</v>
      </c>
      <c r="B168" s="155">
        <f>'Invoer verwarming en tapwater'!J14</f>
        <v>0</v>
      </c>
      <c r="C168">
        <f>IF('Verwerken Verwarming en Tapwate'!J4=1,0,$B$151-ER151+B151*'Verwerken Verwarming en Tapwate'!AJ13)</f>
        <v>0</v>
      </c>
      <c r="D168">
        <f>$B$152-ER152+'Verwerken Verwarming en Tapwate'!AJ13*ER152</f>
        <v>0</v>
      </c>
      <c r="E168">
        <v>0</v>
      </c>
      <c r="F168">
        <f>(C168*('Invoer energieverbruik'!$C$23+'Energiebelasting en transport'!$D$13)+D168*('Invoer energieverbruik'!$C$27)+E168*'Energiebelasting en transport'!$C$24)*1.21</f>
        <v>0</v>
      </c>
      <c r="G168" s="89">
        <f>EU3+EU4</f>
        <v>0</v>
      </c>
      <c r="H168" s="89">
        <v>0</v>
      </c>
      <c r="I168" s="89">
        <f t="shared" si="140"/>
        <v>0</v>
      </c>
      <c r="J168" s="280">
        <f t="shared" si="141"/>
        <v>0</v>
      </c>
      <c r="AA168" s="89"/>
      <c r="AB168" s="244"/>
    </row>
    <row r="169" spans="1:28" x14ac:dyDescent="0.2">
      <c r="A169" s="155" t="s">
        <v>851</v>
      </c>
      <c r="B169" s="155">
        <f>'Verwerken ventilatie'!BW20</f>
        <v>0</v>
      </c>
      <c r="C169">
        <f>IF('Verwerken Verwarming en Tapwate'!J4=1,0,$B$151-FC151)</f>
        <v>0</v>
      </c>
      <c r="D169">
        <f>$B$152-FC152</f>
        <v>0</v>
      </c>
      <c r="E169">
        <f>$B$153-FC153</f>
        <v>0</v>
      </c>
      <c r="F169">
        <f>(C169*('Invoer energieverbruik'!$C$23+'Energiebelasting en transport'!$D$13)+D169*('Invoer energieverbruik'!$C$27)+E169*'Energiebelasting en transport'!$C$24)*1.21</f>
        <v>0</v>
      </c>
      <c r="G169" s="89">
        <f>FD28</f>
        <v>0</v>
      </c>
      <c r="H169" s="89">
        <v>0</v>
      </c>
      <c r="I169" s="89">
        <f t="shared" si="140"/>
        <v>0</v>
      </c>
      <c r="J169" s="280">
        <f t="shared" si="141"/>
        <v>0</v>
      </c>
      <c r="K169" s="361" t="s">
        <v>729</v>
      </c>
      <c r="AA169" s="89"/>
      <c r="AB169" s="244"/>
    </row>
    <row r="170" spans="1:28" x14ac:dyDescent="0.2">
      <c r="A170" s="288" t="s">
        <v>852</v>
      </c>
      <c r="B170" s="288">
        <f>GG33</f>
        <v>0</v>
      </c>
      <c r="C170">
        <v>0</v>
      </c>
      <c r="D170">
        <f>$B$152-FW152</f>
        <v>0</v>
      </c>
      <c r="E170">
        <f>$B$153-FW153-(GG149-GE149)</f>
        <v>0</v>
      </c>
      <c r="F170">
        <f>(C170*('Invoer energieverbruik'!$C$23+'Energiebelasting en transport'!$D$13)+D170*('Invoer energieverbruik'!$C$27)+E170*'Energiebelasting en transport'!$C$24)*1.21</f>
        <v>0</v>
      </c>
      <c r="G170" s="89">
        <f>IF(E170=0,0,GA33)</f>
        <v>0</v>
      </c>
      <c r="H170" s="89">
        <v>0</v>
      </c>
      <c r="I170" s="89">
        <f t="shared" si="140"/>
        <v>0</v>
      </c>
      <c r="J170" s="280">
        <f>IF(F170=0,0,(C170*35.17+D170*1000+E170*9.23)/($B$151*35.17+$B$152*1000+$B$153*9.23))</f>
        <v>0</v>
      </c>
      <c r="AA170" s="89"/>
      <c r="AB170" s="244"/>
    </row>
    <row r="171" spans="1:28" x14ac:dyDescent="0.2">
      <c r="A171" s="288" t="s">
        <v>322</v>
      </c>
      <c r="B171" s="288">
        <f>GH33</f>
        <v>0</v>
      </c>
      <c r="C171">
        <v>0</v>
      </c>
      <c r="D171">
        <f>$B$152-FW152</f>
        <v>0</v>
      </c>
      <c r="E171">
        <f>(GG149-GF149)</f>
        <v>0</v>
      </c>
      <c r="F171">
        <f>(C171*('Invoer energieverbruik'!$C$23+'Energiebelasting en transport'!$D$13)+D171*('Invoer energieverbruik'!$C$27)+E171*'Energiebelasting en transport'!$C$24)*1.21</f>
        <v>0</v>
      </c>
      <c r="G171" s="89">
        <f>IF(E171=0,0,GB33)</f>
        <v>0</v>
      </c>
      <c r="H171" s="89">
        <v>0</v>
      </c>
      <c r="I171" s="89">
        <f t="shared" si="140"/>
        <v>0</v>
      </c>
      <c r="J171" s="280">
        <f>IF(F171=0,0,(C171*35.17+D171*1000+E171*9.23)/($B$151*35.17+$B$152*1000+$B$153*9.23))</f>
        <v>0</v>
      </c>
      <c r="AA171" s="89"/>
      <c r="AB171" s="244"/>
    </row>
    <row r="172" spans="1:28" x14ac:dyDescent="0.2">
      <c r="A172" s="288" t="s">
        <v>649</v>
      </c>
      <c r="B172" s="288">
        <f>GI33</f>
        <v>0</v>
      </c>
      <c r="C172">
        <v>0</v>
      </c>
      <c r="D172">
        <v>0</v>
      </c>
      <c r="E172">
        <f>12*'Verwerken verlichting'!BQ29/9.23</f>
        <v>0</v>
      </c>
      <c r="F172">
        <f>(C172*('Invoer energieverbruik'!$C$23+'Energiebelasting en transport'!$D$13)+D172*('Invoer energieverbruik'!$C$27)+E172*'Energiebelasting en transport'!$C$24)*1.21</f>
        <v>0</v>
      </c>
      <c r="G172" s="89">
        <f>IF(E172=0,0,GC33)</f>
        <v>0</v>
      </c>
      <c r="H172" s="89">
        <v>0</v>
      </c>
      <c r="I172" s="89">
        <f t="shared" si="140"/>
        <v>0</v>
      </c>
      <c r="J172" s="280">
        <f>IF(F172=0,0,(C172*35.17+D172*1000+E172*9.23)/($B$151*35.17+$B$152*1000+$B$153*9.23))</f>
        <v>0</v>
      </c>
      <c r="AA172" s="89"/>
      <c r="AB172" s="244"/>
    </row>
    <row r="173" spans="1:28" ht="25.5" x14ac:dyDescent="0.2">
      <c r="A173" s="288" t="s">
        <v>907</v>
      </c>
      <c r="B173" s="288">
        <f>GG33</f>
        <v>0</v>
      </c>
      <c r="C173">
        <v>0</v>
      </c>
      <c r="D173">
        <v>0</v>
      </c>
      <c r="E173">
        <f>E170</f>
        <v>0</v>
      </c>
      <c r="F173">
        <f>F170</f>
        <v>0</v>
      </c>
      <c r="G173" s="89">
        <f>GJ33</f>
        <v>0</v>
      </c>
      <c r="H173" s="89">
        <v>0</v>
      </c>
      <c r="I173" s="89">
        <f>IF(F173&gt;0,(G173-H173)/F173,0)</f>
        <v>0</v>
      </c>
      <c r="J173" s="280">
        <f t="shared" si="141"/>
        <v>0</v>
      </c>
      <c r="AA173" s="89"/>
      <c r="AB173" s="244"/>
    </row>
    <row r="174" spans="1:28" x14ac:dyDescent="0.2">
      <c r="A174" s="155" t="s">
        <v>855</v>
      </c>
      <c r="B174" s="155">
        <v>0</v>
      </c>
      <c r="C174" s="89">
        <f>IF('Verwerken Verwarming en Tapwate'!J4=1,0,B151*'Verwerken Verwarming en Tapwate'!AH20)</f>
        <v>0</v>
      </c>
      <c r="D174" s="89">
        <f>B152*'Verwerken Verwarming en Tapwate'!AH20</f>
        <v>0</v>
      </c>
      <c r="E174" s="89">
        <v>0</v>
      </c>
      <c r="F174">
        <f>(C174*('Invoer energieverbruik'!$C$23+'Energiebelasting en transport'!$D$13)+D174*('Invoer energieverbruik'!$C$27)+E174*'Energiebelasting en transport'!$C$24)*1.21</f>
        <v>0</v>
      </c>
      <c r="G174" s="155">
        <f>IF(C174&gt;0,'Kosten kengetallen'!B39,0)</f>
        <v>0</v>
      </c>
      <c r="H174" s="89">
        <v>0</v>
      </c>
      <c r="I174" s="89">
        <f>IF(F174&gt;0,(G174-H174)/F174,0)</f>
        <v>0</v>
      </c>
      <c r="J174" s="280">
        <f t="shared" si="141"/>
        <v>0</v>
      </c>
      <c r="AA174" s="89"/>
      <c r="AB174" s="244"/>
    </row>
    <row r="175" spans="1:28" x14ac:dyDescent="0.2">
      <c r="A175" s="155" t="s">
        <v>910</v>
      </c>
      <c r="B175" s="155"/>
      <c r="C175" s="89">
        <f>IF('Verwerken Verwarming en Tapwate'!J4=1,0,B151-GO151+'Verwerken Verwarming en Tapwate'!AH20*GO151+'Verwerken Verwarming en Tapwate'!AJ13*GO151-C166-C173)</f>
        <v>0</v>
      </c>
      <c r="D175" s="89">
        <f>B152-GO152+'Verwerken Verwarming en Tapwate'!AH20*GO152+'Verwerken Verwarming en Tapwate'!AJ13*GO152-C166-C173</f>
        <v>0</v>
      </c>
      <c r="E175" s="89">
        <f>B153-GO153-E166-E173</f>
        <v>0</v>
      </c>
      <c r="F175">
        <f>(C175*('Invoer energieverbruik'!$C$23+'Energiebelasting en transport'!$D$13)+D175*('Invoer energieverbruik'!$C$27)+E175*'Energiebelasting en transport'!$C$24)*1.21</f>
        <v>0</v>
      </c>
      <c r="G175" s="220">
        <f>SUM(G161:G174)-G166-G173</f>
        <v>0</v>
      </c>
      <c r="H175" s="220">
        <v>0</v>
      </c>
      <c r="I175" s="89">
        <f>IF(F175&gt;0,(G175-H175)/F175,0)</f>
        <v>0</v>
      </c>
      <c r="J175" s="280">
        <f t="shared" si="141"/>
        <v>0</v>
      </c>
      <c r="AA175" s="89"/>
      <c r="AB175" s="244"/>
    </row>
  </sheetData>
  <mergeCells count="25">
    <mergeCell ref="FZ143:GB143"/>
    <mergeCell ref="GO143:GQ143"/>
    <mergeCell ref="GR143:GT143"/>
    <mergeCell ref="EJ143:EL143"/>
    <mergeCell ref="ER143:ET143"/>
    <mergeCell ref="EU143:EW143"/>
    <mergeCell ref="FC143:FE143"/>
    <mergeCell ref="FF143:FH143"/>
    <mergeCell ref="FW143:FY143"/>
    <mergeCell ref="FV1:GC1"/>
    <mergeCell ref="B143:D143"/>
    <mergeCell ref="E143:G143"/>
    <mergeCell ref="AD143:AF143"/>
    <mergeCell ref="AG143:AI143"/>
    <mergeCell ref="AV143:AX143"/>
    <mergeCell ref="AY143:BA143"/>
    <mergeCell ref="BO143:BQ143"/>
    <mergeCell ref="CJ143:CL143"/>
    <mergeCell ref="CX143:CZ143"/>
    <mergeCell ref="BR143:BT143"/>
    <mergeCell ref="CG143:CI143"/>
    <mergeCell ref="DR143:DT143"/>
    <mergeCell ref="EG143:EI143"/>
    <mergeCell ref="DA143:DC143"/>
    <mergeCell ref="DO143:DQ143"/>
  </mergeCells>
  <phoneticPr fontId="53" type="noConversion"/>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175"/>
  <sheetViews>
    <sheetView topLeftCell="A155" workbookViewId="0">
      <selection activeCell="F176" sqref="F176"/>
    </sheetView>
  </sheetViews>
  <sheetFormatPr defaultRowHeight="12.75" x14ac:dyDescent="0.2"/>
  <cols>
    <col min="1" max="1" width="41.5703125" style="89" customWidth="1"/>
    <col min="2" max="2" width="18.28515625" style="89" customWidth="1"/>
    <col min="3" max="3" width="14.140625" style="89" customWidth="1"/>
    <col min="4" max="4" width="9.42578125" style="89" customWidth="1"/>
    <col min="5" max="5" width="14.5703125" style="89" customWidth="1"/>
    <col min="6" max="6" width="13.28515625" style="89" customWidth="1"/>
    <col min="7" max="7" width="10.42578125" style="89" customWidth="1"/>
    <col min="8" max="8" width="14" style="89" customWidth="1"/>
    <col min="9" max="9" width="11.140625" style="89" customWidth="1"/>
    <col min="10" max="10" width="12.85546875" style="89" customWidth="1"/>
    <col min="11" max="11" width="13.5703125" style="89" customWidth="1"/>
    <col min="12" max="12" width="9.140625" style="89"/>
    <col min="13" max="13" width="19.7109375" style="89" customWidth="1"/>
    <col min="14" max="14" width="9.140625" style="89"/>
    <col min="15" max="15" width="10.7109375" style="89" customWidth="1"/>
    <col min="16" max="16" width="9.140625" style="89"/>
    <col min="17" max="17" width="11.85546875" style="89" customWidth="1"/>
    <col min="18" max="18" width="9.140625" style="89"/>
    <col min="19" max="19" width="11.85546875" style="89" customWidth="1"/>
    <col min="20" max="20" width="9.140625" style="89"/>
    <col min="21" max="21" width="10.5703125" style="89" customWidth="1"/>
    <col min="22" max="23" width="9.140625" style="89"/>
    <col min="24" max="24" width="10.85546875" style="89" customWidth="1"/>
    <col min="25" max="25" width="9.140625" style="89"/>
    <col min="26" max="26" width="11.140625" style="89" customWidth="1"/>
    <col min="27" max="27" width="9.140625" style="244"/>
    <col min="28" max="28" width="9.140625" style="89"/>
    <col min="29" max="29" width="10.42578125" style="89" customWidth="1"/>
    <col min="30" max="30" width="9.140625" style="89"/>
    <col min="31" max="31" width="11.7109375" style="89" customWidth="1"/>
    <col min="32" max="32" width="9.140625" style="89"/>
    <col min="33" max="33" width="11.5703125" style="89" customWidth="1"/>
    <col min="34" max="34" width="9.140625" style="89"/>
    <col min="35" max="35" width="11" style="89" customWidth="1"/>
    <col min="36" max="36" width="9.140625" style="89"/>
    <col min="37" max="37" width="10.42578125" style="89" customWidth="1"/>
    <col min="38" max="38" width="9.140625" style="89"/>
    <col min="39" max="39" width="10.5703125" style="89" customWidth="1"/>
    <col min="40" max="40" width="10.28515625" style="89" customWidth="1"/>
    <col min="41" max="44" width="10.85546875" style="89" customWidth="1"/>
    <col min="45" max="45" width="10.85546875" style="244" customWidth="1"/>
    <col min="46" max="63" width="10.85546875" style="89" customWidth="1"/>
    <col min="64" max="64" width="10.85546875" style="244" customWidth="1"/>
    <col min="65" max="81" width="10.85546875" style="89" customWidth="1"/>
    <col min="82" max="82" width="10.85546875" style="244" customWidth="1"/>
    <col min="83" max="99" width="10.85546875" style="89" customWidth="1"/>
    <col min="100" max="100" width="10.85546875" style="244" customWidth="1"/>
    <col min="101" max="101" width="11" style="89" customWidth="1"/>
    <col min="102" max="102" width="10.7109375" style="89" customWidth="1"/>
    <col min="103" max="103" width="9.140625" style="89"/>
    <col min="104" max="104" width="11.28515625" style="89" customWidth="1"/>
    <col min="105" max="105" width="9.140625" style="89"/>
    <col min="106" max="106" width="10.5703125" style="89" customWidth="1"/>
    <col min="107" max="107" width="9.140625" style="89"/>
    <col min="108" max="108" width="11.28515625" style="89" customWidth="1"/>
    <col min="109" max="116" width="9.140625" style="89"/>
    <col min="117" max="117" width="9.140625" style="244"/>
    <col min="118" max="134" width="9.140625" style="89"/>
    <col min="135" max="135" width="9.140625" style="256"/>
    <col min="136" max="136" width="13.85546875" style="89" customWidth="1"/>
    <col min="137" max="145" width="9.140625" style="89"/>
    <col min="146" max="146" width="9.140625" style="256"/>
    <col min="147" max="156" width="9.140625" style="89"/>
    <col min="157" max="157" width="9.140625" style="256"/>
    <col min="158" max="176" width="9.140625" style="89"/>
    <col min="177" max="177" width="9.140625" style="256"/>
    <col min="178" max="178" width="13.5703125" style="89" customWidth="1"/>
    <col min="179" max="187" width="9.140625" style="89"/>
    <col min="188" max="188" width="16" style="89" customWidth="1"/>
    <col min="189" max="193" width="9.140625" style="89"/>
    <col min="194" max="194" width="9.140625" style="244"/>
    <col min="195" max="16384" width="9.140625" style="89"/>
  </cols>
  <sheetData>
    <row r="1" spans="1:213" ht="26.25" customHeight="1" x14ac:dyDescent="0.2">
      <c r="A1" s="127" t="s">
        <v>896</v>
      </c>
      <c r="AC1" s="127" t="s">
        <v>911</v>
      </c>
      <c r="AU1" s="127" t="s">
        <v>887</v>
      </c>
      <c r="BN1" s="127" t="s">
        <v>888</v>
      </c>
      <c r="CF1" s="127" t="s">
        <v>889</v>
      </c>
      <c r="CW1" s="127" t="s">
        <v>890</v>
      </c>
      <c r="DN1" s="127" t="s">
        <v>282</v>
      </c>
      <c r="EF1" s="127" t="s">
        <v>891</v>
      </c>
      <c r="EQ1" s="155" t="s">
        <v>92</v>
      </c>
      <c r="FV1" s="640" t="s">
        <v>894</v>
      </c>
      <c r="FW1" s="640"/>
      <c r="FX1" s="640"/>
      <c r="FY1" s="640"/>
      <c r="FZ1" s="640"/>
      <c r="GA1" s="640"/>
      <c r="GB1" s="640"/>
      <c r="GC1" s="640"/>
      <c r="GM1" s="127" t="s">
        <v>856</v>
      </c>
    </row>
    <row r="2" spans="1:213" x14ac:dyDescent="0.2">
      <c r="B2" s="155" t="s">
        <v>573</v>
      </c>
      <c r="C2" s="155" t="s">
        <v>560</v>
      </c>
      <c r="D2" s="128"/>
      <c r="E2" s="118"/>
      <c r="F2" s="118"/>
      <c r="G2" s="128"/>
      <c r="H2" s="128"/>
      <c r="I2" s="128"/>
      <c r="J2" s="129"/>
      <c r="EG2" s="155" t="s">
        <v>573</v>
      </c>
      <c r="EH2" s="155" t="s">
        <v>560</v>
      </c>
      <c r="EJ2" s="155" t="s">
        <v>47</v>
      </c>
      <c r="EK2" s="155" t="s">
        <v>614</v>
      </c>
      <c r="ER2" s="155" t="s">
        <v>573</v>
      </c>
      <c r="ES2" s="155" t="s">
        <v>560</v>
      </c>
      <c r="EU2" s="155" t="s">
        <v>47</v>
      </c>
      <c r="EV2" s="155" t="s">
        <v>614</v>
      </c>
      <c r="GN2" s="155" t="s">
        <v>573</v>
      </c>
      <c r="GO2" s="155" t="s">
        <v>560</v>
      </c>
    </row>
    <row r="3" spans="1:213" x14ac:dyDescent="0.2">
      <c r="A3" s="128" t="s">
        <v>67</v>
      </c>
      <c r="B3" s="89">
        <f>'Verwerken Verwarming en Tapwate'!J5</f>
        <v>0</v>
      </c>
      <c r="C3" s="89">
        <f>'Verwerken Verwarming en Tapwate'!O5</f>
        <v>1</v>
      </c>
      <c r="EG3" s="89">
        <f>'Verwerken Verwarming en Tapwate'!AB5</f>
        <v>0</v>
      </c>
      <c r="EH3" s="89">
        <f>C3</f>
        <v>1</v>
      </c>
      <c r="EJ3" s="89">
        <f>'Verwerken Verwarming en Tapwate'!AK5</f>
        <v>0</v>
      </c>
      <c r="EK3" s="89">
        <f>IF(OR('Verwerken Verwarming en Tapwate'!B5=2,'Verwerken Verwarming en Tapwate'!E5=2),IF('Verwerken Verwarming en Tapwate'!AK5&lt;'Verwerken Verwarming en Tapwate'!AP5+1,'Verwerken Verwarming en Tapwate'!AK5*0.6,'Verwerken Verwarming en Tapwate'!AP5*0.6),0)</f>
        <v>0</v>
      </c>
      <c r="ER3" s="89">
        <f>B3</f>
        <v>0</v>
      </c>
      <c r="ES3" s="89">
        <f>'Verwerken Verwarming en Tapwate'!AF5</f>
        <v>1</v>
      </c>
      <c r="ET3" s="155" t="s">
        <v>623</v>
      </c>
      <c r="EU3" s="89">
        <f>'Verwerken Verwarming en Tapwate'!AR5</f>
        <v>0</v>
      </c>
      <c r="EV3" s="89">
        <f>0.6*EU3</f>
        <v>0</v>
      </c>
      <c r="GN3" s="89">
        <f>EG3</f>
        <v>0</v>
      </c>
      <c r="GO3" s="89">
        <f>ES3</f>
        <v>1</v>
      </c>
    </row>
    <row r="4" spans="1:213" x14ac:dyDescent="0.2">
      <c r="A4" s="128"/>
      <c r="ET4" s="155" t="s">
        <v>892</v>
      </c>
      <c r="EU4" s="89">
        <f>'Verwerken Verwarming en Tapwate'!AS5</f>
        <v>0</v>
      </c>
      <c r="EV4" s="89">
        <v>0</v>
      </c>
    </row>
    <row r="5" spans="1:213" x14ac:dyDescent="0.2">
      <c r="A5" s="128"/>
    </row>
    <row r="6" spans="1:213" x14ac:dyDescent="0.2">
      <c r="A6" s="128"/>
      <c r="B6" s="170"/>
      <c r="C6" s="170"/>
      <c r="D6" s="170"/>
      <c r="E6" s="170"/>
      <c r="F6" s="170"/>
      <c r="G6" s="170"/>
      <c r="H6" s="8"/>
      <c r="I6" s="235"/>
      <c r="J6" s="236"/>
    </row>
    <row r="7" spans="1:213" x14ac:dyDescent="0.2">
      <c r="A7" s="155" t="s">
        <v>725</v>
      </c>
      <c r="B7" s="232"/>
      <c r="C7" s="233"/>
      <c r="D7" s="232"/>
      <c r="E7" s="232"/>
      <c r="F7" s="233"/>
      <c r="G7" s="232"/>
      <c r="H7" s="234"/>
      <c r="I7" s="235"/>
      <c r="J7" s="236"/>
      <c r="GA7" s="155" t="s">
        <v>47</v>
      </c>
      <c r="GD7" s="155" t="s">
        <v>614</v>
      </c>
      <c r="GG7" s="155" t="s">
        <v>912</v>
      </c>
      <c r="GJ7" s="89" t="s">
        <v>727</v>
      </c>
    </row>
    <row r="8" spans="1:213" x14ac:dyDescent="0.2">
      <c r="A8" s="128" t="s">
        <v>67</v>
      </c>
      <c r="GA8" s="286" t="s">
        <v>648</v>
      </c>
      <c r="GB8" s="286" t="s">
        <v>322</v>
      </c>
      <c r="GC8" s="286" t="s">
        <v>649</v>
      </c>
      <c r="GD8" s="286" t="s">
        <v>648</v>
      </c>
      <c r="GE8" s="286" t="s">
        <v>322</v>
      </c>
      <c r="GF8" s="286" t="s">
        <v>649</v>
      </c>
      <c r="GG8" s="286" t="s">
        <v>653</v>
      </c>
      <c r="GH8" s="286" t="s">
        <v>655</v>
      </c>
      <c r="GI8" s="286" t="s">
        <v>765</v>
      </c>
      <c r="GJ8" s="339" t="s">
        <v>653</v>
      </c>
    </row>
    <row r="9" spans="1:213" x14ac:dyDescent="0.2">
      <c r="FZ9" s="89">
        <f>IF('Verwerken verlichting'!B5=4,1,0)</f>
        <v>0</v>
      </c>
      <c r="GA9" s="89">
        <f>$FZ9*'Verwerken verlichting'!BX5</f>
        <v>0</v>
      </c>
      <c r="GB9" s="89">
        <f>$FZ9*'Verwerken verlichting'!BY5</f>
        <v>0</v>
      </c>
      <c r="GC9" s="89">
        <f>$FZ9*'Verwerken verlichting'!BZ5</f>
        <v>0</v>
      </c>
      <c r="GD9" s="89">
        <f>$FZ9*'Verwerken verlichting'!CA5</f>
        <v>0</v>
      </c>
      <c r="GE9" s="89">
        <f>$FZ9*'Verwerken verlichting'!CB5</f>
        <v>0</v>
      </c>
      <c r="GF9" s="89">
        <f>$FZ9*'Verwerken verlichting'!CC5</f>
        <v>0</v>
      </c>
      <c r="GG9" s="89">
        <f>FZ9*'Invoer verlichting'!N4</f>
        <v>0</v>
      </c>
      <c r="GH9" s="89">
        <f>FZ9*'Verwerken verlichting'!AH5</f>
        <v>0</v>
      </c>
      <c r="GI9" s="89">
        <f>FZ9*'Verwerken verlichting'!AG5</f>
        <v>0</v>
      </c>
      <c r="GJ9" s="89">
        <f>FZ9*'Verwerken verlichting'!CE5</f>
        <v>0</v>
      </c>
    </row>
    <row r="10" spans="1:213" x14ac:dyDescent="0.2">
      <c r="A10" s="127" t="s">
        <v>893</v>
      </c>
      <c r="FB10" s="127" t="s">
        <v>893</v>
      </c>
      <c r="FZ10" s="89">
        <f>IF('Verwerken verlichting'!B6=4,1,0)</f>
        <v>0</v>
      </c>
      <c r="GA10" s="89">
        <f>$FZ10*'Verwerken verlichting'!BX6</f>
        <v>0</v>
      </c>
      <c r="GB10" s="89">
        <f>$FZ10*'Verwerken verlichting'!BY6</f>
        <v>0</v>
      </c>
      <c r="GC10" s="89">
        <f>$FZ10*'Verwerken verlichting'!BZ6</f>
        <v>0</v>
      </c>
      <c r="GD10" s="89">
        <f>$FZ10*'Verwerken verlichting'!CA6</f>
        <v>0</v>
      </c>
      <c r="GE10" s="89">
        <f>$FZ10*'Verwerken verlichting'!CB6</f>
        <v>0</v>
      </c>
      <c r="GF10" s="89">
        <f>$FZ10*'Verwerken verlichting'!CC6</f>
        <v>0</v>
      </c>
      <c r="GG10" s="89">
        <f>FZ10*'Invoer verlichting'!N5</f>
        <v>0</v>
      </c>
      <c r="GH10" s="89">
        <f>FZ10*'Verwerken verlichting'!AH6</f>
        <v>0</v>
      </c>
      <c r="GI10" s="89">
        <f>FZ10*'Verwerken verlichting'!AG6</f>
        <v>0</v>
      </c>
      <c r="GJ10" s="89">
        <f>FZ10*'Verwerken verlichting'!CE6</f>
        <v>0</v>
      </c>
    </row>
    <row r="11" spans="1:213" x14ac:dyDescent="0.2">
      <c r="B11" s="157" t="s">
        <v>472</v>
      </c>
      <c r="C11" s="185" t="s">
        <v>502</v>
      </c>
      <c r="D11" s="185" t="s">
        <v>503</v>
      </c>
      <c r="E11" s="185" t="s">
        <v>504</v>
      </c>
      <c r="F11" s="125" t="s">
        <v>450</v>
      </c>
      <c r="G11" s="125"/>
      <c r="H11" s="125" t="s">
        <v>452</v>
      </c>
      <c r="I11" s="125" t="s">
        <v>453</v>
      </c>
      <c r="J11" s="125" t="s">
        <v>398</v>
      </c>
      <c r="K11" s="125" t="s">
        <v>399</v>
      </c>
      <c r="L11" s="125" t="s">
        <v>400</v>
      </c>
      <c r="M11" s="125" t="s">
        <v>401</v>
      </c>
      <c r="N11" s="125" t="s">
        <v>402</v>
      </c>
      <c r="O11" s="125" t="s">
        <v>454</v>
      </c>
      <c r="P11" s="125" t="s">
        <v>455</v>
      </c>
      <c r="Q11" s="125" t="s">
        <v>456</v>
      </c>
      <c r="R11" s="125" t="s">
        <v>457</v>
      </c>
      <c r="S11" s="125" t="s">
        <v>458</v>
      </c>
      <c r="FC11" s="157" t="s">
        <v>472</v>
      </c>
      <c r="FD11" s="185" t="s">
        <v>502</v>
      </c>
      <c r="FE11" s="185" t="s">
        <v>503</v>
      </c>
      <c r="FF11" s="185" t="s">
        <v>504</v>
      </c>
      <c r="FG11" s="125" t="s">
        <v>450</v>
      </c>
      <c r="FH11" s="125"/>
      <c r="FI11" s="125" t="s">
        <v>452</v>
      </c>
      <c r="FJ11" s="125" t="s">
        <v>453</v>
      </c>
      <c r="FK11" s="125" t="s">
        <v>398</v>
      </c>
      <c r="FL11" s="125" t="s">
        <v>399</v>
      </c>
      <c r="FM11" s="125" t="s">
        <v>400</v>
      </c>
      <c r="FN11" s="125" t="s">
        <v>401</v>
      </c>
      <c r="FO11" s="125" t="s">
        <v>402</v>
      </c>
      <c r="FP11" s="125" t="s">
        <v>454</v>
      </c>
      <c r="FQ11" s="125" t="s">
        <v>455</v>
      </c>
      <c r="FR11" s="125" t="s">
        <v>456</v>
      </c>
      <c r="FS11" s="125" t="s">
        <v>457</v>
      </c>
      <c r="FT11" s="125" t="s">
        <v>458</v>
      </c>
      <c r="FZ11" s="89">
        <f>IF('Verwerken verlichting'!B7=4,1,0)</f>
        <v>0</v>
      </c>
      <c r="GA11" s="89">
        <f>$FZ11*'Verwerken verlichting'!BX7</f>
        <v>0</v>
      </c>
      <c r="GB11" s="89">
        <f>$FZ11*'Verwerken verlichting'!BY7</f>
        <v>0</v>
      </c>
      <c r="GC11" s="89">
        <f>$FZ11*'Verwerken verlichting'!BZ7</f>
        <v>0</v>
      </c>
      <c r="GD11" s="89">
        <f>$FZ11*'Verwerken verlichting'!CA7</f>
        <v>0</v>
      </c>
      <c r="GE11" s="89">
        <f>$FZ11*'Verwerken verlichting'!CB7</f>
        <v>0</v>
      </c>
      <c r="GF11" s="89">
        <f>$FZ11*'Verwerken verlichting'!CC7</f>
        <v>0</v>
      </c>
      <c r="GG11" s="89">
        <f>FZ11*'Invoer verlichting'!N6</f>
        <v>0</v>
      </c>
      <c r="GH11" s="89">
        <f>FZ11*'Verwerken verlichting'!AH7</f>
        <v>0</v>
      </c>
      <c r="GI11" s="89">
        <f>FZ11*'Verwerken verlichting'!AG7</f>
        <v>0</v>
      </c>
      <c r="GJ11" s="89">
        <f>FZ11*'Verwerken verlichting'!CE7</f>
        <v>0</v>
      </c>
      <c r="GN11" s="157" t="s">
        <v>472</v>
      </c>
      <c r="GO11" s="185" t="s">
        <v>502</v>
      </c>
      <c r="GP11" s="185" t="s">
        <v>503</v>
      </c>
      <c r="GQ11" s="185" t="s">
        <v>504</v>
      </c>
      <c r="GR11" s="125" t="s">
        <v>450</v>
      </c>
      <c r="GS11" s="125"/>
      <c r="GT11" s="125" t="s">
        <v>452</v>
      </c>
      <c r="GU11" s="125" t="s">
        <v>453</v>
      </c>
      <c r="GV11" s="125" t="s">
        <v>398</v>
      </c>
      <c r="GW11" s="125" t="s">
        <v>399</v>
      </c>
      <c r="GX11" s="125" t="s">
        <v>400</v>
      </c>
      <c r="GY11" s="125" t="s">
        <v>401</v>
      </c>
      <c r="GZ11" s="125" t="s">
        <v>402</v>
      </c>
      <c r="HA11" s="125" t="s">
        <v>454</v>
      </c>
      <c r="HB11" s="125" t="s">
        <v>455</v>
      </c>
      <c r="HC11" s="125" t="s">
        <v>456</v>
      </c>
      <c r="HD11" s="125" t="s">
        <v>457</v>
      </c>
      <c r="HE11" s="125" t="s">
        <v>458</v>
      </c>
    </row>
    <row r="12" spans="1:213" x14ac:dyDescent="0.2">
      <c r="B12" s="7">
        <f>'Verwerken ventilatie'!R20</f>
        <v>0</v>
      </c>
      <c r="C12" s="7">
        <f>'Verwerken ventilatie'!E27*'Fitten energieverbruik'!C20/'Fitten energieverbruik'!B20</f>
        <v>0</v>
      </c>
      <c r="D12" s="7">
        <f>'Verwerken ventilatie'!D44</f>
        <v>0</v>
      </c>
      <c r="E12" s="7">
        <f>B12+C12+D12</f>
        <v>0</v>
      </c>
      <c r="F12" s="89">
        <v>19</v>
      </c>
      <c r="H12" s="89">
        <f>$E$12*($F$12-Klimaatdata!B7)*2.63</f>
        <v>0</v>
      </c>
      <c r="I12" s="89">
        <f>$E$12*($F$12-Klimaatdata!B8)*2.63</f>
        <v>0</v>
      </c>
      <c r="J12" s="89">
        <f>$E$12*($F$12-Klimaatdata!B9)*2.63</f>
        <v>0</v>
      </c>
      <c r="K12" s="89">
        <f>$E$12*($F$12-Klimaatdata!B10)*2.63</f>
        <v>0</v>
      </c>
      <c r="L12" s="89">
        <f>$E$12*($F$12-Klimaatdata!B11)*2.63</f>
        <v>0</v>
      </c>
      <c r="M12" s="89">
        <f>$E$12*($F$12-Klimaatdata!B12)*2.63</f>
        <v>0</v>
      </c>
      <c r="N12" s="89">
        <f>$E$12*($F$12-Klimaatdata!B13)*2.63</f>
        <v>0</v>
      </c>
      <c r="O12" s="89">
        <f>$E$12*($F$12-Klimaatdata!B14)*2.63</f>
        <v>0</v>
      </c>
      <c r="P12" s="89">
        <f>$E$12*($F$12-Klimaatdata!B15)*2.63</f>
        <v>0</v>
      </c>
      <c r="Q12" s="89">
        <f>$E$12*($F$12-Klimaatdata!B16)*2.63</f>
        <v>0</v>
      </c>
      <c r="R12" s="89">
        <f>$E$12*($F$12-Klimaatdata!B17)*2.63</f>
        <v>0</v>
      </c>
      <c r="S12" s="89">
        <f>$E$12*($F$12-Klimaatdata!B18)*2.63</f>
        <v>0</v>
      </c>
      <c r="FC12" s="7">
        <f>IF('Verwerken ventilatie'!BA20=0,B12,'Verwerken ventilatie'!BA20)</f>
        <v>0</v>
      </c>
      <c r="FD12" s="7">
        <f>IF('Verwerken ventilatie'!AW20=0,C12,'Verwerken ventilatie'!AN25*'Fitten energieverbruik'!C20/'Fitten energieverbruik'!B20)</f>
        <v>0</v>
      </c>
      <c r="FE12" s="7">
        <f>IF('Verwerken ventilatie'!BA20=0,D12,'Verwerken ventilatie'!AM44)</f>
        <v>0</v>
      </c>
      <c r="FF12" s="7">
        <f>FC12+FD12+FE12</f>
        <v>0</v>
      </c>
      <c r="FG12" s="89">
        <v>19</v>
      </c>
      <c r="FI12" s="89">
        <f>$FF$12*($FG$12-Klimaatdata!B7)*2.63</f>
        <v>0</v>
      </c>
      <c r="FJ12" s="89">
        <f>$FF$12*($FG$12-Klimaatdata!B8)*2.63</f>
        <v>0</v>
      </c>
      <c r="FK12" s="89">
        <f>$FF$12*($FG$12-Klimaatdata!B9)*2.63</f>
        <v>0</v>
      </c>
      <c r="FL12" s="89">
        <f>$FF$12*($FG$12-Klimaatdata!B10)*2.63</f>
        <v>0</v>
      </c>
      <c r="FM12" s="89">
        <f>$FF$12*($FG$12-Klimaatdata!B11)*2.63</f>
        <v>0</v>
      </c>
      <c r="FN12" s="89">
        <f>$FF$12*($FG$12-Klimaatdata!B12)*2.63</f>
        <v>0</v>
      </c>
      <c r="FO12" s="89">
        <f>$FF$12*($FG$12-Klimaatdata!B13)*2.63</f>
        <v>0</v>
      </c>
      <c r="FP12" s="89">
        <f>$FF$12*($FG$12-Klimaatdata!B14)*2.63</f>
        <v>0</v>
      </c>
      <c r="FQ12" s="89">
        <f>$FF$12*($FG$12-Klimaatdata!B15)*2.63</f>
        <v>0</v>
      </c>
      <c r="FR12" s="89">
        <f>$FF$12*($FG$12-Klimaatdata!B16)*2.63</f>
        <v>0</v>
      </c>
      <c r="FS12" s="89">
        <f>$FF$12*($FG$12-Klimaatdata!B17)*2.63</f>
        <v>0</v>
      </c>
      <c r="FT12" s="89">
        <f>$FF$12*($FG$12-Klimaatdata!B18)*2.63</f>
        <v>0</v>
      </c>
      <c r="FZ12" s="89">
        <f>IF('Verwerken verlichting'!B8=4,1,0)</f>
        <v>0</v>
      </c>
      <c r="GA12" s="89">
        <f>$FZ12*'Verwerken verlichting'!BX8</f>
        <v>0</v>
      </c>
      <c r="GB12" s="89">
        <f>$FZ12*'Verwerken verlichting'!BY8</f>
        <v>0</v>
      </c>
      <c r="GC12" s="89">
        <f>$FZ12*'Verwerken verlichting'!BZ8</f>
        <v>0</v>
      </c>
      <c r="GD12" s="89">
        <f>$FZ12*'Verwerken verlichting'!CA8</f>
        <v>0</v>
      </c>
      <c r="GE12" s="89">
        <f>$FZ12*'Verwerken verlichting'!CB8</f>
        <v>0</v>
      </c>
      <c r="GF12" s="89">
        <f>$FZ12*'Verwerken verlichting'!CC8</f>
        <v>0</v>
      </c>
      <c r="GG12" s="89">
        <f>FZ12*'Invoer verlichting'!N7</f>
        <v>0</v>
      </c>
      <c r="GH12" s="89">
        <f>FZ12*'Verwerken verlichting'!AH8</f>
        <v>0</v>
      </c>
      <c r="GI12" s="89">
        <f>FZ12*'Verwerken verlichting'!AG8</f>
        <v>0</v>
      </c>
      <c r="GJ12" s="89">
        <f>FZ12*'Verwerken verlichting'!CE8</f>
        <v>0</v>
      </c>
      <c r="GN12" s="89">
        <f>FC12</f>
        <v>0</v>
      </c>
      <c r="GO12" s="89">
        <f t="shared" ref="GO12:HE12" si="0">FD12</f>
        <v>0</v>
      </c>
      <c r="GP12" s="89">
        <f t="shared" si="0"/>
        <v>0</v>
      </c>
      <c r="GQ12" s="89">
        <f t="shared" si="0"/>
        <v>0</v>
      </c>
      <c r="GR12" s="89">
        <f t="shared" si="0"/>
        <v>19</v>
      </c>
      <c r="GT12" s="89">
        <f t="shared" si="0"/>
        <v>0</v>
      </c>
      <c r="GU12" s="89">
        <f t="shared" si="0"/>
        <v>0</v>
      </c>
      <c r="GV12" s="89">
        <f t="shared" si="0"/>
        <v>0</v>
      </c>
      <c r="GW12" s="89">
        <f t="shared" si="0"/>
        <v>0</v>
      </c>
      <c r="GX12" s="89">
        <f t="shared" si="0"/>
        <v>0</v>
      </c>
      <c r="GY12" s="89">
        <f t="shared" si="0"/>
        <v>0</v>
      </c>
      <c r="GZ12" s="89">
        <f t="shared" si="0"/>
        <v>0</v>
      </c>
      <c r="HA12" s="89">
        <f t="shared" si="0"/>
        <v>0</v>
      </c>
      <c r="HB12" s="89">
        <f t="shared" si="0"/>
        <v>0</v>
      </c>
      <c r="HC12" s="89">
        <f t="shared" si="0"/>
        <v>0</v>
      </c>
      <c r="HD12" s="89">
        <f t="shared" si="0"/>
        <v>0</v>
      </c>
      <c r="HE12" s="89">
        <f t="shared" si="0"/>
        <v>0</v>
      </c>
    </row>
    <row r="13" spans="1:213" x14ac:dyDescent="0.2">
      <c r="A13" s="131"/>
      <c r="FZ13" s="89">
        <f>IF('Verwerken verlichting'!B9=4,1,0)</f>
        <v>0</v>
      </c>
      <c r="GA13" s="89">
        <f>$FZ13*'Verwerken verlichting'!BX9</f>
        <v>0</v>
      </c>
      <c r="GB13" s="89">
        <f>$FZ13*'Verwerken verlichting'!BY9</f>
        <v>0</v>
      </c>
      <c r="GC13" s="89">
        <f>$FZ13*'Verwerken verlichting'!BZ9</f>
        <v>0</v>
      </c>
      <c r="GD13" s="89">
        <f>$FZ13*'Verwerken verlichting'!CA9</f>
        <v>0</v>
      </c>
      <c r="GE13" s="89">
        <f>$FZ13*'Verwerken verlichting'!CB9</f>
        <v>0</v>
      </c>
      <c r="GF13" s="89">
        <f>$FZ13*'Verwerken verlichting'!CC9</f>
        <v>0</v>
      </c>
      <c r="GG13" s="89">
        <f>FZ13*'Invoer verlichting'!N8</f>
        <v>0</v>
      </c>
      <c r="GH13" s="89">
        <f>FZ13*'Verwerken verlichting'!AH9</f>
        <v>0</v>
      </c>
      <c r="GI13" s="89">
        <f>FZ13*'Verwerken verlichting'!AG9</f>
        <v>0</v>
      </c>
      <c r="GJ13" s="89">
        <f>FZ13*'Verwerken verlichting'!CE9</f>
        <v>0</v>
      </c>
    </row>
    <row r="14" spans="1:213" x14ac:dyDescent="0.2">
      <c r="A14" s="131"/>
      <c r="FZ14" s="89">
        <f>IF('Verwerken verlichting'!B10=4,1,0)</f>
        <v>0</v>
      </c>
      <c r="GA14" s="89">
        <f>$FZ14*'Verwerken verlichting'!BX10</f>
        <v>0</v>
      </c>
      <c r="GB14" s="89">
        <f>$FZ14*'Verwerken verlichting'!BY10</f>
        <v>0</v>
      </c>
      <c r="GC14" s="89">
        <f>$FZ14*'Verwerken verlichting'!BZ10</f>
        <v>0</v>
      </c>
      <c r="GD14" s="89">
        <f>$FZ14*'Verwerken verlichting'!CA10</f>
        <v>0</v>
      </c>
      <c r="GE14" s="89">
        <f>$FZ14*'Verwerken verlichting'!CB10</f>
        <v>0</v>
      </c>
      <c r="GF14" s="89">
        <f>$FZ14*'Verwerken verlichting'!CC10</f>
        <v>0</v>
      </c>
      <c r="GG14" s="89">
        <f>FZ14*'Invoer verlichting'!N9</f>
        <v>0</v>
      </c>
      <c r="GH14" s="89">
        <f>FZ14*'Verwerken verlichting'!AH10</f>
        <v>0</v>
      </c>
      <c r="GI14" s="89">
        <f>FZ14*'Verwerken verlichting'!AG10</f>
        <v>0</v>
      </c>
      <c r="GJ14" s="89">
        <f>FZ14*'Verwerken verlichting'!CE10</f>
        <v>0</v>
      </c>
    </row>
    <row r="15" spans="1:213" x14ac:dyDescent="0.2">
      <c r="A15" s="132" t="s">
        <v>897</v>
      </c>
      <c r="FD15" s="155" t="s">
        <v>47</v>
      </c>
      <c r="FE15" s="155" t="s">
        <v>614</v>
      </c>
      <c r="FZ15" s="89">
        <f>IF('Verwerken verlichting'!B11=4,1,0)</f>
        <v>0</v>
      </c>
      <c r="GA15" s="89">
        <f>$FZ15*'Verwerken verlichting'!BX11</f>
        <v>0</v>
      </c>
      <c r="GB15" s="89">
        <f>$FZ15*'Verwerken verlichting'!BY11</f>
        <v>0</v>
      </c>
      <c r="GC15" s="89">
        <f>$FZ15*'Verwerken verlichting'!BZ11</f>
        <v>0</v>
      </c>
      <c r="GD15" s="89">
        <f>$FZ15*'Verwerken verlichting'!CA11</f>
        <v>0</v>
      </c>
      <c r="GE15" s="89">
        <f>$FZ15*'Verwerken verlichting'!CB11</f>
        <v>0</v>
      </c>
      <c r="GF15" s="89">
        <f>$FZ15*'Verwerken verlichting'!CC11</f>
        <v>0</v>
      </c>
      <c r="GG15" s="89">
        <f>FZ15*'Invoer verlichting'!N10</f>
        <v>0</v>
      </c>
      <c r="GH15" s="89">
        <f>FZ15*'Verwerken verlichting'!AH11</f>
        <v>0</v>
      </c>
      <c r="GI15" s="89">
        <f>FZ15*'Verwerken verlichting'!AG11</f>
        <v>0</v>
      </c>
      <c r="GJ15" s="89">
        <f>FZ15*'Verwerken verlichting'!CE11</f>
        <v>0</v>
      </c>
    </row>
    <row r="16" spans="1:213" x14ac:dyDescent="0.2">
      <c r="A16" s="132"/>
      <c r="FC16" s="89">
        <f>IF('Verwerken ventilatie'!AJ8=4,1,0)</f>
        <v>0</v>
      </c>
      <c r="FD16" s="89">
        <f>FC16*'Verwerken ventilatie'!BT8</f>
        <v>0</v>
      </c>
      <c r="FE16" s="89">
        <f>FC16*'Verwerken ventilatie'!BU8</f>
        <v>0</v>
      </c>
      <c r="FZ16" s="89">
        <f>IF('Verwerken verlichting'!B12=4,1,0)</f>
        <v>0</v>
      </c>
      <c r="GA16" s="89">
        <f>$FZ16*'Verwerken verlichting'!BX12</f>
        <v>0</v>
      </c>
      <c r="GB16" s="89">
        <f>$FZ16*'Verwerken verlichting'!BY12</f>
        <v>0</v>
      </c>
      <c r="GC16" s="89">
        <f>$FZ16*'Verwerken verlichting'!BZ12</f>
        <v>0</v>
      </c>
      <c r="GD16" s="89">
        <f>$FZ16*'Verwerken verlichting'!CA12</f>
        <v>0</v>
      </c>
      <c r="GE16" s="89">
        <f>$FZ16*'Verwerken verlichting'!CB12</f>
        <v>0</v>
      </c>
      <c r="GF16" s="89">
        <f>$FZ16*'Verwerken verlichting'!CC12</f>
        <v>0</v>
      </c>
      <c r="GG16" s="89">
        <f>FZ16*'Invoer verlichting'!N11</f>
        <v>0</v>
      </c>
      <c r="GH16" s="89">
        <f>FZ16*'Verwerken verlichting'!AH12</f>
        <v>0</v>
      </c>
      <c r="GI16" s="89">
        <f>FZ16*'Verwerken verlichting'!AG12</f>
        <v>0</v>
      </c>
      <c r="GJ16" s="89">
        <f>FZ16*'Verwerken verlichting'!CE12</f>
        <v>0</v>
      </c>
    </row>
    <row r="17" spans="1:221" x14ac:dyDescent="0.2">
      <c r="B17" s="127" t="s">
        <v>886</v>
      </c>
      <c r="O17" s="127" t="s">
        <v>135</v>
      </c>
      <c r="AD17" s="127" t="s">
        <v>886</v>
      </c>
      <c r="AV17" s="127" t="s">
        <v>886</v>
      </c>
      <c r="BO17" s="127" t="s">
        <v>886</v>
      </c>
      <c r="CG17" s="127" t="s">
        <v>886</v>
      </c>
      <c r="CW17" s="127" t="s">
        <v>135</v>
      </c>
      <c r="FC17" s="89">
        <f>IF('Verwerken ventilatie'!AJ9=4,1,0)</f>
        <v>0</v>
      </c>
      <c r="FD17" s="89">
        <f>FC17*'Verwerken ventilatie'!BT9</f>
        <v>0</v>
      </c>
      <c r="FE17" s="89">
        <f>FC17*'Verwerken ventilatie'!BU9</f>
        <v>0</v>
      </c>
      <c r="FZ17" s="89">
        <f>IF('Verwerken verlichting'!B13=4,1,0)</f>
        <v>0</v>
      </c>
      <c r="GA17" s="89">
        <f>$FZ17*'Verwerken verlichting'!BX13</f>
        <v>0</v>
      </c>
      <c r="GB17" s="89">
        <f>$FZ17*'Verwerken verlichting'!BY13</f>
        <v>0</v>
      </c>
      <c r="GC17" s="89">
        <f>$FZ17*'Verwerken verlichting'!BZ13</f>
        <v>0</v>
      </c>
      <c r="GD17" s="89">
        <f>$FZ17*'Verwerken verlichting'!CA13</f>
        <v>0</v>
      </c>
      <c r="GE17" s="89">
        <f>$FZ17*'Verwerken verlichting'!CB13</f>
        <v>0</v>
      </c>
      <c r="GF17" s="89">
        <f>$FZ17*'Verwerken verlichting'!CC13</f>
        <v>0</v>
      </c>
      <c r="GG17" s="89">
        <f>FZ17*'Invoer verlichting'!N12</f>
        <v>0</v>
      </c>
      <c r="GH17" s="89">
        <f>FZ17*'Verwerken verlichting'!AH13</f>
        <v>0</v>
      </c>
      <c r="GI17" s="89">
        <f>FZ17*'Verwerken verlichting'!AG13</f>
        <v>0</v>
      </c>
      <c r="GJ17" s="89">
        <f>FZ17*'Verwerken verlichting'!CE13</f>
        <v>0</v>
      </c>
      <c r="GO17" s="127" t="s">
        <v>886</v>
      </c>
      <c r="HB17" s="127" t="s">
        <v>135</v>
      </c>
    </row>
    <row r="18" spans="1:221" ht="12" customHeight="1" x14ac:dyDescent="0.2">
      <c r="A18" s="155" t="s">
        <v>67</v>
      </c>
      <c r="B18" s="125" t="s">
        <v>452</v>
      </c>
      <c r="C18" s="125" t="s">
        <v>453</v>
      </c>
      <c r="D18" s="125" t="s">
        <v>398</v>
      </c>
      <c r="E18" s="125" t="s">
        <v>399</v>
      </c>
      <c r="F18" s="125" t="s">
        <v>400</v>
      </c>
      <c r="G18" s="125" t="s">
        <v>401</v>
      </c>
      <c r="H18" s="125" t="s">
        <v>402</v>
      </c>
      <c r="I18" s="125" t="s">
        <v>454</v>
      </c>
      <c r="J18" s="125" t="s">
        <v>455</v>
      </c>
      <c r="K18" s="125" t="s">
        <v>456</v>
      </c>
      <c r="L18" s="125" t="s">
        <v>457</v>
      </c>
      <c r="M18" s="125" t="s">
        <v>458</v>
      </c>
      <c r="O18" s="125" t="s">
        <v>452</v>
      </c>
      <c r="P18" s="125" t="s">
        <v>453</v>
      </c>
      <c r="Q18" s="125" t="s">
        <v>398</v>
      </c>
      <c r="R18" s="125" t="s">
        <v>399</v>
      </c>
      <c r="S18" s="125" t="s">
        <v>400</v>
      </c>
      <c r="T18" s="125" t="s">
        <v>401</v>
      </c>
      <c r="U18" s="125" t="s">
        <v>402</v>
      </c>
      <c r="V18" s="125" t="s">
        <v>454</v>
      </c>
      <c r="W18" s="125" t="s">
        <v>455</v>
      </c>
      <c r="X18" s="125" t="s">
        <v>456</v>
      </c>
      <c r="Y18" s="125" t="s">
        <v>457</v>
      </c>
      <c r="Z18" s="125" t="s">
        <v>458</v>
      </c>
      <c r="AB18" s="125" t="s">
        <v>612</v>
      </c>
      <c r="AC18" s="155" t="s">
        <v>69</v>
      </c>
      <c r="AD18" s="125" t="s">
        <v>452</v>
      </c>
      <c r="AE18" s="125" t="s">
        <v>453</v>
      </c>
      <c r="AF18" s="125" t="s">
        <v>398</v>
      </c>
      <c r="AG18" s="125" t="s">
        <v>399</v>
      </c>
      <c r="AH18" s="125" t="s">
        <v>400</v>
      </c>
      <c r="AI18" s="125" t="s">
        <v>401</v>
      </c>
      <c r="AJ18" s="125" t="s">
        <v>402</v>
      </c>
      <c r="AK18" s="125" t="s">
        <v>454</v>
      </c>
      <c r="AL18" s="125" t="s">
        <v>455</v>
      </c>
      <c r="AM18" s="125" t="s">
        <v>456</v>
      </c>
      <c r="AN18" s="125" t="s">
        <v>457</v>
      </c>
      <c r="AO18" s="125" t="s">
        <v>458</v>
      </c>
      <c r="AP18" s="125" t="s">
        <v>757</v>
      </c>
      <c r="AQ18" s="125" t="s">
        <v>47</v>
      </c>
      <c r="AR18" s="125" t="s">
        <v>614</v>
      </c>
      <c r="AS18" s="245"/>
      <c r="AT18" s="125" t="s">
        <v>612</v>
      </c>
      <c r="AU18" s="155" t="s">
        <v>69</v>
      </c>
      <c r="AV18" s="125" t="s">
        <v>452</v>
      </c>
      <c r="AW18" s="125" t="s">
        <v>453</v>
      </c>
      <c r="AX18" s="125" t="s">
        <v>398</v>
      </c>
      <c r="AY18" s="125" t="s">
        <v>399</v>
      </c>
      <c r="AZ18" s="125" t="s">
        <v>400</v>
      </c>
      <c r="BA18" s="125" t="s">
        <v>401</v>
      </c>
      <c r="BB18" s="125" t="s">
        <v>402</v>
      </c>
      <c r="BC18" s="125" t="s">
        <v>454</v>
      </c>
      <c r="BD18" s="125" t="s">
        <v>455</v>
      </c>
      <c r="BE18" s="125" t="s">
        <v>456</v>
      </c>
      <c r="BF18" s="125" t="s">
        <v>457</v>
      </c>
      <c r="BG18" s="125" t="s">
        <v>458</v>
      </c>
      <c r="BH18" s="125" t="s">
        <v>757</v>
      </c>
      <c r="BI18" s="125" t="s">
        <v>47</v>
      </c>
      <c r="BJ18" s="125" t="s">
        <v>614</v>
      </c>
      <c r="BK18" s="125"/>
      <c r="BM18" s="125" t="s">
        <v>228</v>
      </c>
      <c r="BN18" s="155" t="s">
        <v>69</v>
      </c>
      <c r="BO18" s="125" t="s">
        <v>452</v>
      </c>
      <c r="BP18" s="125" t="s">
        <v>453</v>
      </c>
      <c r="BQ18" s="125" t="s">
        <v>398</v>
      </c>
      <c r="BR18" s="125" t="s">
        <v>399</v>
      </c>
      <c r="BS18" s="125" t="s">
        <v>400</v>
      </c>
      <c r="BT18" s="125" t="s">
        <v>401</v>
      </c>
      <c r="BU18" s="125" t="s">
        <v>402</v>
      </c>
      <c r="BV18" s="125" t="s">
        <v>454</v>
      </c>
      <c r="BW18" s="125" t="s">
        <v>455</v>
      </c>
      <c r="BX18" s="125" t="s">
        <v>456</v>
      </c>
      <c r="BY18" s="125" t="s">
        <v>457</v>
      </c>
      <c r="BZ18" s="125" t="s">
        <v>458</v>
      </c>
      <c r="CA18" s="125" t="s">
        <v>757</v>
      </c>
      <c r="CB18" s="125" t="s">
        <v>47</v>
      </c>
      <c r="CC18" s="125"/>
      <c r="CD18" s="245"/>
      <c r="CE18" s="125" t="s">
        <v>226</v>
      </c>
      <c r="CF18" s="155" t="s">
        <v>69</v>
      </c>
      <c r="CG18" s="125" t="s">
        <v>452</v>
      </c>
      <c r="CH18" s="125" t="s">
        <v>453</v>
      </c>
      <c r="CI18" s="125" t="s">
        <v>398</v>
      </c>
      <c r="CJ18" s="125" t="s">
        <v>399</v>
      </c>
      <c r="CK18" s="125" t="s">
        <v>400</v>
      </c>
      <c r="CL18" s="125" t="s">
        <v>401</v>
      </c>
      <c r="CM18" s="125" t="s">
        <v>402</v>
      </c>
      <c r="CN18" s="125" t="s">
        <v>454</v>
      </c>
      <c r="CO18" s="125" t="s">
        <v>455</v>
      </c>
      <c r="CP18" s="125" t="s">
        <v>456</v>
      </c>
      <c r="CQ18" s="125" t="s">
        <v>457</v>
      </c>
      <c r="CR18" s="125" t="s">
        <v>458</v>
      </c>
      <c r="CS18" s="125" t="s">
        <v>757</v>
      </c>
      <c r="CT18" s="125" t="s">
        <v>47</v>
      </c>
      <c r="CU18" s="125" t="s">
        <v>626</v>
      </c>
      <c r="CW18" s="125" t="s">
        <v>452</v>
      </c>
      <c r="CX18" s="125" t="s">
        <v>453</v>
      </c>
      <c r="CY18" s="125" t="s">
        <v>398</v>
      </c>
      <c r="CZ18" s="125" t="s">
        <v>399</v>
      </c>
      <c r="DA18" s="125" t="s">
        <v>400</v>
      </c>
      <c r="DB18" s="125" t="s">
        <v>401</v>
      </c>
      <c r="DC18" s="125" t="s">
        <v>402</v>
      </c>
      <c r="DD18" s="125" t="s">
        <v>454</v>
      </c>
      <c r="DE18" s="125" t="s">
        <v>455</v>
      </c>
      <c r="DF18" s="125" t="s">
        <v>456</v>
      </c>
      <c r="DG18" s="125" t="s">
        <v>457</v>
      </c>
      <c r="DH18" s="125" t="s">
        <v>458</v>
      </c>
      <c r="DI18" s="125" t="s">
        <v>757</v>
      </c>
      <c r="DJ18" s="125" t="s">
        <v>47</v>
      </c>
      <c r="DK18" s="125" t="s">
        <v>614</v>
      </c>
      <c r="DL18" s="125"/>
      <c r="FC18" s="89">
        <f>IF('Verwerken ventilatie'!AJ10=4,1,0)</f>
        <v>0</v>
      </c>
      <c r="FD18" s="89">
        <f>FC18*'Verwerken ventilatie'!BT10</f>
        <v>0</v>
      </c>
      <c r="FE18" s="89">
        <f>FC18*'Verwerken ventilatie'!BU10</f>
        <v>0</v>
      </c>
      <c r="FZ18" s="89">
        <f>IF('Verwerken verlichting'!B14=4,1,0)</f>
        <v>0</v>
      </c>
      <c r="GA18" s="89">
        <f>$FZ18*'Verwerken verlichting'!BX14</f>
        <v>0</v>
      </c>
      <c r="GB18" s="89">
        <f>$FZ18*'Verwerken verlichting'!BY14</f>
        <v>0</v>
      </c>
      <c r="GC18" s="89">
        <f>$FZ18*'Verwerken verlichting'!BZ14</f>
        <v>0</v>
      </c>
      <c r="GD18" s="89">
        <f>$FZ18*'Verwerken verlichting'!CA14</f>
        <v>0</v>
      </c>
      <c r="GE18" s="89">
        <f>$FZ18*'Verwerken verlichting'!CB14</f>
        <v>0</v>
      </c>
      <c r="GF18" s="89">
        <f>$FZ18*'Verwerken verlichting'!CC14</f>
        <v>0</v>
      </c>
      <c r="GG18" s="89">
        <f>FZ18*'Invoer verlichting'!N13</f>
        <v>0</v>
      </c>
      <c r="GH18" s="89">
        <f>FZ18*'Verwerken verlichting'!AH14</f>
        <v>0</v>
      </c>
      <c r="GI18" s="89">
        <f>FZ18*'Verwerken verlichting'!AG14</f>
        <v>0</v>
      </c>
      <c r="GJ18" s="89">
        <f>FZ18*'Verwerken verlichting'!CE14</f>
        <v>0</v>
      </c>
      <c r="GM18" s="125" t="s">
        <v>722</v>
      </c>
      <c r="GN18" s="155" t="s">
        <v>67</v>
      </c>
      <c r="GO18" s="125" t="s">
        <v>452</v>
      </c>
      <c r="GP18" s="125" t="s">
        <v>453</v>
      </c>
      <c r="GQ18" s="125" t="s">
        <v>398</v>
      </c>
      <c r="GR18" s="125" t="s">
        <v>399</v>
      </c>
      <c r="GS18" s="125" t="s">
        <v>400</v>
      </c>
      <c r="GT18" s="125" t="s">
        <v>401</v>
      </c>
      <c r="GU18" s="125" t="s">
        <v>402</v>
      </c>
      <c r="GV18" s="125" t="s">
        <v>454</v>
      </c>
      <c r="GW18" s="125" t="s">
        <v>455</v>
      </c>
      <c r="GX18" s="125" t="s">
        <v>456</v>
      </c>
      <c r="GY18" s="125" t="s">
        <v>457</v>
      </c>
      <c r="GZ18" s="125" t="s">
        <v>458</v>
      </c>
      <c r="HB18" s="125" t="s">
        <v>452</v>
      </c>
      <c r="HC18" s="125" t="s">
        <v>453</v>
      </c>
      <c r="HD18" s="125" t="s">
        <v>398</v>
      </c>
      <c r="HE18" s="125" t="s">
        <v>399</v>
      </c>
      <c r="HF18" s="125" t="s">
        <v>400</v>
      </c>
      <c r="HG18" s="125" t="s">
        <v>401</v>
      </c>
      <c r="HH18" s="125" t="s">
        <v>402</v>
      </c>
      <c r="HI18" s="125" t="s">
        <v>454</v>
      </c>
      <c r="HJ18" s="125" t="s">
        <v>455</v>
      </c>
      <c r="HK18" s="125" t="s">
        <v>456</v>
      </c>
      <c r="HL18" s="125" t="s">
        <v>457</v>
      </c>
      <c r="HM18" s="125" t="s">
        <v>458</v>
      </c>
    </row>
    <row r="19" spans="1:221" x14ac:dyDescent="0.2">
      <c r="A19" s="130">
        <f>IF('Verwerking Bouwdelen'!A3=4,1,0)</f>
        <v>0</v>
      </c>
      <c r="B19" s="208">
        <f>$A19*'Verwerking Bouwdelen'!T3</f>
        <v>0</v>
      </c>
      <c r="C19" s="208">
        <f>$A19*'Verwerking Bouwdelen'!U3</f>
        <v>0</v>
      </c>
      <c r="D19" s="208">
        <f>$A19*'Verwerking Bouwdelen'!V3</f>
        <v>0</v>
      </c>
      <c r="E19" s="208">
        <f>$A19*'Verwerking Bouwdelen'!W3</f>
        <v>0</v>
      </c>
      <c r="F19" s="208">
        <f>$A19*'Verwerking Bouwdelen'!X3</f>
        <v>0</v>
      </c>
      <c r="G19" s="208">
        <f>$A19*'Verwerking Bouwdelen'!Y3</f>
        <v>0</v>
      </c>
      <c r="H19" s="208">
        <f>$A19*'Verwerking Bouwdelen'!Z3</f>
        <v>0</v>
      </c>
      <c r="I19" s="208">
        <f>$A19*'Verwerking Bouwdelen'!AA3</f>
        <v>0</v>
      </c>
      <c r="J19" s="208">
        <f>$A19*'Verwerking Bouwdelen'!AB3</f>
        <v>0</v>
      </c>
      <c r="K19" s="208">
        <f>$A19*'Verwerking Bouwdelen'!AC3</f>
        <v>0</v>
      </c>
      <c r="L19" s="208">
        <f>$A19*'Verwerking Bouwdelen'!AD3</f>
        <v>0</v>
      </c>
      <c r="M19" s="208">
        <f>$A19*'Verwerking Bouwdelen'!AE3</f>
        <v>0</v>
      </c>
      <c r="O19" s="209">
        <f>$A19*'Verwerking Bouwdelen'!AU3</f>
        <v>0</v>
      </c>
      <c r="P19" s="210">
        <f>$A19*'Verwerking Bouwdelen'!AV3</f>
        <v>0</v>
      </c>
      <c r="Q19" s="210">
        <f>$A19*'Verwerking Bouwdelen'!AW3</f>
        <v>0</v>
      </c>
      <c r="R19" s="210">
        <f>$A19*'Verwerking Bouwdelen'!AX3</f>
        <v>0</v>
      </c>
      <c r="S19" s="210">
        <f>$A19*'Verwerking Bouwdelen'!AY3</f>
        <v>0</v>
      </c>
      <c r="T19" s="210">
        <f>$A19*'Verwerking Bouwdelen'!AZ3</f>
        <v>0</v>
      </c>
      <c r="U19" s="210">
        <f>$A19*'Verwerking Bouwdelen'!BA3</f>
        <v>0</v>
      </c>
      <c r="V19" s="210">
        <f>$A19*'Verwerking Bouwdelen'!BB3</f>
        <v>0</v>
      </c>
      <c r="W19" s="210">
        <f>$A19*'Verwerking Bouwdelen'!BC3</f>
        <v>0</v>
      </c>
      <c r="X19" s="210">
        <f>$A19*'Verwerking Bouwdelen'!BD3</f>
        <v>0</v>
      </c>
      <c r="Y19" s="210">
        <f>$A19*'Verwerking Bouwdelen'!BE3</f>
        <v>0</v>
      </c>
      <c r="Z19" s="211">
        <f>$A19*'Verwerking Bouwdelen'!BF3</f>
        <v>0</v>
      </c>
      <c r="AA19" s="245"/>
      <c r="AB19" s="125">
        <f>IF(OR('Verwerking Bouwdelen'!C3=3,'Verwerking Bouwdelen'!C3=6),1,0)</f>
        <v>0</v>
      </c>
      <c r="AC19" s="130">
        <f>IF('Verwerking Bouwdelen'!A3=4,1,0)</f>
        <v>0</v>
      </c>
      <c r="AD19" s="208">
        <f>IF($AB19=1,$AC19*'Verwerking Bouwdelen'!DL3,$AC19*'Verwerking Bouwdelen'!T3)</f>
        <v>0</v>
      </c>
      <c r="AE19" s="208">
        <f>IF($AB19=1,$AC19*'Verwerking Bouwdelen'!DM3,$AC19*'Verwerking Bouwdelen'!U3)</f>
        <v>0</v>
      </c>
      <c r="AF19" s="208">
        <f>IF($AB19=1,$AC19*'Verwerking Bouwdelen'!DN3,$AC19*'Verwerking Bouwdelen'!V3)</f>
        <v>0</v>
      </c>
      <c r="AG19" s="208">
        <f>IF($AB19=1,$AC19*'Verwerking Bouwdelen'!DO3,$AC19*'Verwerking Bouwdelen'!W3)</f>
        <v>0</v>
      </c>
      <c r="AH19" s="208">
        <f>IF($AB19=1,$AC19*'Verwerking Bouwdelen'!DP3,$AC19*'Verwerking Bouwdelen'!X3)</f>
        <v>0</v>
      </c>
      <c r="AI19" s="208">
        <f>IF($AB19=1,$AC19*'Verwerking Bouwdelen'!DQ3,$AC19*'Verwerking Bouwdelen'!Y3)</f>
        <v>0</v>
      </c>
      <c r="AJ19" s="208">
        <f>IF($AB19=1,$AC19*'Verwerking Bouwdelen'!DR3,$AC19*'Verwerking Bouwdelen'!Z3)</f>
        <v>0</v>
      </c>
      <c r="AK19" s="208">
        <f>IF($AB19=1,$AC19*'Verwerking Bouwdelen'!DS3,$AC19*'Verwerking Bouwdelen'!AA3)</f>
        <v>0</v>
      </c>
      <c r="AL19" s="208">
        <f>IF($AB19=1,$AC19*'Verwerking Bouwdelen'!DT3,$AC19*'Verwerking Bouwdelen'!AB3)</f>
        <v>0</v>
      </c>
      <c r="AM19" s="208">
        <f>IF($AB19=1,$AC19*'Verwerking Bouwdelen'!DU3,$AC19*'Verwerking Bouwdelen'!AC3)</f>
        <v>0</v>
      </c>
      <c r="AN19" s="208">
        <f>IF($AB19=1,$AC19*'Verwerking Bouwdelen'!DV3,$AC19*'Verwerking Bouwdelen'!AD3)</f>
        <v>0</v>
      </c>
      <c r="AO19" s="208">
        <f>IF($AB19=1,$AC19*'Verwerking Bouwdelen'!DW3,$AC19*'Verwerking Bouwdelen'!AE3)</f>
        <v>0</v>
      </c>
      <c r="AP19" s="10">
        <f>IF(AD19=B19,0,'Verwerking Bouwdelen'!D3*AB19*AC19)</f>
        <v>0</v>
      </c>
      <c r="AQ19" s="10">
        <f>AB19*AC19*'Verwerking Bouwdelen'!$GH$3</f>
        <v>0</v>
      </c>
      <c r="AR19" s="10"/>
      <c r="AS19" s="248"/>
      <c r="AT19" s="125">
        <f>IF('Verwerking Bouwdelen'!C3=4,1,0)</f>
        <v>0</v>
      </c>
      <c r="AU19" s="130">
        <f>IF('Verwerking Bouwdelen'!A3=4,1,0)</f>
        <v>0</v>
      </c>
      <c r="AV19" s="208">
        <f>IF($AT19=1,$AU19*'Verwerking Bouwdelen'!DL3,$AU19*'Verwerking Bouwdelen'!T3)</f>
        <v>0</v>
      </c>
      <c r="AW19" s="208">
        <f>IF($AT19=1,$AU19*'Verwerking Bouwdelen'!DM3,$AU19*'Verwerking Bouwdelen'!U3)</f>
        <v>0</v>
      </c>
      <c r="AX19" s="208">
        <f>IF($AT19=1,$AU19*'Verwerking Bouwdelen'!DN3,$AU19*'Verwerking Bouwdelen'!V3)</f>
        <v>0</v>
      </c>
      <c r="AY19" s="208">
        <f>IF($AT19=1,$AU19*'Verwerking Bouwdelen'!DO3,$AU19*'Verwerking Bouwdelen'!W3)</f>
        <v>0</v>
      </c>
      <c r="AZ19" s="208">
        <f>IF($AT19=1,$AU19*'Verwerking Bouwdelen'!DP3,$AU19*'Verwerking Bouwdelen'!X3)</f>
        <v>0</v>
      </c>
      <c r="BA19" s="208">
        <f>IF($AT19=1,$AU19*'Verwerking Bouwdelen'!DQ3,$AU19*'Verwerking Bouwdelen'!Y3)</f>
        <v>0</v>
      </c>
      <c r="BB19" s="208">
        <f>IF($AT19=1,$AU19*'Verwerking Bouwdelen'!DR3,$AU19*'Verwerking Bouwdelen'!Z3)</f>
        <v>0</v>
      </c>
      <c r="BC19" s="208">
        <f>IF($AT19=1,$AU19*'Verwerking Bouwdelen'!DS3,$AU19*'Verwerking Bouwdelen'!AA3)</f>
        <v>0</v>
      </c>
      <c r="BD19" s="208">
        <f>IF($AT19=1,$AU19*'Verwerking Bouwdelen'!DT3,$AU19*'Verwerking Bouwdelen'!AB3)</f>
        <v>0</v>
      </c>
      <c r="BE19" s="208">
        <f>IF($AT19=1,$AU19*'Verwerking Bouwdelen'!DU3,$AU19*'Verwerking Bouwdelen'!AC3)</f>
        <v>0</v>
      </c>
      <c r="BF19" s="208">
        <f>IF($AT19=1,$AU19*'Verwerking Bouwdelen'!DV3,$AU19*'Verwerking Bouwdelen'!AD3)</f>
        <v>0</v>
      </c>
      <c r="BG19" s="208">
        <f>IF($AT19=1,$AU19*'Verwerking Bouwdelen'!DW3,$AU19*'Verwerking Bouwdelen'!AE3)</f>
        <v>0</v>
      </c>
      <c r="BH19" s="10">
        <f>IF(AV19=B19,0,'Verwerking Bouwdelen'!D3*AT19*AU19)</f>
        <v>0</v>
      </c>
      <c r="BI19" s="10">
        <f>AT19*AU19*'Verwerking Bouwdelen'!GH3</f>
        <v>0</v>
      </c>
      <c r="BJ19" s="10"/>
      <c r="BK19" s="10"/>
      <c r="BM19" s="125">
        <f>IF('Verwerking Bouwdelen'!C3=5,1,0)</f>
        <v>0</v>
      </c>
      <c r="BN19" s="130">
        <f>IF('Verwerking Bouwdelen'!A3=4,1,0)</f>
        <v>0</v>
      </c>
      <c r="BO19" s="208">
        <f>IF($BM19=1,$BN19*'Verwerking Bouwdelen'!DL3,$BN19*'Verwerking Bouwdelen'!T3)</f>
        <v>0</v>
      </c>
      <c r="BP19" s="208">
        <f>IF($BM19=1,$BN19*'Verwerking Bouwdelen'!DM3,$BN19*'Verwerking Bouwdelen'!U3)</f>
        <v>0</v>
      </c>
      <c r="BQ19" s="208">
        <f>IF($BM19=1,$BN19*'Verwerking Bouwdelen'!DN3,$BN19*'Verwerking Bouwdelen'!V3)</f>
        <v>0</v>
      </c>
      <c r="BR19" s="208">
        <f>IF($BM19=1,$BN19*'Verwerking Bouwdelen'!DO3,$BN19*'Verwerking Bouwdelen'!W3)</f>
        <v>0</v>
      </c>
      <c r="BS19" s="208">
        <f>IF($BM19=1,$BN19*'Verwerking Bouwdelen'!DP3,$BN19*'Verwerking Bouwdelen'!X3)</f>
        <v>0</v>
      </c>
      <c r="BT19" s="208">
        <f>IF($BM19=1,$BN19*'Verwerking Bouwdelen'!DQ3,$BN19*'Verwerking Bouwdelen'!Y3)</f>
        <v>0</v>
      </c>
      <c r="BU19" s="208">
        <f>IF($BM19=1,$BN19*'Verwerking Bouwdelen'!DR3,$BN19*'Verwerking Bouwdelen'!Z3)</f>
        <v>0</v>
      </c>
      <c r="BV19" s="208">
        <f>IF($BM19=1,$BN19*'Verwerking Bouwdelen'!DS3,$BN19*'Verwerking Bouwdelen'!AA3)</f>
        <v>0</v>
      </c>
      <c r="BW19" s="208">
        <f>IF($BM19=1,$BN19*'Verwerking Bouwdelen'!DT3,$BN19*'Verwerking Bouwdelen'!AB3)</f>
        <v>0</v>
      </c>
      <c r="BX19" s="208">
        <f>IF($BM19=1,$BN19*'Verwerking Bouwdelen'!DU3,$BN19*'Verwerking Bouwdelen'!AC3)</f>
        <v>0</v>
      </c>
      <c r="BY19" s="208">
        <f>IF($BM19=1,$BN19*'Verwerking Bouwdelen'!DV3,$BN19*'Verwerking Bouwdelen'!AD3)</f>
        <v>0</v>
      </c>
      <c r="BZ19" s="208">
        <f>IF($BM19=1,$BN19*'Verwerking Bouwdelen'!DW3,$BN19*'Verwerking Bouwdelen'!AE3)</f>
        <v>0</v>
      </c>
      <c r="CA19" s="10">
        <f>IF(BO19=$B19,0,'Verwerking Bouwdelen'!$D3*BM19*BN19)</f>
        <v>0</v>
      </c>
      <c r="CB19" s="10">
        <f>BM19*BN19*'Verwerking Bouwdelen'!GH3</f>
        <v>0</v>
      </c>
      <c r="CC19" s="10"/>
      <c r="CD19" s="248"/>
      <c r="CE19" s="125">
        <f>IF('Verwerking Bouwdelen'!C3=2,1,0)</f>
        <v>0</v>
      </c>
      <c r="CF19" s="130">
        <f>IF('Verwerking Bouwdelen'!A3=4,1,0)</f>
        <v>0</v>
      </c>
      <c r="CG19" s="208">
        <f>IF($CE19=1,$CF19*'Verwerking Bouwdelen'!DL3,$CF19*'Verwerking Bouwdelen'!T3)</f>
        <v>0</v>
      </c>
      <c r="CH19" s="208">
        <f>IF($CE19=1,$CF19*'Verwerking Bouwdelen'!DM3,$CF19*'Verwerking Bouwdelen'!U3)</f>
        <v>0</v>
      </c>
      <c r="CI19" s="208">
        <f>IF($CE19=1,$CF19*'Verwerking Bouwdelen'!DN3,$CF19*'Verwerking Bouwdelen'!V3)</f>
        <v>0</v>
      </c>
      <c r="CJ19" s="208">
        <f>IF($CE19=1,$CF19*'Verwerking Bouwdelen'!DO3,$CF19*'Verwerking Bouwdelen'!W3)</f>
        <v>0</v>
      </c>
      <c r="CK19" s="208">
        <f>IF($CE19=1,$CF19*'Verwerking Bouwdelen'!DP3,$CF19*'Verwerking Bouwdelen'!X3)</f>
        <v>0</v>
      </c>
      <c r="CL19" s="208">
        <f>IF($CE19=1,$CF19*'Verwerking Bouwdelen'!DQ3,$CF19*'Verwerking Bouwdelen'!Y3)</f>
        <v>0</v>
      </c>
      <c r="CM19" s="208">
        <f>IF($CE19=1,$CF19*'Verwerking Bouwdelen'!DR3,$CF19*'Verwerking Bouwdelen'!Z3)</f>
        <v>0</v>
      </c>
      <c r="CN19" s="208">
        <f>IF($CE19=1,$CF19*'Verwerking Bouwdelen'!DS3,$CF19*'Verwerking Bouwdelen'!AA3)</f>
        <v>0</v>
      </c>
      <c r="CO19" s="208">
        <f>IF($CE19=1,$CF19*'Verwerking Bouwdelen'!DT3,$CF19*'Verwerking Bouwdelen'!AB3)</f>
        <v>0</v>
      </c>
      <c r="CP19" s="208">
        <f>IF($CE19=1,$CF19*'Verwerking Bouwdelen'!DU3,$CF19*'Verwerking Bouwdelen'!AC3)</f>
        <v>0</v>
      </c>
      <c r="CQ19" s="208">
        <f>IF($CE19=1,$CF19*'Verwerking Bouwdelen'!DV3,$CF19*'Verwerking Bouwdelen'!AD3)</f>
        <v>0</v>
      </c>
      <c r="CR19" s="208">
        <f>IF($CE19=1,$CF19*'Verwerking Bouwdelen'!DW3,$CF19*'Verwerking Bouwdelen'!AE3)</f>
        <v>0</v>
      </c>
      <c r="CS19" s="10">
        <f>IF(CG19=$B19,0,('Verwerking Bouwdelen'!$D3-'Verwerking Bouwdelen'!G3)*CE19*CF19)</f>
        <v>0</v>
      </c>
      <c r="CT19" s="260">
        <f>CE19*CF19*'Verwerking Bouwdelen'!GH3</f>
        <v>0</v>
      </c>
      <c r="CU19" s="260">
        <f>CE19*CF19*'Verwerking Bouwdelen'!GI3</f>
        <v>0</v>
      </c>
      <c r="CW19" s="209">
        <f>$AC19*'Verwerking Bouwdelen'!EE3</f>
        <v>0</v>
      </c>
      <c r="CX19" s="209">
        <f>$AC19*'Verwerking Bouwdelen'!EF3</f>
        <v>0</v>
      </c>
      <c r="CY19" s="209">
        <f>$AC19*'Verwerking Bouwdelen'!EG3</f>
        <v>0</v>
      </c>
      <c r="CZ19" s="209">
        <f>$AC19*'Verwerking Bouwdelen'!EH3</f>
        <v>0</v>
      </c>
      <c r="DA19" s="209">
        <f>$AC19*'Verwerking Bouwdelen'!EI3</f>
        <v>0</v>
      </c>
      <c r="DB19" s="209">
        <f>$AC19*'Verwerking Bouwdelen'!EJ3</f>
        <v>0</v>
      </c>
      <c r="DC19" s="209">
        <f>$AC19*'Verwerking Bouwdelen'!EK3</f>
        <v>0</v>
      </c>
      <c r="DD19" s="209">
        <f>$AC19*'Verwerking Bouwdelen'!EL3</f>
        <v>0</v>
      </c>
      <c r="DE19" s="209">
        <f>$AC19*'Verwerking Bouwdelen'!EM3</f>
        <v>0</v>
      </c>
      <c r="DF19" s="209">
        <f>$AC19*'Verwerking Bouwdelen'!EN3</f>
        <v>0</v>
      </c>
      <c r="DG19" s="209">
        <f>$AC19*'Verwerking Bouwdelen'!EO3</f>
        <v>0</v>
      </c>
      <c r="DH19" s="209">
        <f>$AC19*'Verwerking Bouwdelen'!EP3</f>
        <v>0</v>
      </c>
      <c r="DI19" s="10">
        <f>IF(CW19=$O19,0,'Verwerking Bouwdelen'!G3)</f>
        <v>0</v>
      </c>
      <c r="DJ19" s="259">
        <f>'Verwerking Bouwdelen'!GK3*CF19</f>
        <v>0</v>
      </c>
      <c r="DK19" s="259">
        <f>'Verwerking Bouwdelen'!GL3*CF19</f>
        <v>0</v>
      </c>
      <c r="DL19" s="125"/>
      <c r="DM19" s="245"/>
      <c r="FC19" s="89">
        <f>IF('Verwerken ventilatie'!AJ11=4,1,0)</f>
        <v>0</v>
      </c>
      <c r="FD19" s="89">
        <f>FC19*'Verwerken ventilatie'!BT11</f>
        <v>0</v>
      </c>
      <c r="FE19" s="89">
        <f>FC19*'Verwerken ventilatie'!BU11</f>
        <v>0</v>
      </c>
      <c r="FZ19" s="89">
        <f>IF('Verwerken verlichting'!B15=4,1,0)</f>
        <v>0</v>
      </c>
      <c r="GA19" s="89">
        <f>$FZ19*'Verwerken verlichting'!BX15</f>
        <v>0</v>
      </c>
      <c r="GB19" s="89">
        <f>$FZ19*'Verwerken verlichting'!BY15</f>
        <v>0</v>
      </c>
      <c r="GC19" s="89">
        <f>$FZ19*'Verwerken verlichting'!BZ15</f>
        <v>0</v>
      </c>
      <c r="GD19" s="89">
        <f>$FZ19*'Verwerken verlichting'!CA15</f>
        <v>0</v>
      </c>
      <c r="GE19" s="89">
        <f>$FZ19*'Verwerken verlichting'!CB15</f>
        <v>0</v>
      </c>
      <c r="GF19" s="89">
        <f>$FZ19*'Verwerken verlichting'!CC15</f>
        <v>0</v>
      </c>
      <c r="GG19" s="89">
        <f>FZ19*'Invoer verlichting'!N14</f>
        <v>0</v>
      </c>
      <c r="GH19" s="89">
        <f>FZ19*'Verwerken verlichting'!AH15</f>
        <v>0</v>
      </c>
      <c r="GI19" s="89">
        <f>FZ19*'Verwerken verlichting'!AG15</f>
        <v>0</v>
      </c>
      <c r="GJ19" s="89">
        <f>FZ19*'Verwerken verlichting'!CE15</f>
        <v>0</v>
      </c>
      <c r="GM19" s="89">
        <f>AB19+AT19+BM19+CE19</f>
        <v>0</v>
      </c>
      <c r="GN19" s="89">
        <f>A19</f>
        <v>0</v>
      </c>
      <c r="GO19" s="208">
        <f>IF($GN19=1,$GN19*$GM19*'Verwerking Bouwdelen'!DL3,$GN19*$GM19*'Verwerking Bouwdelen'!T3)</f>
        <v>0</v>
      </c>
      <c r="GP19" s="208">
        <f>IF($GN19=1,$GN19*$GM19*'Verwerking Bouwdelen'!DM3,$GN19*$GM19*'Verwerking Bouwdelen'!U3)</f>
        <v>0</v>
      </c>
      <c r="GQ19" s="208">
        <f>IF($GN19=1,$GN19*$GM19*'Verwerking Bouwdelen'!DN3,$GN19*$GM19*'Verwerking Bouwdelen'!V3)</f>
        <v>0</v>
      </c>
      <c r="GR19" s="208">
        <f>IF($GN19=1,$GN19*$GM19*'Verwerking Bouwdelen'!DO3,$GN19*$GM19*'Verwerking Bouwdelen'!W3)</f>
        <v>0</v>
      </c>
      <c r="GS19" s="208">
        <f>IF($GN19=1,$GN19*$GM19*'Verwerking Bouwdelen'!DP3,$GN19*$GM19*'Verwerking Bouwdelen'!X3)</f>
        <v>0</v>
      </c>
      <c r="GT19" s="208">
        <f>IF($GN19=1,$GN19*$GM19*'Verwerking Bouwdelen'!DQ3,$GN19*$GM19*'Verwerking Bouwdelen'!Y3)</f>
        <v>0</v>
      </c>
      <c r="GU19" s="208">
        <f>IF($GN19=1,$GN19*$GM19*'Verwerking Bouwdelen'!DR3,$GN19*$GM19*'Verwerking Bouwdelen'!Z3)</f>
        <v>0</v>
      </c>
      <c r="GV19" s="208">
        <f>IF($GN19=1,$GN19*$GM19*'Verwerking Bouwdelen'!DS3,$GN19*$GM19*'Verwerking Bouwdelen'!AA3)</f>
        <v>0</v>
      </c>
      <c r="GW19" s="208">
        <f>IF($GN19=1,$GN19*$GM19*'Verwerking Bouwdelen'!DT3,$GN19*$GM19*'Verwerking Bouwdelen'!AB3)</f>
        <v>0</v>
      </c>
      <c r="GX19" s="208">
        <f>IF($GN19=1,$GN19*$GM19*'Verwerking Bouwdelen'!DU3,$GN19*$GM19*'Verwerking Bouwdelen'!AC3)</f>
        <v>0</v>
      </c>
      <c r="GY19" s="208">
        <f>IF($GN19=1,$GN19*$GM19*'Verwerking Bouwdelen'!DV3,$GN19*$GM19*'Verwerking Bouwdelen'!AD3)</f>
        <v>0</v>
      </c>
      <c r="GZ19" s="208">
        <f>IF($GN19=1,$GN19*$GM19*'Verwerking Bouwdelen'!DW3,$GN19*$GM19*'Verwerking Bouwdelen'!AE3)</f>
        <v>0</v>
      </c>
      <c r="HB19" s="89">
        <f t="shared" ref="HB19:HB39" si="1">CW19</f>
        <v>0</v>
      </c>
      <c r="HC19" s="89">
        <f t="shared" ref="HC19:HC39" si="2">CX19</f>
        <v>0</v>
      </c>
      <c r="HD19" s="89">
        <f t="shared" ref="HD19:HD39" si="3">CY19</f>
        <v>0</v>
      </c>
      <c r="HE19" s="89">
        <f t="shared" ref="HE19:HE39" si="4">CZ19</f>
        <v>0</v>
      </c>
      <c r="HF19" s="89">
        <f t="shared" ref="HF19:HF39" si="5">DA19</f>
        <v>0</v>
      </c>
      <c r="HG19" s="89">
        <f t="shared" ref="HG19:HG39" si="6">DB19</f>
        <v>0</v>
      </c>
      <c r="HH19" s="89">
        <f t="shared" ref="HH19:HH39" si="7">DC19</f>
        <v>0</v>
      </c>
      <c r="HI19" s="89">
        <f t="shared" ref="HI19:HI39" si="8">DD19</f>
        <v>0</v>
      </c>
      <c r="HJ19" s="89">
        <f t="shared" ref="HJ19:HJ39" si="9">DE19</f>
        <v>0</v>
      </c>
      <c r="HK19" s="89">
        <f t="shared" ref="HK19:HK39" si="10">DF19</f>
        <v>0</v>
      </c>
      <c r="HL19" s="89">
        <f t="shared" ref="HL19:HL39" si="11">DG19</f>
        <v>0</v>
      </c>
      <c r="HM19" s="89">
        <f t="shared" ref="HM19:HM39" si="12">DH19</f>
        <v>0</v>
      </c>
    </row>
    <row r="20" spans="1:221" x14ac:dyDescent="0.2">
      <c r="A20" s="130">
        <f>IF('Verwerking Bouwdelen'!A4=4,1,0)</f>
        <v>0</v>
      </c>
      <c r="B20" s="208">
        <f>$A20*'Verwerking Bouwdelen'!T4</f>
        <v>0</v>
      </c>
      <c r="C20" s="208">
        <f>$A20*'Verwerking Bouwdelen'!U4</f>
        <v>0</v>
      </c>
      <c r="D20" s="208">
        <f>$A20*'Verwerking Bouwdelen'!V4</f>
        <v>0</v>
      </c>
      <c r="E20" s="208">
        <f>$A20*'Verwerking Bouwdelen'!W4</f>
        <v>0</v>
      </c>
      <c r="F20" s="208">
        <f>$A20*'Verwerking Bouwdelen'!X4</f>
        <v>0</v>
      </c>
      <c r="G20" s="208">
        <f>$A20*'Verwerking Bouwdelen'!Y4</f>
        <v>0</v>
      </c>
      <c r="H20" s="208">
        <f>$A20*'Verwerking Bouwdelen'!Z4</f>
        <v>0</v>
      </c>
      <c r="I20" s="208">
        <f>$A20*'Verwerking Bouwdelen'!AA4</f>
        <v>0</v>
      </c>
      <c r="J20" s="208">
        <f>$A20*'Verwerking Bouwdelen'!AB4</f>
        <v>0</v>
      </c>
      <c r="K20" s="208">
        <f>$A20*'Verwerking Bouwdelen'!AC4</f>
        <v>0</v>
      </c>
      <c r="L20" s="208">
        <f>$A20*'Verwerking Bouwdelen'!AD4</f>
        <v>0</v>
      </c>
      <c r="M20" s="208">
        <f>$A20*'Verwerking Bouwdelen'!AE4</f>
        <v>0</v>
      </c>
      <c r="O20" s="114">
        <f>$A20*'Verwerking Bouwdelen'!AU4</f>
        <v>0</v>
      </c>
      <c r="P20" s="125">
        <f>$A20*'Verwerking Bouwdelen'!AV4</f>
        <v>0</v>
      </c>
      <c r="Q20" s="125">
        <f>$A20*'Verwerking Bouwdelen'!AW4</f>
        <v>0</v>
      </c>
      <c r="R20" s="125">
        <f>$A20*'Verwerking Bouwdelen'!AX4</f>
        <v>0</v>
      </c>
      <c r="S20" s="125">
        <f>$A20*'Verwerking Bouwdelen'!AY4</f>
        <v>0</v>
      </c>
      <c r="T20" s="125">
        <f>$A20*'Verwerking Bouwdelen'!AZ4</f>
        <v>0</v>
      </c>
      <c r="U20" s="125">
        <f>$A20*'Verwerking Bouwdelen'!BA4</f>
        <v>0</v>
      </c>
      <c r="V20" s="125">
        <f>$A20*'Verwerking Bouwdelen'!BB4</f>
        <v>0</v>
      </c>
      <c r="W20" s="125">
        <f>$A20*'Verwerking Bouwdelen'!BC4</f>
        <v>0</v>
      </c>
      <c r="X20" s="125">
        <f>$A20*'Verwerking Bouwdelen'!BD4</f>
        <v>0</v>
      </c>
      <c r="Y20" s="125">
        <f>$A20*'Verwerking Bouwdelen'!BE4</f>
        <v>0</v>
      </c>
      <c r="Z20" s="195">
        <f>$A20*'Verwerking Bouwdelen'!BF4</f>
        <v>0</v>
      </c>
      <c r="AB20" s="125">
        <f>IF(OR('Verwerking Bouwdelen'!C4=3,'Verwerking Bouwdelen'!C4=6),1,0)</f>
        <v>0</v>
      </c>
      <c r="AC20" s="130">
        <f>IF('Verwerking Bouwdelen'!A4=4,1,0)</f>
        <v>0</v>
      </c>
      <c r="AD20" s="208">
        <f>IF($AB20=1,$AC20*'Verwerking Bouwdelen'!DL4,$AC20*'Verwerking Bouwdelen'!T4)</f>
        <v>0</v>
      </c>
      <c r="AE20" s="208">
        <f>IF($AB20=1,$AC20*'Verwerking Bouwdelen'!DM4,$AC20*'Verwerking Bouwdelen'!U4)</f>
        <v>0</v>
      </c>
      <c r="AF20" s="208">
        <f>IF($AB20=1,$AC20*'Verwerking Bouwdelen'!DN4,$AC20*'Verwerking Bouwdelen'!V4)</f>
        <v>0</v>
      </c>
      <c r="AG20" s="208">
        <f>IF($AB20=1,$AC20*'Verwerking Bouwdelen'!DO4,$AC20*'Verwerking Bouwdelen'!W4)</f>
        <v>0</v>
      </c>
      <c r="AH20" s="208">
        <f>IF($AB20=1,$AC20*'Verwerking Bouwdelen'!DP4,$AC20*'Verwerking Bouwdelen'!X4)</f>
        <v>0</v>
      </c>
      <c r="AI20" s="208">
        <f>IF($AB20=1,$AC20*'Verwerking Bouwdelen'!DQ4,$AC20*'Verwerking Bouwdelen'!Y4)</f>
        <v>0</v>
      </c>
      <c r="AJ20" s="208">
        <f>IF($AB20=1,$AC20*'Verwerking Bouwdelen'!DR4,$AC20*'Verwerking Bouwdelen'!Z4)</f>
        <v>0</v>
      </c>
      <c r="AK20" s="208">
        <f>IF($AB20=1,$AC20*'Verwerking Bouwdelen'!DS4,$AC20*'Verwerking Bouwdelen'!AA4)</f>
        <v>0</v>
      </c>
      <c r="AL20" s="208">
        <f>IF($AB20=1,$AC20*'Verwerking Bouwdelen'!DT4,$AC20*'Verwerking Bouwdelen'!AB4)</f>
        <v>0</v>
      </c>
      <c r="AM20" s="208">
        <f>IF($AB20=1,$AC20*'Verwerking Bouwdelen'!DU4,$AC20*'Verwerking Bouwdelen'!AC4)</f>
        <v>0</v>
      </c>
      <c r="AN20" s="208">
        <f>IF($AB20=1,$AC20*'Verwerking Bouwdelen'!DV4,$AC20*'Verwerking Bouwdelen'!AD4)</f>
        <v>0</v>
      </c>
      <c r="AO20" s="208">
        <f>IF($AB20=1,$AC20*'Verwerking Bouwdelen'!DW4,$AC20*'Verwerking Bouwdelen'!AE4)</f>
        <v>0</v>
      </c>
      <c r="AP20" s="10">
        <f>IF(AD20=B20,0,'Verwerking Bouwdelen'!D4*AB20*AC20)</f>
        <v>0</v>
      </c>
      <c r="AQ20" s="10">
        <f>AB20*AC20*'Verwerking Bouwdelen'!GH4</f>
        <v>0</v>
      </c>
      <c r="AR20" s="10"/>
      <c r="AS20" s="248"/>
      <c r="AT20" s="125">
        <f>IF('Verwerking Bouwdelen'!C4=4,1,0)</f>
        <v>0</v>
      </c>
      <c r="AU20" s="130">
        <f>IF('Verwerking Bouwdelen'!A4=4,1,0)</f>
        <v>0</v>
      </c>
      <c r="AV20" s="208">
        <f>IF($AT20=1,$AU20*'Verwerking Bouwdelen'!DL4,$AU20*'Verwerking Bouwdelen'!T4)</f>
        <v>0</v>
      </c>
      <c r="AW20" s="208">
        <f>IF($AT20=1,$AU20*'Verwerking Bouwdelen'!DM4,$AU20*'Verwerking Bouwdelen'!U4)</f>
        <v>0</v>
      </c>
      <c r="AX20" s="208">
        <f>IF($AT20=1,$AU20*'Verwerking Bouwdelen'!DN4,$AU20*'Verwerking Bouwdelen'!V4)</f>
        <v>0</v>
      </c>
      <c r="AY20" s="208">
        <f>IF($AT20=1,$AU20*'Verwerking Bouwdelen'!DO4,$AU20*'Verwerking Bouwdelen'!W4)</f>
        <v>0</v>
      </c>
      <c r="AZ20" s="208">
        <f>IF($AT20=1,$AU20*'Verwerking Bouwdelen'!DP4,$AU20*'Verwerking Bouwdelen'!X4)</f>
        <v>0</v>
      </c>
      <c r="BA20" s="208">
        <f>IF($AT20=1,$AU20*'Verwerking Bouwdelen'!DQ4,$AU20*'Verwerking Bouwdelen'!Y4)</f>
        <v>0</v>
      </c>
      <c r="BB20" s="208">
        <f>IF($AT20=1,$AU20*'Verwerking Bouwdelen'!DR4,$AU20*'Verwerking Bouwdelen'!Z4)</f>
        <v>0</v>
      </c>
      <c r="BC20" s="208">
        <f>IF($AT20=1,$AU20*'Verwerking Bouwdelen'!DS4,$AU20*'Verwerking Bouwdelen'!AA4)</f>
        <v>0</v>
      </c>
      <c r="BD20" s="208">
        <f>IF($AT20=1,$AU20*'Verwerking Bouwdelen'!DT4,$AU20*'Verwerking Bouwdelen'!AB4)</f>
        <v>0</v>
      </c>
      <c r="BE20" s="208">
        <f>IF($AT20=1,$AU20*'Verwerking Bouwdelen'!DU4,$AU20*'Verwerking Bouwdelen'!AC4)</f>
        <v>0</v>
      </c>
      <c r="BF20" s="208">
        <f>IF($AT20=1,$AU20*'Verwerking Bouwdelen'!DV4,$AU20*'Verwerking Bouwdelen'!AD4)</f>
        <v>0</v>
      </c>
      <c r="BG20" s="208">
        <f>IF($AT20=1,$AU20*'Verwerking Bouwdelen'!DW4,$AU20*'Verwerking Bouwdelen'!AE4)</f>
        <v>0</v>
      </c>
      <c r="BH20" s="10">
        <f>IF(AV20=B20,0,'Verwerking Bouwdelen'!D4*AT20*AU20)</f>
        <v>0</v>
      </c>
      <c r="BI20" s="10">
        <f>AT20*AU20*'Verwerking Bouwdelen'!GH4</f>
        <v>0</v>
      </c>
      <c r="BJ20" s="10"/>
      <c r="BK20" s="10"/>
      <c r="BM20" s="125">
        <f>IF('Verwerking Bouwdelen'!C4=5,1,0)</f>
        <v>0</v>
      </c>
      <c r="BN20" s="130">
        <f>IF('Verwerking Bouwdelen'!A4=4,1,0)</f>
        <v>0</v>
      </c>
      <c r="BO20" s="208">
        <f>IF($BM20=1,$BN20*'Verwerking Bouwdelen'!DL4,$BN20*'Verwerking Bouwdelen'!T4)</f>
        <v>0</v>
      </c>
      <c r="BP20" s="208">
        <f>IF($BM20=1,$BN20*'Verwerking Bouwdelen'!DM4,$BN20*'Verwerking Bouwdelen'!U4)</f>
        <v>0</v>
      </c>
      <c r="BQ20" s="208">
        <f>IF($BM20=1,$BN20*'Verwerking Bouwdelen'!DN4,$BN20*'Verwerking Bouwdelen'!V4)</f>
        <v>0</v>
      </c>
      <c r="BR20" s="208">
        <f>IF($BM20=1,$BN20*'Verwerking Bouwdelen'!DO4,$BN20*'Verwerking Bouwdelen'!W4)</f>
        <v>0</v>
      </c>
      <c r="BS20" s="208">
        <f>IF($BM20=1,$BN20*'Verwerking Bouwdelen'!DP4,$BN20*'Verwerking Bouwdelen'!X4)</f>
        <v>0</v>
      </c>
      <c r="BT20" s="208">
        <f>IF($BM20=1,$BN20*'Verwerking Bouwdelen'!DQ4,$BN20*'Verwerking Bouwdelen'!Y4)</f>
        <v>0</v>
      </c>
      <c r="BU20" s="208">
        <f>IF($BM20=1,$BN20*'Verwerking Bouwdelen'!DR4,$BN20*'Verwerking Bouwdelen'!Z4)</f>
        <v>0</v>
      </c>
      <c r="BV20" s="208">
        <f>IF($BM20=1,$BN20*'Verwerking Bouwdelen'!DS4,$BN20*'Verwerking Bouwdelen'!AA4)</f>
        <v>0</v>
      </c>
      <c r="BW20" s="208">
        <f>IF($BM20=1,$BN20*'Verwerking Bouwdelen'!DT4,$BN20*'Verwerking Bouwdelen'!AB4)</f>
        <v>0</v>
      </c>
      <c r="BX20" s="208">
        <f>IF($BM20=1,$BN20*'Verwerking Bouwdelen'!DU4,$BN20*'Verwerking Bouwdelen'!AC4)</f>
        <v>0</v>
      </c>
      <c r="BY20" s="208">
        <f>IF($BM20=1,$BN20*'Verwerking Bouwdelen'!DV4,$BN20*'Verwerking Bouwdelen'!AD4)</f>
        <v>0</v>
      </c>
      <c r="BZ20" s="208">
        <f>IF($BM20=1,$BN20*'Verwerking Bouwdelen'!DW4,$BN20*'Verwerking Bouwdelen'!AE4)</f>
        <v>0</v>
      </c>
      <c r="CA20" s="10">
        <f>IF(BO20=$B20,0,'Verwerking Bouwdelen'!$D4*BM20*BN20)</f>
        <v>0</v>
      </c>
      <c r="CB20" s="10">
        <f>BM20*BN20*'Verwerking Bouwdelen'!GH4</f>
        <v>0</v>
      </c>
      <c r="CC20" s="10"/>
      <c r="CD20" s="248"/>
      <c r="CE20" s="125">
        <f>IF('Verwerking Bouwdelen'!C4=2,1,0)</f>
        <v>0</v>
      </c>
      <c r="CF20" s="130">
        <f>IF('Verwerking Bouwdelen'!A4=4,1,0)</f>
        <v>0</v>
      </c>
      <c r="CG20" s="208">
        <f>IF($CE20=1,$CF20*'Verwerking Bouwdelen'!DL4,$CF20*'Verwerking Bouwdelen'!T4)</f>
        <v>0</v>
      </c>
      <c r="CH20" s="208">
        <f>IF($CE20=1,$CF20*'Verwerking Bouwdelen'!DM4,$CF20*'Verwerking Bouwdelen'!U4)</f>
        <v>0</v>
      </c>
      <c r="CI20" s="208">
        <f>IF($CE20=1,$CF20*'Verwerking Bouwdelen'!DN4,$CF20*'Verwerking Bouwdelen'!V4)</f>
        <v>0</v>
      </c>
      <c r="CJ20" s="208">
        <f>IF($CE20=1,$CF20*'Verwerking Bouwdelen'!DO4,$CF20*'Verwerking Bouwdelen'!W4)</f>
        <v>0</v>
      </c>
      <c r="CK20" s="208">
        <f>IF($CE20=1,$CF20*'Verwerking Bouwdelen'!DP4,$CF20*'Verwerking Bouwdelen'!X4)</f>
        <v>0</v>
      </c>
      <c r="CL20" s="208">
        <f>IF($CE20=1,$CF20*'Verwerking Bouwdelen'!DQ4,$CF20*'Verwerking Bouwdelen'!Y4)</f>
        <v>0</v>
      </c>
      <c r="CM20" s="208">
        <f>IF($CE20=1,$CF20*'Verwerking Bouwdelen'!DR4,$CF20*'Verwerking Bouwdelen'!Z4)</f>
        <v>0</v>
      </c>
      <c r="CN20" s="208">
        <f>IF($CE20=1,$CF20*'Verwerking Bouwdelen'!DS4,$CF20*'Verwerking Bouwdelen'!AA4)</f>
        <v>0</v>
      </c>
      <c r="CO20" s="208">
        <f>IF($CE20=1,$CF20*'Verwerking Bouwdelen'!DT4,$CF20*'Verwerking Bouwdelen'!AB4)</f>
        <v>0</v>
      </c>
      <c r="CP20" s="208">
        <f>IF($CE20=1,$CF20*'Verwerking Bouwdelen'!DU4,$CF20*'Verwerking Bouwdelen'!AC4)</f>
        <v>0</v>
      </c>
      <c r="CQ20" s="208">
        <f>IF($CE20=1,$CF20*'Verwerking Bouwdelen'!DV4,$CF20*'Verwerking Bouwdelen'!AD4)</f>
        <v>0</v>
      </c>
      <c r="CR20" s="208">
        <f>IF($CE20=1,$CF20*'Verwerking Bouwdelen'!DW4,$CF20*'Verwerking Bouwdelen'!AE4)</f>
        <v>0</v>
      </c>
      <c r="CS20" s="10">
        <f>IF(CG20=$B20,0,('Verwerking Bouwdelen'!$D4-'Verwerking Bouwdelen'!G4)*CE20*CF20)</f>
        <v>0</v>
      </c>
      <c r="CT20" s="260">
        <f>CE20*CF20*'Verwerking Bouwdelen'!GH4</f>
        <v>0</v>
      </c>
      <c r="CU20" s="261">
        <f>CE20*CF20*'Verwerking Bouwdelen'!GI4</f>
        <v>0</v>
      </c>
      <c r="CW20" s="209">
        <f>$AC20*'Verwerking Bouwdelen'!EE4</f>
        <v>0</v>
      </c>
      <c r="CX20" s="209">
        <f>$AC20*'Verwerking Bouwdelen'!EF4</f>
        <v>0</v>
      </c>
      <c r="CY20" s="209">
        <f>$AC20*'Verwerking Bouwdelen'!EG4</f>
        <v>0</v>
      </c>
      <c r="CZ20" s="209">
        <f>$AC20*'Verwerking Bouwdelen'!EH4</f>
        <v>0</v>
      </c>
      <c r="DA20" s="209">
        <f>$AC20*'Verwerking Bouwdelen'!EI4</f>
        <v>0</v>
      </c>
      <c r="DB20" s="209">
        <f>$AC20*'Verwerking Bouwdelen'!EJ4</f>
        <v>0</v>
      </c>
      <c r="DC20" s="209">
        <f>$AC20*'Verwerking Bouwdelen'!EK4</f>
        <v>0</v>
      </c>
      <c r="DD20" s="209">
        <f>$AC20*'Verwerking Bouwdelen'!EL4</f>
        <v>0</v>
      </c>
      <c r="DE20" s="209">
        <f>$AC20*'Verwerking Bouwdelen'!EM4</f>
        <v>0</v>
      </c>
      <c r="DF20" s="209">
        <f>$AC20*'Verwerking Bouwdelen'!EN4</f>
        <v>0</v>
      </c>
      <c r="DG20" s="209">
        <f>$AC20*'Verwerking Bouwdelen'!EO4</f>
        <v>0</v>
      </c>
      <c r="DH20" s="209">
        <f>$AC20*'Verwerking Bouwdelen'!EP4</f>
        <v>0</v>
      </c>
      <c r="DI20" s="10">
        <f>IF(CW20=$O20,0,'Verwerking Bouwdelen'!G4)</f>
        <v>0</v>
      </c>
      <c r="DJ20" s="259">
        <f>'Verwerking Bouwdelen'!GK4*CF20</f>
        <v>0</v>
      </c>
      <c r="DK20" s="259">
        <f>'Verwerking Bouwdelen'!GL4*CF20</f>
        <v>0</v>
      </c>
      <c r="DL20" s="125"/>
      <c r="FC20" s="89">
        <f>IF('Verwerken ventilatie'!AJ12=4,1,0)</f>
        <v>0</v>
      </c>
      <c r="FD20" s="89">
        <f>FC20*'Verwerken ventilatie'!BT12</f>
        <v>0</v>
      </c>
      <c r="FE20" s="89">
        <f>FC20*'Verwerken ventilatie'!BU12</f>
        <v>0</v>
      </c>
      <c r="FZ20" s="89">
        <f>IF('Verwerken verlichting'!B16=4,1,0)</f>
        <v>0</v>
      </c>
      <c r="GA20" s="89">
        <f>$FZ20*'Verwerken verlichting'!BX16</f>
        <v>0</v>
      </c>
      <c r="GB20" s="89">
        <f>$FZ20*'Verwerken verlichting'!BY16</f>
        <v>0</v>
      </c>
      <c r="GC20" s="89">
        <f>$FZ20*'Verwerken verlichting'!BZ16</f>
        <v>0</v>
      </c>
      <c r="GD20" s="89">
        <f>$FZ20*'Verwerken verlichting'!CA16</f>
        <v>0</v>
      </c>
      <c r="GE20" s="89">
        <f>$FZ20*'Verwerken verlichting'!CB16</f>
        <v>0</v>
      </c>
      <c r="GF20" s="89">
        <f>$FZ20*'Verwerken verlichting'!CC16</f>
        <v>0</v>
      </c>
      <c r="GG20" s="89">
        <f>FZ20*'Invoer verlichting'!N15</f>
        <v>0</v>
      </c>
      <c r="GH20" s="89">
        <f>FZ20*'Verwerken verlichting'!AH16</f>
        <v>0</v>
      </c>
      <c r="GI20" s="89">
        <f>FZ20*'Verwerken verlichting'!AG16</f>
        <v>0</v>
      </c>
      <c r="GJ20" s="89">
        <f>FZ20*'Verwerken verlichting'!CE16</f>
        <v>0</v>
      </c>
      <c r="GM20" s="89">
        <f t="shared" ref="GM20:GM60" si="13">AB20+AT20+BM20+CE20</f>
        <v>0</v>
      </c>
      <c r="GN20" s="89">
        <f t="shared" ref="GN20:GN60" si="14">A20</f>
        <v>0</v>
      </c>
      <c r="GO20" s="208">
        <f>IF($GN20=1,$GN20*$GM20*'Verwerking Bouwdelen'!DL4,$GN20*$GM20*'Verwerking Bouwdelen'!T4)</f>
        <v>0</v>
      </c>
      <c r="GP20" s="208">
        <f>IF($GN20=1,$GN20*$GM20*'Verwerking Bouwdelen'!DM4,$GN20*$GM20*'Verwerking Bouwdelen'!U4)</f>
        <v>0</v>
      </c>
      <c r="GQ20" s="208">
        <f>IF($GN20=1,$GN20*$GM20*'Verwerking Bouwdelen'!DN4,$GN20*$GM20*'Verwerking Bouwdelen'!V4)</f>
        <v>0</v>
      </c>
      <c r="GR20" s="208">
        <f>IF($GN20=1,$GN20*$GM20*'Verwerking Bouwdelen'!DO4,$GN20*$GM20*'Verwerking Bouwdelen'!W4)</f>
        <v>0</v>
      </c>
      <c r="GS20" s="208">
        <f>IF($GN20=1,$GN20*$GM20*'Verwerking Bouwdelen'!DP4,$GN20*$GM20*'Verwerking Bouwdelen'!X4)</f>
        <v>0</v>
      </c>
      <c r="GT20" s="208">
        <f>IF($GN20=1,$GN20*$GM20*'Verwerking Bouwdelen'!DQ4,$GN20*$GM20*'Verwerking Bouwdelen'!Y4)</f>
        <v>0</v>
      </c>
      <c r="GU20" s="208">
        <f>IF($GN20=1,$GN20*$GM20*'Verwerking Bouwdelen'!DR4,$GN20*$GM20*'Verwerking Bouwdelen'!Z4)</f>
        <v>0</v>
      </c>
      <c r="GV20" s="208">
        <f>IF($GN20=1,$GN20*$GM20*'Verwerking Bouwdelen'!DS4,$GN20*$GM20*'Verwerking Bouwdelen'!AA4)</f>
        <v>0</v>
      </c>
      <c r="GW20" s="208">
        <f>IF($GN20=1,$GN20*$GM20*'Verwerking Bouwdelen'!DT4,$GN20*$GM20*'Verwerking Bouwdelen'!AB4)</f>
        <v>0</v>
      </c>
      <c r="GX20" s="208">
        <f>IF($GN20=1,$GN20*$GM20*'Verwerking Bouwdelen'!DU4,$GN20*$GM20*'Verwerking Bouwdelen'!AC4)</f>
        <v>0</v>
      </c>
      <c r="GY20" s="208">
        <f>IF($GN20=1,$GN20*$GM20*'Verwerking Bouwdelen'!DV4,$GN20*$GM20*'Verwerking Bouwdelen'!AD4)</f>
        <v>0</v>
      </c>
      <c r="GZ20" s="208">
        <f>IF($GN20=1,$GN20*$GM20*'Verwerking Bouwdelen'!DW4,$GN20*$GM20*'Verwerking Bouwdelen'!AE4)</f>
        <v>0</v>
      </c>
      <c r="HB20" s="89">
        <f t="shared" si="1"/>
        <v>0</v>
      </c>
      <c r="HC20" s="89">
        <f t="shared" si="2"/>
        <v>0</v>
      </c>
      <c r="HD20" s="89">
        <f t="shared" si="3"/>
        <v>0</v>
      </c>
      <c r="HE20" s="89">
        <f t="shared" si="4"/>
        <v>0</v>
      </c>
      <c r="HF20" s="89">
        <f t="shared" si="5"/>
        <v>0</v>
      </c>
      <c r="HG20" s="89">
        <f t="shared" si="6"/>
        <v>0</v>
      </c>
      <c r="HH20" s="89">
        <f t="shared" si="7"/>
        <v>0</v>
      </c>
      <c r="HI20" s="89">
        <f t="shared" si="8"/>
        <v>0</v>
      </c>
      <c r="HJ20" s="89">
        <f t="shared" si="9"/>
        <v>0</v>
      </c>
      <c r="HK20" s="89">
        <f t="shared" si="10"/>
        <v>0</v>
      </c>
      <c r="HL20" s="89">
        <f t="shared" si="11"/>
        <v>0</v>
      </c>
      <c r="HM20" s="89">
        <f t="shared" si="12"/>
        <v>0</v>
      </c>
    </row>
    <row r="21" spans="1:221" x14ac:dyDescent="0.2">
      <c r="A21" s="130">
        <f>IF('Verwerking Bouwdelen'!A5=4,1,0)</f>
        <v>0</v>
      </c>
      <c r="B21" s="208">
        <f>$A21*'Verwerking Bouwdelen'!T5</f>
        <v>0</v>
      </c>
      <c r="C21" s="208">
        <f>$A21*'Verwerking Bouwdelen'!U5</f>
        <v>0</v>
      </c>
      <c r="D21" s="208">
        <f>$A21*'Verwerking Bouwdelen'!V5</f>
        <v>0</v>
      </c>
      <c r="E21" s="208">
        <f>$A21*'Verwerking Bouwdelen'!W5</f>
        <v>0</v>
      </c>
      <c r="F21" s="208">
        <f>$A21*'Verwerking Bouwdelen'!X5</f>
        <v>0</v>
      </c>
      <c r="G21" s="208">
        <f>$A21*'Verwerking Bouwdelen'!Y5</f>
        <v>0</v>
      </c>
      <c r="H21" s="208">
        <f>$A21*'Verwerking Bouwdelen'!Z5</f>
        <v>0</v>
      </c>
      <c r="I21" s="208">
        <f>$A21*'Verwerking Bouwdelen'!AA5</f>
        <v>0</v>
      </c>
      <c r="J21" s="208">
        <f>$A21*'Verwerking Bouwdelen'!AB5</f>
        <v>0</v>
      </c>
      <c r="K21" s="208">
        <f>$A21*'Verwerking Bouwdelen'!AC5</f>
        <v>0</v>
      </c>
      <c r="L21" s="208">
        <f>$A21*'Verwerking Bouwdelen'!AD5</f>
        <v>0</v>
      </c>
      <c r="M21" s="208">
        <f>$A21*'Verwerking Bouwdelen'!AE5</f>
        <v>0</v>
      </c>
      <c r="O21" s="114">
        <f>$A21*'Verwerking Bouwdelen'!AU5</f>
        <v>0</v>
      </c>
      <c r="P21" s="125">
        <f>$A21*'Verwerking Bouwdelen'!AV5</f>
        <v>0</v>
      </c>
      <c r="Q21" s="125">
        <f>$A21*'Verwerking Bouwdelen'!AW5</f>
        <v>0</v>
      </c>
      <c r="R21" s="125">
        <f>$A21*'Verwerking Bouwdelen'!AX5</f>
        <v>0</v>
      </c>
      <c r="S21" s="125">
        <f>$A21*'Verwerking Bouwdelen'!AY5</f>
        <v>0</v>
      </c>
      <c r="T21" s="125">
        <f>$A21*'Verwerking Bouwdelen'!AZ5</f>
        <v>0</v>
      </c>
      <c r="U21" s="125">
        <f>$A21*'Verwerking Bouwdelen'!BA5</f>
        <v>0</v>
      </c>
      <c r="V21" s="125">
        <f>$A21*'Verwerking Bouwdelen'!BB5</f>
        <v>0</v>
      </c>
      <c r="W21" s="125">
        <f>$A21*'Verwerking Bouwdelen'!BC5</f>
        <v>0</v>
      </c>
      <c r="X21" s="125">
        <f>$A21*'Verwerking Bouwdelen'!BD5</f>
        <v>0</v>
      </c>
      <c r="Y21" s="125">
        <f>$A21*'Verwerking Bouwdelen'!BE5</f>
        <v>0</v>
      </c>
      <c r="Z21" s="195">
        <f>$A21*'Verwerking Bouwdelen'!BF5</f>
        <v>0</v>
      </c>
      <c r="AB21" s="125">
        <f>IF(OR('Verwerking Bouwdelen'!C5=3,'Verwerking Bouwdelen'!C5=6),1,0)</f>
        <v>0</v>
      </c>
      <c r="AC21" s="130">
        <f>IF('Verwerking Bouwdelen'!A5=4,1,0)</f>
        <v>0</v>
      </c>
      <c r="AD21" s="208">
        <f>IF($AB21=1,$AC21*'Verwerking Bouwdelen'!DL5,$AC21*'Verwerking Bouwdelen'!T5)</f>
        <v>0</v>
      </c>
      <c r="AE21" s="208">
        <f>IF($AB21=1,$AC21*'Verwerking Bouwdelen'!DM5,$AC21*'Verwerking Bouwdelen'!U5)</f>
        <v>0</v>
      </c>
      <c r="AF21" s="208">
        <f>IF($AB21=1,$AC21*'Verwerking Bouwdelen'!DN5,$AC21*'Verwerking Bouwdelen'!V5)</f>
        <v>0</v>
      </c>
      <c r="AG21" s="208">
        <f>IF($AB21=1,$AC21*'Verwerking Bouwdelen'!DO5,$AC21*'Verwerking Bouwdelen'!W5)</f>
        <v>0</v>
      </c>
      <c r="AH21" s="208">
        <f>IF($AB21=1,$AC21*'Verwerking Bouwdelen'!DP5,$AC21*'Verwerking Bouwdelen'!X5)</f>
        <v>0</v>
      </c>
      <c r="AI21" s="208">
        <f>IF($AB21=1,$AC21*'Verwerking Bouwdelen'!DQ5,$AC21*'Verwerking Bouwdelen'!Y5)</f>
        <v>0</v>
      </c>
      <c r="AJ21" s="208">
        <f>IF($AB21=1,$AC21*'Verwerking Bouwdelen'!DR5,$AC21*'Verwerking Bouwdelen'!Z5)</f>
        <v>0</v>
      </c>
      <c r="AK21" s="208">
        <f>IF($AB21=1,$AC21*'Verwerking Bouwdelen'!DS5,$AC21*'Verwerking Bouwdelen'!AA5)</f>
        <v>0</v>
      </c>
      <c r="AL21" s="208">
        <f>IF($AB21=1,$AC21*'Verwerking Bouwdelen'!DT5,$AC21*'Verwerking Bouwdelen'!AB5)</f>
        <v>0</v>
      </c>
      <c r="AM21" s="208">
        <f>IF($AB21=1,$AC21*'Verwerking Bouwdelen'!DU5,$AC21*'Verwerking Bouwdelen'!AC5)</f>
        <v>0</v>
      </c>
      <c r="AN21" s="208">
        <f>IF($AB21=1,$AC21*'Verwerking Bouwdelen'!DV5,$AC21*'Verwerking Bouwdelen'!AD5)</f>
        <v>0</v>
      </c>
      <c r="AO21" s="208">
        <f>IF($AB21=1,$AC21*'Verwerking Bouwdelen'!DW5,$AC21*'Verwerking Bouwdelen'!AE5)</f>
        <v>0</v>
      </c>
      <c r="AP21" s="10">
        <f>IF(AD21=B21,0,'Verwerking Bouwdelen'!D5*AB21*AC21)</f>
        <v>0</v>
      </c>
      <c r="AQ21" s="10">
        <f>AB21*AC21*'Verwerking Bouwdelen'!GH5</f>
        <v>0</v>
      </c>
      <c r="AR21" s="10"/>
      <c r="AS21" s="248"/>
      <c r="AT21" s="125">
        <f>IF('Verwerking Bouwdelen'!C5=4,1,0)</f>
        <v>0</v>
      </c>
      <c r="AU21" s="130">
        <f>IF('Verwerking Bouwdelen'!A5=4,1,0)</f>
        <v>0</v>
      </c>
      <c r="AV21" s="208">
        <f>IF($AT21=1,$AU21*'Verwerking Bouwdelen'!DL5,$AU21*'Verwerking Bouwdelen'!T5)</f>
        <v>0</v>
      </c>
      <c r="AW21" s="208">
        <f>IF($AT21=1,$AU21*'Verwerking Bouwdelen'!DM5,$AU21*'Verwerking Bouwdelen'!U5)</f>
        <v>0</v>
      </c>
      <c r="AX21" s="208">
        <f>IF($AT21=1,$AU21*'Verwerking Bouwdelen'!DN5,$AU21*'Verwerking Bouwdelen'!V5)</f>
        <v>0</v>
      </c>
      <c r="AY21" s="208">
        <f>IF($AT21=1,$AU21*'Verwerking Bouwdelen'!DO5,$AU21*'Verwerking Bouwdelen'!W5)</f>
        <v>0</v>
      </c>
      <c r="AZ21" s="208">
        <f>IF($AT21=1,$AU21*'Verwerking Bouwdelen'!DP5,$AU21*'Verwerking Bouwdelen'!X5)</f>
        <v>0</v>
      </c>
      <c r="BA21" s="208">
        <f>IF($AT21=1,$AU21*'Verwerking Bouwdelen'!DQ5,$AU21*'Verwerking Bouwdelen'!Y5)</f>
        <v>0</v>
      </c>
      <c r="BB21" s="208">
        <f>IF($AT21=1,$AU21*'Verwerking Bouwdelen'!DR5,$AU21*'Verwerking Bouwdelen'!Z5)</f>
        <v>0</v>
      </c>
      <c r="BC21" s="208">
        <f>IF($AT21=1,$AU21*'Verwerking Bouwdelen'!DS5,$AU21*'Verwerking Bouwdelen'!AA5)</f>
        <v>0</v>
      </c>
      <c r="BD21" s="208">
        <f>IF($AT21=1,$AU21*'Verwerking Bouwdelen'!DT5,$AU21*'Verwerking Bouwdelen'!AB5)</f>
        <v>0</v>
      </c>
      <c r="BE21" s="208">
        <f>IF($AT21=1,$AU21*'Verwerking Bouwdelen'!DU5,$AU21*'Verwerking Bouwdelen'!AC5)</f>
        <v>0</v>
      </c>
      <c r="BF21" s="208">
        <f>IF($AT21=1,$AU21*'Verwerking Bouwdelen'!DV5,$AU21*'Verwerking Bouwdelen'!AD5)</f>
        <v>0</v>
      </c>
      <c r="BG21" s="208">
        <f>IF($AT21=1,$AU21*'Verwerking Bouwdelen'!DW5,$AU21*'Verwerking Bouwdelen'!AE5)</f>
        <v>0</v>
      </c>
      <c r="BH21" s="10">
        <f>IF(AV21=B21,0,'Verwerking Bouwdelen'!D5*AT21*AU21)</f>
        <v>0</v>
      </c>
      <c r="BI21" s="10">
        <f>AT21*AU21*'Verwerking Bouwdelen'!GH5</f>
        <v>0</v>
      </c>
      <c r="BJ21" s="10"/>
      <c r="BK21" s="10"/>
      <c r="BM21" s="125">
        <f>IF('Verwerking Bouwdelen'!C5=5,1,0)</f>
        <v>0</v>
      </c>
      <c r="BN21" s="130">
        <f>IF('Verwerking Bouwdelen'!A5=4,1,0)</f>
        <v>0</v>
      </c>
      <c r="BO21" s="208">
        <f>IF($BM21=1,$BN21*'Verwerking Bouwdelen'!DL5,$BN21*'Verwerking Bouwdelen'!T5)</f>
        <v>0</v>
      </c>
      <c r="BP21" s="208">
        <f>IF($BM21=1,$BN21*'Verwerking Bouwdelen'!DM5,$BN21*'Verwerking Bouwdelen'!U5)</f>
        <v>0</v>
      </c>
      <c r="BQ21" s="208">
        <f>IF($BM21=1,$BN21*'Verwerking Bouwdelen'!DN5,$BN21*'Verwerking Bouwdelen'!V5)</f>
        <v>0</v>
      </c>
      <c r="BR21" s="208">
        <f>IF($BM21=1,$BN21*'Verwerking Bouwdelen'!DO5,$BN21*'Verwerking Bouwdelen'!W5)</f>
        <v>0</v>
      </c>
      <c r="BS21" s="208">
        <f>IF($BM21=1,$BN21*'Verwerking Bouwdelen'!DP5,$BN21*'Verwerking Bouwdelen'!X5)</f>
        <v>0</v>
      </c>
      <c r="BT21" s="208">
        <f>IF($BM21=1,$BN21*'Verwerking Bouwdelen'!DQ5,$BN21*'Verwerking Bouwdelen'!Y5)</f>
        <v>0</v>
      </c>
      <c r="BU21" s="208">
        <f>IF($BM21=1,$BN21*'Verwerking Bouwdelen'!DR5,$BN21*'Verwerking Bouwdelen'!Z5)</f>
        <v>0</v>
      </c>
      <c r="BV21" s="208">
        <f>IF($BM21=1,$BN21*'Verwerking Bouwdelen'!DS5,$BN21*'Verwerking Bouwdelen'!AA5)</f>
        <v>0</v>
      </c>
      <c r="BW21" s="208">
        <f>IF($BM21=1,$BN21*'Verwerking Bouwdelen'!DT5,$BN21*'Verwerking Bouwdelen'!AB5)</f>
        <v>0</v>
      </c>
      <c r="BX21" s="208">
        <f>IF($BM21=1,$BN21*'Verwerking Bouwdelen'!DU5,$BN21*'Verwerking Bouwdelen'!AC5)</f>
        <v>0</v>
      </c>
      <c r="BY21" s="208">
        <f>IF($BM21=1,$BN21*'Verwerking Bouwdelen'!DV5,$BN21*'Verwerking Bouwdelen'!AD5)</f>
        <v>0</v>
      </c>
      <c r="BZ21" s="208">
        <f>IF($BM21=1,$BN21*'Verwerking Bouwdelen'!DW5,$BN21*'Verwerking Bouwdelen'!AE5)</f>
        <v>0</v>
      </c>
      <c r="CA21" s="10">
        <f>IF(BO21=$B21,0,'Verwerking Bouwdelen'!$D5*BM21*BN21)</f>
        <v>0</v>
      </c>
      <c r="CB21" s="10">
        <f>BM21*BN21*'Verwerking Bouwdelen'!GH5</f>
        <v>0</v>
      </c>
      <c r="CC21" s="10"/>
      <c r="CD21" s="248"/>
      <c r="CE21" s="125">
        <f>IF('Verwerking Bouwdelen'!C5=2,1,0)</f>
        <v>0</v>
      </c>
      <c r="CF21" s="130">
        <f>IF('Verwerking Bouwdelen'!A5=4,1,0)</f>
        <v>0</v>
      </c>
      <c r="CG21" s="208">
        <f>IF($CE21=1,$CF21*'Verwerking Bouwdelen'!DL5,$CF21*'Verwerking Bouwdelen'!T5)</f>
        <v>0</v>
      </c>
      <c r="CH21" s="208">
        <f>IF($CE21=1,$CF21*'Verwerking Bouwdelen'!DM5,$CF21*'Verwerking Bouwdelen'!U5)</f>
        <v>0</v>
      </c>
      <c r="CI21" s="208">
        <f>IF($CE21=1,$CF21*'Verwerking Bouwdelen'!DN5,$CF21*'Verwerking Bouwdelen'!V5)</f>
        <v>0</v>
      </c>
      <c r="CJ21" s="208">
        <f>IF($CE21=1,$CF21*'Verwerking Bouwdelen'!DO5,$CF21*'Verwerking Bouwdelen'!W5)</f>
        <v>0</v>
      </c>
      <c r="CK21" s="208">
        <f>IF($CE21=1,$CF21*'Verwerking Bouwdelen'!DP5,$CF21*'Verwerking Bouwdelen'!X5)</f>
        <v>0</v>
      </c>
      <c r="CL21" s="208">
        <f>IF($CE21=1,$CF21*'Verwerking Bouwdelen'!DQ5,$CF21*'Verwerking Bouwdelen'!Y5)</f>
        <v>0</v>
      </c>
      <c r="CM21" s="208">
        <f>IF($CE21=1,$CF21*'Verwerking Bouwdelen'!DR5,$CF21*'Verwerking Bouwdelen'!Z5)</f>
        <v>0</v>
      </c>
      <c r="CN21" s="208">
        <f>IF($CE21=1,$CF21*'Verwerking Bouwdelen'!DS5,$CF21*'Verwerking Bouwdelen'!AA5)</f>
        <v>0</v>
      </c>
      <c r="CO21" s="208">
        <f>IF($CE21=1,$CF21*'Verwerking Bouwdelen'!DT5,$CF21*'Verwerking Bouwdelen'!AB5)</f>
        <v>0</v>
      </c>
      <c r="CP21" s="208">
        <f>IF($CE21=1,$CF21*'Verwerking Bouwdelen'!DU5,$CF21*'Verwerking Bouwdelen'!AC5)</f>
        <v>0</v>
      </c>
      <c r="CQ21" s="208">
        <f>IF($CE21=1,$CF21*'Verwerking Bouwdelen'!DV5,$CF21*'Verwerking Bouwdelen'!AD5)</f>
        <v>0</v>
      </c>
      <c r="CR21" s="208">
        <f>IF($CE21=1,$CF21*'Verwerking Bouwdelen'!DW5,$CF21*'Verwerking Bouwdelen'!AE5)</f>
        <v>0</v>
      </c>
      <c r="CS21" s="10">
        <f>IF(CG21=$B21,0,('Verwerking Bouwdelen'!$D5-'Verwerking Bouwdelen'!G5)*CE21*CF21)</f>
        <v>0</v>
      </c>
      <c r="CT21" s="260">
        <f>CE21*CF21*'Verwerking Bouwdelen'!GH5</f>
        <v>0</v>
      </c>
      <c r="CU21" s="261">
        <f>CE21*CF21*'Verwerking Bouwdelen'!GI5</f>
        <v>0</v>
      </c>
      <c r="CW21" s="209">
        <f>$AC21*'Verwerking Bouwdelen'!EE5</f>
        <v>0</v>
      </c>
      <c r="CX21" s="209">
        <f>$AC21*'Verwerking Bouwdelen'!EF5</f>
        <v>0</v>
      </c>
      <c r="CY21" s="209">
        <f>$AC21*'Verwerking Bouwdelen'!EG5</f>
        <v>0</v>
      </c>
      <c r="CZ21" s="209">
        <f>$AC21*'Verwerking Bouwdelen'!EH5</f>
        <v>0</v>
      </c>
      <c r="DA21" s="209">
        <f>$AC21*'Verwerking Bouwdelen'!EI5</f>
        <v>0</v>
      </c>
      <c r="DB21" s="209">
        <f>$AC21*'Verwerking Bouwdelen'!EJ5</f>
        <v>0</v>
      </c>
      <c r="DC21" s="209">
        <f>$AC21*'Verwerking Bouwdelen'!EK5</f>
        <v>0</v>
      </c>
      <c r="DD21" s="209">
        <f>$AC21*'Verwerking Bouwdelen'!EL5</f>
        <v>0</v>
      </c>
      <c r="DE21" s="209">
        <f>$AC21*'Verwerking Bouwdelen'!EM5</f>
        <v>0</v>
      </c>
      <c r="DF21" s="209">
        <f>$AC21*'Verwerking Bouwdelen'!EN5</f>
        <v>0</v>
      </c>
      <c r="DG21" s="209">
        <f>$AC21*'Verwerking Bouwdelen'!EO5</f>
        <v>0</v>
      </c>
      <c r="DH21" s="209">
        <f>$AC21*'Verwerking Bouwdelen'!EP5</f>
        <v>0</v>
      </c>
      <c r="DI21" s="10">
        <f>IF(CW21=$O21,0,'Verwerking Bouwdelen'!G5)</f>
        <v>0</v>
      </c>
      <c r="DJ21" s="259">
        <f>'Verwerking Bouwdelen'!GK5*CF21</f>
        <v>0</v>
      </c>
      <c r="DK21" s="259">
        <f>'Verwerking Bouwdelen'!GL5*CF21</f>
        <v>0</v>
      </c>
      <c r="DL21" s="125"/>
      <c r="FC21" s="89">
        <f>IF('Verwerken ventilatie'!AJ13=4,1,0)</f>
        <v>0</v>
      </c>
      <c r="FD21" s="89">
        <f>FC21*'Verwerken ventilatie'!BT13</f>
        <v>0</v>
      </c>
      <c r="FE21" s="89">
        <f>FC21*'Verwerken ventilatie'!BU13</f>
        <v>0</v>
      </c>
      <c r="FZ21" s="89">
        <f>IF('Verwerken verlichting'!B17=4,1,0)</f>
        <v>0</v>
      </c>
      <c r="GA21" s="89">
        <f>$FZ21*'Verwerken verlichting'!BX17</f>
        <v>0</v>
      </c>
      <c r="GB21" s="89">
        <f>$FZ21*'Verwerken verlichting'!BY17</f>
        <v>0</v>
      </c>
      <c r="GC21" s="89">
        <f>$FZ21*'Verwerken verlichting'!BZ17</f>
        <v>0</v>
      </c>
      <c r="GD21" s="89">
        <f>$FZ21*'Verwerken verlichting'!CA17</f>
        <v>0</v>
      </c>
      <c r="GE21" s="89">
        <f>$FZ21*'Verwerken verlichting'!CB17</f>
        <v>0</v>
      </c>
      <c r="GF21" s="89">
        <f>$FZ21*'Verwerken verlichting'!CC17</f>
        <v>0</v>
      </c>
      <c r="GG21" s="89">
        <f>FZ21*'Invoer verlichting'!N16</f>
        <v>0</v>
      </c>
      <c r="GH21" s="89">
        <f>FZ21*'Verwerken verlichting'!AH17</f>
        <v>0</v>
      </c>
      <c r="GI21" s="89">
        <f>FZ21*'Verwerken verlichting'!AG17</f>
        <v>0</v>
      </c>
      <c r="GJ21" s="89">
        <f>FZ21*'Verwerken verlichting'!CE17</f>
        <v>0</v>
      </c>
      <c r="GM21" s="89">
        <f t="shared" si="13"/>
        <v>0</v>
      </c>
      <c r="GN21" s="89">
        <f t="shared" si="14"/>
        <v>0</v>
      </c>
      <c r="GO21" s="208">
        <f>IF($GN21=1,$GN21*$GM21*'Verwerking Bouwdelen'!DL5,$GN21*$GM21*'Verwerking Bouwdelen'!T5)</f>
        <v>0</v>
      </c>
      <c r="GP21" s="208">
        <f>IF($GN21=1,$GN21*$GM21*'Verwerking Bouwdelen'!DM5,$GN21*$GM21*'Verwerking Bouwdelen'!U5)</f>
        <v>0</v>
      </c>
      <c r="GQ21" s="208">
        <f>IF($GN21=1,$GN21*$GM21*'Verwerking Bouwdelen'!DN5,$GN21*$GM21*'Verwerking Bouwdelen'!V5)</f>
        <v>0</v>
      </c>
      <c r="GR21" s="208">
        <f>IF($GN21=1,$GN21*$GM21*'Verwerking Bouwdelen'!DO5,$GN21*$GM21*'Verwerking Bouwdelen'!W5)</f>
        <v>0</v>
      </c>
      <c r="GS21" s="208">
        <f>IF($GN21=1,$GN21*$GM21*'Verwerking Bouwdelen'!DP5,$GN21*$GM21*'Verwerking Bouwdelen'!X5)</f>
        <v>0</v>
      </c>
      <c r="GT21" s="208">
        <f>IF($GN21=1,$GN21*$GM21*'Verwerking Bouwdelen'!DQ5,$GN21*$GM21*'Verwerking Bouwdelen'!Y5)</f>
        <v>0</v>
      </c>
      <c r="GU21" s="208">
        <f>IF($GN21=1,$GN21*$GM21*'Verwerking Bouwdelen'!DR5,$GN21*$GM21*'Verwerking Bouwdelen'!Z5)</f>
        <v>0</v>
      </c>
      <c r="GV21" s="208">
        <f>IF($GN21=1,$GN21*$GM21*'Verwerking Bouwdelen'!DS5,$GN21*$GM21*'Verwerking Bouwdelen'!AA5)</f>
        <v>0</v>
      </c>
      <c r="GW21" s="208">
        <f>IF($GN21=1,$GN21*$GM21*'Verwerking Bouwdelen'!DT5,$GN21*$GM21*'Verwerking Bouwdelen'!AB5)</f>
        <v>0</v>
      </c>
      <c r="GX21" s="208">
        <f>IF($GN21=1,$GN21*$GM21*'Verwerking Bouwdelen'!DU5,$GN21*$GM21*'Verwerking Bouwdelen'!AC5)</f>
        <v>0</v>
      </c>
      <c r="GY21" s="208">
        <f>IF($GN21=1,$GN21*$GM21*'Verwerking Bouwdelen'!DV5,$GN21*$GM21*'Verwerking Bouwdelen'!AD5)</f>
        <v>0</v>
      </c>
      <c r="GZ21" s="208">
        <f>IF($GN21=1,$GN21*$GM21*'Verwerking Bouwdelen'!DW5,$GN21*$GM21*'Verwerking Bouwdelen'!AE5)</f>
        <v>0</v>
      </c>
      <c r="HB21" s="89">
        <f t="shared" si="1"/>
        <v>0</v>
      </c>
      <c r="HC21" s="89">
        <f t="shared" si="2"/>
        <v>0</v>
      </c>
      <c r="HD21" s="89">
        <f t="shared" si="3"/>
        <v>0</v>
      </c>
      <c r="HE21" s="89">
        <f t="shared" si="4"/>
        <v>0</v>
      </c>
      <c r="HF21" s="89">
        <f t="shared" si="5"/>
        <v>0</v>
      </c>
      <c r="HG21" s="89">
        <f t="shared" si="6"/>
        <v>0</v>
      </c>
      <c r="HH21" s="89">
        <f t="shared" si="7"/>
        <v>0</v>
      </c>
      <c r="HI21" s="89">
        <f t="shared" si="8"/>
        <v>0</v>
      </c>
      <c r="HJ21" s="89">
        <f t="shared" si="9"/>
        <v>0</v>
      </c>
      <c r="HK21" s="89">
        <f t="shared" si="10"/>
        <v>0</v>
      </c>
      <c r="HL21" s="89">
        <f t="shared" si="11"/>
        <v>0</v>
      </c>
      <c r="HM21" s="89">
        <f t="shared" si="12"/>
        <v>0</v>
      </c>
    </row>
    <row r="22" spans="1:221" x14ac:dyDescent="0.2">
      <c r="A22" s="130">
        <f>IF('Verwerking Bouwdelen'!A6=4,1,0)</f>
        <v>0</v>
      </c>
      <c r="B22" s="208">
        <f>$A22*'Verwerking Bouwdelen'!T6</f>
        <v>0</v>
      </c>
      <c r="C22" s="208">
        <f>$A22*'Verwerking Bouwdelen'!U6</f>
        <v>0</v>
      </c>
      <c r="D22" s="208">
        <f>$A22*'Verwerking Bouwdelen'!V6</f>
        <v>0</v>
      </c>
      <c r="E22" s="208">
        <f>$A22*'Verwerking Bouwdelen'!W6</f>
        <v>0</v>
      </c>
      <c r="F22" s="208">
        <f>$A22*'Verwerking Bouwdelen'!X6</f>
        <v>0</v>
      </c>
      <c r="G22" s="208">
        <f>$A22*'Verwerking Bouwdelen'!Y6</f>
        <v>0</v>
      </c>
      <c r="H22" s="208">
        <f>$A22*'Verwerking Bouwdelen'!Z6</f>
        <v>0</v>
      </c>
      <c r="I22" s="208">
        <f>$A22*'Verwerking Bouwdelen'!AA6</f>
        <v>0</v>
      </c>
      <c r="J22" s="208">
        <f>$A22*'Verwerking Bouwdelen'!AB6</f>
        <v>0</v>
      </c>
      <c r="K22" s="208">
        <f>$A22*'Verwerking Bouwdelen'!AC6</f>
        <v>0</v>
      </c>
      <c r="L22" s="208">
        <f>$A22*'Verwerking Bouwdelen'!AD6</f>
        <v>0</v>
      </c>
      <c r="M22" s="208">
        <f>$A22*'Verwerking Bouwdelen'!AE6</f>
        <v>0</v>
      </c>
      <c r="O22" s="114">
        <f>$A22*'Verwerking Bouwdelen'!AU6</f>
        <v>0</v>
      </c>
      <c r="P22" s="125">
        <f>$A22*'Verwerking Bouwdelen'!AV6</f>
        <v>0</v>
      </c>
      <c r="Q22" s="125">
        <f>$A22*'Verwerking Bouwdelen'!AW6</f>
        <v>0</v>
      </c>
      <c r="R22" s="125">
        <f>$A22*'Verwerking Bouwdelen'!AX6</f>
        <v>0</v>
      </c>
      <c r="S22" s="125">
        <f>$A22*'Verwerking Bouwdelen'!AY6</f>
        <v>0</v>
      </c>
      <c r="T22" s="125">
        <f>$A22*'Verwerking Bouwdelen'!AZ6</f>
        <v>0</v>
      </c>
      <c r="U22" s="125">
        <f>$A22*'Verwerking Bouwdelen'!BA6</f>
        <v>0</v>
      </c>
      <c r="V22" s="125">
        <f>$A22*'Verwerking Bouwdelen'!BB6</f>
        <v>0</v>
      </c>
      <c r="W22" s="125">
        <f>$A22*'Verwerking Bouwdelen'!BC6</f>
        <v>0</v>
      </c>
      <c r="X22" s="125">
        <f>$A22*'Verwerking Bouwdelen'!BD6</f>
        <v>0</v>
      </c>
      <c r="Y22" s="125">
        <f>$A22*'Verwerking Bouwdelen'!BE6</f>
        <v>0</v>
      </c>
      <c r="Z22" s="195">
        <f>$A22*'Verwerking Bouwdelen'!BF6</f>
        <v>0</v>
      </c>
      <c r="AB22" s="125">
        <f>IF(OR('Verwerking Bouwdelen'!C6=3,'Verwerking Bouwdelen'!C6=6),1,0)</f>
        <v>0</v>
      </c>
      <c r="AC22" s="130">
        <f>IF('Verwerking Bouwdelen'!A6=4,1,0)</f>
        <v>0</v>
      </c>
      <c r="AD22" s="208">
        <f>IF($AB22=1,$AC22*'Verwerking Bouwdelen'!DL6,$AC22*'Verwerking Bouwdelen'!T6)</f>
        <v>0</v>
      </c>
      <c r="AE22" s="208">
        <f>IF($AB22=1,$AC22*'Verwerking Bouwdelen'!DM6,$AC22*'Verwerking Bouwdelen'!U6)</f>
        <v>0</v>
      </c>
      <c r="AF22" s="208">
        <f>IF($AB22=1,$AC22*'Verwerking Bouwdelen'!DN6,$AC22*'Verwerking Bouwdelen'!V6)</f>
        <v>0</v>
      </c>
      <c r="AG22" s="208">
        <f>IF($AB22=1,$AC22*'Verwerking Bouwdelen'!DO6,$AC22*'Verwerking Bouwdelen'!W6)</f>
        <v>0</v>
      </c>
      <c r="AH22" s="208">
        <f>IF($AB22=1,$AC22*'Verwerking Bouwdelen'!DP6,$AC22*'Verwerking Bouwdelen'!X6)</f>
        <v>0</v>
      </c>
      <c r="AI22" s="208">
        <f>IF($AB22=1,$AC22*'Verwerking Bouwdelen'!DQ6,$AC22*'Verwerking Bouwdelen'!Y6)</f>
        <v>0</v>
      </c>
      <c r="AJ22" s="208">
        <f>IF($AB22=1,$AC22*'Verwerking Bouwdelen'!DR6,$AC22*'Verwerking Bouwdelen'!Z6)</f>
        <v>0</v>
      </c>
      <c r="AK22" s="208">
        <f>IF($AB22=1,$AC22*'Verwerking Bouwdelen'!DS6,$AC22*'Verwerking Bouwdelen'!AA6)</f>
        <v>0</v>
      </c>
      <c r="AL22" s="208">
        <f>IF($AB22=1,$AC22*'Verwerking Bouwdelen'!DT6,$AC22*'Verwerking Bouwdelen'!AB6)</f>
        <v>0</v>
      </c>
      <c r="AM22" s="208">
        <f>IF($AB22=1,$AC22*'Verwerking Bouwdelen'!DU6,$AC22*'Verwerking Bouwdelen'!AC6)</f>
        <v>0</v>
      </c>
      <c r="AN22" s="208">
        <f>IF($AB22=1,$AC22*'Verwerking Bouwdelen'!DV6,$AC22*'Verwerking Bouwdelen'!AD6)</f>
        <v>0</v>
      </c>
      <c r="AO22" s="208">
        <f>IF($AB22=1,$AC22*'Verwerking Bouwdelen'!DW6,$AC22*'Verwerking Bouwdelen'!AE6)</f>
        <v>0</v>
      </c>
      <c r="AP22" s="10">
        <f>IF(AD22=B22,0,'Verwerking Bouwdelen'!D6*AB22*AC22)</f>
        <v>0</v>
      </c>
      <c r="AQ22" s="10">
        <f>AB22*AC22*'Verwerking Bouwdelen'!GH6</f>
        <v>0</v>
      </c>
      <c r="AR22" s="10"/>
      <c r="AS22" s="248"/>
      <c r="AT22" s="125">
        <f>IF('Verwerking Bouwdelen'!C6=4,1,0)</f>
        <v>0</v>
      </c>
      <c r="AU22" s="130">
        <f>IF('Verwerking Bouwdelen'!A6=4,1,0)</f>
        <v>0</v>
      </c>
      <c r="AV22" s="208">
        <f>IF($AT22=1,$AU22*'Verwerking Bouwdelen'!DL6,$AU22*'Verwerking Bouwdelen'!T6)</f>
        <v>0</v>
      </c>
      <c r="AW22" s="208">
        <f>IF($AT22=1,$AU22*'Verwerking Bouwdelen'!DM6,$AU22*'Verwerking Bouwdelen'!U6)</f>
        <v>0</v>
      </c>
      <c r="AX22" s="208">
        <f>IF($AT22=1,$AU22*'Verwerking Bouwdelen'!DN6,$AU22*'Verwerking Bouwdelen'!V6)</f>
        <v>0</v>
      </c>
      <c r="AY22" s="208">
        <f>IF($AT22=1,$AU22*'Verwerking Bouwdelen'!DO6,$AU22*'Verwerking Bouwdelen'!W6)</f>
        <v>0</v>
      </c>
      <c r="AZ22" s="208">
        <f>IF($AT22=1,$AU22*'Verwerking Bouwdelen'!DP6,$AU22*'Verwerking Bouwdelen'!X6)</f>
        <v>0</v>
      </c>
      <c r="BA22" s="208">
        <f>IF($AT22=1,$AU22*'Verwerking Bouwdelen'!DQ6,$AU22*'Verwerking Bouwdelen'!Y6)</f>
        <v>0</v>
      </c>
      <c r="BB22" s="208">
        <f>IF($AT22=1,$AU22*'Verwerking Bouwdelen'!DR6,$AU22*'Verwerking Bouwdelen'!Z6)</f>
        <v>0</v>
      </c>
      <c r="BC22" s="208">
        <f>IF($AT22=1,$AU22*'Verwerking Bouwdelen'!DS6,$AU22*'Verwerking Bouwdelen'!AA6)</f>
        <v>0</v>
      </c>
      <c r="BD22" s="208">
        <f>IF($AT22=1,$AU22*'Verwerking Bouwdelen'!DT6,$AU22*'Verwerking Bouwdelen'!AB6)</f>
        <v>0</v>
      </c>
      <c r="BE22" s="208">
        <f>IF($AT22=1,$AU22*'Verwerking Bouwdelen'!DU6,$AU22*'Verwerking Bouwdelen'!AC6)</f>
        <v>0</v>
      </c>
      <c r="BF22" s="208">
        <f>IF($AT22=1,$AU22*'Verwerking Bouwdelen'!DV6,$AU22*'Verwerking Bouwdelen'!AD6)</f>
        <v>0</v>
      </c>
      <c r="BG22" s="208">
        <f>IF($AT22=1,$AU22*'Verwerking Bouwdelen'!DW6,$AU22*'Verwerking Bouwdelen'!AE6)</f>
        <v>0</v>
      </c>
      <c r="BH22" s="10">
        <f>IF(AV22=B22,0,'Verwerking Bouwdelen'!D6*AT22*AU22)</f>
        <v>0</v>
      </c>
      <c r="BI22" s="10">
        <f>AT22*AU22*'Verwerking Bouwdelen'!GH6</f>
        <v>0</v>
      </c>
      <c r="BJ22" s="10"/>
      <c r="BK22" s="10"/>
      <c r="BM22" s="125">
        <f>IF('Verwerking Bouwdelen'!C6=5,1,0)</f>
        <v>0</v>
      </c>
      <c r="BN22" s="130">
        <f>IF('Verwerking Bouwdelen'!A6=4,1,0)</f>
        <v>0</v>
      </c>
      <c r="BO22" s="208">
        <f>IF($BM22=1,$BN22*'Verwerking Bouwdelen'!DL6,$BN22*'Verwerking Bouwdelen'!T6)</f>
        <v>0</v>
      </c>
      <c r="BP22" s="208">
        <f>IF($BM22=1,$BN22*'Verwerking Bouwdelen'!DM6,$BN22*'Verwerking Bouwdelen'!U6)</f>
        <v>0</v>
      </c>
      <c r="BQ22" s="208">
        <f>IF($BM22=1,$BN22*'Verwerking Bouwdelen'!DN6,$BN22*'Verwerking Bouwdelen'!V6)</f>
        <v>0</v>
      </c>
      <c r="BR22" s="208">
        <f>IF($BM22=1,$BN22*'Verwerking Bouwdelen'!DO6,$BN22*'Verwerking Bouwdelen'!W6)</f>
        <v>0</v>
      </c>
      <c r="BS22" s="208">
        <f>IF($BM22=1,$BN22*'Verwerking Bouwdelen'!DP6,$BN22*'Verwerking Bouwdelen'!X6)</f>
        <v>0</v>
      </c>
      <c r="BT22" s="208">
        <f>IF($BM22=1,$BN22*'Verwerking Bouwdelen'!DQ6,$BN22*'Verwerking Bouwdelen'!Y6)</f>
        <v>0</v>
      </c>
      <c r="BU22" s="208">
        <f>IF($BM22=1,$BN22*'Verwerking Bouwdelen'!DR6,$BN22*'Verwerking Bouwdelen'!Z6)</f>
        <v>0</v>
      </c>
      <c r="BV22" s="208">
        <f>IF($BM22=1,$BN22*'Verwerking Bouwdelen'!DS6,$BN22*'Verwerking Bouwdelen'!AA6)</f>
        <v>0</v>
      </c>
      <c r="BW22" s="208">
        <f>IF($BM22=1,$BN22*'Verwerking Bouwdelen'!DT6,$BN22*'Verwerking Bouwdelen'!AB6)</f>
        <v>0</v>
      </c>
      <c r="BX22" s="208">
        <f>IF($BM22=1,$BN22*'Verwerking Bouwdelen'!DU6,$BN22*'Verwerking Bouwdelen'!AC6)</f>
        <v>0</v>
      </c>
      <c r="BY22" s="208">
        <f>IF($BM22=1,$BN22*'Verwerking Bouwdelen'!DV6,$BN22*'Verwerking Bouwdelen'!AD6)</f>
        <v>0</v>
      </c>
      <c r="BZ22" s="208">
        <f>IF($BM22=1,$BN22*'Verwerking Bouwdelen'!DW6,$BN22*'Verwerking Bouwdelen'!AE6)</f>
        <v>0</v>
      </c>
      <c r="CA22" s="10">
        <f>IF(BO22=$B22,0,'Verwerking Bouwdelen'!$D6*BM22*BN22)</f>
        <v>0</v>
      </c>
      <c r="CB22" s="10">
        <f>BM22*BN22*'Verwerking Bouwdelen'!GH6</f>
        <v>0</v>
      </c>
      <c r="CC22" s="10"/>
      <c r="CD22" s="248"/>
      <c r="CE22" s="125">
        <f>IF('Verwerking Bouwdelen'!C6=2,1,0)</f>
        <v>0</v>
      </c>
      <c r="CF22" s="130">
        <f>IF('Verwerking Bouwdelen'!A6=4,1,0)</f>
        <v>0</v>
      </c>
      <c r="CG22" s="208">
        <f>IF($CE22=1,$CF22*'Verwerking Bouwdelen'!DL6,$CF22*'Verwerking Bouwdelen'!T6)</f>
        <v>0</v>
      </c>
      <c r="CH22" s="208">
        <f>IF($CE22=1,$CF22*'Verwerking Bouwdelen'!DM6,$CF22*'Verwerking Bouwdelen'!U6)</f>
        <v>0</v>
      </c>
      <c r="CI22" s="208">
        <f>IF($CE22=1,$CF22*'Verwerking Bouwdelen'!DN6,$CF22*'Verwerking Bouwdelen'!V6)</f>
        <v>0</v>
      </c>
      <c r="CJ22" s="208">
        <f>IF($CE22=1,$CF22*'Verwerking Bouwdelen'!DO6,$CF22*'Verwerking Bouwdelen'!W6)</f>
        <v>0</v>
      </c>
      <c r="CK22" s="208">
        <f>IF($CE22=1,$CF22*'Verwerking Bouwdelen'!DP6,$CF22*'Verwerking Bouwdelen'!X6)</f>
        <v>0</v>
      </c>
      <c r="CL22" s="208">
        <f>IF($CE22=1,$CF22*'Verwerking Bouwdelen'!DQ6,$CF22*'Verwerking Bouwdelen'!Y6)</f>
        <v>0</v>
      </c>
      <c r="CM22" s="208">
        <f>IF($CE22=1,$CF22*'Verwerking Bouwdelen'!DR6,$CF22*'Verwerking Bouwdelen'!Z6)</f>
        <v>0</v>
      </c>
      <c r="CN22" s="208">
        <f>IF($CE22=1,$CF22*'Verwerking Bouwdelen'!DS6,$CF22*'Verwerking Bouwdelen'!AA6)</f>
        <v>0</v>
      </c>
      <c r="CO22" s="208">
        <f>IF($CE22=1,$CF22*'Verwerking Bouwdelen'!DT6,$CF22*'Verwerking Bouwdelen'!AB6)</f>
        <v>0</v>
      </c>
      <c r="CP22" s="208">
        <f>IF($CE22=1,$CF22*'Verwerking Bouwdelen'!DU6,$CF22*'Verwerking Bouwdelen'!AC6)</f>
        <v>0</v>
      </c>
      <c r="CQ22" s="208">
        <f>IF($CE22=1,$CF22*'Verwerking Bouwdelen'!DV6,$CF22*'Verwerking Bouwdelen'!AD6)</f>
        <v>0</v>
      </c>
      <c r="CR22" s="208">
        <f>IF($CE22=1,$CF22*'Verwerking Bouwdelen'!DW6,$CF22*'Verwerking Bouwdelen'!AE6)</f>
        <v>0</v>
      </c>
      <c r="CS22" s="10">
        <f>IF(CG22=$B22,0,('Verwerking Bouwdelen'!$D6-'Verwerking Bouwdelen'!G6)*CE22*CF22)</f>
        <v>0</v>
      </c>
      <c r="CT22" s="260">
        <f>CE22*CF22*'Verwerking Bouwdelen'!GH6</f>
        <v>0</v>
      </c>
      <c r="CU22" s="261">
        <f>CE22*CF22*'Verwerking Bouwdelen'!GI6</f>
        <v>0</v>
      </c>
      <c r="CW22" s="209">
        <f>$AC22*'Verwerking Bouwdelen'!EE6</f>
        <v>0</v>
      </c>
      <c r="CX22" s="209">
        <f>$AC22*'Verwerking Bouwdelen'!EF6</f>
        <v>0</v>
      </c>
      <c r="CY22" s="209">
        <f>$AC22*'Verwerking Bouwdelen'!EG6</f>
        <v>0</v>
      </c>
      <c r="CZ22" s="209">
        <f>$AC22*'Verwerking Bouwdelen'!EH6</f>
        <v>0</v>
      </c>
      <c r="DA22" s="209">
        <f>$AC22*'Verwerking Bouwdelen'!EI6</f>
        <v>0</v>
      </c>
      <c r="DB22" s="209">
        <f>$AC22*'Verwerking Bouwdelen'!EJ6</f>
        <v>0</v>
      </c>
      <c r="DC22" s="209">
        <f>$AC22*'Verwerking Bouwdelen'!EK6</f>
        <v>0</v>
      </c>
      <c r="DD22" s="209">
        <f>$AC22*'Verwerking Bouwdelen'!EL6</f>
        <v>0</v>
      </c>
      <c r="DE22" s="209">
        <f>$AC22*'Verwerking Bouwdelen'!EM6</f>
        <v>0</v>
      </c>
      <c r="DF22" s="209">
        <f>$AC22*'Verwerking Bouwdelen'!EN6</f>
        <v>0</v>
      </c>
      <c r="DG22" s="209">
        <f>$AC22*'Verwerking Bouwdelen'!EO6</f>
        <v>0</v>
      </c>
      <c r="DH22" s="209">
        <f>$AC22*'Verwerking Bouwdelen'!EP6</f>
        <v>0</v>
      </c>
      <c r="DI22" s="10">
        <f>IF(CW22=$O22,0,'Verwerking Bouwdelen'!G6)</f>
        <v>0</v>
      </c>
      <c r="DJ22" s="259">
        <f>'Verwerking Bouwdelen'!GK6*CF22</f>
        <v>0</v>
      </c>
      <c r="DK22" s="259">
        <f>'Verwerking Bouwdelen'!GL6*CF22</f>
        <v>0</v>
      </c>
      <c r="DL22" s="125"/>
      <c r="FC22" s="89">
        <f>IF('Verwerken ventilatie'!AJ14=4,1,0)</f>
        <v>0</v>
      </c>
      <c r="FD22" s="89">
        <f>FC22*'Verwerken ventilatie'!BT14</f>
        <v>0</v>
      </c>
      <c r="FE22" s="89">
        <f>FC22*'Verwerken ventilatie'!BU14</f>
        <v>0</v>
      </c>
      <c r="FZ22" s="89">
        <f>IF('Verwerken verlichting'!B18=4,1,0)</f>
        <v>0</v>
      </c>
      <c r="GA22" s="89">
        <f>$FZ22*'Verwerken verlichting'!BX18</f>
        <v>0</v>
      </c>
      <c r="GB22" s="89">
        <f>$FZ22*'Verwerken verlichting'!BY18</f>
        <v>0</v>
      </c>
      <c r="GC22" s="89">
        <f>$FZ22*'Verwerken verlichting'!BZ18</f>
        <v>0</v>
      </c>
      <c r="GD22" s="89">
        <f>$FZ22*'Verwerken verlichting'!CA18</f>
        <v>0</v>
      </c>
      <c r="GE22" s="89">
        <f>$FZ22*'Verwerken verlichting'!CB18</f>
        <v>0</v>
      </c>
      <c r="GF22" s="89">
        <f>$FZ22*'Verwerken verlichting'!CC18</f>
        <v>0</v>
      </c>
      <c r="GG22" s="89">
        <f>FZ22*'Invoer verlichting'!N17</f>
        <v>0</v>
      </c>
      <c r="GH22" s="89">
        <f>FZ22*'Verwerken verlichting'!AH18</f>
        <v>0</v>
      </c>
      <c r="GI22" s="89">
        <f>FZ22*'Verwerken verlichting'!AG18</f>
        <v>0</v>
      </c>
      <c r="GJ22" s="89">
        <f>FZ22*'Verwerken verlichting'!CE18</f>
        <v>0</v>
      </c>
      <c r="GM22" s="89">
        <f t="shared" si="13"/>
        <v>0</v>
      </c>
      <c r="GN22" s="89">
        <f t="shared" si="14"/>
        <v>0</v>
      </c>
      <c r="GO22" s="208">
        <f>IF($GN22=1,$GN22*$GM22*'Verwerking Bouwdelen'!DL6,$GN22*$GM22*'Verwerking Bouwdelen'!T6)</f>
        <v>0</v>
      </c>
      <c r="GP22" s="208">
        <f>IF($GN22=1,$GN22*$GM22*'Verwerking Bouwdelen'!DM6,$GN22*$GM22*'Verwerking Bouwdelen'!U6)</f>
        <v>0</v>
      </c>
      <c r="GQ22" s="208">
        <f>IF($GN22=1,$GN22*$GM22*'Verwerking Bouwdelen'!DN6,$GN22*$GM22*'Verwerking Bouwdelen'!V6)</f>
        <v>0</v>
      </c>
      <c r="GR22" s="208">
        <f>IF($GN22=1,$GN22*$GM22*'Verwerking Bouwdelen'!DO6,$GN22*$GM22*'Verwerking Bouwdelen'!W6)</f>
        <v>0</v>
      </c>
      <c r="GS22" s="208">
        <f>IF($GN22=1,$GN22*$GM22*'Verwerking Bouwdelen'!DP6,$GN22*$GM22*'Verwerking Bouwdelen'!X6)</f>
        <v>0</v>
      </c>
      <c r="GT22" s="208">
        <f>IF($GN22=1,$GN22*$GM22*'Verwerking Bouwdelen'!DQ6,$GN22*$GM22*'Verwerking Bouwdelen'!Y6)</f>
        <v>0</v>
      </c>
      <c r="GU22" s="208">
        <f>IF($GN22=1,$GN22*$GM22*'Verwerking Bouwdelen'!DR6,$GN22*$GM22*'Verwerking Bouwdelen'!Z6)</f>
        <v>0</v>
      </c>
      <c r="GV22" s="208">
        <f>IF($GN22=1,$GN22*$GM22*'Verwerking Bouwdelen'!DS6,$GN22*$GM22*'Verwerking Bouwdelen'!AA6)</f>
        <v>0</v>
      </c>
      <c r="GW22" s="208">
        <f>IF($GN22=1,$GN22*$GM22*'Verwerking Bouwdelen'!DT6,$GN22*$GM22*'Verwerking Bouwdelen'!AB6)</f>
        <v>0</v>
      </c>
      <c r="GX22" s="208">
        <f>IF($GN22=1,$GN22*$GM22*'Verwerking Bouwdelen'!DU6,$GN22*$GM22*'Verwerking Bouwdelen'!AC6)</f>
        <v>0</v>
      </c>
      <c r="GY22" s="208">
        <f>IF($GN22=1,$GN22*$GM22*'Verwerking Bouwdelen'!DV6,$GN22*$GM22*'Verwerking Bouwdelen'!AD6)</f>
        <v>0</v>
      </c>
      <c r="GZ22" s="208">
        <f>IF($GN22=1,$GN22*$GM22*'Verwerking Bouwdelen'!DW6,$GN22*$GM22*'Verwerking Bouwdelen'!AE6)</f>
        <v>0</v>
      </c>
      <c r="HB22" s="89">
        <f t="shared" si="1"/>
        <v>0</v>
      </c>
      <c r="HC22" s="89">
        <f t="shared" si="2"/>
        <v>0</v>
      </c>
      <c r="HD22" s="89">
        <f t="shared" si="3"/>
        <v>0</v>
      </c>
      <c r="HE22" s="89">
        <f t="shared" si="4"/>
        <v>0</v>
      </c>
      <c r="HF22" s="89">
        <f t="shared" si="5"/>
        <v>0</v>
      </c>
      <c r="HG22" s="89">
        <f t="shared" si="6"/>
        <v>0</v>
      </c>
      <c r="HH22" s="89">
        <f t="shared" si="7"/>
        <v>0</v>
      </c>
      <c r="HI22" s="89">
        <f t="shared" si="8"/>
        <v>0</v>
      </c>
      <c r="HJ22" s="89">
        <f t="shared" si="9"/>
        <v>0</v>
      </c>
      <c r="HK22" s="89">
        <f t="shared" si="10"/>
        <v>0</v>
      </c>
      <c r="HL22" s="89">
        <f t="shared" si="11"/>
        <v>0</v>
      </c>
      <c r="HM22" s="89">
        <f t="shared" si="12"/>
        <v>0</v>
      </c>
    </row>
    <row r="23" spans="1:221" x14ac:dyDescent="0.2">
      <c r="A23" s="130">
        <f>IF('Verwerking Bouwdelen'!A7=4,1,0)</f>
        <v>0</v>
      </c>
      <c r="B23" s="208">
        <f>$A23*'Verwerking Bouwdelen'!T7</f>
        <v>0</v>
      </c>
      <c r="C23" s="208">
        <f>$A23*'Verwerking Bouwdelen'!U7</f>
        <v>0</v>
      </c>
      <c r="D23" s="208">
        <f>$A23*'Verwerking Bouwdelen'!V7</f>
        <v>0</v>
      </c>
      <c r="E23" s="208">
        <f>$A23*'Verwerking Bouwdelen'!W7</f>
        <v>0</v>
      </c>
      <c r="F23" s="208">
        <f>$A23*'Verwerking Bouwdelen'!X7</f>
        <v>0</v>
      </c>
      <c r="G23" s="208">
        <f>$A23*'Verwerking Bouwdelen'!Y7</f>
        <v>0</v>
      </c>
      <c r="H23" s="208">
        <f>$A23*'Verwerking Bouwdelen'!Z7</f>
        <v>0</v>
      </c>
      <c r="I23" s="208">
        <f>$A23*'Verwerking Bouwdelen'!AA7</f>
        <v>0</v>
      </c>
      <c r="J23" s="208">
        <f>$A23*'Verwerking Bouwdelen'!AB7</f>
        <v>0</v>
      </c>
      <c r="K23" s="208">
        <f>$A23*'Verwerking Bouwdelen'!AC7</f>
        <v>0</v>
      </c>
      <c r="L23" s="208">
        <f>$A23*'Verwerking Bouwdelen'!AD7</f>
        <v>0</v>
      </c>
      <c r="M23" s="208">
        <f>$A23*'Verwerking Bouwdelen'!AE7</f>
        <v>0</v>
      </c>
      <c r="O23" s="114">
        <f>$A23*'Verwerking Bouwdelen'!AU7</f>
        <v>0</v>
      </c>
      <c r="P23" s="125">
        <f>$A23*'Verwerking Bouwdelen'!AV7</f>
        <v>0</v>
      </c>
      <c r="Q23" s="125">
        <f>$A23*'Verwerking Bouwdelen'!AW7</f>
        <v>0</v>
      </c>
      <c r="R23" s="125">
        <f>$A23*'Verwerking Bouwdelen'!AX7</f>
        <v>0</v>
      </c>
      <c r="S23" s="125">
        <f>$A23*'Verwerking Bouwdelen'!AY7</f>
        <v>0</v>
      </c>
      <c r="T23" s="125">
        <f>$A23*'Verwerking Bouwdelen'!AZ7</f>
        <v>0</v>
      </c>
      <c r="U23" s="125">
        <f>$A23*'Verwerking Bouwdelen'!BA7</f>
        <v>0</v>
      </c>
      <c r="V23" s="125">
        <f>$A23*'Verwerking Bouwdelen'!BB7</f>
        <v>0</v>
      </c>
      <c r="W23" s="125">
        <f>$A23*'Verwerking Bouwdelen'!BC7</f>
        <v>0</v>
      </c>
      <c r="X23" s="125">
        <f>$A23*'Verwerking Bouwdelen'!BD7</f>
        <v>0</v>
      </c>
      <c r="Y23" s="125">
        <f>$A23*'Verwerking Bouwdelen'!BE7</f>
        <v>0</v>
      </c>
      <c r="Z23" s="195">
        <f>$A23*'Verwerking Bouwdelen'!BF7</f>
        <v>0</v>
      </c>
      <c r="AB23" s="125">
        <f>IF(OR('Verwerking Bouwdelen'!C7=3,'Verwerking Bouwdelen'!C7=6),1,0)</f>
        <v>0</v>
      </c>
      <c r="AC23" s="130">
        <f>IF('Verwerking Bouwdelen'!A7=4,1,0)</f>
        <v>0</v>
      </c>
      <c r="AD23" s="208">
        <f>IF($AB23=1,$AC23*'Verwerking Bouwdelen'!DL7,$AC23*'Verwerking Bouwdelen'!T7)</f>
        <v>0</v>
      </c>
      <c r="AE23" s="208">
        <f>IF($AB23=1,$AC23*'Verwerking Bouwdelen'!DM7,$AC23*'Verwerking Bouwdelen'!U7)</f>
        <v>0</v>
      </c>
      <c r="AF23" s="208">
        <f>IF($AB23=1,$AC23*'Verwerking Bouwdelen'!DN7,$AC23*'Verwerking Bouwdelen'!V7)</f>
        <v>0</v>
      </c>
      <c r="AG23" s="208">
        <f>IF($AB23=1,$AC23*'Verwerking Bouwdelen'!DO7,$AC23*'Verwerking Bouwdelen'!W7)</f>
        <v>0</v>
      </c>
      <c r="AH23" s="208">
        <f>IF($AB23=1,$AC23*'Verwerking Bouwdelen'!DP7,$AC23*'Verwerking Bouwdelen'!X7)</f>
        <v>0</v>
      </c>
      <c r="AI23" s="208">
        <f>IF($AB23=1,$AC23*'Verwerking Bouwdelen'!DQ7,$AC23*'Verwerking Bouwdelen'!Y7)</f>
        <v>0</v>
      </c>
      <c r="AJ23" s="208">
        <f>IF($AB23=1,$AC23*'Verwerking Bouwdelen'!DR7,$AC23*'Verwerking Bouwdelen'!Z7)</f>
        <v>0</v>
      </c>
      <c r="AK23" s="208">
        <f>IF($AB23=1,$AC23*'Verwerking Bouwdelen'!DS7,$AC23*'Verwerking Bouwdelen'!AA7)</f>
        <v>0</v>
      </c>
      <c r="AL23" s="208">
        <f>IF($AB23=1,$AC23*'Verwerking Bouwdelen'!DT7,$AC23*'Verwerking Bouwdelen'!AB7)</f>
        <v>0</v>
      </c>
      <c r="AM23" s="208">
        <f>IF($AB23=1,$AC23*'Verwerking Bouwdelen'!DU7,$AC23*'Verwerking Bouwdelen'!AC7)</f>
        <v>0</v>
      </c>
      <c r="AN23" s="208">
        <f>IF($AB23=1,$AC23*'Verwerking Bouwdelen'!DV7,$AC23*'Verwerking Bouwdelen'!AD7)</f>
        <v>0</v>
      </c>
      <c r="AO23" s="208">
        <f>IF($AB23=1,$AC23*'Verwerking Bouwdelen'!DW7,$AC23*'Verwerking Bouwdelen'!AE7)</f>
        <v>0</v>
      </c>
      <c r="AP23" s="10">
        <f>IF(AD23=B23,0,'Verwerking Bouwdelen'!D7*AB23*AC23)</f>
        <v>0</v>
      </c>
      <c r="AQ23" s="10">
        <f>AB23*AC23*'Verwerking Bouwdelen'!GH7</f>
        <v>0</v>
      </c>
      <c r="AR23" s="10"/>
      <c r="AS23" s="248"/>
      <c r="AT23" s="125">
        <f>IF('Verwerking Bouwdelen'!C7=4,1,0)</f>
        <v>0</v>
      </c>
      <c r="AU23" s="130">
        <f>IF('Verwerking Bouwdelen'!A7=4,1,0)</f>
        <v>0</v>
      </c>
      <c r="AV23" s="208">
        <f>IF($AT23=1,$AU23*'Verwerking Bouwdelen'!DL7,$AU23*'Verwerking Bouwdelen'!T7)</f>
        <v>0</v>
      </c>
      <c r="AW23" s="208">
        <f>IF($AT23=1,$AU23*'Verwerking Bouwdelen'!DM7,$AU23*'Verwerking Bouwdelen'!U7)</f>
        <v>0</v>
      </c>
      <c r="AX23" s="208">
        <f>IF($AT23=1,$AU23*'Verwerking Bouwdelen'!DN7,$AU23*'Verwerking Bouwdelen'!V7)</f>
        <v>0</v>
      </c>
      <c r="AY23" s="208">
        <f>IF($AT23=1,$AU23*'Verwerking Bouwdelen'!DO7,$AU23*'Verwerking Bouwdelen'!W7)</f>
        <v>0</v>
      </c>
      <c r="AZ23" s="208">
        <f>IF($AT23=1,$AU23*'Verwerking Bouwdelen'!DP7,$AU23*'Verwerking Bouwdelen'!X7)</f>
        <v>0</v>
      </c>
      <c r="BA23" s="208">
        <f>IF($AT23=1,$AU23*'Verwerking Bouwdelen'!DQ7,$AU23*'Verwerking Bouwdelen'!Y7)</f>
        <v>0</v>
      </c>
      <c r="BB23" s="208">
        <f>IF($AT23=1,$AU23*'Verwerking Bouwdelen'!DR7,$AU23*'Verwerking Bouwdelen'!Z7)</f>
        <v>0</v>
      </c>
      <c r="BC23" s="208">
        <f>IF($AT23=1,$AU23*'Verwerking Bouwdelen'!DS7,$AU23*'Verwerking Bouwdelen'!AA7)</f>
        <v>0</v>
      </c>
      <c r="BD23" s="208">
        <f>IF($AT23=1,$AU23*'Verwerking Bouwdelen'!DT7,$AU23*'Verwerking Bouwdelen'!AB7)</f>
        <v>0</v>
      </c>
      <c r="BE23" s="208">
        <f>IF($AT23=1,$AU23*'Verwerking Bouwdelen'!DU7,$AU23*'Verwerking Bouwdelen'!AC7)</f>
        <v>0</v>
      </c>
      <c r="BF23" s="208">
        <f>IF($AT23=1,$AU23*'Verwerking Bouwdelen'!DV7,$AU23*'Verwerking Bouwdelen'!AD7)</f>
        <v>0</v>
      </c>
      <c r="BG23" s="208">
        <f>IF($AT23=1,$AU23*'Verwerking Bouwdelen'!DW7,$AU23*'Verwerking Bouwdelen'!AE7)</f>
        <v>0</v>
      </c>
      <c r="BH23" s="10">
        <f>IF(AV23=B23,0,'Verwerking Bouwdelen'!D7*AT23*AU23)</f>
        <v>0</v>
      </c>
      <c r="BI23" s="10">
        <f>AT23*AU23*'Verwerking Bouwdelen'!GH7</f>
        <v>0</v>
      </c>
      <c r="BJ23" s="10"/>
      <c r="BK23" s="10"/>
      <c r="BM23" s="125">
        <f>IF('Verwerking Bouwdelen'!C7=5,1,0)</f>
        <v>0</v>
      </c>
      <c r="BN23" s="130">
        <f>IF('Verwerking Bouwdelen'!A7=4,1,0)</f>
        <v>0</v>
      </c>
      <c r="BO23" s="208">
        <f>IF($BM23=1,$BN23*'Verwerking Bouwdelen'!DL7,$BN23*'Verwerking Bouwdelen'!T7)</f>
        <v>0</v>
      </c>
      <c r="BP23" s="208">
        <f>IF($BM23=1,$BN23*'Verwerking Bouwdelen'!DM7,$BN23*'Verwerking Bouwdelen'!U7)</f>
        <v>0</v>
      </c>
      <c r="BQ23" s="208">
        <f>IF($BM23=1,$BN23*'Verwerking Bouwdelen'!DN7,$BN23*'Verwerking Bouwdelen'!V7)</f>
        <v>0</v>
      </c>
      <c r="BR23" s="208">
        <f>IF($BM23=1,$BN23*'Verwerking Bouwdelen'!DO7,$BN23*'Verwerking Bouwdelen'!W7)</f>
        <v>0</v>
      </c>
      <c r="BS23" s="208">
        <f>IF($BM23=1,$BN23*'Verwerking Bouwdelen'!DP7,$BN23*'Verwerking Bouwdelen'!X7)</f>
        <v>0</v>
      </c>
      <c r="BT23" s="208">
        <f>IF($BM23=1,$BN23*'Verwerking Bouwdelen'!DQ7,$BN23*'Verwerking Bouwdelen'!Y7)</f>
        <v>0</v>
      </c>
      <c r="BU23" s="208">
        <f>IF($BM23=1,$BN23*'Verwerking Bouwdelen'!DR7,$BN23*'Verwerking Bouwdelen'!Z7)</f>
        <v>0</v>
      </c>
      <c r="BV23" s="208">
        <f>IF($BM23=1,$BN23*'Verwerking Bouwdelen'!DS7,$BN23*'Verwerking Bouwdelen'!AA7)</f>
        <v>0</v>
      </c>
      <c r="BW23" s="208">
        <f>IF($BM23=1,$BN23*'Verwerking Bouwdelen'!DT7,$BN23*'Verwerking Bouwdelen'!AB7)</f>
        <v>0</v>
      </c>
      <c r="BX23" s="208">
        <f>IF($BM23=1,$BN23*'Verwerking Bouwdelen'!DU7,$BN23*'Verwerking Bouwdelen'!AC7)</f>
        <v>0</v>
      </c>
      <c r="BY23" s="208">
        <f>IF($BM23=1,$BN23*'Verwerking Bouwdelen'!DV7,$BN23*'Verwerking Bouwdelen'!AD7)</f>
        <v>0</v>
      </c>
      <c r="BZ23" s="208">
        <f>IF($BM23=1,$BN23*'Verwerking Bouwdelen'!DW7,$BN23*'Verwerking Bouwdelen'!AE7)</f>
        <v>0</v>
      </c>
      <c r="CA23" s="10">
        <f>IF(BO23=$B23,0,'Verwerking Bouwdelen'!$D7*BM23*BN23)</f>
        <v>0</v>
      </c>
      <c r="CB23" s="10">
        <f>BM23*BN23*'Verwerking Bouwdelen'!GH7</f>
        <v>0</v>
      </c>
      <c r="CC23" s="10"/>
      <c r="CD23" s="248"/>
      <c r="CE23" s="125">
        <f>IF('Verwerking Bouwdelen'!C7=2,1,0)</f>
        <v>0</v>
      </c>
      <c r="CF23" s="130">
        <f>IF('Verwerking Bouwdelen'!A7=4,1,0)</f>
        <v>0</v>
      </c>
      <c r="CG23" s="208">
        <f>IF($CE23=1,$CF23*'Verwerking Bouwdelen'!DL7,$CF23*'Verwerking Bouwdelen'!T7)</f>
        <v>0</v>
      </c>
      <c r="CH23" s="208">
        <f>IF($CE23=1,$CF23*'Verwerking Bouwdelen'!DM7,$CF23*'Verwerking Bouwdelen'!U7)</f>
        <v>0</v>
      </c>
      <c r="CI23" s="208">
        <f>IF($CE23=1,$CF23*'Verwerking Bouwdelen'!DN7,$CF23*'Verwerking Bouwdelen'!V7)</f>
        <v>0</v>
      </c>
      <c r="CJ23" s="208">
        <f>IF($CE23=1,$CF23*'Verwerking Bouwdelen'!DO7,$CF23*'Verwerking Bouwdelen'!W7)</f>
        <v>0</v>
      </c>
      <c r="CK23" s="208">
        <f>IF($CE23=1,$CF23*'Verwerking Bouwdelen'!DP7,$CF23*'Verwerking Bouwdelen'!X7)</f>
        <v>0</v>
      </c>
      <c r="CL23" s="208">
        <f>IF($CE23=1,$CF23*'Verwerking Bouwdelen'!DQ7,$CF23*'Verwerking Bouwdelen'!Y7)</f>
        <v>0</v>
      </c>
      <c r="CM23" s="208">
        <f>IF($CE23=1,$CF23*'Verwerking Bouwdelen'!DR7,$CF23*'Verwerking Bouwdelen'!Z7)</f>
        <v>0</v>
      </c>
      <c r="CN23" s="208">
        <f>IF($CE23=1,$CF23*'Verwerking Bouwdelen'!DS7,$CF23*'Verwerking Bouwdelen'!AA7)</f>
        <v>0</v>
      </c>
      <c r="CO23" s="208">
        <f>IF($CE23=1,$CF23*'Verwerking Bouwdelen'!DT7,$CF23*'Verwerking Bouwdelen'!AB7)</f>
        <v>0</v>
      </c>
      <c r="CP23" s="208">
        <f>IF($CE23=1,$CF23*'Verwerking Bouwdelen'!DU7,$CF23*'Verwerking Bouwdelen'!AC7)</f>
        <v>0</v>
      </c>
      <c r="CQ23" s="208">
        <f>IF($CE23=1,$CF23*'Verwerking Bouwdelen'!DV7,$CF23*'Verwerking Bouwdelen'!AD7)</f>
        <v>0</v>
      </c>
      <c r="CR23" s="208">
        <f>IF($CE23=1,$CF23*'Verwerking Bouwdelen'!DW7,$CF23*'Verwerking Bouwdelen'!AE7)</f>
        <v>0</v>
      </c>
      <c r="CS23" s="10">
        <f>IF(CG23=$B23,0,('Verwerking Bouwdelen'!$D7-'Verwerking Bouwdelen'!G7)*CE23*CF23)</f>
        <v>0</v>
      </c>
      <c r="CT23" s="260">
        <f>CE23*CF23*'Verwerking Bouwdelen'!GH7</f>
        <v>0</v>
      </c>
      <c r="CU23" s="261">
        <f>CE23*CF23*'Verwerking Bouwdelen'!GI7</f>
        <v>0</v>
      </c>
      <c r="CW23" s="209">
        <f>$AC23*'Verwerking Bouwdelen'!EE7</f>
        <v>0</v>
      </c>
      <c r="CX23" s="209">
        <f>$AC23*'Verwerking Bouwdelen'!EF7</f>
        <v>0</v>
      </c>
      <c r="CY23" s="209">
        <f>$AC23*'Verwerking Bouwdelen'!EG7</f>
        <v>0</v>
      </c>
      <c r="CZ23" s="209">
        <f>$AC23*'Verwerking Bouwdelen'!EH7</f>
        <v>0</v>
      </c>
      <c r="DA23" s="209">
        <f>$AC23*'Verwerking Bouwdelen'!EI7</f>
        <v>0</v>
      </c>
      <c r="DB23" s="209">
        <f>$AC23*'Verwerking Bouwdelen'!EJ7</f>
        <v>0</v>
      </c>
      <c r="DC23" s="209">
        <f>$AC23*'Verwerking Bouwdelen'!EK7</f>
        <v>0</v>
      </c>
      <c r="DD23" s="209">
        <f>$AC23*'Verwerking Bouwdelen'!EL7</f>
        <v>0</v>
      </c>
      <c r="DE23" s="209">
        <f>$AC23*'Verwerking Bouwdelen'!EM7</f>
        <v>0</v>
      </c>
      <c r="DF23" s="209">
        <f>$AC23*'Verwerking Bouwdelen'!EN7</f>
        <v>0</v>
      </c>
      <c r="DG23" s="209">
        <f>$AC23*'Verwerking Bouwdelen'!EO7</f>
        <v>0</v>
      </c>
      <c r="DH23" s="209">
        <f>$AC23*'Verwerking Bouwdelen'!EP7</f>
        <v>0</v>
      </c>
      <c r="DI23" s="10">
        <f>IF(CW23=$O23,0,'Verwerking Bouwdelen'!G7)</f>
        <v>0</v>
      </c>
      <c r="DJ23" s="259">
        <f>'Verwerking Bouwdelen'!GK7*CF23</f>
        <v>0</v>
      </c>
      <c r="DK23" s="259">
        <f>'Verwerking Bouwdelen'!GL7*CF23</f>
        <v>0</v>
      </c>
      <c r="DL23" s="125"/>
      <c r="FC23" s="89">
        <f>IF('Verwerken ventilatie'!AJ15=4,1,0)</f>
        <v>0</v>
      </c>
      <c r="FD23" s="89">
        <f>FC23*'Verwerken ventilatie'!BT15</f>
        <v>0</v>
      </c>
      <c r="FE23" s="89">
        <f>FC23*'Verwerken ventilatie'!BU15</f>
        <v>0</v>
      </c>
      <c r="FZ23" s="89">
        <f>IF('Verwerken verlichting'!B19=4,1,0)</f>
        <v>0</v>
      </c>
      <c r="GA23" s="89">
        <f>$FZ23*'Verwerken verlichting'!BX19</f>
        <v>0</v>
      </c>
      <c r="GB23" s="89">
        <f>$FZ23*'Verwerken verlichting'!BY19</f>
        <v>0</v>
      </c>
      <c r="GC23" s="89">
        <f>$FZ23*'Verwerken verlichting'!BZ19</f>
        <v>0</v>
      </c>
      <c r="GD23" s="89">
        <f>$FZ23*'Verwerken verlichting'!CA19</f>
        <v>0</v>
      </c>
      <c r="GE23" s="89">
        <f>$FZ23*'Verwerken verlichting'!CB19</f>
        <v>0</v>
      </c>
      <c r="GF23" s="89">
        <f>$FZ23*'Verwerken verlichting'!CC19</f>
        <v>0</v>
      </c>
      <c r="GG23" s="89">
        <f>FZ23*'Invoer verlichting'!N18</f>
        <v>0</v>
      </c>
      <c r="GH23" s="89">
        <f>FZ23*'Verwerken verlichting'!AH19</f>
        <v>0</v>
      </c>
      <c r="GI23" s="89">
        <f>FZ23*'Verwerken verlichting'!AG19</f>
        <v>0</v>
      </c>
      <c r="GJ23" s="89">
        <f>FZ23*'Verwerken verlichting'!CE19</f>
        <v>0</v>
      </c>
      <c r="GM23" s="89">
        <f t="shared" si="13"/>
        <v>0</v>
      </c>
      <c r="GN23" s="89">
        <f t="shared" si="14"/>
        <v>0</v>
      </c>
      <c r="GO23" s="208">
        <f>IF($GN23=1,$GN23*$GM23*'Verwerking Bouwdelen'!DL7,$GN23*$GM23*'Verwerking Bouwdelen'!T7)</f>
        <v>0</v>
      </c>
      <c r="GP23" s="208">
        <f>IF($GN23=1,$GN23*$GM23*'Verwerking Bouwdelen'!DM7,$GN23*$GM23*'Verwerking Bouwdelen'!U7)</f>
        <v>0</v>
      </c>
      <c r="GQ23" s="208">
        <f>IF($GN23=1,$GN23*$GM23*'Verwerking Bouwdelen'!DN7,$GN23*$GM23*'Verwerking Bouwdelen'!V7)</f>
        <v>0</v>
      </c>
      <c r="GR23" s="208">
        <f>IF($GN23=1,$GN23*$GM23*'Verwerking Bouwdelen'!DO7,$GN23*$GM23*'Verwerking Bouwdelen'!W7)</f>
        <v>0</v>
      </c>
      <c r="GS23" s="208">
        <f>IF($GN23=1,$GN23*$GM23*'Verwerking Bouwdelen'!DP7,$GN23*$GM23*'Verwerking Bouwdelen'!X7)</f>
        <v>0</v>
      </c>
      <c r="GT23" s="208">
        <f>IF($GN23=1,$GN23*$GM23*'Verwerking Bouwdelen'!DQ7,$GN23*$GM23*'Verwerking Bouwdelen'!Y7)</f>
        <v>0</v>
      </c>
      <c r="GU23" s="208">
        <f>IF($GN23=1,$GN23*$GM23*'Verwerking Bouwdelen'!DR7,$GN23*$GM23*'Verwerking Bouwdelen'!Z7)</f>
        <v>0</v>
      </c>
      <c r="GV23" s="208">
        <f>IF($GN23=1,$GN23*$GM23*'Verwerking Bouwdelen'!DS7,$GN23*$GM23*'Verwerking Bouwdelen'!AA7)</f>
        <v>0</v>
      </c>
      <c r="GW23" s="208">
        <f>IF($GN23=1,$GN23*$GM23*'Verwerking Bouwdelen'!DT7,$GN23*$GM23*'Verwerking Bouwdelen'!AB7)</f>
        <v>0</v>
      </c>
      <c r="GX23" s="208">
        <f>IF($GN23=1,$GN23*$GM23*'Verwerking Bouwdelen'!DU7,$GN23*$GM23*'Verwerking Bouwdelen'!AC7)</f>
        <v>0</v>
      </c>
      <c r="GY23" s="208">
        <f>IF($GN23=1,$GN23*$GM23*'Verwerking Bouwdelen'!DV7,$GN23*$GM23*'Verwerking Bouwdelen'!AD7)</f>
        <v>0</v>
      </c>
      <c r="GZ23" s="208">
        <f>IF($GN23=1,$GN23*$GM23*'Verwerking Bouwdelen'!DW7,$GN23*$GM23*'Verwerking Bouwdelen'!AE7)</f>
        <v>0</v>
      </c>
      <c r="HB23" s="89">
        <f t="shared" si="1"/>
        <v>0</v>
      </c>
      <c r="HC23" s="89">
        <f t="shared" si="2"/>
        <v>0</v>
      </c>
      <c r="HD23" s="89">
        <f t="shared" si="3"/>
        <v>0</v>
      </c>
      <c r="HE23" s="89">
        <f t="shared" si="4"/>
        <v>0</v>
      </c>
      <c r="HF23" s="89">
        <f t="shared" si="5"/>
        <v>0</v>
      </c>
      <c r="HG23" s="89">
        <f t="shared" si="6"/>
        <v>0</v>
      </c>
      <c r="HH23" s="89">
        <f t="shared" si="7"/>
        <v>0</v>
      </c>
      <c r="HI23" s="89">
        <f t="shared" si="8"/>
        <v>0</v>
      </c>
      <c r="HJ23" s="89">
        <f t="shared" si="9"/>
        <v>0</v>
      </c>
      <c r="HK23" s="89">
        <f t="shared" si="10"/>
        <v>0</v>
      </c>
      <c r="HL23" s="89">
        <f t="shared" si="11"/>
        <v>0</v>
      </c>
      <c r="HM23" s="89">
        <f t="shared" si="12"/>
        <v>0</v>
      </c>
    </row>
    <row r="24" spans="1:221" x14ac:dyDescent="0.2">
      <c r="A24" s="130">
        <f>IF('Verwerking Bouwdelen'!A8=4,1,0)</f>
        <v>0</v>
      </c>
      <c r="B24" s="208">
        <f>$A24*'Verwerking Bouwdelen'!T8</f>
        <v>0</v>
      </c>
      <c r="C24" s="208">
        <f>$A24*'Verwerking Bouwdelen'!U8</f>
        <v>0</v>
      </c>
      <c r="D24" s="208">
        <f>$A24*'Verwerking Bouwdelen'!V8</f>
        <v>0</v>
      </c>
      <c r="E24" s="208">
        <f>$A24*'Verwerking Bouwdelen'!W8</f>
        <v>0</v>
      </c>
      <c r="F24" s="208">
        <f>$A24*'Verwerking Bouwdelen'!X8</f>
        <v>0</v>
      </c>
      <c r="G24" s="208">
        <f>$A24*'Verwerking Bouwdelen'!Y8</f>
        <v>0</v>
      </c>
      <c r="H24" s="208">
        <f>$A24*'Verwerking Bouwdelen'!Z8</f>
        <v>0</v>
      </c>
      <c r="I24" s="208">
        <f>$A24*'Verwerking Bouwdelen'!AA8</f>
        <v>0</v>
      </c>
      <c r="J24" s="208">
        <f>$A24*'Verwerking Bouwdelen'!AB8</f>
        <v>0</v>
      </c>
      <c r="K24" s="208">
        <f>$A24*'Verwerking Bouwdelen'!AC8</f>
        <v>0</v>
      </c>
      <c r="L24" s="208">
        <f>$A24*'Verwerking Bouwdelen'!AD8</f>
        <v>0</v>
      </c>
      <c r="M24" s="208">
        <f>$A24*'Verwerking Bouwdelen'!AE8</f>
        <v>0</v>
      </c>
      <c r="O24" s="114">
        <f>$A24*'Verwerking Bouwdelen'!AU8</f>
        <v>0</v>
      </c>
      <c r="P24" s="125">
        <f>$A24*'Verwerking Bouwdelen'!AV8</f>
        <v>0</v>
      </c>
      <c r="Q24" s="125">
        <f>$A24*'Verwerking Bouwdelen'!AW8</f>
        <v>0</v>
      </c>
      <c r="R24" s="125">
        <f>$A24*'Verwerking Bouwdelen'!AX8</f>
        <v>0</v>
      </c>
      <c r="S24" s="125">
        <f>$A24*'Verwerking Bouwdelen'!AY8</f>
        <v>0</v>
      </c>
      <c r="T24" s="125">
        <f>$A24*'Verwerking Bouwdelen'!AZ8</f>
        <v>0</v>
      </c>
      <c r="U24" s="125">
        <f>$A24*'Verwerking Bouwdelen'!BA8</f>
        <v>0</v>
      </c>
      <c r="V24" s="125">
        <f>$A24*'Verwerking Bouwdelen'!BB8</f>
        <v>0</v>
      </c>
      <c r="W24" s="125">
        <f>$A24*'Verwerking Bouwdelen'!BC8</f>
        <v>0</v>
      </c>
      <c r="X24" s="125">
        <f>$A24*'Verwerking Bouwdelen'!BD8</f>
        <v>0</v>
      </c>
      <c r="Y24" s="125">
        <f>$A24*'Verwerking Bouwdelen'!BE8</f>
        <v>0</v>
      </c>
      <c r="Z24" s="195">
        <f>$A24*'Verwerking Bouwdelen'!BF8</f>
        <v>0</v>
      </c>
      <c r="AB24" s="125">
        <f>IF(OR('Verwerking Bouwdelen'!C8=3,'Verwerking Bouwdelen'!C8=6),1,0)</f>
        <v>0</v>
      </c>
      <c r="AC24" s="130">
        <f>IF('Verwerking Bouwdelen'!A8=4,1,0)</f>
        <v>0</v>
      </c>
      <c r="AD24" s="208">
        <f>IF($AB24=1,$AC24*'Verwerking Bouwdelen'!DL8,$AC24*'Verwerking Bouwdelen'!T8)</f>
        <v>0</v>
      </c>
      <c r="AE24" s="208">
        <f>IF($AB24=1,$AC24*'Verwerking Bouwdelen'!DM8,$AC24*'Verwerking Bouwdelen'!U8)</f>
        <v>0</v>
      </c>
      <c r="AF24" s="208">
        <f>IF($AB24=1,$AC24*'Verwerking Bouwdelen'!DN8,$AC24*'Verwerking Bouwdelen'!V8)</f>
        <v>0</v>
      </c>
      <c r="AG24" s="208">
        <f>IF($AB24=1,$AC24*'Verwerking Bouwdelen'!DO8,$AC24*'Verwerking Bouwdelen'!W8)</f>
        <v>0</v>
      </c>
      <c r="AH24" s="208">
        <f>IF($AB24=1,$AC24*'Verwerking Bouwdelen'!DP8,$AC24*'Verwerking Bouwdelen'!X8)</f>
        <v>0</v>
      </c>
      <c r="AI24" s="208">
        <f>IF($AB24=1,$AC24*'Verwerking Bouwdelen'!DQ8,$AC24*'Verwerking Bouwdelen'!Y8)</f>
        <v>0</v>
      </c>
      <c r="AJ24" s="208">
        <f>IF($AB24=1,$AC24*'Verwerking Bouwdelen'!DR8,$AC24*'Verwerking Bouwdelen'!Z8)</f>
        <v>0</v>
      </c>
      <c r="AK24" s="208">
        <f>IF($AB24=1,$AC24*'Verwerking Bouwdelen'!DS8,$AC24*'Verwerking Bouwdelen'!AA8)</f>
        <v>0</v>
      </c>
      <c r="AL24" s="208">
        <f>IF($AB24=1,$AC24*'Verwerking Bouwdelen'!DT8,$AC24*'Verwerking Bouwdelen'!AB8)</f>
        <v>0</v>
      </c>
      <c r="AM24" s="208">
        <f>IF($AB24=1,$AC24*'Verwerking Bouwdelen'!DU8,$AC24*'Verwerking Bouwdelen'!AC8)</f>
        <v>0</v>
      </c>
      <c r="AN24" s="208">
        <f>IF($AB24=1,$AC24*'Verwerking Bouwdelen'!DV8,$AC24*'Verwerking Bouwdelen'!AD8)</f>
        <v>0</v>
      </c>
      <c r="AO24" s="208">
        <f>IF($AB24=1,$AC24*'Verwerking Bouwdelen'!DW8,$AC24*'Verwerking Bouwdelen'!AE8)</f>
        <v>0</v>
      </c>
      <c r="AP24" s="10">
        <f>IF(AD24=B24,0,'Verwerking Bouwdelen'!D8*AB24*AC24)</f>
        <v>0</v>
      </c>
      <c r="AQ24" s="10">
        <f>AB24*AC24*'Verwerking Bouwdelen'!GH8</f>
        <v>0</v>
      </c>
      <c r="AR24" s="10"/>
      <c r="AS24" s="248"/>
      <c r="AT24" s="125">
        <f>IF('Verwerking Bouwdelen'!C8=4,1,0)</f>
        <v>0</v>
      </c>
      <c r="AU24" s="130">
        <f>IF('Verwerking Bouwdelen'!A8=4,1,0)</f>
        <v>0</v>
      </c>
      <c r="AV24" s="208">
        <f>IF($AT24=1,$AU24*'Verwerking Bouwdelen'!DL8,$AU24*'Verwerking Bouwdelen'!T8)</f>
        <v>0</v>
      </c>
      <c r="AW24" s="208">
        <f>IF($AT24=1,$AU24*'Verwerking Bouwdelen'!DM8,$AU24*'Verwerking Bouwdelen'!U8)</f>
        <v>0</v>
      </c>
      <c r="AX24" s="208">
        <f>IF($AT24=1,$AU24*'Verwerking Bouwdelen'!DN8,$AU24*'Verwerking Bouwdelen'!V8)</f>
        <v>0</v>
      </c>
      <c r="AY24" s="208">
        <f>IF($AT24=1,$AU24*'Verwerking Bouwdelen'!DO8,$AU24*'Verwerking Bouwdelen'!W8)</f>
        <v>0</v>
      </c>
      <c r="AZ24" s="208">
        <f>IF($AT24=1,$AU24*'Verwerking Bouwdelen'!DP8,$AU24*'Verwerking Bouwdelen'!X8)</f>
        <v>0</v>
      </c>
      <c r="BA24" s="208">
        <f>IF($AT24=1,$AU24*'Verwerking Bouwdelen'!DQ8,$AU24*'Verwerking Bouwdelen'!Y8)</f>
        <v>0</v>
      </c>
      <c r="BB24" s="208">
        <f>IF($AT24=1,$AU24*'Verwerking Bouwdelen'!DR8,$AU24*'Verwerking Bouwdelen'!Z8)</f>
        <v>0</v>
      </c>
      <c r="BC24" s="208">
        <f>IF($AT24=1,$AU24*'Verwerking Bouwdelen'!DS8,$AU24*'Verwerking Bouwdelen'!AA8)</f>
        <v>0</v>
      </c>
      <c r="BD24" s="208">
        <f>IF($AT24=1,$AU24*'Verwerking Bouwdelen'!DT8,$AU24*'Verwerking Bouwdelen'!AB8)</f>
        <v>0</v>
      </c>
      <c r="BE24" s="208">
        <f>IF($AT24=1,$AU24*'Verwerking Bouwdelen'!DU8,$AU24*'Verwerking Bouwdelen'!AC8)</f>
        <v>0</v>
      </c>
      <c r="BF24" s="208">
        <f>IF($AT24=1,$AU24*'Verwerking Bouwdelen'!DV8,$AU24*'Verwerking Bouwdelen'!AD8)</f>
        <v>0</v>
      </c>
      <c r="BG24" s="208">
        <f>IF($AT24=1,$AU24*'Verwerking Bouwdelen'!DW8,$AU24*'Verwerking Bouwdelen'!AE8)</f>
        <v>0</v>
      </c>
      <c r="BH24" s="10">
        <f>IF(AV24=B24,0,'Verwerking Bouwdelen'!D8*AT24*AU24)</f>
        <v>0</v>
      </c>
      <c r="BI24" s="10">
        <f>AT24*AU24*'Verwerking Bouwdelen'!GH8</f>
        <v>0</v>
      </c>
      <c r="BJ24" s="10"/>
      <c r="BK24" s="10"/>
      <c r="BM24" s="125">
        <f>IF('Verwerking Bouwdelen'!C8=5,1,0)</f>
        <v>0</v>
      </c>
      <c r="BN24" s="130">
        <f>IF('Verwerking Bouwdelen'!A8=4,1,0)</f>
        <v>0</v>
      </c>
      <c r="BO24" s="208">
        <f>IF($BM24=1,$BN24*'Verwerking Bouwdelen'!DL8,$BN24*'Verwerking Bouwdelen'!T8)</f>
        <v>0</v>
      </c>
      <c r="BP24" s="208">
        <f>IF($BM24=1,$BN24*'Verwerking Bouwdelen'!DM8,$BN24*'Verwerking Bouwdelen'!U8)</f>
        <v>0</v>
      </c>
      <c r="BQ24" s="208">
        <f>IF($BM24=1,$BN24*'Verwerking Bouwdelen'!DN8,$BN24*'Verwerking Bouwdelen'!V8)</f>
        <v>0</v>
      </c>
      <c r="BR24" s="208">
        <f>IF($BM24=1,$BN24*'Verwerking Bouwdelen'!DO8,$BN24*'Verwerking Bouwdelen'!W8)</f>
        <v>0</v>
      </c>
      <c r="BS24" s="208">
        <f>IF($BM24=1,$BN24*'Verwerking Bouwdelen'!DP8,$BN24*'Verwerking Bouwdelen'!X8)</f>
        <v>0</v>
      </c>
      <c r="BT24" s="208">
        <f>IF($BM24=1,$BN24*'Verwerking Bouwdelen'!DQ8,$BN24*'Verwerking Bouwdelen'!Y8)</f>
        <v>0</v>
      </c>
      <c r="BU24" s="208">
        <f>IF($BM24=1,$BN24*'Verwerking Bouwdelen'!DR8,$BN24*'Verwerking Bouwdelen'!Z8)</f>
        <v>0</v>
      </c>
      <c r="BV24" s="208">
        <f>IF($BM24=1,$BN24*'Verwerking Bouwdelen'!DS8,$BN24*'Verwerking Bouwdelen'!AA8)</f>
        <v>0</v>
      </c>
      <c r="BW24" s="208">
        <f>IF($BM24=1,$BN24*'Verwerking Bouwdelen'!DT8,$BN24*'Verwerking Bouwdelen'!AB8)</f>
        <v>0</v>
      </c>
      <c r="BX24" s="208">
        <f>IF($BM24=1,$BN24*'Verwerking Bouwdelen'!DU8,$BN24*'Verwerking Bouwdelen'!AC8)</f>
        <v>0</v>
      </c>
      <c r="BY24" s="208">
        <f>IF($BM24=1,$BN24*'Verwerking Bouwdelen'!DV8,$BN24*'Verwerking Bouwdelen'!AD8)</f>
        <v>0</v>
      </c>
      <c r="BZ24" s="208">
        <f>IF($BM24=1,$BN24*'Verwerking Bouwdelen'!DW8,$BN24*'Verwerking Bouwdelen'!AE8)</f>
        <v>0</v>
      </c>
      <c r="CA24" s="10">
        <f>IF(BO24=$B24,0,'Verwerking Bouwdelen'!$D8*BM24*BN24)</f>
        <v>0</v>
      </c>
      <c r="CB24" s="10">
        <f>BM24*BN24*'Verwerking Bouwdelen'!GH8</f>
        <v>0</v>
      </c>
      <c r="CC24" s="10"/>
      <c r="CD24" s="248"/>
      <c r="CE24" s="125">
        <f>IF('Verwerking Bouwdelen'!C8=2,1,0)</f>
        <v>0</v>
      </c>
      <c r="CF24" s="130">
        <f>IF('Verwerking Bouwdelen'!A8=4,1,0)</f>
        <v>0</v>
      </c>
      <c r="CG24" s="208">
        <f>IF($CE24=1,$CF24*'Verwerking Bouwdelen'!DL8,$CF24*'Verwerking Bouwdelen'!T8)</f>
        <v>0</v>
      </c>
      <c r="CH24" s="208">
        <f>IF($CE24=1,$CF24*'Verwerking Bouwdelen'!DM8,$CF24*'Verwerking Bouwdelen'!U8)</f>
        <v>0</v>
      </c>
      <c r="CI24" s="208">
        <f>IF($CE24=1,$CF24*'Verwerking Bouwdelen'!DN8,$CF24*'Verwerking Bouwdelen'!V8)</f>
        <v>0</v>
      </c>
      <c r="CJ24" s="208">
        <f>IF($CE24=1,$CF24*'Verwerking Bouwdelen'!DO8,$CF24*'Verwerking Bouwdelen'!W8)</f>
        <v>0</v>
      </c>
      <c r="CK24" s="208">
        <f>IF($CE24=1,$CF24*'Verwerking Bouwdelen'!DP8,$CF24*'Verwerking Bouwdelen'!X8)</f>
        <v>0</v>
      </c>
      <c r="CL24" s="208">
        <f>IF($CE24=1,$CF24*'Verwerking Bouwdelen'!DQ8,$CF24*'Verwerking Bouwdelen'!Y8)</f>
        <v>0</v>
      </c>
      <c r="CM24" s="208">
        <f>IF($CE24=1,$CF24*'Verwerking Bouwdelen'!DR8,$CF24*'Verwerking Bouwdelen'!Z8)</f>
        <v>0</v>
      </c>
      <c r="CN24" s="208">
        <f>IF($CE24=1,$CF24*'Verwerking Bouwdelen'!DS8,$CF24*'Verwerking Bouwdelen'!AA8)</f>
        <v>0</v>
      </c>
      <c r="CO24" s="208">
        <f>IF($CE24=1,$CF24*'Verwerking Bouwdelen'!DT8,$CF24*'Verwerking Bouwdelen'!AB8)</f>
        <v>0</v>
      </c>
      <c r="CP24" s="208">
        <f>IF($CE24=1,$CF24*'Verwerking Bouwdelen'!DU8,$CF24*'Verwerking Bouwdelen'!AC8)</f>
        <v>0</v>
      </c>
      <c r="CQ24" s="208">
        <f>IF($CE24=1,$CF24*'Verwerking Bouwdelen'!DV8,$CF24*'Verwerking Bouwdelen'!AD8)</f>
        <v>0</v>
      </c>
      <c r="CR24" s="208">
        <f>IF($CE24=1,$CF24*'Verwerking Bouwdelen'!DW8,$CF24*'Verwerking Bouwdelen'!AE8)</f>
        <v>0</v>
      </c>
      <c r="CS24" s="10">
        <f>IF(CG24=$B24,0,('Verwerking Bouwdelen'!$D8-'Verwerking Bouwdelen'!G8)*CE24*CF24)</f>
        <v>0</v>
      </c>
      <c r="CT24" s="260">
        <f>CE24*CF24*'Verwerking Bouwdelen'!GH8</f>
        <v>0</v>
      </c>
      <c r="CU24" s="261">
        <f>CE24*CF24*'Verwerking Bouwdelen'!GI8</f>
        <v>0</v>
      </c>
      <c r="CW24" s="209">
        <f>$AC24*'Verwerking Bouwdelen'!EE8</f>
        <v>0</v>
      </c>
      <c r="CX24" s="209">
        <f>$AC24*'Verwerking Bouwdelen'!EF8</f>
        <v>0</v>
      </c>
      <c r="CY24" s="209">
        <f>$AC24*'Verwerking Bouwdelen'!EG8</f>
        <v>0</v>
      </c>
      <c r="CZ24" s="209">
        <f>$AC24*'Verwerking Bouwdelen'!EH8</f>
        <v>0</v>
      </c>
      <c r="DA24" s="209">
        <f>$AC24*'Verwerking Bouwdelen'!EI8</f>
        <v>0</v>
      </c>
      <c r="DB24" s="209">
        <f>$AC24*'Verwerking Bouwdelen'!EJ8</f>
        <v>0</v>
      </c>
      <c r="DC24" s="209">
        <f>$AC24*'Verwerking Bouwdelen'!EK8</f>
        <v>0</v>
      </c>
      <c r="DD24" s="209">
        <f>$AC24*'Verwerking Bouwdelen'!EL8</f>
        <v>0</v>
      </c>
      <c r="DE24" s="209">
        <f>$AC24*'Verwerking Bouwdelen'!EM8</f>
        <v>0</v>
      </c>
      <c r="DF24" s="209">
        <f>$AC24*'Verwerking Bouwdelen'!EN8</f>
        <v>0</v>
      </c>
      <c r="DG24" s="209">
        <f>$AC24*'Verwerking Bouwdelen'!EO8</f>
        <v>0</v>
      </c>
      <c r="DH24" s="209">
        <f>$AC24*'Verwerking Bouwdelen'!EP8</f>
        <v>0</v>
      </c>
      <c r="DI24" s="10">
        <f>IF(CW24=$O24,0,'Verwerking Bouwdelen'!G8)</f>
        <v>0</v>
      </c>
      <c r="DJ24" s="259">
        <f>'Verwerking Bouwdelen'!GK8*CF24</f>
        <v>0</v>
      </c>
      <c r="DK24" s="259">
        <f>'Verwerking Bouwdelen'!GL8*CF24</f>
        <v>0</v>
      </c>
      <c r="DL24" s="125"/>
      <c r="FC24" s="89">
        <f>IF('Verwerken ventilatie'!AJ16=4,1,0)</f>
        <v>0</v>
      </c>
      <c r="FD24" s="89">
        <f>FC24*'Verwerken ventilatie'!BT16</f>
        <v>0</v>
      </c>
      <c r="FE24" s="89">
        <f>FC24*'Verwerken ventilatie'!BU16</f>
        <v>0</v>
      </c>
      <c r="FZ24" s="89">
        <f>IF('Verwerken verlichting'!B20=4,1,0)</f>
        <v>0</v>
      </c>
      <c r="GA24" s="89">
        <f>$FZ24*'Verwerken verlichting'!BX20</f>
        <v>0</v>
      </c>
      <c r="GB24" s="89">
        <f>$FZ24*'Verwerken verlichting'!BY20</f>
        <v>0</v>
      </c>
      <c r="GC24" s="89">
        <f>$FZ24*'Verwerken verlichting'!BZ20</f>
        <v>0</v>
      </c>
      <c r="GD24" s="89">
        <f>$FZ24*'Verwerken verlichting'!CA20</f>
        <v>0</v>
      </c>
      <c r="GE24" s="89">
        <f>$FZ24*'Verwerken verlichting'!CB20</f>
        <v>0</v>
      </c>
      <c r="GF24" s="89">
        <f>$FZ24*'Verwerken verlichting'!CC20</f>
        <v>0</v>
      </c>
      <c r="GG24" s="89">
        <f>FZ24*'Invoer verlichting'!N19</f>
        <v>0</v>
      </c>
      <c r="GH24" s="89">
        <f>FZ24*'Verwerken verlichting'!AH20</f>
        <v>0</v>
      </c>
      <c r="GI24" s="89">
        <f>FZ24*'Verwerken verlichting'!AG20</f>
        <v>0</v>
      </c>
      <c r="GJ24" s="89">
        <f>FZ24*'Verwerken verlichting'!CE20</f>
        <v>0</v>
      </c>
      <c r="GM24" s="89">
        <f t="shared" si="13"/>
        <v>0</v>
      </c>
      <c r="GN24" s="89">
        <f t="shared" si="14"/>
        <v>0</v>
      </c>
      <c r="GO24" s="208">
        <f>IF($GN24=1,$GN24*$GM24*'Verwerking Bouwdelen'!DL8,$GN24*$GM24*'Verwerking Bouwdelen'!T8)</f>
        <v>0</v>
      </c>
      <c r="GP24" s="208">
        <f>IF($GN24=1,$GN24*$GM24*'Verwerking Bouwdelen'!DM8,$GN24*$GM24*'Verwerking Bouwdelen'!U8)</f>
        <v>0</v>
      </c>
      <c r="GQ24" s="208">
        <f>IF($GN24=1,$GN24*$GM24*'Verwerking Bouwdelen'!DN8,$GN24*$GM24*'Verwerking Bouwdelen'!V8)</f>
        <v>0</v>
      </c>
      <c r="GR24" s="208">
        <f>IF($GN24=1,$GN24*$GM24*'Verwerking Bouwdelen'!DO8,$GN24*$GM24*'Verwerking Bouwdelen'!W8)</f>
        <v>0</v>
      </c>
      <c r="GS24" s="208">
        <f>IF($GN24=1,$GN24*$GM24*'Verwerking Bouwdelen'!DP8,$GN24*$GM24*'Verwerking Bouwdelen'!X8)</f>
        <v>0</v>
      </c>
      <c r="GT24" s="208">
        <f>IF($GN24=1,$GN24*$GM24*'Verwerking Bouwdelen'!DQ8,$GN24*$GM24*'Verwerking Bouwdelen'!Y8)</f>
        <v>0</v>
      </c>
      <c r="GU24" s="208">
        <f>IF($GN24=1,$GN24*$GM24*'Verwerking Bouwdelen'!DR8,$GN24*$GM24*'Verwerking Bouwdelen'!Z8)</f>
        <v>0</v>
      </c>
      <c r="GV24" s="208">
        <f>IF($GN24=1,$GN24*$GM24*'Verwerking Bouwdelen'!DS8,$GN24*$GM24*'Verwerking Bouwdelen'!AA8)</f>
        <v>0</v>
      </c>
      <c r="GW24" s="208">
        <f>IF($GN24=1,$GN24*$GM24*'Verwerking Bouwdelen'!DT8,$GN24*$GM24*'Verwerking Bouwdelen'!AB8)</f>
        <v>0</v>
      </c>
      <c r="GX24" s="208">
        <f>IF($GN24=1,$GN24*$GM24*'Verwerking Bouwdelen'!DU8,$GN24*$GM24*'Verwerking Bouwdelen'!AC8)</f>
        <v>0</v>
      </c>
      <c r="GY24" s="208">
        <f>IF($GN24=1,$GN24*$GM24*'Verwerking Bouwdelen'!DV8,$GN24*$GM24*'Verwerking Bouwdelen'!AD8)</f>
        <v>0</v>
      </c>
      <c r="GZ24" s="208">
        <f>IF($GN24=1,$GN24*$GM24*'Verwerking Bouwdelen'!DW8,$GN24*$GM24*'Verwerking Bouwdelen'!AE8)</f>
        <v>0</v>
      </c>
      <c r="HB24" s="89">
        <f t="shared" si="1"/>
        <v>0</v>
      </c>
      <c r="HC24" s="89">
        <f t="shared" si="2"/>
        <v>0</v>
      </c>
      <c r="HD24" s="89">
        <f t="shared" si="3"/>
        <v>0</v>
      </c>
      <c r="HE24" s="89">
        <f t="shared" si="4"/>
        <v>0</v>
      </c>
      <c r="HF24" s="89">
        <f t="shared" si="5"/>
        <v>0</v>
      </c>
      <c r="HG24" s="89">
        <f t="shared" si="6"/>
        <v>0</v>
      </c>
      <c r="HH24" s="89">
        <f t="shared" si="7"/>
        <v>0</v>
      </c>
      <c r="HI24" s="89">
        <f t="shared" si="8"/>
        <v>0</v>
      </c>
      <c r="HJ24" s="89">
        <f t="shared" si="9"/>
        <v>0</v>
      </c>
      <c r="HK24" s="89">
        <f t="shared" si="10"/>
        <v>0</v>
      </c>
      <c r="HL24" s="89">
        <f t="shared" si="11"/>
        <v>0</v>
      </c>
      <c r="HM24" s="89">
        <f t="shared" si="12"/>
        <v>0</v>
      </c>
    </row>
    <row r="25" spans="1:221" x14ac:dyDescent="0.2">
      <c r="A25" s="130">
        <f>IF('Verwerking Bouwdelen'!A9=4,1,0)</f>
        <v>0</v>
      </c>
      <c r="B25" s="208">
        <f>$A25*'Verwerking Bouwdelen'!T9</f>
        <v>0</v>
      </c>
      <c r="C25" s="208">
        <f>$A25*'Verwerking Bouwdelen'!U9</f>
        <v>0</v>
      </c>
      <c r="D25" s="208">
        <f>$A25*'Verwerking Bouwdelen'!V9</f>
        <v>0</v>
      </c>
      <c r="E25" s="208">
        <f>$A25*'Verwerking Bouwdelen'!W9</f>
        <v>0</v>
      </c>
      <c r="F25" s="208">
        <f>$A25*'Verwerking Bouwdelen'!X9</f>
        <v>0</v>
      </c>
      <c r="G25" s="208">
        <f>$A25*'Verwerking Bouwdelen'!Y9</f>
        <v>0</v>
      </c>
      <c r="H25" s="208">
        <f>$A25*'Verwerking Bouwdelen'!Z9</f>
        <v>0</v>
      </c>
      <c r="I25" s="208">
        <f>$A25*'Verwerking Bouwdelen'!AA9</f>
        <v>0</v>
      </c>
      <c r="J25" s="208">
        <f>$A25*'Verwerking Bouwdelen'!AB9</f>
        <v>0</v>
      </c>
      <c r="K25" s="208">
        <f>$A25*'Verwerking Bouwdelen'!AC9</f>
        <v>0</v>
      </c>
      <c r="L25" s="208">
        <f>$A25*'Verwerking Bouwdelen'!AD9</f>
        <v>0</v>
      </c>
      <c r="M25" s="208">
        <f>$A25*'Verwerking Bouwdelen'!AE9</f>
        <v>0</v>
      </c>
      <c r="O25" s="114">
        <f>$A25*'Verwerking Bouwdelen'!AU9</f>
        <v>0</v>
      </c>
      <c r="P25" s="125">
        <f>$A25*'Verwerking Bouwdelen'!AV9</f>
        <v>0</v>
      </c>
      <c r="Q25" s="125">
        <f>$A25*'Verwerking Bouwdelen'!AW9</f>
        <v>0</v>
      </c>
      <c r="R25" s="125">
        <f>$A25*'Verwerking Bouwdelen'!AX9</f>
        <v>0</v>
      </c>
      <c r="S25" s="125">
        <f>$A25*'Verwerking Bouwdelen'!AY9</f>
        <v>0</v>
      </c>
      <c r="T25" s="125">
        <f>$A25*'Verwerking Bouwdelen'!AZ9</f>
        <v>0</v>
      </c>
      <c r="U25" s="125">
        <f>$A25*'Verwerking Bouwdelen'!BA9</f>
        <v>0</v>
      </c>
      <c r="V25" s="125">
        <f>$A25*'Verwerking Bouwdelen'!BB9</f>
        <v>0</v>
      </c>
      <c r="W25" s="125">
        <f>$A25*'Verwerking Bouwdelen'!BC9</f>
        <v>0</v>
      </c>
      <c r="X25" s="125">
        <f>$A25*'Verwerking Bouwdelen'!BD9</f>
        <v>0</v>
      </c>
      <c r="Y25" s="125">
        <f>$A25*'Verwerking Bouwdelen'!BE9</f>
        <v>0</v>
      </c>
      <c r="Z25" s="195">
        <f>$A25*'Verwerking Bouwdelen'!BF9</f>
        <v>0</v>
      </c>
      <c r="AB25" s="125">
        <f>IF(OR('Verwerking Bouwdelen'!C9=3,'Verwerking Bouwdelen'!C9=6),1,0)</f>
        <v>0</v>
      </c>
      <c r="AC25" s="130">
        <f>IF('Verwerking Bouwdelen'!A9=4,1,0)</f>
        <v>0</v>
      </c>
      <c r="AD25" s="208">
        <f>IF($AB25=1,$AC25*'Verwerking Bouwdelen'!DL9,$AC25*'Verwerking Bouwdelen'!T9)</f>
        <v>0</v>
      </c>
      <c r="AE25" s="208">
        <f>IF($AB25=1,$AC25*'Verwerking Bouwdelen'!DM9,$AC25*'Verwerking Bouwdelen'!U9)</f>
        <v>0</v>
      </c>
      <c r="AF25" s="208">
        <f>IF($AB25=1,$AC25*'Verwerking Bouwdelen'!DN9,$AC25*'Verwerking Bouwdelen'!V9)</f>
        <v>0</v>
      </c>
      <c r="AG25" s="208">
        <f>IF($AB25=1,$AC25*'Verwerking Bouwdelen'!DO9,$AC25*'Verwerking Bouwdelen'!W9)</f>
        <v>0</v>
      </c>
      <c r="AH25" s="208">
        <f>IF($AB25=1,$AC25*'Verwerking Bouwdelen'!DP9,$AC25*'Verwerking Bouwdelen'!X9)</f>
        <v>0</v>
      </c>
      <c r="AI25" s="208">
        <f>IF($AB25=1,$AC25*'Verwerking Bouwdelen'!DQ9,$AC25*'Verwerking Bouwdelen'!Y9)</f>
        <v>0</v>
      </c>
      <c r="AJ25" s="208">
        <f>IF($AB25=1,$AC25*'Verwerking Bouwdelen'!DR9,$AC25*'Verwerking Bouwdelen'!Z9)</f>
        <v>0</v>
      </c>
      <c r="AK25" s="208">
        <f>IF($AB25=1,$AC25*'Verwerking Bouwdelen'!DS9,$AC25*'Verwerking Bouwdelen'!AA9)</f>
        <v>0</v>
      </c>
      <c r="AL25" s="208">
        <f>IF($AB25=1,$AC25*'Verwerking Bouwdelen'!DT9,$AC25*'Verwerking Bouwdelen'!AB9)</f>
        <v>0</v>
      </c>
      <c r="AM25" s="208">
        <f>IF($AB25=1,$AC25*'Verwerking Bouwdelen'!DU9,$AC25*'Verwerking Bouwdelen'!AC9)</f>
        <v>0</v>
      </c>
      <c r="AN25" s="208">
        <f>IF($AB25=1,$AC25*'Verwerking Bouwdelen'!DV9,$AC25*'Verwerking Bouwdelen'!AD9)</f>
        <v>0</v>
      </c>
      <c r="AO25" s="208">
        <f>IF($AB25=1,$AC25*'Verwerking Bouwdelen'!DW9,$AC25*'Verwerking Bouwdelen'!AE9)</f>
        <v>0</v>
      </c>
      <c r="AP25" s="10">
        <f>IF(AD25=B25,0,'Verwerking Bouwdelen'!D9*AB25*AC25)</f>
        <v>0</v>
      </c>
      <c r="AQ25" s="10">
        <f>AB25*AC25*'Verwerking Bouwdelen'!GH9</f>
        <v>0</v>
      </c>
      <c r="AR25" s="10"/>
      <c r="AS25" s="248"/>
      <c r="AT25" s="125">
        <f>IF('Verwerking Bouwdelen'!C9=4,1,0)</f>
        <v>0</v>
      </c>
      <c r="AU25" s="130">
        <f>IF('Verwerking Bouwdelen'!A9=4,1,0)</f>
        <v>0</v>
      </c>
      <c r="AV25" s="208">
        <f>IF($AT25=1,$AU25*'Verwerking Bouwdelen'!DL9,$AU25*'Verwerking Bouwdelen'!T9)</f>
        <v>0</v>
      </c>
      <c r="AW25" s="208">
        <f>IF($AT25=1,$AU25*'Verwerking Bouwdelen'!DM9,$AU25*'Verwerking Bouwdelen'!U9)</f>
        <v>0</v>
      </c>
      <c r="AX25" s="208">
        <f>IF($AT25=1,$AU25*'Verwerking Bouwdelen'!DN9,$AU25*'Verwerking Bouwdelen'!V9)</f>
        <v>0</v>
      </c>
      <c r="AY25" s="208">
        <f>IF($AT25=1,$AU25*'Verwerking Bouwdelen'!DO9,$AU25*'Verwerking Bouwdelen'!W9)</f>
        <v>0</v>
      </c>
      <c r="AZ25" s="208">
        <f>IF($AT25=1,$AU25*'Verwerking Bouwdelen'!DP9,$AU25*'Verwerking Bouwdelen'!X9)</f>
        <v>0</v>
      </c>
      <c r="BA25" s="208">
        <f>IF($AT25=1,$AU25*'Verwerking Bouwdelen'!DQ9,$AU25*'Verwerking Bouwdelen'!Y9)</f>
        <v>0</v>
      </c>
      <c r="BB25" s="208">
        <f>IF($AT25=1,$AU25*'Verwerking Bouwdelen'!DR9,$AU25*'Verwerking Bouwdelen'!Z9)</f>
        <v>0</v>
      </c>
      <c r="BC25" s="208">
        <f>IF($AT25=1,$AU25*'Verwerking Bouwdelen'!DS9,$AU25*'Verwerking Bouwdelen'!AA9)</f>
        <v>0</v>
      </c>
      <c r="BD25" s="208">
        <f>IF($AT25=1,$AU25*'Verwerking Bouwdelen'!DT9,$AU25*'Verwerking Bouwdelen'!AB9)</f>
        <v>0</v>
      </c>
      <c r="BE25" s="208">
        <f>IF($AT25=1,$AU25*'Verwerking Bouwdelen'!DU9,$AU25*'Verwerking Bouwdelen'!AC9)</f>
        <v>0</v>
      </c>
      <c r="BF25" s="208">
        <f>IF($AT25=1,$AU25*'Verwerking Bouwdelen'!DV9,$AU25*'Verwerking Bouwdelen'!AD9)</f>
        <v>0</v>
      </c>
      <c r="BG25" s="208">
        <f>IF($AT25=1,$AU25*'Verwerking Bouwdelen'!DW9,$AU25*'Verwerking Bouwdelen'!AE9)</f>
        <v>0</v>
      </c>
      <c r="BH25" s="10">
        <f>IF(AV25=B25,0,'Verwerking Bouwdelen'!D9*AT25*AU25)</f>
        <v>0</v>
      </c>
      <c r="BI25" s="10">
        <f>AT25*AU25*'Verwerking Bouwdelen'!GH9</f>
        <v>0</v>
      </c>
      <c r="BJ25" s="10"/>
      <c r="BK25" s="10"/>
      <c r="BM25" s="125">
        <f>IF('Verwerking Bouwdelen'!C9=5,1,0)</f>
        <v>0</v>
      </c>
      <c r="BN25" s="130">
        <f>IF('Verwerking Bouwdelen'!A9=4,1,0)</f>
        <v>0</v>
      </c>
      <c r="BO25" s="208">
        <f>IF($BM25=1,$BN25*'Verwerking Bouwdelen'!DL9,$BN25*'Verwerking Bouwdelen'!T9)</f>
        <v>0</v>
      </c>
      <c r="BP25" s="208">
        <f>IF($BM25=1,$BN25*'Verwerking Bouwdelen'!DM9,$BN25*'Verwerking Bouwdelen'!U9)</f>
        <v>0</v>
      </c>
      <c r="BQ25" s="208">
        <f>IF($BM25=1,$BN25*'Verwerking Bouwdelen'!DN9,$BN25*'Verwerking Bouwdelen'!V9)</f>
        <v>0</v>
      </c>
      <c r="BR25" s="208">
        <f>IF($BM25=1,$BN25*'Verwerking Bouwdelen'!DO9,$BN25*'Verwerking Bouwdelen'!W9)</f>
        <v>0</v>
      </c>
      <c r="BS25" s="208">
        <f>IF($BM25=1,$BN25*'Verwerking Bouwdelen'!DP9,$BN25*'Verwerking Bouwdelen'!X9)</f>
        <v>0</v>
      </c>
      <c r="BT25" s="208">
        <f>IF($BM25=1,$BN25*'Verwerking Bouwdelen'!DQ9,$BN25*'Verwerking Bouwdelen'!Y9)</f>
        <v>0</v>
      </c>
      <c r="BU25" s="208">
        <f>IF($BM25=1,$BN25*'Verwerking Bouwdelen'!DR9,$BN25*'Verwerking Bouwdelen'!Z9)</f>
        <v>0</v>
      </c>
      <c r="BV25" s="208">
        <f>IF($BM25=1,$BN25*'Verwerking Bouwdelen'!DS9,$BN25*'Verwerking Bouwdelen'!AA9)</f>
        <v>0</v>
      </c>
      <c r="BW25" s="208">
        <f>IF($BM25=1,$BN25*'Verwerking Bouwdelen'!DT9,$BN25*'Verwerking Bouwdelen'!AB9)</f>
        <v>0</v>
      </c>
      <c r="BX25" s="208">
        <f>IF($BM25=1,$BN25*'Verwerking Bouwdelen'!DU9,$BN25*'Verwerking Bouwdelen'!AC9)</f>
        <v>0</v>
      </c>
      <c r="BY25" s="208">
        <f>IF($BM25=1,$BN25*'Verwerking Bouwdelen'!DV9,$BN25*'Verwerking Bouwdelen'!AD9)</f>
        <v>0</v>
      </c>
      <c r="BZ25" s="208">
        <f>IF($BM25=1,$BN25*'Verwerking Bouwdelen'!DW9,$BN25*'Verwerking Bouwdelen'!AE9)</f>
        <v>0</v>
      </c>
      <c r="CA25" s="10">
        <f>IF(BO25=$B25,0,'Verwerking Bouwdelen'!$D9*BM25*BN25)</f>
        <v>0</v>
      </c>
      <c r="CB25" s="10">
        <f>BM25*BN25*'Verwerking Bouwdelen'!GH9</f>
        <v>0</v>
      </c>
      <c r="CC25" s="10"/>
      <c r="CD25" s="248"/>
      <c r="CE25" s="125">
        <f>IF('Verwerking Bouwdelen'!C9=2,1,0)</f>
        <v>0</v>
      </c>
      <c r="CF25" s="130">
        <f>IF('Verwerking Bouwdelen'!A9=4,1,0)</f>
        <v>0</v>
      </c>
      <c r="CG25" s="208">
        <f>IF($CE25=1,$CF25*'Verwerking Bouwdelen'!DL9,$CF25*'Verwerking Bouwdelen'!T9)</f>
        <v>0</v>
      </c>
      <c r="CH25" s="208">
        <f>IF($CE25=1,$CF25*'Verwerking Bouwdelen'!DM9,$CF25*'Verwerking Bouwdelen'!U9)</f>
        <v>0</v>
      </c>
      <c r="CI25" s="208">
        <f>IF($CE25=1,$CF25*'Verwerking Bouwdelen'!DN9,$CF25*'Verwerking Bouwdelen'!V9)</f>
        <v>0</v>
      </c>
      <c r="CJ25" s="208">
        <f>IF($CE25=1,$CF25*'Verwerking Bouwdelen'!DO9,$CF25*'Verwerking Bouwdelen'!W9)</f>
        <v>0</v>
      </c>
      <c r="CK25" s="208">
        <f>IF($CE25=1,$CF25*'Verwerking Bouwdelen'!DP9,$CF25*'Verwerking Bouwdelen'!X9)</f>
        <v>0</v>
      </c>
      <c r="CL25" s="208">
        <f>IF($CE25=1,$CF25*'Verwerking Bouwdelen'!DQ9,$CF25*'Verwerking Bouwdelen'!Y9)</f>
        <v>0</v>
      </c>
      <c r="CM25" s="208">
        <f>IF($CE25=1,$CF25*'Verwerking Bouwdelen'!DR9,$CF25*'Verwerking Bouwdelen'!Z9)</f>
        <v>0</v>
      </c>
      <c r="CN25" s="208">
        <f>IF($CE25=1,$CF25*'Verwerking Bouwdelen'!DS9,$CF25*'Verwerking Bouwdelen'!AA9)</f>
        <v>0</v>
      </c>
      <c r="CO25" s="208">
        <f>IF($CE25=1,$CF25*'Verwerking Bouwdelen'!DT9,$CF25*'Verwerking Bouwdelen'!AB9)</f>
        <v>0</v>
      </c>
      <c r="CP25" s="208">
        <f>IF($CE25=1,$CF25*'Verwerking Bouwdelen'!DU9,$CF25*'Verwerking Bouwdelen'!AC9)</f>
        <v>0</v>
      </c>
      <c r="CQ25" s="208">
        <f>IF($CE25=1,$CF25*'Verwerking Bouwdelen'!DV9,$CF25*'Verwerking Bouwdelen'!AD9)</f>
        <v>0</v>
      </c>
      <c r="CR25" s="208">
        <f>IF($CE25=1,$CF25*'Verwerking Bouwdelen'!DW9,$CF25*'Verwerking Bouwdelen'!AE9)</f>
        <v>0</v>
      </c>
      <c r="CS25" s="10">
        <f>IF(CG25=$B25,0,('Verwerking Bouwdelen'!$D9-'Verwerking Bouwdelen'!G9)*CE25*CF25)</f>
        <v>0</v>
      </c>
      <c r="CT25" s="260">
        <f>CE25*CF25*'Verwerking Bouwdelen'!GH9</f>
        <v>0</v>
      </c>
      <c r="CU25" s="261">
        <f>CE25*CF25*'Verwerking Bouwdelen'!GI9</f>
        <v>0</v>
      </c>
      <c r="CW25" s="209">
        <f>$AC25*'Verwerking Bouwdelen'!EE9</f>
        <v>0</v>
      </c>
      <c r="CX25" s="209">
        <f>$AC25*'Verwerking Bouwdelen'!EF9</f>
        <v>0</v>
      </c>
      <c r="CY25" s="209">
        <f>$AC25*'Verwerking Bouwdelen'!EG9</f>
        <v>0</v>
      </c>
      <c r="CZ25" s="209">
        <f>$AC25*'Verwerking Bouwdelen'!EH9</f>
        <v>0</v>
      </c>
      <c r="DA25" s="209">
        <f>$AC25*'Verwerking Bouwdelen'!EI9</f>
        <v>0</v>
      </c>
      <c r="DB25" s="209">
        <f>$AC25*'Verwerking Bouwdelen'!EJ9</f>
        <v>0</v>
      </c>
      <c r="DC25" s="209">
        <f>$AC25*'Verwerking Bouwdelen'!EK9</f>
        <v>0</v>
      </c>
      <c r="DD25" s="209">
        <f>$AC25*'Verwerking Bouwdelen'!EL9</f>
        <v>0</v>
      </c>
      <c r="DE25" s="209">
        <f>$AC25*'Verwerking Bouwdelen'!EM9</f>
        <v>0</v>
      </c>
      <c r="DF25" s="209">
        <f>$AC25*'Verwerking Bouwdelen'!EN9</f>
        <v>0</v>
      </c>
      <c r="DG25" s="209">
        <f>$AC25*'Verwerking Bouwdelen'!EO9</f>
        <v>0</v>
      </c>
      <c r="DH25" s="209">
        <f>$AC25*'Verwerking Bouwdelen'!EP9</f>
        <v>0</v>
      </c>
      <c r="DI25" s="10">
        <f>IF(CW25=$O25,0,'Verwerking Bouwdelen'!G9)</f>
        <v>0</v>
      </c>
      <c r="DJ25" s="259">
        <f>'Verwerking Bouwdelen'!GK9*CF25</f>
        <v>0</v>
      </c>
      <c r="DK25" s="259">
        <f>'Verwerking Bouwdelen'!GL9*CF25</f>
        <v>0</v>
      </c>
      <c r="DL25" s="125"/>
      <c r="FC25" s="89">
        <f>IF('Verwerken ventilatie'!AJ17=4,1,0)</f>
        <v>0</v>
      </c>
      <c r="FD25" s="89">
        <f>FC25*'Verwerken ventilatie'!BT17</f>
        <v>0</v>
      </c>
      <c r="FE25" s="89">
        <f>FC25*'Verwerken ventilatie'!BU17</f>
        <v>0</v>
      </c>
      <c r="FZ25" s="89">
        <f>IF('Verwerken verlichting'!B21=4,1,0)</f>
        <v>0</v>
      </c>
      <c r="GA25" s="89">
        <f>$FZ25*'Verwerken verlichting'!BX21</f>
        <v>0</v>
      </c>
      <c r="GB25" s="89">
        <f>$FZ25*'Verwerken verlichting'!BY21</f>
        <v>0</v>
      </c>
      <c r="GC25" s="89">
        <f>$FZ25*'Verwerken verlichting'!BZ21</f>
        <v>0</v>
      </c>
      <c r="GD25" s="89">
        <f>$FZ25*'Verwerken verlichting'!CA21</f>
        <v>0</v>
      </c>
      <c r="GE25" s="89">
        <f>$FZ25*'Verwerken verlichting'!CB21</f>
        <v>0</v>
      </c>
      <c r="GF25" s="89">
        <f>$FZ25*'Verwerken verlichting'!CC21</f>
        <v>0</v>
      </c>
      <c r="GG25" s="89">
        <f>FZ25*'Invoer verlichting'!N20</f>
        <v>0</v>
      </c>
      <c r="GH25" s="89">
        <f>FZ25*'Verwerken verlichting'!AH21</f>
        <v>0</v>
      </c>
      <c r="GI25" s="89">
        <f>FZ25*'Verwerken verlichting'!AG21</f>
        <v>0</v>
      </c>
      <c r="GJ25" s="89">
        <f>FZ25*'Verwerken verlichting'!CE21</f>
        <v>0</v>
      </c>
      <c r="GM25" s="89">
        <f t="shared" si="13"/>
        <v>0</v>
      </c>
      <c r="GN25" s="89">
        <f t="shared" si="14"/>
        <v>0</v>
      </c>
      <c r="GO25" s="208">
        <f>IF($GN25=1,$GN25*$GM25*'Verwerking Bouwdelen'!DL9,$GN25*$GM25*'Verwerking Bouwdelen'!T9)</f>
        <v>0</v>
      </c>
      <c r="GP25" s="208">
        <f>IF($GN25=1,$GN25*$GM25*'Verwerking Bouwdelen'!DM9,$GN25*$GM25*'Verwerking Bouwdelen'!U9)</f>
        <v>0</v>
      </c>
      <c r="GQ25" s="208">
        <f>IF($GN25=1,$GN25*$GM25*'Verwerking Bouwdelen'!DN9,$GN25*$GM25*'Verwerking Bouwdelen'!V9)</f>
        <v>0</v>
      </c>
      <c r="GR25" s="208">
        <f>IF($GN25=1,$GN25*$GM25*'Verwerking Bouwdelen'!DO9,$GN25*$GM25*'Verwerking Bouwdelen'!W9)</f>
        <v>0</v>
      </c>
      <c r="GS25" s="208">
        <f>IF($GN25=1,$GN25*$GM25*'Verwerking Bouwdelen'!DP9,$GN25*$GM25*'Verwerking Bouwdelen'!X9)</f>
        <v>0</v>
      </c>
      <c r="GT25" s="208">
        <f>IF($GN25=1,$GN25*$GM25*'Verwerking Bouwdelen'!DQ9,$GN25*$GM25*'Verwerking Bouwdelen'!Y9)</f>
        <v>0</v>
      </c>
      <c r="GU25" s="208">
        <f>IF($GN25=1,$GN25*$GM25*'Verwerking Bouwdelen'!DR9,$GN25*$GM25*'Verwerking Bouwdelen'!Z9)</f>
        <v>0</v>
      </c>
      <c r="GV25" s="208">
        <f>IF($GN25=1,$GN25*$GM25*'Verwerking Bouwdelen'!DS9,$GN25*$GM25*'Verwerking Bouwdelen'!AA9)</f>
        <v>0</v>
      </c>
      <c r="GW25" s="208">
        <f>IF($GN25=1,$GN25*$GM25*'Verwerking Bouwdelen'!DT9,$GN25*$GM25*'Verwerking Bouwdelen'!AB9)</f>
        <v>0</v>
      </c>
      <c r="GX25" s="208">
        <f>IF($GN25=1,$GN25*$GM25*'Verwerking Bouwdelen'!DU9,$GN25*$GM25*'Verwerking Bouwdelen'!AC9)</f>
        <v>0</v>
      </c>
      <c r="GY25" s="208">
        <f>IF($GN25=1,$GN25*$GM25*'Verwerking Bouwdelen'!DV9,$GN25*$GM25*'Verwerking Bouwdelen'!AD9)</f>
        <v>0</v>
      </c>
      <c r="GZ25" s="208">
        <f>IF($GN25=1,$GN25*$GM25*'Verwerking Bouwdelen'!DW9,$GN25*$GM25*'Verwerking Bouwdelen'!AE9)</f>
        <v>0</v>
      </c>
      <c r="HB25" s="89">
        <f t="shared" si="1"/>
        <v>0</v>
      </c>
      <c r="HC25" s="89">
        <f t="shared" si="2"/>
        <v>0</v>
      </c>
      <c r="HD25" s="89">
        <f t="shared" si="3"/>
        <v>0</v>
      </c>
      <c r="HE25" s="89">
        <f t="shared" si="4"/>
        <v>0</v>
      </c>
      <c r="HF25" s="89">
        <f t="shared" si="5"/>
        <v>0</v>
      </c>
      <c r="HG25" s="89">
        <f t="shared" si="6"/>
        <v>0</v>
      </c>
      <c r="HH25" s="89">
        <f t="shared" si="7"/>
        <v>0</v>
      </c>
      <c r="HI25" s="89">
        <f t="shared" si="8"/>
        <v>0</v>
      </c>
      <c r="HJ25" s="89">
        <f t="shared" si="9"/>
        <v>0</v>
      </c>
      <c r="HK25" s="89">
        <f t="shared" si="10"/>
        <v>0</v>
      </c>
      <c r="HL25" s="89">
        <f t="shared" si="11"/>
        <v>0</v>
      </c>
      <c r="HM25" s="89">
        <f t="shared" si="12"/>
        <v>0</v>
      </c>
    </row>
    <row r="26" spans="1:221" x14ac:dyDescent="0.2">
      <c r="A26" s="130">
        <f>IF('Verwerking Bouwdelen'!A10=4,1,0)</f>
        <v>0</v>
      </c>
      <c r="B26" s="208">
        <f>$A26*'Verwerking Bouwdelen'!T10</f>
        <v>0</v>
      </c>
      <c r="C26" s="208">
        <f>$A26*'Verwerking Bouwdelen'!U10</f>
        <v>0</v>
      </c>
      <c r="D26" s="208">
        <f>$A26*'Verwerking Bouwdelen'!V10</f>
        <v>0</v>
      </c>
      <c r="E26" s="208">
        <f>$A26*'Verwerking Bouwdelen'!W10</f>
        <v>0</v>
      </c>
      <c r="F26" s="208">
        <f>$A26*'Verwerking Bouwdelen'!X10</f>
        <v>0</v>
      </c>
      <c r="G26" s="208">
        <f>$A26*'Verwerking Bouwdelen'!Y10</f>
        <v>0</v>
      </c>
      <c r="H26" s="208">
        <f>$A26*'Verwerking Bouwdelen'!Z10</f>
        <v>0</v>
      </c>
      <c r="I26" s="208">
        <f>$A26*'Verwerking Bouwdelen'!AA10</f>
        <v>0</v>
      </c>
      <c r="J26" s="208">
        <f>$A26*'Verwerking Bouwdelen'!AB10</f>
        <v>0</v>
      </c>
      <c r="K26" s="208">
        <f>$A26*'Verwerking Bouwdelen'!AC10</f>
        <v>0</v>
      </c>
      <c r="L26" s="208">
        <f>$A26*'Verwerking Bouwdelen'!AD10</f>
        <v>0</v>
      </c>
      <c r="M26" s="208">
        <f>$A26*'Verwerking Bouwdelen'!AE10</f>
        <v>0</v>
      </c>
      <c r="O26" s="114">
        <f>$A26*'Verwerking Bouwdelen'!AU10</f>
        <v>0</v>
      </c>
      <c r="P26" s="125">
        <f>$A26*'Verwerking Bouwdelen'!AV10</f>
        <v>0</v>
      </c>
      <c r="Q26" s="125">
        <f>$A26*'Verwerking Bouwdelen'!AW10</f>
        <v>0</v>
      </c>
      <c r="R26" s="125">
        <f>$A26*'Verwerking Bouwdelen'!AX10</f>
        <v>0</v>
      </c>
      <c r="S26" s="125">
        <f>$A26*'Verwerking Bouwdelen'!AY10</f>
        <v>0</v>
      </c>
      <c r="T26" s="125">
        <f>$A26*'Verwerking Bouwdelen'!AZ10</f>
        <v>0</v>
      </c>
      <c r="U26" s="125">
        <f>$A26*'Verwerking Bouwdelen'!BA10</f>
        <v>0</v>
      </c>
      <c r="V26" s="125">
        <f>$A26*'Verwerking Bouwdelen'!BB10</f>
        <v>0</v>
      </c>
      <c r="W26" s="125">
        <f>$A26*'Verwerking Bouwdelen'!BC10</f>
        <v>0</v>
      </c>
      <c r="X26" s="125">
        <f>$A26*'Verwerking Bouwdelen'!BD10</f>
        <v>0</v>
      </c>
      <c r="Y26" s="125">
        <f>$A26*'Verwerking Bouwdelen'!BE10</f>
        <v>0</v>
      </c>
      <c r="Z26" s="195">
        <f>$A26*'Verwerking Bouwdelen'!BF10</f>
        <v>0</v>
      </c>
      <c r="AB26" s="125">
        <f>IF(OR('Verwerking Bouwdelen'!C10=3,'Verwerking Bouwdelen'!C10=6),1,0)</f>
        <v>0</v>
      </c>
      <c r="AC26" s="130">
        <f>IF('Verwerking Bouwdelen'!A10=4,1,0)</f>
        <v>0</v>
      </c>
      <c r="AD26" s="208">
        <f>IF($AB26=1,$AC26*'Verwerking Bouwdelen'!DL10,$AC26*'Verwerking Bouwdelen'!T10)</f>
        <v>0</v>
      </c>
      <c r="AE26" s="208">
        <f>IF($AB26=1,$AC26*'Verwerking Bouwdelen'!DM10,$AC26*'Verwerking Bouwdelen'!U10)</f>
        <v>0</v>
      </c>
      <c r="AF26" s="208">
        <f>IF($AB26=1,$AC26*'Verwerking Bouwdelen'!DN10,$AC26*'Verwerking Bouwdelen'!V10)</f>
        <v>0</v>
      </c>
      <c r="AG26" s="208">
        <f>IF($AB26=1,$AC26*'Verwerking Bouwdelen'!DO10,$AC26*'Verwerking Bouwdelen'!W10)</f>
        <v>0</v>
      </c>
      <c r="AH26" s="208">
        <f>IF($AB26=1,$AC26*'Verwerking Bouwdelen'!DP10,$AC26*'Verwerking Bouwdelen'!X10)</f>
        <v>0</v>
      </c>
      <c r="AI26" s="208">
        <f>IF($AB26=1,$AC26*'Verwerking Bouwdelen'!DQ10,$AC26*'Verwerking Bouwdelen'!Y10)</f>
        <v>0</v>
      </c>
      <c r="AJ26" s="208">
        <f>IF($AB26=1,$AC26*'Verwerking Bouwdelen'!DR10,$AC26*'Verwerking Bouwdelen'!Z10)</f>
        <v>0</v>
      </c>
      <c r="AK26" s="208">
        <f>IF($AB26=1,$AC26*'Verwerking Bouwdelen'!DS10,$AC26*'Verwerking Bouwdelen'!AA10)</f>
        <v>0</v>
      </c>
      <c r="AL26" s="208">
        <f>IF($AB26=1,$AC26*'Verwerking Bouwdelen'!DT10,$AC26*'Verwerking Bouwdelen'!AB10)</f>
        <v>0</v>
      </c>
      <c r="AM26" s="208">
        <f>IF($AB26=1,$AC26*'Verwerking Bouwdelen'!DU10,$AC26*'Verwerking Bouwdelen'!AC10)</f>
        <v>0</v>
      </c>
      <c r="AN26" s="208">
        <f>IF($AB26=1,$AC26*'Verwerking Bouwdelen'!DV10,$AC26*'Verwerking Bouwdelen'!AD10)</f>
        <v>0</v>
      </c>
      <c r="AO26" s="208">
        <f>IF($AB26=1,$AC26*'Verwerking Bouwdelen'!DW10,$AC26*'Verwerking Bouwdelen'!AE10)</f>
        <v>0</v>
      </c>
      <c r="AP26" s="10">
        <f>IF(AD26=B26,0,'Verwerking Bouwdelen'!D10*AB26*AC26)</f>
        <v>0</v>
      </c>
      <c r="AQ26" s="10">
        <f>AB26*AC26*'Verwerking Bouwdelen'!GH10</f>
        <v>0</v>
      </c>
      <c r="AR26" s="10"/>
      <c r="AS26" s="248"/>
      <c r="AT26" s="125">
        <f>IF('Verwerking Bouwdelen'!C10=4,1,0)</f>
        <v>0</v>
      </c>
      <c r="AU26" s="130">
        <f>IF('Verwerking Bouwdelen'!A10=4,1,0)</f>
        <v>0</v>
      </c>
      <c r="AV26" s="208">
        <f>IF($AT26=1,$AU26*'Verwerking Bouwdelen'!DL10,$AU26*'Verwerking Bouwdelen'!T10)</f>
        <v>0</v>
      </c>
      <c r="AW26" s="208">
        <f>IF($AT26=1,$AU26*'Verwerking Bouwdelen'!DM10,$AU26*'Verwerking Bouwdelen'!U10)</f>
        <v>0</v>
      </c>
      <c r="AX26" s="208">
        <f>IF($AT26=1,$AU26*'Verwerking Bouwdelen'!DN10,$AU26*'Verwerking Bouwdelen'!V10)</f>
        <v>0</v>
      </c>
      <c r="AY26" s="208">
        <f>IF($AT26=1,$AU26*'Verwerking Bouwdelen'!DO10,$AU26*'Verwerking Bouwdelen'!W10)</f>
        <v>0</v>
      </c>
      <c r="AZ26" s="208">
        <f>IF($AT26=1,$AU26*'Verwerking Bouwdelen'!DP10,$AU26*'Verwerking Bouwdelen'!X10)</f>
        <v>0</v>
      </c>
      <c r="BA26" s="208">
        <f>IF($AT26=1,$AU26*'Verwerking Bouwdelen'!DQ10,$AU26*'Verwerking Bouwdelen'!Y10)</f>
        <v>0</v>
      </c>
      <c r="BB26" s="208">
        <f>IF($AT26=1,$AU26*'Verwerking Bouwdelen'!DR10,$AU26*'Verwerking Bouwdelen'!Z10)</f>
        <v>0</v>
      </c>
      <c r="BC26" s="208">
        <f>IF($AT26=1,$AU26*'Verwerking Bouwdelen'!DS10,$AU26*'Verwerking Bouwdelen'!AA10)</f>
        <v>0</v>
      </c>
      <c r="BD26" s="208">
        <f>IF($AT26=1,$AU26*'Verwerking Bouwdelen'!DT10,$AU26*'Verwerking Bouwdelen'!AB10)</f>
        <v>0</v>
      </c>
      <c r="BE26" s="208">
        <f>IF($AT26=1,$AU26*'Verwerking Bouwdelen'!DU10,$AU26*'Verwerking Bouwdelen'!AC10)</f>
        <v>0</v>
      </c>
      <c r="BF26" s="208">
        <f>IF($AT26=1,$AU26*'Verwerking Bouwdelen'!DV10,$AU26*'Verwerking Bouwdelen'!AD10)</f>
        <v>0</v>
      </c>
      <c r="BG26" s="208">
        <f>IF($AT26=1,$AU26*'Verwerking Bouwdelen'!DW10,$AU26*'Verwerking Bouwdelen'!AE10)</f>
        <v>0</v>
      </c>
      <c r="BH26" s="10">
        <f>IF(AV26=B26,0,'Verwerking Bouwdelen'!D10*AT26*AU26)</f>
        <v>0</v>
      </c>
      <c r="BI26" s="10">
        <f>AT26*AU26*'Verwerking Bouwdelen'!GH10</f>
        <v>0</v>
      </c>
      <c r="BJ26" s="10"/>
      <c r="BK26" s="10"/>
      <c r="BM26" s="125">
        <f>IF('Verwerking Bouwdelen'!C10=5,1,0)</f>
        <v>0</v>
      </c>
      <c r="BN26" s="130">
        <f>IF('Verwerking Bouwdelen'!A10=4,1,0)</f>
        <v>0</v>
      </c>
      <c r="BO26" s="208">
        <f>IF($BM26=1,$BN26*'Verwerking Bouwdelen'!DL10,$BN26*'Verwerking Bouwdelen'!T10)</f>
        <v>0</v>
      </c>
      <c r="BP26" s="208">
        <f>IF($BM26=1,$BN26*'Verwerking Bouwdelen'!DM10,$BN26*'Verwerking Bouwdelen'!U10)</f>
        <v>0</v>
      </c>
      <c r="BQ26" s="208">
        <f>IF($BM26=1,$BN26*'Verwerking Bouwdelen'!DN10,$BN26*'Verwerking Bouwdelen'!V10)</f>
        <v>0</v>
      </c>
      <c r="BR26" s="208">
        <f>IF($BM26=1,$BN26*'Verwerking Bouwdelen'!DO10,$BN26*'Verwerking Bouwdelen'!W10)</f>
        <v>0</v>
      </c>
      <c r="BS26" s="208">
        <f>IF($BM26=1,$BN26*'Verwerking Bouwdelen'!DP10,$BN26*'Verwerking Bouwdelen'!X10)</f>
        <v>0</v>
      </c>
      <c r="BT26" s="208">
        <f>IF($BM26=1,$BN26*'Verwerking Bouwdelen'!DQ10,$BN26*'Verwerking Bouwdelen'!Y10)</f>
        <v>0</v>
      </c>
      <c r="BU26" s="208">
        <f>IF($BM26=1,$BN26*'Verwerking Bouwdelen'!DR10,$BN26*'Verwerking Bouwdelen'!Z10)</f>
        <v>0</v>
      </c>
      <c r="BV26" s="208">
        <f>IF($BM26=1,$BN26*'Verwerking Bouwdelen'!DS10,$BN26*'Verwerking Bouwdelen'!AA10)</f>
        <v>0</v>
      </c>
      <c r="BW26" s="208">
        <f>IF($BM26=1,$BN26*'Verwerking Bouwdelen'!DT10,$BN26*'Verwerking Bouwdelen'!AB10)</f>
        <v>0</v>
      </c>
      <c r="BX26" s="208">
        <f>IF($BM26=1,$BN26*'Verwerking Bouwdelen'!DU10,$BN26*'Verwerking Bouwdelen'!AC10)</f>
        <v>0</v>
      </c>
      <c r="BY26" s="208">
        <f>IF($BM26=1,$BN26*'Verwerking Bouwdelen'!DV10,$BN26*'Verwerking Bouwdelen'!AD10)</f>
        <v>0</v>
      </c>
      <c r="BZ26" s="208">
        <f>IF($BM26=1,$BN26*'Verwerking Bouwdelen'!DW10,$BN26*'Verwerking Bouwdelen'!AE10)</f>
        <v>0</v>
      </c>
      <c r="CA26" s="10">
        <f>IF(BO26=$B26,0,'Verwerking Bouwdelen'!$D10*BM26*BN26)</f>
        <v>0</v>
      </c>
      <c r="CB26" s="10">
        <f>BM26*BN26*'Verwerking Bouwdelen'!GH10</f>
        <v>0</v>
      </c>
      <c r="CC26" s="10"/>
      <c r="CD26" s="248"/>
      <c r="CE26" s="125">
        <f>IF('Verwerking Bouwdelen'!C10=2,1,0)</f>
        <v>0</v>
      </c>
      <c r="CF26" s="130">
        <f>IF('Verwerking Bouwdelen'!A10=4,1,0)</f>
        <v>0</v>
      </c>
      <c r="CG26" s="208">
        <f>IF($CE26=1,$CF26*'Verwerking Bouwdelen'!DL10,$CF26*'Verwerking Bouwdelen'!T10)</f>
        <v>0</v>
      </c>
      <c r="CH26" s="208">
        <f>IF($CE26=1,$CF26*'Verwerking Bouwdelen'!DM10,$CF26*'Verwerking Bouwdelen'!U10)</f>
        <v>0</v>
      </c>
      <c r="CI26" s="208">
        <f>IF($CE26=1,$CF26*'Verwerking Bouwdelen'!DN10,$CF26*'Verwerking Bouwdelen'!V10)</f>
        <v>0</v>
      </c>
      <c r="CJ26" s="208">
        <f>IF($CE26=1,$CF26*'Verwerking Bouwdelen'!DO10,$CF26*'Verwerking Bouwdelen'!W10)</f>
        <v>0</v>
      </c>
      <c r="CK26" s="208">
        <f>IF($CE26=1,$CF26*'Verwerking Bouwdelen'!DP10,$CF26*'Verwerking Bouwdelen'!X10)</f>
        <v>0</v>
      </c>
      <c r="CL26" s="208">
        <f>IF($CE26=1,$CF26*'Verwerking Bouwdelen'!DQ10,$CF26*'Verwerking Bouwdelen'!Y10)</f>
        <v>0</v>
      </c>
      <c r="CM26" s="208">
        <f>IF($CE26=1,$CF26*'Verwerking Bouwdelen'!DR10,$CF26*'Verwerking Bouwdelen'!Z10)</f>
        <v>0</v>
      </c>
      <c r="CN26" s="208">
        <f>IF($CE26=1,$CF26*'Verwerking Bouwdelen'!DS10,$CF26*'Verwerking Bouwdelen'!AA10)</f>
        <v>0</v>
      </c>
      <c r="CO26" s="208">
        <f>IF($CE26=1,$CF26*'Verwerking Bouwdelen'!DT10,$CF26*'Verwerking Bouwdelen'!AB10)</f>
        <v>0</v>
      </c>
      <c r="CP26" s="208">
        <f>IF($CE26=1,$CF26*'Verwerking Bouwdelen'!DU10,$CF26*'Verwerking Bouwdelen'!AC10)</f>
        <v>0</v>
      </c>
      <c r="CQ26" s="208">
        <f>IF($CE26=1,$CF26*'Verwerking Bouwdelen'!DV10,$CF26*'Verwerking Bouwdelen'!AD10)</f>
        <v>0</v>
      </c>
      <c r="CR26" s="208">
        <f>IF($CE26=1,$CF26*'Verwerking Bouwdelen'!DW10,$CF26*'Verwerking Bouwdelen'!AE10)</f>
        <v>0</v>
      </c>
      <c r="CS26" s="10">
        <f>IF(CG26=$B26,0,('Verwerking Bouwdelen'!$D10-'Verwerking Bouwdelen'!G10)*CE26*CF26)</f>
        <v>0</v>
      </c>
      <c r="CT26" s="260">
        <f>CE26*CF26*'Verwerking Bouwdelen'!GH10</f>
        <v>0</v>
      </c>
      <c r="CU26" s="261">
        <f>CE26*CF26*'Verwerking Bouwdelen'!GI10</f>
        <v>0</v>
      </c>
      <c r="CW26" s="209">
        <f>$AC26*'Verwerking Bouwdelen'!EE10</f>
        <v>0</v>
      </c>
      <c r="CX26" s="209">
        <f>$AC26*'Verwerking Bouwdelen'!EF10</f>
        <v>0</v>
      </c>
      <c r="CY26" s="209">
        <f>$AC26*'Verwerking Bouwdelen'!EG10</f>
        <v>0</v>
      </c>
      <c r="CZ26" s="209">
        <f>$AC26*'Verwerking Bouwdelen'!EH10</f>
        <v>0</v>
      </c>
      <c r="DA26" s="209">
        <f>$AC26*'Verwerking Bouwdelen'!EI10</f>
        <v>0</v>
      </c>
      <c r="DB26" s="209">
        <f>$AC26*'Verwerking Bouwdelen'!EJ10</f>
        <v>0</v>
      </c>
      <c r="DC26" s="209">
        <f>$AC26*'Verwerking Bouwdelen'!EK10</f>
        <v>0</v>
      </c>
      <c r="DD26" s="209">
        <f>$AC26*'Verwerking Bouwdelen'!EL10</f>
        <v>0</v>
      </c>
      <c r="DE26" s="209">
        <f>$AC26*'Verwerking Bouwdelen'!EM10</f>
        <v>0</v>
      </c>
      <c r="DF26" s="209">
        <f>$AC26*'Verwerking Bouwdelen'!EN10</f>
        <v>0</v>
      </c>
      <c r="DG26" s="209">
        <f>$AC26*'Verwerking Bouwdelen'!EO10</f>
        <v>0</v>
      </c>
      <c r="DH26" s="209">
        <f>$AC26*'Verwerking Bouwdelen'!EP10</f>
        <v>0</v>
      </c>
      <c r="DI26" s="10">
        <f>IF(CW26=$O26,0,'Verwerking Bouwdelen'!G10)</f>
        <v>0</v>
      </c>
      <c r="DJ26" s="259">
        <f>'Verwerking Bouwdelen'!GK10*CF26</f>
        <v>0</v>
      </c>
      <c r="DK26" s="259">
        <f>'Verwerking Bouwdelen'!GL10*CF26</f>
        <v>0</v>
      </c>
      <c r="DL26" s="125"/>
      <c r="FC26" s="89">
        <f>IF('Verwerken ventilatie'!AJ18=4,1,0)</f>
        <v>0</v>
      </c>
      <c r="FD26" s="89">
        <f>FC26*'Verwerken ventilatie'!BT18</f>
        <v>0</v>
      </c>
      <c r="FE26" s="89">
        <f>FC26*'Verwerken ventilatie'!BU18</f>
        <v>0</v>
      </c>
      <c r="FZ26" s="89">
        <f>IF('Verwerken verlichting'!B22=4,1,0)</f>
        <v>0</v>
      </c>
      <c r="GA26" s="89">
        <f>$FZ26*'Verwerken verlichting'!BX22</f>
        <v>0</v>
      </c>
      <c r="GB26" s="89">
        <f>$FZ26*'Verwerken verlichting'!BY22</f>
        <v>0</v>
      </c>
      <c r="GC26" s="89">
        <f>$FZ26*'Verwerken verlichting'!BZ22</f>
        <v>0</v>
      </c>
      <c r="GD26" s="89">
        <f>$FZ26*'Verwerken verlichting'!CA22</f>
        <v>0</v>
      </c>
      <c r="GE26" s="89">
        <f>$FZ26*'Verwerken verlichting'!CB22</f>
        <v>0</v>
      </c>
      <c r="GF26" s="89">
        <f>$FZ26*'Verwerken verlichting'!CC22</f>
        <v>0</v>
      </c>
      <c r="GG26" s="89">
        <f>FZ26*'Invoer verlichting'!N21</f>
        <v>0</v>
      </c>
      <c r="GH26" s="89">
        <f>FZ26*'Verwerken verlichting'!AH22</f>
        <v>0</v>
      </c>
      <c r="GI26" s="89">
        <f>FZ26*'Verwerken verlichting'!AG22</f>
        <v>0</v>
      </c>
      <c r="GJ26" s="89">
        <f>FZ26*'Verwerken verlichting'!CE22</f>
        <v>0</v>
      </c>
      <c r="GM26" s="89">
        <f t="shared" si="13"/>
        <v>0</v>
      </c>
      <c r="GN26" s="89">
        <f t="shared" si="14"/>
        <v>0</v>
      </c>
      <c r="GO26" s="208">
        <f>IF($GN26=1,$GN26*$GM26*'Verwerking Bouwdelen'!DL10,$GN26*$GM26*'Verwerking Bouwdelen'!T10)</f>
        <v>0</v>
      </c>
      <c r="GP26" s="208">
        <f>IF($GN26=1,$GN26*$GM26*'Verwerking Bouwdelen'!DM10,$GN26*$GM26*'Verwerking Bouwdelen'!U10)</f>
        <v>0</v>
      </c>
      <c r="GQ26" s="208">
        <f>IF($GN26=1,$GN26*$GM26*'Verwerking Bouwdelen'!DN10,$GN26*$GM26*'Verwerking Bouwdelen'!V10)</f>
        <v>0</v>
      </c>
      <c r="GR26" s="208">
        <f>IF($GN26=1,$GN26*$GM26*'Verwerking Bouwdelen'!DO10,$GN26*$GM26*'Verwerking Bouwdelen'!W10)</f>
        <v>0</v>
      </c>
      <c r="GS26" s="208">
        <f>IF($GN26=1,$GN26*$GM26*'Verwerking Bouwdelen'!DP10,$GN26*$GM26*'Verwerking Bouwdelen'!X10)</f>
        <v>0</v>
      </c>
      <c r="GT26" s="208">
        <f>IF($GN26=1,$GN26*$GM26*'Verwerking Bouwdelen'!DQ10,$GN26*$GM26*'Verwerking Bouwdelen'!Y10)</f>
        <v>0</v>
      </c>
      <c r="GU26" s="208">
        <f>IF($GN26=1,$GN26*$GM26*'Verwerking Bouwdelen'!DR10,$GN26*$GM26*'Verwerking Bouwdelen'!Z10)</f>
        <v>0</v>
      </c>
      <c r="GV26" s="208">
        <f>IF($GN26=1,$GN26*$GM26*'Verwerking Bouwdelen'!DS10,$GN26*$GM26*'Verwerking Bouwdelen'!AA10)</f>
        <v>0</v>
      </c>
      <c r="GW26" s="208">
        <f>IF($GN26=1,$GN26*$GM26*'Verwerking Bouwdelen'!DT10,$GN26*$GM26*'Verwerking Bouwdelen'!AB10)</f>
        <v>0</v>
      </c>
      <c r="GX26" s="208">
        <f>IF($GN26=1,$GN26*$GM26*'Verwerking Bouwdelen'!DU10,$GN26*$GM26*'Verwerking Bouwdelen'!AC10)</f>
        <v>0</v>
      </c>
      <c r="GY26" s="208">
        <f>IF($GN26=1,$GN26*$GM26*'Verwerking Bouwdelen'!DV10,$GN26*$GM26*'Verwerking Bouwdelen'!AD10)</f>
        <v>0</v>
      </c>
      <c r="GZ26" s="208">
        <f>IF($GN26=1,$GN26*$GM26*'Verwerking Bouwdelen'!DW10,$GN26*$GM26*'Verwerking Bouwdelen'!AE10)</f>
        <v>0</v>
      </c>
      <c r="HB26" s="89">
        <f t="shared" si="1"/>
        <v>0</v>
      </c>
      <c r="HC26" s="89">
        <f t="shared" si="2"/>
        <v>0</v>
      </c>
      <c r="HD26" s="89">
        <f t="shared" si="3"/>
        <v>0</v>
      </c>
      <c r="HE26" s="89">
        <f t="shared" si="4"/>
        <v>0</v>
      </c>
      <c r="HF26" s="89">
        <f t="shared" si="5"/>
        <v>0</v>
      </c>
      <c r="HG26" s="89">
        <f t="shared" si="6"/>
        <v>0</v>
      </c>
      <c r="HH26" s="89">
        <f t="shared" si="7"/>
        <v>0</v>
      </c>
      <c r="HI26" s="89">
        <f t="shared" si="8"/>
        <v>0</v>
      </c>
      <c r="HJ26" s="89">
        <f t="shared" si="9"/>
        <v>0</v>
      </c>
      <c r="HK26" s="89">
        <f t="shared" si="10"/>
        <v>0</v>
      </c>
      <c r="HL26" s="89">
        <f t="shared" si="11"/>
        <v>0</v>
      </c>
      <c r="HM26" s="89">
        <f t="shared" si="12"/>
        <v>0</v>
      </c>
    </row>
    <row r="27" spans="1:221" x14ac:dyDescent="0.2">
      <c r="A27" s="130">
        <f>IF('Verwerking Bouwdelen'!A11=4,1,0)</f>
        <v>0</v>
      </c>
      <c r="B27" s="208">
        <f>$A27*'Verwerking Bouwdelen'!T11</f>
        <v>0</v>
      </c>
      <c r="C27" s="208">
        <f>$A27*'Verwerking Bouwdelen'!U11</f>
        <v>0</v>
      </c>
      <c r="D27" s="208">
        <f>$A27*'Verwerking Bouwdelen'!V11</f>
        <v>0</v>
      </c>
      <c r="E27" s="208">
        <f>$A27*'Verwerking Bouwdelen'!W11</f>
        <v>0</v>
      </c>
      <c r="F27" s="208">
        <f>$A27*'Verwerking Bouwdelen'!X11</f>
        <v>0</v>
      </c>
      <c r="G27" s="208">
        <f>$A27*'Verwerking Bouwdelen'!Y11</f>
        <v>0</v>
      </c>
      <c r="H27" s="208">
        <f>$A27*'Verwerking Bouwdelen'!Z11</f>
        <v>0</v>
      </c>
      <c r="I27" s="208">
        <f>$A27*'Verwerking Bouwdelen'!AA11</f>
        <v>0</v>
      </c>
      <c r="J27" s="208">
        <f>$A27*'Verwerking Bouwdelen'!AB11</f>
        <v>0</v>
      </c>
      <c r="K27" s="208">
        <f>$A27*'Verwerking Bouwdelen'!AC11</f>
        <v>0</v>
      </c>
      <c r="L27" s="208">
        <f>$A27*'Verwerking Bouwdelen'!AD11</f>
        <v>0</v>
      </c>
      <c r="M27" s="208">
        <f>$A27*'Verwerking Bouwdelen'!AE11</f>
        <v>0</v>
      </c>
      <c r="O27" s="114">
        <f>$A27*'Verwerking Bouwdelen'!AU11</f>
        <v>0</v>
      </c>
      <c r="P27" s="125">
        <f>$A27*'Verwerking Bouwdelen'!AV11</f>
        <v>0</v>
      </c>
      <c r="Q27" s="125">
        <f>$A27*'Verwerking Bouwdelen'!AW11</f>
        <v>0</v>
      </c>
      <c r="R27" s="125">
        <f>$A27*'Verwerking Bouwdelen'!AX11</f>
        <v>0</v>
      </c>
      <c r="S27" s="125">
        <f>$A27*'Verwerking Bouwdelen'!AY11</f>
        <v>0</v>
      </c>
      <c r="T27" s="125">
        <f>$A27*'Verwerking Bouwdelen'!AZ11</f>
        <v>0</v>
      </c>
      <c r="U27" s="125">
        <f>$A27*'Verwerking Bouwdelen'!BA11</f>
        <v>0</v>
      </c>
      <c r="V27" s="125">
        <f>$A27*'Verwerking Bouwdelen'!BB11</f>
        <v>0</v>
      </c>
      <c r="W27" s="125">
        <f>$A27*'Verwerking Bouwdelen'!BC11</f>
        <v>0</v>
      </c>
      <c r="X27" s="125">
        <f>$A27*'Verwerking Bouwdelen'!BD11</f>
        <v>0</v>
      </c>
      <c r="Y27" s="125">
        <f>$A27*'Verwerking Bouwdelen'!BE11</f>
        <v>0</v>
      </c>
      <c r="Z27" s="195">
        <f>$A27*'Verwerking Bouwdelen'!BF11</f>
        <v>0</v>
      </c>
      <c r="AB27" s="125">
        <f>IF(OR('Verwerking Bouwdelen'!C11=3,'Verwerking Bouwdelen'!C11=6),1,0)</f>
        <v>0</v>
      </c>
      <c r="AC27" s="130">
        <f>IF('Verwerking Bouwdelen'!A11=4,1,0)</f>
        <v>0</v>
      </c>
      <c r="AD27" s="208">
        <f>IF($AB27=1,$AC27*'Verwerking Bouwdelen'!DL11,$AC27*'Verwerking Bouwdelen'!T11)</f>
        <v>0</v>
      </c>
      <c r="AE27" s="208">
        <f>IF($AB27=1,$AC27*'Verwerking Bouwdelen'!DM11,$AC27*'Verwerking Bouwdelen'!U11)</f>
        <v>0</v>
      </c>
      <c r="AF27" s="208">
        <f>IF($AB27=1,$AC27*'Verwerking Bouwdelen'!DN11,$AC27*'Verwerking Bouwdelen'!V11)</f>
        <v>0</v>
      </c>
      <c r="AG27" s="208">
        <f>IF($AB27=1,$AC27*'Verwerking Bouwdelen'!DO11,$AC27*'Verwerking Bouwdelen'!W11)</f>
        <v>0</v>
      </c>
      <c r="AH27" s="208">
        <f>IF($AB27=1,$AC27*'Verwerking Bouwdelen'!DP11,$AC27*'Verwerking Bouwdelen'!X11)</f>
        <v>0</v>
      </c>
      <c r="AI27" s="208">
        <f>IF($AB27=1,$AC27*'Verwerking Bouwdelen'!DQ11,$AC27*'Verwerking Bouwdelen'!Y11)</f>
        <v>0</v>
      </c>
      <c r="AJ27" s="208">
        <f>IF($AB27=1,$AC27*'Verwerking Bouwdelen'!DR11,$AC27*'Verwerking Bouwdelen'!Z11)</f>
        <v>0</v>
      </c>
      <c r="AK27" s="208">
        <f>IF($AB27=1,$AC27*'Verwerking Bouwdelen'!DS11,$AC27*'Verwerking Bouwdelen'!AA11)</f>
        <v>0</v>
      </c>
      <c r="AL27" s="208">
        <f>IF($AB27=1,$AC27*'Verwerking Bouwdelen'!DT11,$AC27*'Verwerking Bouwdelen'!AB11)</f>
        <v>0</v>
      </c>
      <c r="AM27" s="208">
        <f>IF($AB27=1,$AC27*'Verwerking Bouwdelen'!DU11,$AC27*'Verwerking Bouwdelen'!AC11)</f>
        <v>0</v>
      </c>
      <c r="AN27" s="208">
        <f>IF($AB27=1,$AC27*'Verwerking Bouwdelen'!DV11,$AC27*'Verwerking Bouwdelen'!AD11)</f>
        <v>0</v>
      </c>
      <c r="AO27" s="208">
        <f>IF($AB27=1,$AC27*'Verwerking Bouwdelen'!DW11,$AC27*'Verwerking Bouwdelen'!AE11)</f>
        <v>0</v>
      </c>
      <c r="AP27" s="10">
        <f>IF(AD27=B27,0,'Verwerking Bouwdelen'!D11*AB27*AC27)</f>
        <v>0</v>
      </c>
      <c r="AQ27" s="10">
        <f>AB27*AC27*'Verwerking Bouwdelen'!GH11</f>
        <v>0</v>
      </c>
      <c r="AR27" s="10"/>
      <c r="AS27" s="248"/>
      <c r="AT27" s="125">
        <f>IF('Verwerking Bouwdelen'!C11=4,1,0)</f>
        <v>0</v>
      </c>
      <c r="AU27" s="130">
        <f>IF('Verwerking Bouwdelen'!A11=4,1,0)</f>
        <v>0</v>
      </c>
      <c r="AV27" s="208">
        <f>IF($AT27=1,$AU27*'Verwerking Bouwdelen'!DL11,$AU27*'Verwerking Bouwdelen'!T11)</f>
        <v>0</v>
      </c>
      <c r="AW27" s="208">
        <f>IF($AT27=1,$AU27*'Verwerking Bouwdelen'!DM11,$AU27*'Verwerking Bouwdelen'!U11)</f>
        <v>0</v>
      </c>
      <c r="AX27" s="208">
        <f>IF($AT27=1,$AU27*'Verwerking Bouwdelen'!DN11,$AU27*'Verwerking Bouwdelen'!V11)</f>
        <v>0</v>
      </c>
      <c r="AY27" s="208">
        <f>IF($AT27=1,$AU27*'Verwerking Bouwdelen'!DO11,$AU27*'Verwerking Bouwdelen'!W11)</f>
        <v>0</v>
      </c>
      <c r="AZ27" s="208">
        <f>IF($AT27=1,$AU27*'Verwerking Bouwdelen'!DP11,$AU27*'Verwerking Bouwdelen'!X11)</f>
        <v>0</v>
      </c>
      <c r="BA27" s="208">
        <f>IF($AT27=1,$AU27*'Verwerking Bouwdelen'!DQ11,$AU27*'Verwerking Bouwdelen'!Y11)</f>
        <v>0</v>
      </c>
      <c r="BB27" s="208">
        <f>IF($AT27=1,$AU27*'Verwerking Bouwdelen'!DR11,$AU27*'Verwerking Bouwdelen'!Z11)</f>
        <v>0</v>
      </c>
      <c r="BC27" s="208">
        <f>IF($AT27=1,$AU27*'Verwerking Bouwdelen'!DS11,$AU27*'Verwerking Bouwdelen'!AA11)</f>
        <v>0</v>
      </c>
      <c r="BD27" s="208">
        <f>IF($AT27=1,$AU27*'Verwerking Bouwdelen'!DT11,$AU27*'Verwerking Bouwdelen'!AB11)</f>
        <v>0</v>
      </c>
      <c r="BE27" s="208">
        <f>IF($AT27=1,$AU27*'Verwerking Bouwdelen'!DU11,$AU27*'Verwerking Bouwdelen'!AC11)</f>
        <v>0</v>
      </c>
      <c r="BF27" s="208">
        <f>IF($AT27=1,$AU27*'Verwerking Bouwdelen'!DV11,$AU27*'Verwerking Bouwdelen'!AD11)</f>
        <v>0</v>
      </c>
      <c r="BG27" s="208">
        <f>IF($AT27=1,$AU27*'Verwerking Bouwdelen'!DW11,$AU27*'Verwerking Bouwdelen'!AE11)</f>
        <v>0</v>
      </c>
      <c r="BH27" s="10">
        <f>IF(AV27=B27,0,'Verwerking Bouwdelen'!D11*AT27*AU27)</f>
        <v>0</v>
      </c>
      <c r="BI27" s="10">
        <f>AT27*AU27*'Verwerking Bouwdelen'!GH11</f>
        <v>0</v>
      </c>
      <c r="BJ27" s="10"/>
      <c r="BK27" s="10"/>
      <c r="BM27" s="125">
        <f>IF('Verwerking Bouwdelen'!C11=5,1,0)</f>
        <v>0</v>
      </c>
      <c r="BN27" s="130">
        <f>IF('Verwerking Bouwdelen'!A11=4,1,0)</f>
        <v>0</v>
      </c>
      <c r="BO27" s="208">
        <f>IF($BM27=1,$BN27*'Verwerking Bouwdelen'!DL11,$BN27*'Verwerking Bouwdelen'!T11)</f>
        <v>0</v>
      </c>
      <c r="BP27" s="208">
        <f>IF($BM27=1,$BN27*'Verwerking Bouwdelen'!DM11,$BN27*'Verwerking Bouwdelen'!U11)</f>
        <v>0</v>
      </c>
      <c r="BQ27" s="208">
        <f>IF($BM27=1,$BN27*'Verwerking Bouwdelen'!DN11,$BN27*'Verwerking Bouwdelen'!V11)</f>
        <v>0</v>
      </c>
      <c r="BR27" s="208">
        <f>IF($BM27=1,$BN27*'Verwerking Bouwdelen'!DO11,$BN27*'Verwerking Bouwdelen'!W11)</f>
        <v>0</v>
      </c>
      <c r="BS27" s="208">
        <f>IF($BM27=1,$BN27*'Verwerking Bouwdelen'!DP11,$BN27*'Verwerking Bouwdelen'!X11)</f>
        <v>0</v>
      </c>
      <c r="BT27" s="208">
        <f>IF($BM27=1,$BN27*'Verwerking Bouwdelen'!DQ11,$BN27*'Verwerking Bouwdelen'!Y11)</f>
        <v>0</v>
      </c>
      <c r="BU27" s="208">
        <f>IF($BM27=1,$BN27*'Verwerking Bouwdelen'!DR11,$BN27*'Verwerking Bouwdelen'!Z11)</f>
        <v>0</v>
      </c>
      <c r="BV27" s="208">
        <f>IF($BM27=1,$BN27*'Verwerking Bouwdelen'!DS11,$BN27*'Verwerking Bouwdelen'!AA11)</f>
        <v>0</v>
      </c>
      <c r="BW27" s="208">
        <f>IF($BM27=1,$BN27*'Verwerking Bouwdelen'!DT11,$BN27*'Verwerking Bouwdelen'!AB11)</f>
        <v>0</v>
      </c>
      <c r="BX27" s="208">
        <f>IF($BM27=1,$BN27*'Verwerking Bouwdelen'!DU11,$BN27*'Verwerking Bouwdelen'!AC11)</f>
        <v>0</v>
      </c>
      <c r="BY27" s="208">
        <f>IF($BM27=1,$BN27*'Verwerking Bouwdelen'!DV11,$BN27*'Verwerking Bouwdelen'!AD11)</f>
        <v>0</v>
      </c>
      <c r="BZ27" s="208">
        <f>IF($BM27=1,$BN27*'Verwerking Bouwdelen'!DW11,$BN27*'Verwerking Bouwdelen'!AE11)</f>
        <v>0</v>
      </c>
      <c r="CA27" s="10">
        <f>IF(BO27=$B27,0,'Verwerking Bouwdelen'!$D11*BM27*BN27)</f>
        <v>0</v>
      </c>
      <c r="CB27" s="10">
        <f>BM27*BN27*'Verwerking Bouwdelen'!GH11</f>
        <v>0</v>
      </c>
      <c r="CC27" s="10"/>
      <c r="CD27" s="248"/>
      <c r="CE27" s="125">
        <f>IF('Verwerking Bouwdelen'!C11=2,1,0)</f>
        <v>0</v>
      </c>
      <c r="CF27" s="130">
        <f>IF('Verwerking Bouwdelen'!A11=4,1,0)</f>
        <v>0</v>
      </c>
      <c r="CG27" s="208">
        <f>IF($CE27=1,$CF27*'Verwerking Bouwdelen'!DL11,$CF27*'Verwerking Bouwdelen'!T11)</f>
        <v>0</v>
      </c>
      <c r="CH27" s="208">
        <f>IF($CE27=1,$CF27*'Verwerking Bouwdelen'!DM11,$CF27*'Verwerking Bouwdelen'!U11)</f>
        <v>0</v>
      </c>
      <c r="CI27" s="208">
        <f>IF($CE27=1,$CF27*'Verwerking Bouwdelen'!DN11,$CF27*'Verwerking Bouwdelen'!V11)</f>
        <v>0</v>
      </c>
      <c r="CJ27" s="208">
        <f>IF($CE27=1,$CF27*'Verwerking Bouwdelen'!DO11,$CF27*'Verwerking Bouwdelen'!W11)</f>
        <v>0</v>
      </c>
      <c r="CK27" s="208">
        <f>IF($CE27=1,$CF27*'Verwerking Bouwdelen'!DP11,$CF27*'Verwerking Bouwdelen'!X11)</f>
        <v>0</v>
      </c>
      <c r="CL27" s="208">
        <f>IF($CE27=1,$CF27*'Verwerking Bouwdelen'!DQ11,$CF27*'Verwerking Bouwdelen'!Y11)</f>
        <v>0</v>
      </c>
      <c r="CM27" s="208">
        <f>IF($CE27=1,$CF27*'Verwerking Bouwdelen'!DR11,$CF27*'Verwerking Bouwdelen'!Z11)</f>
        <v>0</v>
      </c>
      <c r="CN27" s="208">
        <f>IF($CE27=1,$CF27*'Verwerking Bouwdelen'!DS11,$CF27*'Verwerking Bouwdelen'!AA11)</f>
        <v>0</v>
      </c>
      <c r="CO27" s="208">
        <f>IF($CE27=1,$CF27*'Verwerking Bouwdelen'!DT11,$CF27*'Verwerking Bouwdelen'!AB11)</f>
        <v>0</v>
      </c>
      <c r="CP27" s="208">
        <f>IF($CE27=1,$CF27*'Verwerking Bouwdelen'!DU11,$CF27*'Verwerking Bouwdelen'!AC11)</f>
        <v>0</v>
      </c>
      <c r="CQ27" s="208">
        <f>IF($CE27=1,$CF27*'Verwerking Bouwdelen'!DV11,$CF27*'Verwerking Bouwdelen'!AD11)</f>
        <v>0</v>
      </c>
      <c r="CR27" s="208">
        <f>IF($CE27=1,$CF27*'Verwerking Bouwdelen'!DW11,$CF27*'Verwerking Bouwdelen'!AE11)</f>
        <v>0</v>
      </c>
      <c r="CS27" s="10">
        <f>IF(CG27=$B27,0,('Verwerking Bouwdelen'!$D11-'Verwerking Bouwdelen'!G11)*CE27*CF27)</f>
        <v>0</v>
      </c>
      <c r="CT27" s="260">
        <f>CE27*CF27*'Verwerking Bouwdelen'!GH11</f>
        <v>0</v>
      </c>
      <c r="CU27" s="261">
        <f>CE27*CF27*'Verwerking Bouwdelen'!GI11</f>
        <v>0</v>
      </c>
      <c r="CW27" s="209">
        <f>$AC27*'Verwerking Bouwdelen'!EE11</f>
        <v>0</v>
      </c>
      <c r="CX27" s="209">
        <f>$AC27*'Verwerking Bouwdelen'!EF11</f>
        <v>0</v>
      </c>
      <c r="CY27" s="209">
        <f>$AC27*'Verwerking Bouwdelen'!EG11</f>
        <v>0</v>
      </c>
      <c r="CZ27" s="209">
        <f>$AC27*'Verwerking Bouwdelen'!EH11</f>
        <v>0</v>
      </c>
      <c r="DA27" s="209">
        <f>$AC27*'Verwerking Bouwdelen'!EI11</f>
        <v>0</v>
      </c>
      <c r="DB27" s="209">
        <f>$AC27*'Verwerking Bouwdelen'!EJ11</f>
        <v>0</v>
      </c>
      <c r="DC27" s="209">
        <f>$AC27*'Verwerking Bouwdelen'!EK11</f>
        <v>0</v>
      </c>
      <c r="DD27" s="209">
        <f>$AC27*'Verwerking Bouwdelen'!EL11</f>
        <v>0</v>
      </c>
      <c r="DE27" s="209">
        <f>$AC27*'Verwerking Bouwdelen'!EM11</f>
        <v>0</v>
      </c>
      <c r="DF27" s="209">
        <f>$AC27*'Verwerking Bouwdelen'!EN11</f>
        <v>0</v>
      </c>
      <c r="DG27" s="209">
        <f>$AC27*'Verwerking Bouwdelen'!EO11</f>
        <v>0</v>
      </c>
      <c r="DH27" s="209">
        <f>$AC27*'Verwerking Bouwdelen'!EP11</f>
        <v>0</v>
      </c>
      <c r="DI27" s="10">
        <f>IF(CW27=$O27,0,'Verwerking Bouwdelen'!G11)</f>
        <v>0</v>
      </c>
      <c r="DJ27" s="259">
        <f>'Verwerking Bouwdelen'!GK11*CF27</f>
        <v>0</v>
      </c>
      <c r="DK27" s="259">
        <f>'Verwerking Bouwdelen'!GL11*CF27</f>
        <v>0</v>
      </c>
      <c r="DL27" s="125"/>
      <c r="FC27" s="89">
        <f>IF('Verwerken ventilatie'!AJ19=4,1,0)</f>
        <v>0</v>
      </c>
      <c r="FD27" s="89">
        <f>FC27*'Verwerken ventilatie'!BT19</f>
        <v>0</v>
      </c>
      <c r="FE27" s="89">
        <f>FC27*'Verwerken ventilatie'!BU19</f>
        <v>0</v>
      </c>
      <c r="FZ27" s="89">
        <f>IF('Verwerken verlichting'!B23=4,1,0)</f>
        <v>0</v>
      </c>
      <c r="GA27" s="89">
        <f>$FZ27*'Verwerken verlichting'!BX23</f>
        <v>0</v>
      </c>
      <c r="GB27" s="89">
        <f>$FZ27*'Verwerken verlichting'!BY23</f>
        <v>0</v>
      </c>
      <c r="GC27" s="89">
        <f>$FZ27*'Verwerken verlichting'!BZ23</f>
        <v>0</v>
      </c>
      <c r="GD27" s="89">
        <f>$FZ27*'Verwerken verlichting'!CA23</f>
        <v>0</v>
      </c>
      <c r="GE27" s="89">
        <f>$FZ27*'Verwerken verlichting'!CB23</f>
        <v>0</v>
      </c>
      <c r="GF27" s="89">
        <f>$FZ27*'Verwerken verlichting'!CC23</f>
        <v>0</v>
      </c>
      <c r="GG27" s="89">
        <f>FZ27*'Invoer verlichting'!N22</f>
        <v>0</v>
      </c>
      <c r="GH27" s="89">
        <f>FZ27*'Verwerken verlichting'!AH23</f>
        <v>0</v>
      </c>
      <c r="GI27" s="89">
        <f>FZ27*'Verwerken verlichting'!AG23</f>
        <v>0</v>
      </c>
      <c r="GJ27" s="89">
        <f>FZ27*'Verwerken verlichting'!CE23</f>
        <v>0</v>
      </c>
      <c r="GM27" s="89">
        <f t="shared" si="13"/>
        <v>0</v>
      </c>
      <c r="GN27" s="89">
        <f t="shared" si="14"/>
        <v>0</v>
      </c>
      <c r="GO27" s="208">
        <f>IF($GN27=1,$GN27*$GM27*'Verwerking Bouwdelen'!DL11,$GN27*$GM27*'Verwerking Bouwdelen'!T11)</f>
        <v>0</v>
      </c>
      <c r="GP27" s="208">
        <f>IF($GN27=1,$GN27*$GM27*'Verwerking Bouwdelen'!DM11,$GN27*$GM27*'Verwerking Bouwdelen'!U11)</f>
        <v>0</v>
      </c>
      <c r="GQ27" s="208">
        <f>IF($GN27=1,$GN27*$GM27*'Verwerking Bouwdelen'!DN11,$GN27*$GM27*'Verwerking Bouwdelen'!V11)</f>
        <v>0</v>
      </c>
      <c r="GR27" s="208">
        <f>IF($GN27=1,$GN27*$GM27*'Verwerking Bouwdelen'!DO11,$GN27*$GM27*'Verwerking Bouwdelen'!W11)</f>
        <v>0</v>
      </c>
      <c r="GS27" s="208">
        <f>IF($GN27=1,$GN27*$GM27*'Verwerking Bouwdelen'!DP11,$GN27*$GM27*'Verwerking Bouwdelen'!X11)</f>
        <v>0</v>
      </c>
      <c r="GT27" s="208">
        <f>IF($GN27=1,$GN27*$GM27*'Verwerking Bouwdelen'!DQ11,$GN27*$GM27*'Verwerking Bouwdelen'!Y11)</f>
        <v>0</v>
      </c>
      <c r="GU27" s="208">
        <f>IF($GN27=1,$GN27*$GM27*'Verwerking Bouwdelen'!DR11,$GN27*$GM27*'Verwerking Bouwdelen'!Z11)</f>
        <v>0</v>
      </c>
      <c r="GV27" s="208">
        <f>IF($GN27=1,$GN27*$GM27*'Verwerking Bouwdelen'!DS11,$GN27*$GM27*'Verwerking Bouwdelen'!AA11)</f>
        <v>0</v>
      </c>
      <c r="GW27" s="208">
        <f>IF($GN27=1,$GN27*$GM27*'Verwerking Bouwdelen'!DT11,$GN27*$GM27*'Verwerking Bouwdelen'!AB11)</f>
        <v>0</v>
      </c>
      <c r="GX27" s="208">
        <f>IF($GN27=1,$GN27*$GM27*'Verwerking Bouwdelen'!DU11,$GN27*$GM27*'Verwerking Bouwdelen'!AC11)</f>
        <v>0</v>
      </c>
      <c r="GY27" s="208">
        <f>IF($GN27=1,$GN27*$GM27*'Verwerking Bouwdelen'!DV11,$GN27*$GM27*'Verwerking Bouwdelen'!AD11)</f>
        <v>0</v>
      </c>
      <c r="GZ27" s="208">
        <f>IF($GN27=1,$GN27*$GM27*'Verwerking Bouwdelen'!DW11,$GN27*$GM27*'Verwerking Bouwdelen'!AE11)</f>
        <v>0</v>
      </c>
      <c r="HB27" s="89">
        <f t="shared" si="1"/>
        <v>0</v>
      </c>
      <c r="HC27" s="89">
        <f t="shared" si="2"/>
        <v>0</v>
      </c>
      <c r="HD27" s="89">
        <f t="shared" si="3"/>
        <v>0</v>
      </c>
      <c r="HE27" s="89">
        <f t="shared" si="4"/>
        <v>0</v>
      </c>
      <c r="HF27" s="89">
        <f t="shared" si="5"/>
        <v>0</v>
      </c>
      <c r="HG27" s="89">
        <f t="shared" si="6"/>
        <v>0</v>
      </c>
      <c r="HH27" s="89">
        <f t="shared" si="7"/>
        <v>0</v>
      </c>
      <c r="HI27" s="89">
        <f t="shared" si="8"/>
        <v>0</v>
      </c>
      <c r="HJ27" s="89">
        <f t="shared" si="9"/>
        <v>0</v>
      </c>
      <c r="HK27" s="89">
        <f t="shared" si="10"/>
        <v>0</v>
      </c>
      <c r="HL27" s="89">
        <f t="shared" si="11"/>
        <v>0</v>
      </c>
      <c r="HM27" s="89">
        <f t="shared" si="12"/>
        <v>0</v>
      </c>
    </row>
    <row r="28" spans="1:221" x14ac:dyDescent="0.2">
      <c r="A28" s="130">
        <f>IF('Verwerking Bouwdelen'!A12=4,1,0)</f>
        <v>0</v>
      </c>
      <c r="B28" s="208">
        <f>$A28*'Verwerking Bouwdelen'!T12</f>
        <v>0</v>
      </c>
      <c r="C28" s="208">
        <f>$A28*'Verwerking Bouwdelen'!U12</f>
        <v>0</v>
      </c>
      <c r="D28" s="208">
        <f>$A28*'Verwerking Bouwdelen'!V12</f>
        <v>0</v>
      </c>
      <c r="E28" s="208">
        <f>$A28*'Verwerking Bouwdelen'!W12</f>
        <v>0</v>
      </c>
      <c r="F28" s="208">
        <f>$A28*'Verwerking Bouwdelen'!X12</f>
        <v>0</v>
      </c>
      <c r="G28" s="208">
        <f>$A28*'Verwerking Bouwdelen'!Y12</f>
        <v>0</v>
      </c>
      <c r="H28" s="208">
        <f>$A28*'Verwerking Bouwdelen'!Z12</f>
        <v>0</v>
      </c>
      <c r="I28" s="208">
        <f>$A28*'Verwerking Bouwdelen'!AA12</f>
        <v>0</v>
      </c>
      <c r="J28" s="208">
        <f>$A28*'Verwerking Bouwdelen'!AB12</f>
        <v>0</v>
      </c>
      <c r="K28" s="208">
        <f>$A28*'Verwerking Bouwdelen'!AC12</f>
        <v>0</v>
      </c>
      <c r="L28" s="208">
        <f>$A28*'Verwerking Bouwdelen'!AD12</f>
        <v>0</v>
      </c>
      <c r="M28" s="208">
        <f>$A28*'Verwerking Bouwdelen'!AE12</f>
        <v>0</v>
      </c>
      <c r="O28" s="114">
        <f>$A28*'Verwerking Bouwdelen'!AU12</f>
        <v>0</v>
      </c>
      <c r="P28" s="125">
        <f>$A28*'Verwerking Bouwdelen'!AV12</f>
        <v>0</v>
      </c>
      <c r="Q28" s="125">
        <f>$A28*'Verwerking Bouwdelen'!AW12</f>
        <v>0</v>
      </c>
      <c r="R28" s="125">
        <f>$A28*'Verwerking Bouwdelen'!AX12</f>
        <v>0</v>
      </c>
      <c r="S28" s="125">
        <f>$A28*'Verwerking Bouwdelen'!AY12</f>
        <v>0</v>
      </c>
      <c r="T28" s="125">
        <f>$A28*'Verwerking Bouwdelen'!AZ12</f>
        <v>0</v>
      </c>
      <c r="U28" s="125">
        <f>$A28*'Verwerking Bouwdelen'!BA12</f>
        <v>0</v>
      </c>
      <c r="V28" s="125">
        <f>$A28*'Verwerking Bouwdelen'!BB12</f>
        <v>0</v>
      </c>
      <c r="W28" s="125">
        <f>$A28*'Verwerking Bouwdelen'!BC12</f>
        <v>0</v>
      </c>
      <c r="X28" s="125">
        <f>$A28*'Verwerking Bouwdelen'!BD12</f>
        <v>0</v>
      </c>
      <c r="Y28" s="125">
        <f>$A28*'Verwerking Bouwdelen'!BE12</f>
        <v>0</v>
      </c>
      <c r="Z28" s="195">
        <f>$A28*'Verwerking Bouwdelen'!BF12</f>
        <v>0</v>
      </c>
      <c r="AB28" s="125">
        <f>IF(OR('Verwerking Bouwdelen'!C12=3,'Verwerking Bouwdelen'!C12=6),1,0)</f>
        <v>0</v>
      </c>
      <c r="AC28" s="130">
        <f>IF('Verwerking Bouwdelen'!A12=4,1,0)</f>
        <v>0</v>
      </c>
      <c r="AD28" s="208">
        <f>IF($AB28=1,$AC28*'Verwerking Bouwdelen'!DL12,$AC28*'Verwerking Bouwdelen'!T12)</f>
        <v>0</v>
      </c>
      <c r="AE28" s="208">
        <f>IF($AB28=1,$AC28*'Verwerking Bouwdelen'!DM12,$AC28*'Verwerking Bouwdelen'!U12)</f>
        <v>0</v>
      </c>
      <c r="AF28" s="208">
        <f>IF($AB28=1,$AC28*'Verwerking Bouwdelen'!DN12,$AC28*'Verwerking Bouwdelen'!V12)</f>
        <v>0</v>
      </c>
      <c r="AG28" s="208">
        <f>IF($AB28=1,$AC28*'Verwerking Bouwdelen'!DO12,$AC28*'Verwerking Bouwdelen'!W12)</f>
        <v>0</v>
      </c>
      <c r="AH28" s="208">
        <f>IF($AB28=1,$AC28*'Verwerking Bouwdelen'!DP12,$AC28*'Verwerking Bouwdelen'!X12)</f>
        <v>0</v>
      </c>
      <c r="AI28" s="208">
        <f>IF($AB28=1,$AC28*'Verwerking Bouwdelen'!DQ12,$AC28*'Verwerking Bouwdelen'!Y12)</f>
        <v>0</v>
      </c>
      <c r="AJ28" s="208">
        <f>IF($AB28=1,$AC28*'Verwerking Bouwdelen'!DR12,$AC28*'Verwerking Bouwdelen'!Z12)</f>
        <v>0</v>
      </c>
      <c r="AK28" s="208">
        <f>IF($AB28=1,$AC28*'Verwerking Bouwdelen'!DS12,$AC28*'Verwerking Bouwdelen'!AA12)</f>
        <v>0</v>
      </c>
      <c r="AL28" s="208">
        <f>IF($AB28=1,$AC28*'Verwerking Bouwdelen'!DT12,$AC28*'Verwerking Bouwdelen'!AB12)</f>
        <v>0</v>
      </c>
      <c r="AM28" s="208">
        <f>IF($AB28=1,$AC28*'Verwerking Bouwdelen'!DU12,$AC28*'Verwerking Bouwdelen'!AC12)</f>
        <v>0</v>
      </c>
      <c r="AN28" s="208">
        <f>IF($AB28=1,$AC28*'Verwerking Bouwdelen'!DV12,$AC28*'Verwerking Bouwdelen'!AD12)</f>
        <v>0</v>
      </c>
      <c r="AO28" s="208">
        <f>IF($AB28=1,$AC28*'Verwerking Bouwdelen'!DW12,$AC28*'Verwerking Bouwdelen'!AE12)</f>
        <v>0</v>
      </c>
      <c r="AP28" s="10">
        <f>IF(AD28=B28,0,'Verwerking Bouwdelen'!D12*AB28*AC28)</f>
        <v>0</v>
      </c>
      <c r="AQ28" s="10">
        <f>AB28*AC28*'Verwerking Bouwdelen'!GH12</f>
        <v>0</v>
      </c>
      <c r="AR28" s="10"/>
      <c r="AS28" s="248"/>
      <c r="AT28" s="125">
        <f>IF('Verwerking Bouwdelen'!C12=4,1,0)</f>
        <v>0</v>
      </c>
      <c r="AU28" s="130">
        <f>IF('Verwerking Bouwdelen'!A12=4,1,0)</f>
        <v>0</v>
      </c>
      <c r="AV28" s="208">
        <f>IF($AT28=1,$AU28*'Verwerking Bouwdelen'!DL12,$AU28*'Verwerking Bouwdelen'!T12)</f>
        <v>0</v>
      </c>
      <c r="AW28" s="208">
        <f>IF($AT28=1,$AU28*'Verwerking Bouwdelen'!DM12,$AU28*'Verwerking Bouwdelen'!U12)</f>
        <v>0</v>
      </c>
      <c r="AX28" s="208">
        <f>IF($AT28=1,$AU28*'Verwerking Bouwdelen'!DN12,$AU28*'Verwerking Bouwdelen'!V12)</f>
        <v>0</v>
      </c>
      <c r="AY28" s="208">
        <f>IF($AT28=1,$AU28*'Verwerking Bouwdelen'!DO12,$AU28*'Verwerking Bouwdelen'!W12)</f>
        <v>0</v>
      </c>
      <c r="AZ28" s="208">
        <f>IF($AT28=1,$AU28*'Verwerking Bouwdelen'!DP12,$AU28*'Verwerking Bouwdelen'!X12)</f>
        <v>0</v>
      </c>
      <c r="BA28" s="208">
        <f>IF($AT28=1,$AU28*'Verwerking Bouwdelen'!DQ12,$AU28*'Verwerking Bouwdelen'!Y12)</f>
        <v>0</v>
      </c>
      <c r="BB28" s="208">
        <f>IF($AT28=1,$AU28*'Verwerking Bouwdelen'!DR12,$AU28*'Verwerking Bouwdelen'!Z12)</f>
        <v>0</v>
      </c>
      <c r="BC28" s="208">
        <f>IF($AT28=1,$AU28*'Verwerking Bouwdelen'!DS12,$AU28*'Verwerking Bouwdelen'!AA12)</f>
        <v>0</v>
      </c>
      <c r="BD28" s="208">
        <f>IF($AT28=1,$AU28*'Verwerking Bouwdelen'!DT12,$AU28*'Verwerking Bouwdelen'!AB12)</f>
        <v>0</v>
      </c>
      <c r="BE28" s="208">
        <f>IF($AT28=1,$AU28*'Verwerking Bouwdelen'!DU12,$AU28*'Verwerking Bouwdelen'!AC12)</f>
        <v>0</v>
      </c>
      <c r="BF28" s="208">
        <f>IF($AT28=1,$AU28*'Verwerking Bouwdelen'!DV12,$AU28*'Verwerking Bouwdelen'!AD12)</f>
        <v>0</v>
      </c>
      <c r="BG28" s="208">
        <f>IF($AT28=1,$AU28*'Verwerking Bouwdelen'!DW12,$AU28*'Verwerking Bouwdelen'!AE12)</f>
        <v>0</v>
      </c>
      <c r="BH28" s="10">
        <f>IF(AV28=B28,0,'Verwerking Bouwdelen'!D12*AT28*AU28)</f>
        <v>0</v>
      </c>
      <c r="BI28" s="10">
        <f>AT28*AU28*'Verwerking Bouwdelen'!GH12</f>
        <v>0</v>
      </c>
      <c r="BJ28" s="10"/>
      <c r="BK28" s="10"/>
      <c r="BM28" s="125">
        <f>IF('Verwerking Bouwdelen'!C12=5,1,0)</f>
        <v>0</v>
      </c>
      <c r="BN28" s="130">
        <f>IF('Verwerking Bouwdelen'!A12=4,1,0)</f>
        <v>0</v>
      </c>
      <c r="BO28" s="208">
        <f>IF($BM28=1,$BN28*'Verwerking Bouwdelen'!DL12,$BN28*'Verwerking Bouwdelen'!T12)</f>
        <v>0</v>
      </c>
      <c r="BP28" s="208">
        <f>IF($BM28=1,$BN28*'Verwerking Bouwdelen'!DM12,$BN28*'Verwerking Bouwdelen'!U12)</f>
        <v>0</v>
      </c>
      <c r="BQ28" s="208">
        <f>IF($BM28=1,$BN28*'Verwerking Bouwdelen'!DN12,$BN28*'Verwerking Bouwdelen'!V12)</f>
        <v>0</v>
      </c>
      <c r="BR28" s="208">
        <f>IF($BM28=1,$BN28*'Verwerking Bouwdelen'!DO12,$BN28*'Verwerking Bouwdelen'!W12)</f>
        <v>0</v>
      </c>
      <c r="BS28" s="208">
        <f>IF($BM28=1,$BN28*'Verwerking Bouwdelen'!DP12,$BN28*'Verwerking Bouwdelen'!X12)</f>
        <v>0</v>
      </c>
      <c r="BT28" s="208">
        <f>IF($BM28=1,$BN28*'Verwerking Bouwdelen'!DQ12,$BN28*'Verwerking Bouwdelen'!Y12)</f>
        <v>0</v>
      </c>
      <c r="BU28" s="208">
        <f>IF($BM28=1,$BN28*'Verwerking Bouwdelen'!DR12,$BN28*'Verwerking Bouwdelen'!Z12)</f>
        <v>0</v>
      </c>
      <c r="BV28" s="208">
        <f>IF($BM28=1,$BN28*'Verwerking Bouwdelen'!DS12,$BN28*'Verwerking Bouwdelen'!AA12)</f>
        <v>0</v>
      </c>
      <c r="BW28" s="208">
        <f>IF($BM28=1,$BN28*'Verwerking Bouwdelen'!DT12,$BN28*'Verwerking Bouwdelen'!AB12)</f>
        <v>0</v>
      </c>
      <c r="BX28" s="208">
        <f>IF($BM28=1,$BN28*'Verwerking Bouwdelen'!DU12,$BN28*'Verwerking Bouwdelen'!AC12)</f>
        <v>0</v>
      </c>
      <c r="BY28" s="208">
        <f>IF($BM28=1,$BN28*'Verwerking Bouwdelen'!DV12,$BN28*'Verwerking Bouwdelen'!AD12)</f>
        <v>0</v>
      </c>
      <c r="BZ28" s="208">
        <f>IF($BM28=1,$BN28*'Verwerking Bouwdelen'!DW12,$BN28*'Verwerking Bouwdelen'!AE12)</f>
        <v>0</v>
      </c>
      <c r="CA28" s="10">
        <f>IF(BO28=$B28,0,'Verwerking Bouwdelen'!$D12*BM28*BN28)</f>
        <v>0</v>
      </c>
      <c r="CB28" s="10">
        <f>BM28*BN28*'Verwerking Bouwdelen'!GH12</f>
        <v>0</v>
      </c>
      <c r="CC28" s="10"/>
      <c r="CD28" s="248"/>
      <c r="CE28" s="125">
        <f>IF('Verwerking Bouwdelen'!C12=2,1,0)</f>
        <v>0</v>
      </c>
      <c r="CF28" s="130">
        <f>IF('Verwerking Bouwdelen'!A12=4,1,0)</f>
        <v>0</v>
      </c>
      <c r="CG28" s="208">
        <f>IF($CE28=1,$CF28*'Verwerking Bouwdelen'!DL12,$CF28*'Verwerking Bouwdelen'!T12)</f>
        <v>0</v>
      </c>
      <c r="CH28" s="208">
        <f>IF($CE28=1,$CF28*'Verwerking Bouwdelen'!DM12,$CF28*'Verwerking Bouwdelen'!U12)</f>
        <v>0</v>
      </c>
      <c r="CI28" s="208">
        <f>IF($CE28=1,$CF28*'Verwerking Bouwdelen'!DN12,$CF28*'Verwerking Bouwdelen'!V12)</f>
        <v>0</v>
      </c>
      <c r="CJ28" s="208">
        <f>IF($CE28=1,$CF28*'Verwerking Bouwdelen'!DO12,$CF28*'Verwerking Bouwdelen'!W12)</f>
        <v>0</v>
      </c>
      <c r="CK28" s="208">
        <f>IF($CE28=1,$CF28*'Verwerking Bouwdelen'!DP12,$CF28*'Verwerking Bouwdelen'!X12)</f>
        <v>0</v>
      </c>
      <c r="CL28" s="208">
        <f>IF($CE28=1,$CF28*'Verwerking Bouwdelen'!DQ12,$CF28*'Verwerking Bouwdelen'!Y12)</f>
        <v>0</v>
      </c>
      <c r="CM28" s="208">
        <f>IF($CE28=1,$CF28*'Verwerking Bouwdelen'!DR12,$CF28*'Verwerking Bouwdelen'!Z12)</f>
        <v>0</v>
      </c>
      <c r="CN28" s="208">
        <f>IF($CE28=1,$CF28*'Verwerking Bouwdelen'!DS12,$CF28*'Verwerking Bouwdelen'!AA12)</f>
        <v>0</v>
      </c>
      <c r="CO28" s="208">
        <f>IF($CE28=1,$CF28*'Verwerking Bouwdelen'!DT12,$CF28*'Verwerking Bouwdelen'!AB12)</f>
        <v>0</v>
      </c>
      <c r="CP28" s="208">
        <f>IF($CE28=1,$CF28*'Verwerking Bouwdelen'!DU12,$CF28*'Verwerking Bouwdelen'!AC12)</f>
        <v>0</v>
      </c>
      <c r="CQ28" s="208">
        <f>IF($CE28=1,$CF28*'Verwerking Bouwdelen'!DV12,$CF28*'Verwerking Bouwdelen'!AD12)</f>
        <v>0</v>
      </c>
      <c r="CR28" s="208">
        <f>IF($CE28=1,$CF28*'Verwerking Bouwdelen'!DW12,$CF28*'Verwerking Bouwdelen'!AE12)</f>
        <v>0</v>
      </c>
      <c r="CS28" s="10">
        <f>IF(CG28=$B28,0,('Verwerking Bouwdelen'!$D12-'Verwerking Bouwdelen'!G12)*CE28*CF28)</f>
        <v>0</v>
      </c>
      <c r="CT28" s="260">
        <f>CE28*CF28*'Verwerking Bouwdelen'!GH12</f>
        <v>0</v>
      </c>
      <c r="CU28" s="261">
        <f>CE28*CF28*'Verwerking Bouwdelen'!GI12</f>
        <v>0</v>
      </c>
      <c r="CW28" s="209">
        <f>$AC28*'Verwerking Bouwdelen'!EE12</f>
        <v>0</v>
      </c>
      <c r="CX28" s="209">
        <f>$AC28*'Verwerking Bouwdelen'!EF12</f>
        <v>0</v>
      </c>
      <c r="CY28" s="209">
        <f>$AC28*'Verwerking Bouwdelen'!EG12</f>
        <v>0</v>
      </c>
      <c r="CZ28" s="209">
        <f>$AC28*'Verwerking Bouwdelen'!EH12</f>
        <v>0</v>
      </c>
      <c r="DA28" s="209">
        <f>$AC28*'Verwerking Bouwdelen'!EI12</f>
        <v>0</v>
      </c>
      <c r="DB28" s="209">
        <f>$AC28*'Verwerking Bouwdelen'!EJ12</f>
        <v>0</v>
      </c>
      <c r="DC28" s="209">
        <f>$AC28*'Verwerking Bouwdelen'!EK12</f>
        <v>0</v>
      </c>
      <c r="DD28" s="209">
        <f>$AC28*'Verwerking Bouwdelen'!EL12</f>
        <v>0</v>
      </c>
      <c r="DE28" s="209">
        <f>$AC28*'Verwerking Bouwdelen'!EM12</f>
        <v>0</v>
      </c>
      <c r="DF28" s="209">
        <f>$AC28*'Verwerking Bouwdelen'!EN12</f>
        <v>0</v>
      </c>
      <c r="DG28" s="209">
        <f>$AC28*'Verwerking Bouwdelen'!EO12</f>
        <v>0</v>
      </c>
      <c r="DH28" s="209">
        <f>$AC28*'Verwerking Bouwdelen'!EP12</f>
        <v>0</v>
      </c>
      <c r="DI28" s="10">
        <f>IF(CW28=$O28,0,'Verwerking Bouwdelen'!G12)</f>
        <v>0</v>
      </c>
      <c r="DJ28" s="259">
        <f>'Verwerking Bouwdelen'!GK12*CF28</f>
        <v>0</v>
      </c>
      <c r="DK28" s="259">
        <f>'Verwerking Bouwdelen'!GL12*CF28</f>
        <v>0</v>
      </c>
      <c r="DL28" s="125"/>
      <c r="FD28" s="89">
        <f>SUM(FD16:FD27)</f>
        <v>0</v>
      </c>
      <c r="FE28" s="155">
        <f>SUM(FE16:FE27)</f>
        <v>0</v>
      </c>
      <c r="FZ28" s="89">
        <f>IF('Verwerken verlichting'!B24=4,1,0)</f>
        <v>0</v>
      </c>
      <c r="GA28" s="89">
        <f>$FZ28*'Verwerken verlichting'!BX24</f>
        <v>0</v>
      </c>
      <c r="GB28" s="89">
        <f>$FZ28*'Verwerken verlichting'!BY24</f>
        <v>0</v>
      </c>
      <c r="GC28" s="89">
        <f>$FZ28*'Verwerken verlichting'!BZ24</f>
        <v>0</v>
      </c>
      <c r="GD28" s="89">
        <f>$FZ28*'Verwerken verlichting'!CA24</f>
        <v>0</v>
      </c>
      <c r="GE28" s="89">
        <f>$FZ28*'Verwerken verlichting'!CB24</f>
        <v>0</v>
      </c>
      <c r="GF28" s="89">
        <f>$FZ28*'Verwerken verlichting'!CC24</f>
        <v>0</v>
      </c>
      <c r="GG28" s="89">
        <f>FZ28*'Invoer verlichting'!N23</f>
        <v>0</v>
      </c>
      <c r="GH28" s="89">
        <f>FZ28*'Verwerken verlichting'!AH24</f>
        <v>0</v>
      </c>
      <c r="GI28" s="89">
        <f>FZ28*'Verwerken verlichting'!AG24</f>
        <v>0</v>
      </c>
      <c r="GJ28" s="89">
        <f>FZ28*'Verwerken verlichting'!CE24</f>
        <v>0</v>
      </c>
      <c r="GM28" s="89">
        <f t="shared" si="13"/>
        <v>0</v>
      </c>
      <c r="GN28" s="89">
        <f t="shared" si="14"/>
        <v>0</v>
      </c>
      <c r="GO28" s="208">
        <f>IF($GN28=1,$GN28*$GM28*'Verwerking Bouwdelen'!DL12,$GN28*$GM28*'Verwerking Bouwdelen'!T12)</f>
        <v>0</v>
      </c>
      <c r="GP28" s="208">
        <f>IF($GN28=1,$GN28*$GM28*'Verwerking Bouwdelen'!DM12,$GN28*$GM28*'Verwerking Bouwdelen'!U12)</f>
        <v>0</v>
      </c>
      <c r="GQ28" s="208">
        <f>IF($GN28=1,$GN28*$GM28*'Verwerking Bouwdelen'!DN12,$GN28*$GM28*'Verwerking Bouwdelen'!V12)</f>
        <v>0</v>
      </c>
      <c r="GR28" s="208">
        <f>IF($GN28=1,$GN28*$GM28*'Verwerking Bouwdelen'!DO12,$GN28*$GM28*'Verwerking Bouwdelen'!W12)</f>
        <v>0</v>
      </c>
      <c r="GS28" s="208">
        <f>IF($GN28=1,$GN28*$GM28*'Verwerking Bouwdelen'!DP12,$GN28*$GM28*'Verwerking Bouwdelen'!X12)</f>
        <v>0</v>
      </c>
      <c r="GT28" s="208">
        <f>IF($GN28=1,$GN28*$GM28*'Verwerking Bouwdelen'!DQ12,$GN28*$GM28*'Verwerking Bouwdelen'!Y12)</f>
        <v>0</v>
      </c>
      <c r="GU28" s="208">
        <f>IF($GN28=1,$GN28*$GM28*'Verwerking Bouwdelen'!DR12,$GN28*$GM28*'Verwerking Bouwdelen'!Z12)</f>
        <v>0</v>
      </c>
      <c r="GV28" s="208">
        <f>IF($GN28=1,$GN28*$GM28*'Verwerking Bouwdelen'!DS12,$GN28*$GM28*'Verwerking Bouwdelen'!AA12)</f>
        <v>0</v>
      </c>
      <c r="GW28" s="208">
        <f>IF($GN28=1,$GN28*$GM28*'Verwerking Bouwdelen'!DT12,$GN28*$GM28*'Verwerking Bouwdelen'!AB12)</f>
        <v>0</v>
      </c>
      <c r="GX28" s="208">
        <f>IF($GN28=1,$GN28*$GM28*'Verwerking Bouwdelen'!DU12,$GN28*$GM28*'Verwerking Bouwdelen'!AC12)</f>
        <v>0</v>
      </c>
      <c r="GY28" s="208">
        <f>IF($GN28=1,$GN28*$GM28*'Verwerking Bouwdelen'!DV12,$GN28*$GM28*'Verwerking Bouwdelen'!AD12)</f>
        <v>0</v>
      </c>
      <c r="GZ28" s="208">
        <f>IF($GN28=1,$GN28*$GM28*'Verwerking Bouwdelen'!DW12,$GN28*$GM28*'Verwerking Bouwdelen'!AE12)</f>
        <v>0</v>
      </c>
      <c r="HB28" s="89">
        <f t="shared" si="1"/>
        <v>0</v>
      </c>
      <c r="HC28" s="89">
        <f t="shared" si="2"/>
        <v>0</v>
      </c>
      <c r="HD28" s="89">
        <f t="shared" si="3"/>
        <v>0</v>
      </c>
      <c r="HE28" s="89">
        <f t="shared" si="4"/>
        <v>0</v>
      </c>
      <c r="HF28" s="89">
        <f t="shared" si="5"/>
        <v>0</v>
      </c>
      <c r="HG28" s="89">
        <f t="shared" si="6"/>
        <v>0</v>
      </c>
      <c r="HH28" s="89">
        <f t="shared" si="7"/>
        <v>0</v>
      </c>
      <c r="HI28" s="89">
        <f t="shared" si="8"/>
        <v>0</v>
      </c>
      <c r="HJ28" s="89">
        <f t="shared" si="9"/>
        <v>0</v>
      </c>
      <c r="HK28" s="89">
        <f t="shared" si="10"/>
        <v>0</v>
      </c>
      <c r="HL28" s="89">
        <f t="shared" si="11"/>
        <v>0</v>
      </c>
      <c r="HM28" s="89">
        <f t="shared" si="12"/>
        <v>0</v>
      </c>
    </row>
    <row r="29" spans="1:221" x14ac:dyDescent="0.2">
      <c r="A29" s="130">
        <f>IF('Verwerking Bouwdelen'!A13=4,1,0)</f>
        <v>0</v>
      </c>
      <c r="B29" s="208">
        <f>$A29*'Verwerking Bouwdelen'!T13</f>
        <v>0</v>
      </c>
      <c r="C29" s="208">
        <f>$A29*'Verwerking Bouwdelen'!U13</f>
        <v>0</v>
      </c>
      <c r="D29" s="208">
        <f>$A29*'Verwerking Bouwdelen'!V13</f>
        <v>0</v>
      </c>
      <c r="E29" s="208">
        <f>$A29*'Verwerking Bouwdelen'!W13</f>
        <v>0</v>
      </c>
      <c r="F29" s="208">
        <f>$A29*'Verwerking Bouwdelen'!X13</f>
        <v>0</v>
      </c>
      <c r="G29" s="208">
        <f>$A29*'Verwerking Bouwdelen'!Y13</f>
        <v>0</v>
      </c>
      <c r="H29" s="208">
        <f>$A29*'Verwerking Bouwdelen'!Z13</f>
        <v>0</v>
      </c>
      <c r="I29" s="208">
        <f>$A29*'Verwerking Bouwdelen'!AA13</f>
        <v>0</v>
      </c>
      <c r="J29" s="208">
        <f>$A29*'Verwerking Bouwdelen'!AB13</f>
        <v>0</v>
      </c>
      <c r="K29" s="208">
        <f>$A29*'Verwerking Bouwdelen'!AC13</f>
        <v>0</v>
      </c>
      <c r="L29" s="208">
        <f>$A29*'Verwerking Bouwdelen'!AD13</f>
        <v>0</v>
      </c>
      <c r="M29" s="208">
        <f>$A29*'Verwerking Bouwdelen'!AE13</f>
        <v>0</v>
      </c>
      <c r="O29" s="114">
        <f>$A29*'Verwerking Bouwdelen'!AU13</f>
        <v>0</v>
      </c>
      <c r="P29" s="125">
        <f>$A29*'Verwerking Bouwdelen'!AV13</f>
        <v>0</v>
      </c>
      <c r="Q29" s="125">
        <f>$A29*'Verwerking Bouwdelen'!AW13</f>
        <v>0</v>
      </c>
      <c r="R29" s="125">
        <f>$A29*'Verwerking Bouwdelen'!AX13</f>
        <v>0</v>
      </c>
      <c r="S29" s="125">
        <f>$A29*'Verwerking Bouwdelen'!AY13</f>
        <v>0</v>
      </c>
      <c r="T29" s="125">
        <f>$A29*'Verwerking Bouwdelen'!AZ13</f>
        <v>0</v>
      </c>
      <c r="U29" s="125">
        <f>$A29*'Verwerking Bouwdelen'!BA13</f>
        <v>0</v>
      </c>
      <c r="V29" s="125">
        <f>$A29*'Verwerking Bouwdelen'!BB13</f>
        <v>0</v>
      </c>
      <c r="W29" s="125">
        <f>$A29*'Verwerking Bouwdelen'!BC13</f>
        <v>0</v>
      </c>
      <c r="X29" s="125">
        <f>$A29*'Verwerking Bouwdelen'!BD13</f>
        <v>0</v>
      </c>
      <c r="Y29" s="125">
        <f>$A29*'Verwerking Bouwdelen'!BE13</f>
        <v>0</v>
      </c>
      <c r="Z29" s="195">
        <f>$A29*'Verwerking Bouwdelen'!BF13</f>
        <v>0</v>
      </c>
      <c r="AB29" s="125">
        <f>IF(OR('Verwerking Bouwdelen'!C13=3,'Verwerking Bouwdelen'!C13=6),1,0)</f>
        <v>0</v>
      </c>
      <c r="AC29" s="130">
        <f>IF('Verwerking Bouwdelen'!A13=4,1,0)</f>
        <v>0</v>
      </c>
      <c r="AD29" s="208">
        <f>IF($AB29=1,$AC29*'Verwerking Bouwdelen'!DL13,$AC29*'Verwerking Bouwdelen'!T13)</f>
        <v>0</v>
      </c>
      <c r="AE29" s="208">
        <f>IF($AB29=1,$AC29*'Verwerking Bouwdelen'!DM13,$AC29*'Verwerking Bouwdelen'!U13)</f>
        <v>0</v>
      </c>
      <c r="AF29" s="208">
        <f>IF($AB29=1,$AC29*'Verwerking Bouwdelen'!DN13,$AC29*'Verwerking Bouwdelen'!V13)</f>
        <v>0</v>
      </c>
      <c r="AG29" s="208">
        <f>IF($AB29=1,$AC29*'Verwerking Bouwdelen'!DO13,$AC29*'Verwerking Bouwdelen'!W13)</f>
        <v>0</v>
      </c>
      <c r="AH29" s="208">
        <f>IF($AB29=1,$AC29*'Verwerking Bouwdelen'!DP13,$AC29*'Verwerking Bouwdelen'!X13)</f>
        <v>0</v>
      </c>
      <c r="AI29" s="208">
        <f>IF($AB29=1,$AC29*'Verwerking Bouwdelen'!DQ13,$AC29*'Verwerking Bouwdelen'!Y13)</f>
        <v>0</v>
      </c>
      <c r="AJ29" s="208">
        <f>IF($AB29=1,$AC29*'Verwerking Bouwdelen'!DR13,$AC29*'Verwerking Bouwdelen'!Z13)</f>
        <v>0</v>
      </c>
      <c r="AK29" s="208">
        <f>IF($AB29=1,$AC29*'Verwerking Bouwdelen'!DS13,$AC29*'Verwerking Bouwdelen'!AA13)</f>
        <v>0</v>
      </c>
      <c r="AL29" s="208">
        <f>IF($AB29=1,$AC29*'Verwerking Bouwdelen'!DT13,$AC29*'Verwerking Bouwdelen'!AB13)</f>
        <v>0</v>
      </c>
      <c r="AM29" s="208">
        <f>IF($AB29=1,$AC29*'Verwerking Bouwdelen'!DU13,$AC29*'Verwerking Bouwdelen'!AC13)</f>
        <v>0</v>
      </c>
      <c r="AN29" s="208">
        <f>IF($AB29=1,$AC29*'Verwerking Bouwdelen'!DV13,$AC29*'Verwerking Bouwdelen'!AD13)</f>
        <v>0</v>
      </c>
      <c r="AO29" s="208">
        <f>IF($AB29=1,$AC29*'Verwerking Bouwdelen'!DW13,$AC29*'Verwerking Bouwdelen'!AE13)</f>
        <v>0</v>
      </c>
      <c r="AP29" s="10">
        <f>IF(AD29=B29,0,'Verwerking Bouwdelen'!D13*AB29*AC29)</f>
        <v>0</v>
      </c>
      <c r="AQ29" s="10">
        <f>AB29*AC29*'Verwerking Bouwdelen'!GH13</f>
        <v>0</v>
      </c>
      <c r="AR29" s="10"/>
      <c r="AS29" s="248"/>
      <c r="AT29" s="125">
        <f>IF('Verwerking Bouwdelen'!C13=4,1,0)</f>
        <v>0</v>
      </c>
      <c r="AU29" s="130">
        <f>IF('Verwerking Bouwdelen'!A13=4,1,0)</f>
        <v>0</v>
      </c>
      <c r="AV29" s="208">
        <f>IF($AT29=1,$AU29*'Verwerking Bouwdelen'!DL13,$AU29*'Verwerking Bouwdelen'!T13)</f>
        <v>0</v>
      </c>
      <c r="AW29" s="208">
        <f>IF($AT29=1,$AU29*'Verwerking Bouwdelen'!DM13,$AU29*'Verwerking Bouwdelen'!U13)</f>
        <v>0</v>
      </c>
      <c r="AX29" s="208">
        <f>IF($AT29=1,$AU29*'Verwerking Bouwdelen'!DN13,$AU29*'Verwerking Bouwdelen'!V13)</f>
        <v>0</v>
      </c>
      <c r="AY29" s="208">
        <f>IF($AT29=1,$AU29*'Verwerking Bouwdelen'!DO13,$AU29*'Verwerking Bouwdelen'!W13)</f>
        <v>0</v>
      </c>
      <c r="AZ29" s="208">
        <f>IF($AT29=1,$AU29*'Verwerking Bouwdelen'!DP13,$AU29*'Verwerking Bouwdelen'!X13)</f>
        <v>0</v>
      </c>
      <c r="BA29" s="208">
        <f>IF($AT29=1,$AU29*'Verwerking Bouwdelen'!DQ13,$AU29*'Verwerking Bouwdelen'!Y13)</f>
        <v>0</v>
      </c>
      <c r="BB29" s="208">
        <f>IF($AT29=1,$AU29*'Verwerking Bouwdelen'!DR13,$AU29*'Verwerking Bouwdelen'!Z13)</f>
        <v>0</v>
      </c>
      <c r="BC29" s="208">
        <f>IF($AT29=1,$AU29*'Verwerking Bouwdelen'!DS13,$AU29*'Verwerking Bouwdelen'!AA13)</f>
        <v>0</v>
      </c>
      <c r="BD29" s="208">
        <f>IF($AT29=1,$AU29*'Verwerking Bouwdelen'!DT13,$AU29*'Verwerking Bouwdelen'!AB13)</f>
        <v>0</v>
      </c>
      <c r="BE29" s="208">
        <f>IF($AT29=1,$AU29*'Verwerking Bouwdelen'!DU13,$AU29*'Verwerking Bouwdelen'!AC13)</f>
        <v>0</v>
      </c>
      <c r="BF29" s="208">
        <f>IF($AT29=1,$AU29*'Verwerking Bouwdelen'!DV13,$AU29*'Verwerking Bouwdelen'!AD13)</f>
        <v>0</v>
      </c>
      <c r="BG29" s="208">
        <f>IF($AT29=1,$AU29*'Verwerking Bouwdelen'!DW13,$AU29*'Verwerking Bouwdelen'!AE13)</f>
        <v>0</v>
      </c>
      <c r="BH29" s="10">
        <f>IF(AV29=B29,0,'Verwerking Bouwdelen'!D13*AT29*AU29)</f>
        <v>0</v>
      </c>
      <c r="BI29" s="10">
        <f>AT29*AU29*'Verwerking Bouwdelen'!GH13</f>
        <v>0</v>
      </c>
      <c r="BJ29" s="10"/>
      <c r="BK29" s="10"/>
      <c r="BM29" s="125">
        <f>IF('Verwerking Bouwdelen'!C13=5,1,0)</f>
        <v>0</v>
      </c>
      <c r="BN29" s="130">
        <f>IF('Verwerking Bouwdelen'!A13=4,1,0)</f>
        <v>0</v>
      </c>
      <c r="BO29" s="208">
        <f>IF($BM29=1,$BN29*'Verwerking Bouwdelen'!DL13,$BN29*'Verwerking Bouwdelen'!T13)</f>
        <v>0</v>
      </c>
      <c r="BP29" s="208">
        <f>IF($BM29=1,$BN29*'Verwerking Bouwdelen'!DM13,$BN29*'Verwerking Bouwdelen'!U13)</f>
        <v>0</v>
      </c>
      <c r="BQ29" s="208">
        <f>IF($BM29=1,$BN29*'Verwerking Bouwdelen'!DN13,$BN29*'Verwerking Bouwdelen'!V13)</f>
        <v>0</v>
      </c>
      <c r="BR29" s="208">
        <f>IF($BM29=1,$BN29*'Verwerking Bouwdelen'!DO13,$BN29*'Verwerking Bouwdelen'!W13)</f>
        <v>0</v>
      </c>
      <c r="BS29" s="208">
        <f>IF($BM29=1,$BN29*'Verwerking Bouwdelen'!DP13,$BN29*'Verwerking Bouwdelen'!X13)</f>
        <v>0</v>
      </c>
      <c r="BT29" s="208">
        <f>IF($BM29=1,$BN29*'Verwerking Bouwdelen'!DQ13,$BN29*'Verwerking Bouwdelen'!Y13)</f>
        <v>0</v>
      </c>
      <c r="BU29" s="208">
        <f>IF($BM29=1,$BN29*'Verwerking Bouwdelen'!DR13,$BN29*'Verwerking Bouwdelen'!Z13)</f>
        <v>0</v>
      </c>
      <c r="BV29" s="208">
        <f>IF($BM29=1,$BN29*'Verwerking Bouwdelen'!DS13,$BN29*'Verwerking Bouwdelen'!AA13)</f>
        <v>0</v>
      </c>
      <c r="BW29" s="208">
        <f>IF($BM29=1,$BN29*'Verwerking Bouwdelen'!DT13,$BN29*'Verwerking Bouwdelen'!AB13)</f>
        <v>0</v>
      </c>
      <c r="BX29" s="208">
        <f>IF($BM29=1,$BN29*'Verwerking Bouwdelen'!DU13,$BN29*'Verwerking Bouwdelen'!AC13)</f>
        <v>0</v>
      </c>
      <c r="BY29" s="208">
        <f>IF($BM29=1,$BN29*'Verwerking Bouwdelen'!DV13,$BN29*'Verwerking Bouwdelen'!AD13)</f>
        <v>0</v>
      </c>
      <c r="BZ29" s="208">
        <f>IF($BM29=1,$BN29*'Verwerking Bouwdelen'!DW13,$BN29*'Verwerking Bouwdelen'!AE13)</f>
        <v>0</v>
      </c>
      <c r="CA29" s="10">
        <f>IF(BO29=$B29,0,'Verwerking Bouwdelen'!$D13*BM29*BN29)</f>
        <v>0</v>
      </c>
      <c r="CB29" s="10">
        <f>BM29*BN29*'Verwerking Bouwdelen'!GH13</f>
        <v>0</v>
      </c>
      <c r="CC29" s="10"/>
      <c r="CD29" s="248"/>
      <c r="CE29" s="125">
        <f>IF('Verwerking Bouwdelen'!C13=2,1,0)</f>
        <v>0</v>
      </c>
      <c r="CF29" s="130">
        <f>IF('Verwerking Bouwdelen'!A13=4,1,0)</f>
        <v>0</v>
      </c>
      <c r="CG29" s="208">
        <f>IF($CE29=1,$CF29*'Verwerking Bouwdelen'!DL13,$CF29*'Verwerking Bouwdelen'!T13)</f>
        <v>0</v>
      </c>
      <c r="CH29" s="208">
        <f>IF($CE29=1,$CF29*'Verwerking Bouwdelen'!DM13,$CF29*'Verwerking Bouwdelen'!U13)</f>
        <v>0</v>
      </c>
      <c r="CI29" s="208">
        <f>IF($CE29=1,$CF29*'Verwerking Bouwdelen'!DN13,$CF29*'Verwerking Bouwdelen'!V13)</f>
        <v>0</v>
      </c>
      <c r="CJ29" s="208">
        <f>IF($CE29=1,$CF29*'Verwerking Bouwdelen'!DO13,$CF29*'Verwerking Bouwdelen'!W13)</f>
        <v>0</v>
      </c>
      <c r="CK29" s="208">
        <f>IF($CE29=1,$CF29*'Verwerking Bouwdelen'!DP13,$CF29*'Verwerking Bouwdelen'!X13)</f>
        <v>0</v>
      </c>
      <c r="CL29" s="208">
        <f>IF($CE29=1,$CF29*'Verwerking Bouwdelen'!DQ13,$CF29*'Verwerking Bouwdelen'!Y13)</f>
        <v>0</v>
      </c>
      <c r="CM29" s="208">
        <f>IF($CE29=1,$CF29*'Verwerking Bouwdelen'!DR13,$CF29*'Verwerking Bouwdelen'!Z13)</f>
        <v>0</v>
      </c>
      <c r="CN29" s="208">
        <f>IF($CE29=1,$CF29*'Verwerking Bouwdelen'!DS13,$CF29*'Verwerking Bouwdelen'!AA13)</f>
        <v>0</v>
      </c>
      <c r="CO29" s="208">
        <f>IF($CE29=1,$CF29*'Verwerking Bouwdelen'!DT13,$CF29*'Verwerking Bouwdelen'!AB13)</f>
        <v>0</v>
      </c>
      <c r="CP29" s="208">
        <f>IF($CE29=1,$CF29*'Verwerking Bouwdelen'!DU13,$CF29*'Verwerking Bouwdelen'!AC13)</f>
        <v>0</v>
      </c>
      <c r="CQ29" s="208">
        <f>IF($CE29=1,$CF29*'Verwerking Bouwdelen'!DV13,$CF29*'Verwerking Bouwdelen'!AD13)</f>
        <v>0</v>
      </c>
      <c r="CR29" s="208">
        <f>IF($CE29=1,$CF29*'Verwerking Bouwdelen'!DW13,$CF29*'Verwerking Bouwdelen'!AE13)</f>
        <v>0</v>
      </c>
      <c r="CS29" s="10">
        <f>IF(CG29=$B29,0,('Verwerking Bouwdelen'!$D13-'Verwerking Bouwdelen'!G13)*CE29*CF29)</f>
        <v>0</v>
      </c>
      <c r="CT29" s="260">
        <f>CE29*CF29*'Verwerking Bouwdelen'!GH13</f>
        <v>0</v>
      </c>
      <c r="CU29" s="261">
        <f>CE29*CF29*'Verwerking Bouwdelen'!GI13</f>
        <v>0</v>
      </c>
      <c r="CW29" s="209">
        <f>$AC29*'Verwerking Bouwdelen'!EE13</f>
        <v>0</v>
      </c>
      <c r="CX29" s="209">
        <f>$AC29*'Verwerking Bouwdelen'!EF13</f>
        <v>0</v>
      </c>
      <c r="CY29" s="209">
        <f>$AC29*'Verwerking Bouwdelen'!EG13</f>
        <v>0</v>
      </c>
      <c r="CZ29" s="209">
        <f>$AC29*'Verwerking Bouwdelen'!EH13</f>
        <v>0</v>
      </c>
      <c r="DA29" s="209">
        <f>$AC29*'Verwerking Bouwdelen'!EI13</f>
        <v>0</v>
      </c>
      <c r="DB29" s="209">
        <f>$AC29*'Verwerking Bouwdelen'!EJ13</f>
        <v>0</v>
      </c>
      <c r="DC29" s="209">
        <f>$AC29*'Verwerking Bouwdelen'!EK13</f>
        <v>0</v>
      </c>
      <c r="DD29" s="209">
        <f>$AC29*'Verwerking Bouwdelen'!EL13</f>
        <v>0</v>
      </c>
      <c r="DE29" s="209">
        <f>$AC29*'Verwerking Bouwdelen'!EM13</f>
        <v>0</v>
      </c>
      <c r="DF29" s="209">
        <f>$AC29*'Verwerking Bouwdelen'!EN13</f>
        <v>0</v>
      </c>
      <c r="DG29" s="209">
        <f>$AC29*'Verwerking Bouwdelen'!EO13</f>
        <v>0</v>
      </c>
      <c r="DH29" s="209">
        <f>$AC29*'Verwerking Bouwdelen'!EP13</f>
        <v>0</v>
      </c>
      <c r="DI29" s="10">
        <f>IF(CW29=$O29,0,'Verwerking Bouwdelen'!G13)</f>
        <v>0</v>
      </c>
      <c r="DJ29" s="259">
        <f>'Verwerking Bouwdelen'!GK13*CF29</f>
        <v>0</v>
      </c>
      <c r="DK29" s="259">
        <f>'Verwerking Bouwdelen'!GL13*CF29</f>
        <v>0</v>
      </c>
      <c r="DL29" s="125"/>
      <c r="FZ29" s="89">
        <f>IF('Verwerken verlichting'!B25=4,1,0)</f>
        <v>0</v>
      </c>
      <c r="GA29" s="89">
        <f>$FZ29*'Verwerken verlichting'!BX25</f>
        <v>0</v>
      </c>
      <c r="GB29" s="89">
        <f>$FZ29*'Verwerken verlichting'!BY25</f>
        <v>0</v>
      </c>
      <c r="GC29" s="89">
        <f>$FZ29*'Verwerken verlichting'!BZ25</f>
        <v>0</v>
      </c>
      <c r="GD29" s="89">
        <f>$FZ29*'Verwerken verlichting'!CA25</f>
        <v>0</v>
      </c>
      <c r="GE29" s="89">
        <f>$FZ29*'Verwerken verlichting'!CB25</f>
        <v>0</v>
      </c>
      <c r="GF29" s="89">
        <f>$FZ29*'Verwerken verlichting'!CC25</f>
        <v>0</v>
      </c>
      <c r="GG29" s="89">
        <f>FZ29*'Invoer verlichting'!N24</f>
        <v>0</v>
      </c>
      <c r="GH29" s="89">
        <f>FZ29*'Verwerken verlichting'!AH25</f>
        <v>0</v>
      </c>
      <c r="GI29" s="89">
        <f>FZ29*'Verwerken verlichting'!AG25</f>
        <v>0</v>
      </c>
      <c r="GJ29" s="89">
        <f>FZ29*'Verwerken verlichting'!CE25</f>
        <v>0</v>
      </c>
      <c r="GM29" s="89">
        <f t="shared" si="13"/>
        <v>0</v>
      </c>
      <c r="GN29" s="89">
        <f t="shared" si="14"/>
        <v>0</v>
      </c>
      <c r="GO29" s="208">
        <f>IF($GN29=1,$GN29*$GM29*'Verwerking Bouwdelen'!DL13,$GN29*$GM29*'Verwerking Bouwdelen'!T13)</f>
        <v>0</v>
      </c>
      <c r="GP29" s="208">
        <f>IF($GN29=1,$GN29*$GM29*'Verwerking Bouwdelen'!DM13,$GN29*$GM29*'Verwerking Bouwdelen'!U13)</f>
        <v>0</v>
      </c>
      <c r="GQ29" s="208">
        <f>IF($GN29=1,$GN29*$GM29*'Verwerking Bouwdelen'!DN13,$GN29*$GM29*'Verwerking Bouwdelen'!V13)</f>
        <v>0</v>
      </c>
      <c r="GR29" s="208">
        <f>IF($GN29=1,$GN29*$GM29*'Verwerking Bouwdelen'!DO13,$GN29*$GM29*'Verwerking Bouwdelen'!W13)</f>
        <v>0</v>
      </c>
      <c r="GS29" s="208">
        <f>IF($GN29=1,$GN29*$GM29*'Verwerking Bouwdelen'!DP13,$GN29*$GM29*'Verwerking Bouwdelen'!X13)</f>
        <v>0</v>
      </c>
      <c r="GT29" s="208">
        <f>IF($GN29=1,$GN29*$GM29*'Verwerking Bouwdelen'!DQ13,$GN29*$GM29*'Verwerking Bouwdelen'!Y13)</f>
        <v>0</v>
      </c>
      <c r="GU29" s="208">
        <f>IF($GN29=1,$GN29*$GM29*'Verwerking Bouwdelen'!DR13,$GN29*$GM29*'Verwerking Bouwdelen'!Z13)</f>
        <v>0</v>
      </c>
      <c r="GV29" s="208">
        <f>IF($GN29=1,$GN29*$GM29*'Verwerking Bouwdelen'!DS13,$GN29*$GM29*'Verwerking Bouwdelen'!AA13)</f>
        <v>0</v>
      </c>
      <c r="GW29" s="208">
        <f>IF($GN29=1,$GN29*$GM29*'Verwerking Bouwdelen'!DT13,$GN29*$GM29*'Verwerking Bouwdelen'!AB13)</f>
        <v>0</v>
      </c>
      <c r="GX29" s="208">
        <f>IF($GN29=1,$GN29*$GM29*'Verwerking Bouwdelen'!DU13,$GN29*$GM29*'Verwerking Bouwdelen'!AC13)</f>
        <v>0</v>
      </c>
      <c r="GY29" s="208">
        <f>IF($GN29=1,$GN29*$GM29*'Verwerking Bouwdelen'!DV13,$GN29*$GM29*'Verwerking Bouwdelen'!AD13)</f>
        <v>0</v>
      </c>
      <c r="GZ29" s="208">
        <f>IF($GN29=1,$GN29*$GM29*'Verwerking Bouwdelen'!DW13,$GN29*$GM29*'Verwerking Bouwdelen'!AE13)</f>
        <v>0</v>
      </c>
      <c r="HB29" s="89">
        <f t="shared" si="1"/>
        <v>0</v>
      </c>
      <c r="HC29" s="89">
        <f t="shared" si="2"/>
        <v>0</v>
      </c>
      <c r="HD29" s="89">
        <f t="shared" si="3"/>
        <v>0</v>
      </c>
      <c r="HE29" s="89">
        <f t="shared" si="4"/>
        <v>0</v>
      </c>
      <c r="HF29" s="89">
        <f t="shared" si="5"/>
        <v>0</v>
      </c>
      <c r="HG29" s="89">
        <f t="shared" si="6"/>
        <v>0</v>
      </c>
      <c r="HH29" s="89">
        <f t="shared" si="7"/>
        <v>0</v>
      </c>
      <c r="HI29" s="89">
        <f t="shared" si="8"/>
        <v>0</v>
      </c>
      <c r="HJ29" s="89">
        <f t="shared" si="9"/>
        <v>0</v>
      </c>
      <c r="HK29" s="89">
        <f t="shared" si="10"/>
        <v>0</v>
      </c>
      <c r="HL29" s="89">
        <f t="shared" si="11"/>
        <v>0</v>
      </c>
      <c r="HM29" s="89">
        <f t="shared" si="12"/>
        <v>0</v>
      </c>
    </row>
    <row r="30" spans="1:221" x14ac:dyDescent="0.2">
      <c r="A30" s="130">
        <f>IF('Verwerking Bouwdelen'!A14=4,1,0)</f>
        <v>0</v>
      </c>
      <c r="B30" s="208">
        <f>$A30*'Verwerking Bouwdelen'!T14</f>
        <v>0</v>
      </c>
      <c r="C30" s="208">
        <f>$A30*'Verwerking Bouwdelen'!U14</f>
        <v>0</v>
      </c>
      <c r="D30" s="208">
        <f>$A30*'Verwerking Bouwdelen'!V14</f>
        <v>0</v>
      </c>
      <c r="E30" s="208">
        <f>$A30*'Verwerking Bouwdelen'!W14</f>
        <v>0</v>
      </c>
      <c r="F30" s="208">
        <f>$A30*'Verwerking Bouwdelen'!X14</f>
        <v>0</v>
      </c>
      <c r="G30" s="208">
        <f>$A30*'Verwerking Bouwdelen'!Y14</f>
        <v>0</v>
      </c>
      <c r="H30" s="208">
        <f>$A30*'Verwerking Bouwdelen'!Z14</f>
        <v>0</v>
      </c>
      <c r="I30" s="208">
        <f>$A30*'Verwerking Bouwdelen'!AA14</f>
        <v>0</v>
      </c>
      <c r="J30" s="208">
        <f>$A30*'Verwerking Bouwdelen'!AB14</f>
        <v>0</v>
      </c>
      <c r="K30" s="208">
        <f>$A30*'Verwerking Bouwdelen'!AC14</f>
        <v>0</v>
      </c>
      <c r="L30" s="208">
        <f>$A30*'Verwerking Bouwdelen'!AD14</f>
        <v>0</v>
      </c>
      <c r="M30" s="208">
        <f>$A30*'Verwerking Bouwdelen'!AE14</f>
        <v>0</v>
      </c>
      <c r="O30" s="114">
        <f>$A30*'Verwerking Bouwdelen'!AU14</f>
        <v>0</v>
      </c>
      <c r="P30" s="125">
        <f>$A30*'Verwerking Bouwdelen'!AV14</f>
        <v>0</v>
      </c>
      <c r="Q30" s="125">
        <f>$A30*'Verwerking Bouwdelen'!AW14</f>
        <v>0</v>
      </c>
      <c r="R30" s="125">
        <f>$A30*'Verwerking Bouwdelen'!AX14</f>
        <v>0</v>
      </c>
      <c r="S30" s="125">
        <f>$A30*'Verwerking Bouwdelen'!AY14</f>
        <v>0</v>
      </c>
      <c r="T30" s="125">
        <f>$A30*'Verwerking Bouwdelen'!AZ14</f>
        <v>0</v>
      </c>
      <c r="U30" s="125">
        <f>$A30*'Verwerking Bouwdelen'!BA14</f>
        <v>0</v>
      </c>
      <c r="V30" s="125">
        <f>$A30*'Verwerking Bouwdelen'!BB14</f>
        <v>0</v>
      </c>
      <c r="W30" s="125">
        <f>$A30*'Verwerking Bouwdelen'!BC14</f>
        <v>0</v>
      </c>
      <c r="X30" s="125">
        <f>$A30*'Verwerking Bouwdelen'!BD14</f>
        <v>0</v>
      </c>
      <c r="Y30" s="125">
        <f>$A30*'Verwerking Bouwdelen'!BE14</f>
        <v>0</v>
      </c>
      <c r="Z30" s="195">
        <f>$A30*'Verwerking Bouwdelen'!BF14</f>
        <v>0</v>
      </c>
      <c r="AB30" s="125">
        <f>IF(OR('Verwerking Bouwdelen'!C14=3,'Verwerking Bouwdelen'!C14=6),1,0)</f>
        <v>0</v>
      </c>
      <c r="AC30" s="130">
        <f>IF('Verwerking Bouwdelen'!A14=4,1,0)</f>
        <v>0</v>
      </c>
      <c r="AD30" s="208">
        <f>IF($AB30=1,$AC30*'Verwerking Bouwdelen'!DL14,$AC30*'Verwerking Bouwdelen'!T14)</f>
        <v>0</v>
      </c>
      <c r="AE30" s="208">
        <f>IF($AB30=1,$AC30*'Verwerking Bouwdelen'!DM14,$AC30*'Verwerking Bouwdelen'!U14)</f>
        <v>0</v>
      </c>
      <c r="AF30" s="208">
        <f>IF($AB30=1,$AC30*'Verwerking Bouwdelen'!DN14,$AC30*'Verwerking Bouwdelen'!V14)</f>
        <v>0</v>
      </c>
      <c r="AG30" s="208">
        <f>IF($AB30=1,$AC30*'Verwerking Bouwdelen'!DO14,$AC30*'Verwerking Bouwdelen'!W14)</f>
        <v>0</v>
      </c>
      <c r="AH30" s="208">
        <f>IF($AB30=1,$AC30*'Verwerking Bouwdelen'!DP14,$AC30*'Verwerking Bouwdelen'!X14)</f>
        <v>0</v>
      </c>
      <c r="AI30" s="208">
        <f>IF($AB30=1,$AC30*'Verwerking Bouwdelen'!DQ14,$AC30*'Verwerking Bouwdelen'!Y14)</f>
        <v>0</v>
      </c>
      <c r="AJ30" s="208">
        <f>IF($AB30=1,$AC30*'Verwerking Bouwdelen'!DR14,$AC30*'Verwerking Bouwdelen'!Z14)</f>
        <v>0</v>
      </c>
      <c r="AK30" s="208">
        <f>IF($AB30=1,$AC30*'Verwerking Bouwdelen'!DS14,$AC30*'Verwerking Bouwdelen'!AA14)</f>
        <v>0</v>
      </c>
      <c r="AL30" s="208">
        <f>IF($AB30=1,$AC30*'Verwerking Bouwdelen'!DT14,$AC30*'Verwerking Bouwdelen'!AB14)</f>
        <v>0</v>
      </c>
      <c r="AM30" s="208">
        <f>IF($AB30=1,$AC30*'Verwerking Bouwdelen'!DU14,$AC30*'Verwerking Bouwdelen'!AC14)</f>
        <v>0</v>
      </c>
      <c r="AN30" s="208">
        <f>IF($AB30=1,$AC30*'Verwerking Bouwdelen'!DV14,$AC30*'Verwerking Bouwdelen'!AD14)</f>
        <v>0</v>
      </c>
      <c r="AO30" s="208">
        <f>IF($AB30=1,$AC30*'Verwerking Bouwdelen'!DW14,$AC30*'Verwerking Bouwdelen'!AE14)</f>
        <v>0</v>
      </c>
      <c r="AP30" s="10">
        <f>IF(AD30=B30,0,'Verwerking Bouwdelen'!D14*AB30*AC30)</f>
        <v>0</v>
      </c>
      <c r="AQ30" s="10">
        <f>AB30*AC30*'Verwerking Bouwdelen'!GH14</f>
        <v>0</v>
      </c>
      <c r="AR30" s="10"/>
      <c r="AS30" s="248"/>
      <c r="AT30" s="125">
        <f>IF('Verwerking Bouwdelen'!C14=4,1,0)</f>
        <v>0</v>
      </c>
      <c r="AU30" s="130">
        <f>IF('Verwerking Bouwdelen'!A14=4,1,0)</f>
        <v>0</v>
      </c>
      <c r="AV30" s="208">
        <f>IF($AT30=1,$AU30*'Verwerking Bouwdelen'!DL14,$AU30*'Verwerking Bouwdelen'!T14)</f>
        <v>0</v>
      </c>
      <c r="AW30" s="208">
        <f>IF($AT30=1,$AU30*'Verwerking Bouwdelen'!DM14,$AU30*'Verwerking Bouwdelen'!U14)</f>
        <v>0</v>
      </c>
      <c r="AX30" s="208">
        <f>IF($AT30=1,$AU30*'Verwerking Bouwdelen'!DN14,$AU30*'Verwerking Bouwdelen'!V14)</f>
        <v>0</v>
      </c>
      <c r="AY30" s="208">
        <f>IF($AT30=1,$AU30*'Verwerking Bouwdelen'!DO14,$AU30*'Verwerking Bouwdelen'!W14)</f>
        <v>0</v>
      </c>
      <c r="AZ30" s="208">
        <f>IF($AT30=1,$AU30*'Verwerking Bouwdelen'!DP14,$AU30*'Verwerking Bouwdelen'!X14)</f>
        <v>0</v>
      </c>
      <c r="BA30" s="208">
        <f>IF($AT30=1,$AU30*'Verwerking Bouwdelen'!DQ14,$AU30*'Verwerking Bouwdelen'!Y14)</f>
        <v>0</v>
      </c>
      <c r="BB30" s="208">
        <f>IF($AT30=1,$AU30*'Verwerking Bouwdelen'!DR14,$AU30*'Verwerking Bouwdelen'!Z14)</f>
        <v>0</v>
      </c>
      <c r="BC30" s="208">
        <f>IF($AT30=1,$AU30*'Verwerking Bouwdelen'!DS14,$AU30*'Verwerking Bouwdelen'!AA14)</f>
        <v>0</v>
      </c>
      <c r="BD30" s="208">
        <f>IF($AT30=1,$AU30*'Verwerking Bouwdelen'!DT14,$AU30*'Verwerking Bouwdelen'!AB14)</f>
        <v>0</v>
      </c>
      <c r="BE30" s="208">
        <f>IF($AT30=1,$AU30*'Verwerking Bouwdelen'!DU14,$AU30*'Verwerking Bouwdelen'!AC14)</f>
        <v>0</v>
      </c>
      <c r="BF30" s="208">
        <f>IF($AT30=1,$AU30*'Verwerking Bouwdelen'!DV14,$AU30*'Verwerking Bouwdelen'!AD14)</f>
        <v>0</v>
      </c>
      <c r="BG30" s="208">
        <f>IF($AT30=1,$AU30*'Verwerking Bouwdelen'!DW14,$AU30*'Verwerking Bouwdelen'!AE14)</f>
        <v>0</v>
      </c>
      <c r="BH30" s="10">
        <f>IF(AV30=B30,0,'Verwerking Bouwdelen'!D14*AT30*AU30)</f>
        <v>0</v>
      </c>
      <c r="BI30" s="10">
        <f>AT30*AU30*'Verwerking Bouwdelen'!GH14</f>
        <v>0</v>
      </c>
      <c r="BJ30" s="10"/>
      <c r="BK30" s="10"/>
      <c r="BM30" s="125">
        <f>IF('Verwerking Bouwdelen'!C14=5,1,0)</f>
        <v>0</v>
      </c>
      <c r="BN30" s="130">
        <f>IF('Verwerking Bouwdelen'!A14=4,1,0)</f>
        <v>0</v>
      </c>
      <c r="BO30" s="208">
        <f>IF($BM30=1,$BN30*'Verwerking Bouwdelen'!DL14,$BN30*'Verwerking Bouwdelen'!T14)</f>
        <v>0</v>
      </c>
      <c r="BP30" s="208">
        <f>IF($BM30=1,$BN30*'Verwerking Bouwdelen'!DM14,$BN30*'Verwerking Bouwdelen'!U14)</f>
        <v>0</v>
      </c>
      <c r="BQ30" s="208">
        <f>IF($BM30=1,$BN30*'Verwerking Bouwdelen'!DN14,$BN30*'Verwerking Bouwdelen'!V14)</f>
        <v>0</v>
      </c>
      <c r="BR30" s="208">
        <f>IF($BM30=1,$BN30*'Verwerking Bouwdelen'!DO14,$BN30*'Verwerking Bouwdelen'!W14)</f>
        <v>0</v>
      </c>
      <c r="BS30" s="208">
        <f>IF($BM30=1,$BN30*'Verwerking Bouwdelen'!DP14,$BN30*'Verwerking Bouwdelen'!X14)</f>
        <v>0</v>
      </c>
      <c r="BT30" s="208">
        <f>IF($BM30=1,$BN30*'Verwerking Bouwdelen'!DQ14,$BN30*'Verwerking Bouwdelen'!Y14)</f>
        <v>0</v>
      </c>
      <c r="BU30" s="208">
        <f>IF($BM30=1,$BN30*'Verwerking Bouwdelen'!DR14,$BN30*'Verwerking Bouwdelen'!Z14)</f>
        <v>0</v>
      </c>
      <c r="BV30" s="208">
        <f>IF($BM30=1,$BN30*'Verwerking Bouwdelen'!DS14,$BN30*'Verwerking Bouwdelen'!AA14)</f>
        <v>0</v>
      </c>
      <c r="BW30" s="208">
        <f>IF($BM30=1,$BN30*'Verwerking Bouwdelen'!DT14,$BN30*'Verwerking Bouwdelen'!AB14)</f>
        <v>0</v>
      </c>
      <c r="BX30" s="208">
        <f>IF($BM30=1,$BN30*'Verwerking Bouwdelen'!DU14,$BN30*'Verwerking Bouwdelen'!AC14)</f>
        <v>0</v>
      </c>
      <c r="BY30" s="208">
        <f>IF($BM30=1,$BN30*'Verwerking Bouwdelen'!DV14,$BN30*'Verwerking Bouwdelen'!AD14)</f>
        <v>0</v>
      </c>
      <c r="BZ30" s="208">
        <f>IF($BM30=1,$BN30*'Verwerking Bouwdelen'!DW14,$BN30*'Verwerking Bouwdelen'!AE14)</f>
        <v>0</v>
      </c>
      <c r="CA30" s="10">
        <f>IF(BO30=$B30,0,'Verwerking Bouwdelen'!$D14*BM30*BN30)</f>
        <v>0</v>
      </c>
      <c r="CB30" s="10">
        <f>BM30*BN30*'Verwerking Bouwdelen'!GH14</f>
        <v>0</v>
      </c>
      <c r="CC30" s="10"/>
      <c r="CD30" s="248"/>
      <c r="CE30" s="125">
        <f>IF('Verwerking Bouwdelen'!C14=2,1,0)</f>
        <v>0</v>
      </c>
      <c r="CF30" s="130">
        <f>IF('Verwerking Bouwdelen'!A14=4,1,0)</f>
        <v>0</v>
      </c>
      <c r="CG30" s="208">
        <f>IF($CE30=1,$CF30*'Verwerking Bouwdelen'!DL14,$CF30*'Verwerking Bouwdelen'!T14)</f>
        <v>0</v>
      </c>
      <c r="CH30" s="208">
        <f>IF($CE30=1,$CF30*'Verwerking Bouwdelen'!DM14,$CF30*'Verwerking Bouwdelen'!U14)</f>
        <v>0</v>
      </c>
      <c r="CI30" s="208">
        <f>IF($CE30=1,$CF30*'Verwerking Bouwdelen'!DN14,$CF30*'Verwerking Bouwdelen'!V14)</f>
        <v>0</v>
      </c>
      <c r="CJ30" s="208">
        <f>IF($CE30=1,$CF30*'Verwerking Bouwdelen'!DO14,$CF30*'Verwerking Bouwdelen'!W14)</f>
        <v>0</v>
      </c>
      <c r="CK30" s="208">
        <f>IF($CE30=1,$CF30*'Verwerking Bouwdelen'!DP14,$CF30*'Verwerking Bouwdelen'!X14)</f>
        <v>0</v>
      </c>
      <c r="CL30" s="208">
        <f>IF($CE30=1,$CF30*'Verwerking Bouwdelen'!DQ14,$CF30*'Verwerking Bouwdelen'!Y14)</f>
        <v>0</v>
      </c>
      <c r="CM30" s="208">
        <f>IF($CE30=1,$CF30*'Verwerking Bouwdelen'!DR14,$CF30*'Verwerking Bouwdelen'!Z14)</f>
        <v>0</v>
      </c>
      <c r="CN30" s="208">
        <f>IF($CE30=1,$CF30*'Verwerking Bouwdelen'!DS14,$CF30*'Verwerking Bouwdelen'!AA14)</f>
        <v>0</v>
      </c>
      <c r="CO30" s="208">
        <f>IF($CE30=1,$CF30*'Verwerking Bouwdelen'!DT14,$CF30*'Verwerking Bouwdelen'!AB14)</f>
        <v>0</v>
      </c>
      <c r="CP30" s="208">
        <f>IF($CE30=1,$CF30*'Verwerking Bouwdelen'!DU14,$CF30*'Verwerking Bouwdelen'!AC14)</f>
        <v>0</v>
      </c>
      <c r="CQ30" s="208">
        <f>IF($CE30=1,$CF30*'Verwerking Bouwdelen'!DV14,$CF30*'Verwerking Bouwdelen'!AD14)</f>
        <v>0</v>
      </c>
      <c r="CR30" s="208">
        <f>IF($CE30=1,$CF30*'Verwerking Bouwdelen'!DW14,$CF30*'Verwerking Bouwdelen'!AE14)</f>
        <v>0</v>
      </c>
      <c r="CS30" s="10">
        <f>IF(CG30=$B30,0,('Verwerking Bouwdelen'!$D14-'Verwerking Bouwdelen'!G14)*CE30*CF30)</f>
        <v>0</v>
      </c>
      <c r="CT30" s="260">
        <f>CE30*CF30*'Verwerking Bouwdelen'!GH14</f>
        <v>0</v>
      </c>
      <c r="CU30" s="261">
        <f>CE30*CF30*'Verwerking Bouwdelen'!GI14</f>
        <v>0</v>
      </c>
      <c r="CW30" s="209">
        <f>$AC30*'Verwerking Bouwdelen'!EE14</f>
        <v>0</v>
      </c>
      <c r="CX30" s="209">
        <f>$AC30*'Verwerking Bouwdelen'!EF14</f>
        <v>0</v>
      </c>
      <c r="CY30" s="209">
        <f>$AC30*'Verwerking Bouwdelen'!EG14</f>
        <v>0</v>
      </c>
      <c r="CZ30" s="209">
        <f>$AC30*'Verwerking Bouwdelen'!EH14</f>
        <v>0</v>
      </c>
      <c r="DA30" s="209">
        <f>$AC30*'Verwerking Bouwdelen'!EI14</f>
        <v>0</v>
      </c>
      <c r="DB30" s="209">
        <f>$AC30*'Verwerking Bouwdelen'!EJ14</f>
        <v>0</v>
      </c>
      <c r="DC30" s="209">
        <f>$AC30*'Verwerking Bouwdelen'!EK14</f>
        <v>0</v>
      </c>
      <c r="DD30" s="209">
        <f>$AC30*'Verwerking Bouwdelen'!EL14</f>
        <v>0</v>
      </c>
      <c r="DE30" s="209">
        <f>$AC30*'Verwerking Bouwdelen'!EM14</f>
        <v>0</v>
      </c>
      <c r="DF30" s="209">
        <f>$AC30*'Verwerking Bouwdelen'!EN14</f>
        <v>0</v>
      </c>
      <c r="DG30" s="209">
        <f>$AC30*'Verwerking Bouwdelen'!EO14</f>
        <v>0</v>
      </c>
      <c r="DH30" s="209">
        <f>$AC30*'Verwerking Bouwdelen'!EP14</f>
        <v>0</v>
      </c>
      <c r="DI30" s="10">
        <f>IF(CW30=$O30,0,'Verwerking Bouwdelen'!G14)</f>
        <v>0</v>
      </c>
      <c r="DJ30" s="259">
        <f>'Verwerking Bouwdelen'!GK14*CF30</f>
        <v>0</v>
      </c>
      <c r="DK30" s="259">
        <f>'Verwerking Bouwdelen'!GL14*CF30</f>
        <v>0</v>
      </c>
      <c r="DL30" s="125"/>
      <c r="FZ30" s="89">
        <f>IF('Verwerken verlichting'!B26=4,1,0)</f>
        <v>0</v>
      </c>
      <c r="GA30" s="89">
        <f>$FZ30*'Verwerken verlichting'!BX26</f>
        <v>0</v>
      </c>
      <c r="GB30" s="89">
        <f>$FZ30*'Verwerken verlichting'!BY26</f>
        <v>0</v>
      </c>
      <c r="GC30" s="89">
        <f>$FZ30*'Verwerken verlichting'!BZ26</f>
        <v>0</v>
      </c>
      <c r="GD30" s="89">
        <f>$FZ30*'Verwerken verlichting'!CA26</f>
        <v>0</v>
      </c>
      <c r="GE30" s="89">
        <f>$FZ30*'Verwerken verlichting'!CB26</f>
        <v>0</v>
      </c>
      <c r="GF30" s="89">
        <f>$FZ30*'Verwerken verlichting'!CC26</f>
        <v>0</v>
      </c>
      <c r="GG30" s="89">
        <f>FZ30*'Invoer verlichting'!N25</f>
        <v>0</v>
      </c>
      <c r="GH30" s="89">
        <f>FZ30*'Verwerken verlichting'!AH26</f>
        <v>0</v>
      </c>
      <c r="GI30" s="89">
        <f>FZ30*'Verwerken verlichting'!AG26</f>
        <v>0</v>
      </c>
      <c r="GJ30" s="89">
        <f>FZ30*'Verwerken verlichting'!CE26</f>
        <v>0</v>
      </c>
      <c r="GM30" s="89">
        <f t="shared" si="13"/>
        <v>0</v>
      </c>
      <c r="GN30" s="89">
        <f t="shared" si="14"/>
        <v>0</v>
      </c>
      <c r="GO30" s="208">
        <f>IF($GN30=1,$GN30*$GM30*'Verwerking Bouwdelen'!DL14,$GN30*$GM30*'Verwerking Bouwdelen'!T14)</f>
        <v>0</v>
      </c>
      <c r="GP30" s="208">
        <f>IF($GN30=1,$GN30*$GM30*'Verwerking Bouwdelen'!DM14,$GN30*$GM30*'Verwerking Bouwdelen'!U14)</f>
        <v>0</v>
      </c>
      <c r="GQ30" s="208">
        <f>IF($GN30=1,$GN30*$GM30*'Verwerking Bouwdelen'!DN14,$GN30*$GM30*'Verwerking Bouwdelen'!V14)</f>
        <v>0</v>
      </c>
      <c r="GR30" s="208">
        <f>IF($GN30=1,$GN30*$GM30*'Verwerking Bouwdelen'!DO14,$GN30*$GM30*'Verwerking Bouwdelen'!W14)</f>
        <v>0</v>
      </c>
      <c r="GS30" s="208">
        <f>IF($GN30=1,$GN30*$GM30*'Verwerking Bouwdelen'!DP14,$GN30*$GM30*'Verwerking Bouwdelen'!X14)</f>
        <v>0</v>
      </c>
      <c r="GT30" s="208">
        <f>IF($GN30=1,$GN30*$GM30*'Verwerking Bouwdelen'!DQ14,$GN30*$GM30*'Verwerking Bouwdelen'!Y14)</f>
        <v>0</v>
      </c>
      <c r="GU30" s="208">
        <f>IF($GN30=1,$GN30*$GM30*'Verwerking Bouwdelen'!DR14,$GN30*$GM30*'Verwerking Bouwdelen'!Z14)</f>
        <v>0</v>
      </c>
      <c r="GV30" s="208">
        <f>IF($GN30=1,$GN30*$GM30*'Verwerking Bouwdelen'!DS14,$GN30*$GM30*'Verwerking Bouwdelen'!AA14)</f>
        <v>0</v>
      </c>
      <c r="GW30" s="208">
        <f>IF($GN30=1,$GN30*$GM30*'Verwerking Bouwdelen'!DT14,$GN30*$GM30*'Verwerking Bouwdelen'!AB14)</f>
        <v>0</v>
      </c>
      <c r="GX30" s="208">
        <f>IF($GN30=1,$GN30*$GM30*'Verwerking Bouwdelen'!DU14,$GN30*$GM30*'Verwerking Bouwdelen'!AC14)</f>
        <v>0</v>
      </c>
      <c r="GY30" s="208">
        <f>IF($GN30=1,$GN30*$GM30*'Verwerking Bouwdelen'!DV14,$GN30*$GM30*'Verwerking Bouwdelen'!AD14)</f>
        <v>0</v>
      </c>
      <c r="GZ30" s="208">
        <f>IF($GN30=1,$GN30*$GM30*'Verwerking Bouwdelen'!DW14,$GN30*$GM30*'Verwerking Bouwdelen'!AE14)</f>
        <v>0</v>
      </c>
      <c r="HB30" s="89">
        <f t="shared" si="1"/>
        <v>0</v>
      </c>
      <c r="HC30" s="89">
        <f t="shared" si="2"/>
        <v>0</v>
      </c>
      <c r="HD30" s="89">
        <f t="shared" si="3"/>
        <v>0</v>
      </c>
      <c r="HE30" s="89">
        <f t="shared" si="4"/>
        <v>0</v>
      </c>
      <c r="HF30" s="89">
        <f t="shared" si="5"/>
        <v>0</v>
      </c>
      <c r="HG30" s="89">
        <f t="shared" si="6"/>
        <v>0</v>
      </c>
      <c r="HH30" s="89">
        <f t="shared" si="7"/>
        <v>0</v>
      </c>
      <c r="HI30" s="89">
        <f t="shared" si="8"/>
        <v>0</v>
      </c>
      <c r="HJ30" s="89">
        <f t="shared" si="9"/>
        <v>0</v>
      </c>
      <c r="HK30" s="89">
        <f t="shared" si="10"/>
        <v>0</v>
      </c>
      <c r="HL30" s="89">
        <f t="shared" si="11"/>
        <v>0</v>
      </c>
      <c r="HM30" s="89">
        <f t="shared" si="12"/>
        <v>0</v>
      </c>
    </row>
    <row r="31" spans="1:221" x14ac:dyDescent="0.2">
      <c r="A31" s="130">
        <f>IF('Verwerking Bouwdelen'!A15=4,1,0)</f>
        <v>0</v>
      </c>
      <c r="B31" s="208">
        <f>$A31*'Verwerking Bouwdelen'!T15</f>
        <v>0</v>
      </c>
      <c r="C31" s="208">
        <f>$A31*'Verwerking Bouwdelen'!U15</f>
        <v>0</v>
      </c>
      <c r="D31" s="208">
        <f>$A31*'Verwerking Bouwdelen'!V15</f>
        <v>0</v>
      </c>
      <c r="E31" s="208">
        <f>$A31*'Verwerking Bouwdelen'!W15</f>
        <v>0</v>
      </c>
      <c r="F31" s="208">
        <f>$A31*'Verwerking Bouwdelen'!X15</f>
        <v>0</v>
      </c>
      <c r="G31" s="208">
        <f>$A31*'Verwerking Bouwdelen'!Y15</f>
        <v>0</v>
      </c>
      <c r="H31" s="208">
        <f>$A31*'Verwerking Bouwdelen'!Z15</f>
        <v>0</v>
      </c>
      <c r="I31" s="208">
        <f>$A31*'Verwerking Bouwdelen'!AA15</f>
        <v>0</v>
      </c>
      <c r="J31" s="208">
        <f>$A31*'Verwerking Bouwdelen'!AB15</f>
        <v>0</v>
      </c>
      <c r="K31" s="208">
        <f>$A31*'Verwerking Bouwdelen'!AC15</f>
        <v>0</v>
      </c>
      <c r="L31" s="208">
        <f>$A31*'Verwerking Bouwdelen'!AD15</f>
        <v>0</v>
      </c>
      <c r="M31" s="208">
        <f>$A31*'Verwerking Bouwdelen'!AE15</f>
        <v>0</v>
      </c>
      <c r="O31" s="114">
        <f>$A31*'Verwerking Bouwdelen'!AU15</f>
        <v>0</v>
      </c>
      <c r="P31" s="125">
        <f>$A31*'Verwerking Bouwdelen'!AV15</f>
        <v>0</v>
      </c>
      <c r="Q31" s="125">
        <f>$A31*'Verwerking Bouwdelen'!AW15</f>
        <v>0</v>
      </c>
      <c r="R31" s="125">
        <f>$A31*'Verwerking Bouwdelen'!AX15</f>
        <v>0</v>
      </c>
      <c r="S31" s="125">
        <f>$A31*'Verwerking Bouwdelen'!AY15</f>
        <v>0</v>
      </c>
      <c r="T31" s="125">
        <f>$A31*'Verwerking Bouwdelen'!AZ15</f>
        <v>0</v>
      </c>
      <c r="U31" s="125">
        <f>$A31*'Verwerking Bouwdelen'!BA15</f>
        <v>0</v>
      </c>
      <c r="V31" s="125">
        <f>$A31*'Verwerking Bouwdelen'!BB15</f>
        <v>0</v>
      </c>
      <c r="W31" s="125">
        <f>$A31*'Verwerking Bouwdelen'!BC15</f>
        <v>0</v>
      </c>
      <c r="X31" s="125">
        <f>$A31*'Verwerking Bouwdelen'!BD15</f>
        <v>0</v>
      </c>
      <c r="Y31" s="125">
        <f>$A31*'Verwerking Bouwdelen'!BE15</f>
        <v>0</v>
      </c>
      <c r="Z31" s="195">
        <f>$A31*'Verwerking Bouwdelen'!BF15</f>
        <v>0</v>
      </c>
      <c r="AB31" s="125">
        <f>IF(OR('Verwerking Bouwdelen'!C15=3,'Verwerking Bouwdelen'!C15=6),1,0)</f>
        <v>0</v>
      </c>
      <c r="AC31" s="130">
        <f>IF('Verwerking Bouwdelen'!A15=4,1,0)</f>
        <v>0</v>
      </c>
      <c r="AD31" s="208">
        <f>IF($AB31=1,$AC31*'Verwerking Bouwdelen'!DL15,$AC31*'Verwerking Bouwdelen'!T15)</f>
        <v>0</v>
      </c>
      <c r="AE31" s="208">
        <f>IF($AB31=1,$AC31*'Verwerking Bouwdelen'!DM15,$AC31*'Verwerking Bouwdelen'!U15)</f>
        <v>0</v>
      </c>
      <c r="AF31" s="208">
        <f>IF($AB31=1,$AC31*'Verwerking Bouwdelen'!DN15,$AC31*'Verwerking Bouwdelen'!V15)</f>
        <v>0</v>
      </c>
      <c r="AG31" s="208">
        <f>IF($AB31=1,$AC31*'Verwerking Bouwdelen'!DO15,$AC31*'Verwerking Bouwdelen'!W15)</f>
        <v>0</v>
      </c>
      <c r="AH31" s="208">
        <f>IF($AB31=1,$AC31*'Verwerking Bouwdelen'!DP15,$AC31*'Verwerking Bouwdelen'!X15)</f>
        <v>0</v>
      </c>
      <c r="AI31" s="208">
        <f>IF($AB31=1,$AC31*'Verwerking Bouwdelen'!DQ15,$AC31*'Verwerking Bouwdelen'!Y15)</f>
        <v>0</v>
      </c>
      <c r="AJ31" s="208">
        <f>IF($AB31=1,$AC31*'Verwerking Bouwdelen'!DR15,$AC31*'Verwerking Bouwdelen'!Z15)</f>
        <v>0</v>
      </c>
      <c r="AK31" s="208">
        <f>IF($AB31=1,$AC31*'Verwerking Bouwdelen'!DS15,$AC31*'Verwerking Bouwdelen'!AA15)</f>
        <v>0</v>
      </c>
      <c r="AL31" s="208">
        <f>IF($AB31=1,$AC31*'Verwerking Bouwdelen'!DT15,$AC31*'Verwerking Bouwdelen'!AB15)</f>
        <v>0</v>
      </c>
      <c r="AM31" s="208">
        <f>IF($AB31=1,$AC31*'Verwerking Bouwdelen'!DU15,$AC31*'Verwerking Bouwdelen'!AC15)</f>
        <v>0</v>
      </c>
      <c r="AN31" s="208">
        <f>IF($AB31=1,$AC31*'Verwerking Bouwdelen'!DV15,$AC31*'Verwerking Bouwdelen'!AD15)</f>
        <v>0</v>
      </c>
      <c r="AO31" s="208">
        <f>IF($AB31=1,$AC31*'Verwerking Bouwdelen'!DW15,$AC31*'Verwerking Bouwdelen'!AE15)</f>
        <v>0</v>
      </c>
      <c r="AP31" s="10">
        <f>IF(AD31=B31,0,'Verwerking Bouwdelen'!D15*AB31*AC31)</f>
        <v>0</v>
      </c>
      <c r="AQ31" s="10">
        <f>AB31*AC31*'Verwerking Bouwdelen'!GH15</f>
        <v>0</v>
      </c>
      <c r="AR31" s="10"/>
      <c r="AS31" s="248"/>
      <c r="AT31" s="125">
        <f>IF('Verwerking Bouwdelen'!C15=4,1,0)</f>
        <v>0</v>
      </c>
      <c r="AU31" s="130">
        <f>IF('Verwerking Bouwdelen'!A15=4,1,0)</f>
        <v>0</v>
      </c>
      <c r="AV31" s="208">
        <f>IF($AT31=1,$AU31*'Verwerking Bouwdelen'!DL15,$AU31*'Verwerking Bouwdelen'!T15)</f>
        <v>0</v>
      </c>
      <c r="AW31" s="208">
        <f>IF($AT31=1,$AU31*'Verwerking Bouwdelen'!DM15,$AU31*'Verwerking Bouwdelen'!U15)</f>
        <v>0</v>
      </c>
      <c r="AX31" s="208">
        <f>IF($AT31=1,$AU31*'Verwerking Bouwdelen'!DN15,$AU31*'Verwerking Bouwdelen'!V15)</f>
        <v>0</v>
      </c>
      <c r="AY31" s="208">
        <f>IF($AT31=1,$AU31*'Verwerking Bouwdelen'!DO15,$AU31*'Verwerking Bouwdelen'!W15)</f>
        <v>0</v>
      </c>
      <c r="AZ31" s="208">
        <f>IF($AT31=1,$AU31*'Verwerking Bouwdelen'!DP15,$AU31*'Verwerking Bouwdelen'!X15)</f>
        <v>0</v>
      </c>
      <c r="BA31" s="208">
        <f>IF($AT31=1,$AU31*'Verwerking Bouwdelen'!DQ15,$AU31*'Verwerking Bouwdelen'!Y15)</f>
        <v>0</v>
      </c>
      <c r="BB31" s="208">
        <f>IF($AT31=1,$AU31*'Verwerking Bouwdelen'!DR15,$AU31*'Verwerking Bouwdelen'!Z15)</f>
        <v>0</v>
      </c>
      <c r="BC31" s="208">
        <f>IF($AT31=1,$AU31*'Verwerking Bouwdelen'!DS15,$AU31*'Verwerking Bouwdelen'!AA15)</f>
        <v>0</v>
      </c>
      <c r="BD31" s="208">
        <f>IF($AT31=1,$AU31*'Verwerking Bouwdelen'!DT15,$AU31*'Verwerking Bouwdelen'!AB15)</f>
        <v>0</v>
      </c>
      <c r="BE31" s="208">
        <f>IF($AT31=1,$AU31*'Verwerking Bouwdelen'!DU15,$AU31*'Verwerking Bouwdelen'!AC15)</f>
        <v>0</v>
      </c>
      <c r="BF31" s="208">
        <f>IF($AT31=1,$AU31*'Verwerking Bouwdelen'!DV15,$AU31*'Verwerking Bouwdelen'!AD15)</f>
        <v>0</v>
      </c>
      <c r="BG31" s="208">
        <f>IF($AT31=1,$AU31*'Verwerking Bouwdelen'!DW15,$AU31*'Verwerking Bouwdelen'!AE15)</f>
        <v>0</v>
      </c>
      <c r="BH31" s="10">
        <f>IF(AV31=B31,0,'Verwerking Bouwdelen'!D15*AT31*AU31)</f>
        <v>0</v>
      </c>
      <c r="BI31" s="10">
        <f>AT31*AU31*'Verwerking Bouwdelen'!GH15</f>
        <v>0</v>
      </c>
      <c r="BJ31" s="10"/>
      <c r="BK31" s="10"/>
      <c r="BM31" s="125">
        <f>IF('Verwerking Bouwdelen'!C15=5,1,0)</f>
        <v>0</v>
      </c>
      <c r="BN31" s="130">
        <f>IF('Verwerking Bouwdelen'!A15=4,1,0)</f>
        <v>0</v>
      </c>
      <c r="BO31" s="208">
        <f>IF($BM31=1,$BN31*'Verwerking Bouwdelen'!DL15,$BN31*'Verwerking Bouwdelen'!T15)</f>
        <v>0</v>
      </c>
      <c r="BP31" s="208">
        <f>IF($BM31=1,$BN31*'Verwerking Bouwdelen'!DM15,$BN31*'Verwerking Bouwdelen'!U15)</f>
        <v>0</v>
      </c>
      <c r="BQ31" s="208">
        <f>IF($BM31=1,$BN31*'Verwerking Bouwdelen'!DN15,$BN31*'Verwerking Bouwdelen'!V15)</f>
        <v>0</v>
      </c>
      <c r="BR31" s="208">
        <f>IF($BM31=1,$BN31*'Verwerking Bouwdelen'!DO15,$BN31*'Verwerking Bouwdelen'!W15)</f>
        <v>0</v>
      </c>
      <c r="BS31" s="208">
        <f>IF($BM31=1,$BN31*'Verwerking Bouwdelen'!DP15,$BN31*'Verwerking Bouwdelen'!X15)</f>
        <v>0</v>
      </c>
      <c r="BT31" s="208">
        <f>IF($BM31=1,$BN31*'Verwerking Bouwdelen'!DQ15,$BN31*'Verwerking Bouwdelen'!Y15)</f>
        <v>0</v>
      </c>
      <c r="BU31" s="208">
        <f>IF($BM31=1,$BN31*'Verwerking Bouwdelen'!DR15,$BN31*'Verwerking Bouwdelen'!Z15)</f>
        <v>0</v>
      </c>
      <c r="BV31" s="208">
        <f>IF($BM31=1,$BN31*'Verwerking Bouwdelen'!DS15,$BN31*'Verwerking Bouwdelen'!AA15)</f>
        <v>0</v>
      </c>
      <c r="BW31" s="208">
        <f>IF($BM31=1,$BN31*'Verwerking Bouwdelen'!DT15,$BN31*'Verwerking Bouwdelen'!AB15)</f>
        <v>0</v>
      </c>
      <c r="BX31" s="208">
        <f>IF($BM31=1,$BN31*'Verwerking Bouwdelen'!DU15,$BN31*'Verwerking Bouwdelen'!AC15)</f>
        <v>0</v>
      </c>
      <c r="BY31" s="208">
        <f>IF($BM31=1,$BN31*'Verwerking Bouwdelen'!DV15,$BN31*'Verwerking Bouwdelen'!AD15)</f>
        <v>0</v>
      </c>
      <c r="BZ31" s="208">
        <f>IF($BM31=1,$BN31*'Verwerking Bouwdelen'!DW15,$BN31*'Verwerking Bouwdelen'!AE15)</f>
        <v>0</v>
      </c>
      <c r="CA31" s="10">
        <f>IF(BO31=$B31,0,'Verwerking Bouwdelen'!$D15*BM31*BN31)</f>
        <v>0</v>
      </c>
      <c r="CB31" s="10">
        <f>BM31*BN31*'Verwerking Bouwdelen'!GH15</f>
        <v>0</v>
      </c>
      <c r="CC31" s="10"/>
      <c r="CD31" s="248"/>
      <c r="CE31" s="125">
        <f>IF('Verwerking Bouwdelen'!C15=2,1,0)</f>
        <v>0</v>
      </c>
      <c r="CF31" s="130">
        <f>IF('Verwerking Bouwdelen'!A15=4,1,0)</f>
        <v>0</v>
      </c>
      <c r="CG31" s="208">
        <f>IF($CE31=1,$CF31*'Verwerking Bouwdelen'!DL15,$CF31*'Verwerking Bouwdelen'!T15)</f>
        <v>0</v>
      </c>
      <c r="CH31" s="208">
        <f>IF($CE31=1,$CF31*'Verwerking Bouwdelen'!DM15,$CF31*'Verwerking Bouwdelen'!U15)</f>
        <v>0</v>
      </c>
      <c r="CI31" s="208">
        <f>IF($CE31=1,$CF31*'Verwerking Bouwdelen'!DN15,$CF31*'Verwerking Bouwdelen'!V15)</f>
        <v>0</v>
      </c>
      <c r="CJ31" s="208">
        <f>IF($CE31=1,$CF31*'Verwerking Bouwdelen'!DO15,$CF31*'Verwerking Bouwdelen'!W15)</f>
        <v>0</v>
      </c>
      <c r="CK31" s="208">
        <f>IF($CE31=1,$CF31*'Verwerking Bouwdelen'!DP15,$CF31*'Verwerking Bouwdelen'!X15)</f>
        <v>0</v>
      </c>
      <c r="CL31" s="208">
        <f>IF($CE31=1,$CF31*'Verwerking Bouwdelen'!DQ15,$CF31*'Verwerking Bouwdelen'!Y15)</f>
        <v>0</v>
      </c>
      <c r="CM31" s="208">
        <f>IF($CE31=1,$CF31*'Verwerking Bouwdelen'!DR15,$CF31*'Verwerking Bouwdelen'!Z15)</f>
        <v>0</v>
      </c>
      <c r="CN31" s="208">
        <f>IF($CE31=1,$CF31*'Verwerking Bouwdelen'!DS15,$CF31*'Verwerking Bouwdelen'!AA15)</f>
        <v>0</v>
      </c>
      <c r="CO31" s="208">
        <f>IF($CE31=1,$CF31*'Verwerking Bouwdelen'!DT15,$CF31*'Verwerking Bouwdelen'!AB15)</f>
        <v>0</v>
      </c>
      <c r="CP31" s="208">
        <f>IF($CE31=1,$CF31*'Verwerking Bouwdelen'!DU15,$CF31*'Verwerking Bouwdelen'!AC15)</f>
        <v>0</v>
      </c>
      <c r="CQ31" s="208">
        <f>IF($CE31=1,$CF31*'Verwerking Bouwdelen'!DV15,$CF31*'Verwerking Bouwdelen'!AD15)</f>
        <v>0</v>
      </c>
      <c r="CR31" s="208">
        <f>IF($CE31=1,$CF31*'Verwerking Bouwdelen'!DW15,$CF31*'Verwerking Bouwdelen'!AE15)</f>
        <v>0</v>
      </c>
      <c r="CS31" s="10">
        <f>IF(CG31=$B31,0,('Verwerking Bouwdelen'!$D15-'Verwerking Bouwdelen'!G15)*CE31*CF31)</f>
        <v>0</v>
      </c>
      <c r="CT31" s="260">
        <f>CE31*CF31*'Verwerking Bouwdelen'!GH15</f>
        <v>0</v>
      </c>
      <c r="CU31" s="261">
        <f>CE31*CF31*'Verwerking Bouwdelen'!GI15</f>
        <v>0</v>
      </c>
      <c r="CW31" s="209">
        <f>$AC31*'Verwerking Bouwdelen'!EE15</f>
        <v>0</v>
      </c>
      <c r="CX31" s="209">
        <f>$AC31*'Verwerking Bouwdelen'!EF15</f>
        <v>0</v>
      </c>
      <c r="CY31" s="209">
        <f>$AC31*'Verwerking Bouwdelen'!EG15</f>
        <v>0</v>
      </c>
      <c r="CZ31" s="209">
        <f>$AC31*'Verwerking Bouwdelen'!EH15</f>
        <v>0</v>
      </c>
      <c r="DA31" s="209">
        <f>$AC31*'Verwerking Bouwdelen'!EI15</f>
        <v>0</v>
      </c>
      <c r="DB31" s="209">
        <f>$AC31*'Verwerking Bouwdelen'!EJ15</f>
        <v>0</v>
      </c>
      <c r="DC31" s="209">
        <f>$AC31*'Verwerking Bouwdelen'!EK15</f>
        <v>0</v>
      </c>
      <c r="DD31" s="209">
        <f>$AC31*'Verwerking Bouwdelen'!EL15</f>
        <v>0</v>
      </c>
      <c r="DE31" s="209">
        <f>$AC31*'Verwerking Bouwdelen'!EM15</f>
        <v>0</v>
      </c>
      <c r="DF31" s="209">
        <f>$AC31*'Verwerking Bouwdelen'!EN15</f>
        <v>0</v>
      </c>
      <c r="DG31" s="209">
        <f>$AC31*'Verwerking Bouwdelen'!EO15</f>
        <v>0</v>
      </c>
      <c r="DH31" s="209">
        <f>$AC31*'Verwerking Bouwdelen'!EP15</f>
        <v>0</v>
      </c>
      <c r="DI31" s="10">
        <f>IF(CW31=$O31,0,'Verwerking Bouwdelen'!G15)</f>
        <v>0</v>
      </c>
      <c r="DJ31" s="259">
        <f>'Verwerking Bouwdelen'!GK15*CF31</f>
        <v>0</v>
      </c>
      <c r="DK31" s="259">
        <f>'Verwerking Bouwdelen'!GL15*CF31</f>
        <v>0</v>
      </c>
      <c r="DL31" s="125"/>
      <c r="FZ31" s="89">
        <f>IF('Verwerken verlichting'!B27=4,1,0)</f>
        <v>0</v>
      </c>
      <c r="GA31" s="89">
        <f>$FZ31*'Verwerken verlichting'!BX27</f>
        <v>0</v>
      </c>
      <c r="GB31" s="89">
        <f>$FZ31*'Verwerken verlichting'!BY27</f>
        <v>0</v>
      </c>
      <c r="GC31" s="89">
        <f>$FZ31*'Verwerken verlichting'!BZ27</f>
        <v>0</v>
      </c>
      <c r="GD31" s="89">
        <f>$FZ31*'Verwerken verlichting'!CA27</f>
        <v>0</v>
      </c>
      <c r="GE31" s="89">
        <f>$FZ31*'Verwerken verlichting'!CB27</f>
        <v>0</v>
      </c>
      <c r="GF31" s="89">
        <f>$FZ31*'Verwerken verlichting'!CC27</f>
        <v>0</v>
      </c>
      <c r="GG31" s="89">
        <f>FZ31*'Invoer verlichting'!N26</f>
        <v>0</v>
      </c>
      <c r="GH31" s="89">
        <f>FZ31*'Verwerken verlichting'!AH27</f>
        <v>0</v>
      </c>
      <c r="GI31" s="89">
        <f>FZ31*'Verwerken verlichting'!AG27</f>
        <v>0</v>
      </c>
      <c r="GJ31" s="89">
        <f>FZ31*'Verwerken verlichting'!CE27</f>
        <v>0</v>
      </c>
      <c r="GM31" s="89">
        <f t="shared" si="13"/>
        <v>0</v>
      </c>
      <c r="GN31" s="89">
        <f t="shared" si="14"/>
        <v>0</v>
      </c>
      <c r="GO31" s="208">
        <f>IF($GN31=1,$GN31*$GM31*'Verwerking Bouwdelen'!DL15,$GN31*$GM31*'Verwerking Bouwdelen'!T15)</f>
        <v>0</v>
      </c>
      <c r="GP31" s="208">
        <f>IF($GN31=1,$GN31*$GM31*'Verwerking Bouwdelen'!DM15,$GN31*$GM31*'Verwerking Bouwdelen'!U15)</f>
        <v>0</v>
      </c>
      <c r="GQ31" s="208">
        <f>IF($GN31=1,$GN31*$GM31*'Verwerking Bouwdelen'!DN15,$GN31*$GM31*'Verwerking Bouwdelen'!V15)</f>
        <v>0</v>
      </c>
      <c r="GR31" s="208">
        <f>IF($GN31=1,$GN31*$GM31*'Verwerking Bouwdelen'!DO15,$GN31*$GM31*'Verwerking Bouwdelen'!W15)</f>
        <v>0</v>
      </c>
      <c r="GS31" s="208">
        <f>IF($GN31=1,$GN31*$GM31*'Verwerking Bouwdelen'!DP15,$GN31*$GM31*'Verwerking Bouwdelen'!X15)</f>
        <v>0</v>
      </c>
      <c r="GT31" s="208">
        <f>IF($GN31=1,$GN31*$GM31*'Verwerking Bouwdelen'!DQ15,$GN31*$GM31*'Verwerking Bouwdelen'!Y15)</f>
        <v>0</v>
      </c>
      <c r="GU31" s="208">
        <f>IF($GN31=1,$GN31*$GM31*'Verwerking Bouwdelen'!DR15,$GN31*$GM31*'Verwerking Bouwdelen'!Z15)</f>
        <v>0</v>
      </c>
      <c r="GV31" s="208">
        <f>IF($GN31=1,$GN31*$GM31*'Verwerking Bouwdelen'!DS15,$GN31*$GM31*'Verwerking Bouwdelen'!AA15)</f>
        <v>0</v>
      </c>
      <c r="GW31" s="208">
        <f>IF($GN31=1,$GN31*$GM31*'Verwerking Bouwdelen'!DT15,$GN31*$GM31*'Verwerking Bouwdelen'!AB15)</f>
        <v>0</v>
      </c>
      <c r="GX31" s="208">
        <f>IF($GN31=1,$GN31*$GM31*'Verwerking Bouwdelen'!DU15,$GN31*$GM31*'Verwerking Bouwdelen'!AC15)</f>
        <v>0</v>
      </c>
      <c r="GY31" s="208">
        <f>IF($GN31=1,$GN31*$GM31*'Verwerking Bouwdelen'!DV15,$GN31*$GM31*'Verwerking Bouwdelen'!AD15)</f>
        <v>0</v>
      </c>
      <c r="GZ31" s="208">
        <f>IF($GN31=1,$GN31*$GM31*'Verwerking Bouwdelen'!DW15,$GN31*$GM31*'Verwerking Bouwdelen'!AE15)</f>
        <v>0</v>
      </c>
      <c r="HB31" s="89">
        <f t="shared" si="1"/>
        <v>0</v>
      </c>
      <c r="HC31" s="89">
        <f t="shared" si="2"/>
        <v>0</v>
      </c>
      <c r="HD31" s="89">
        <f t="shared" si="3"/>
        <v>0</v>
      </c>
      <c r="HE31" s="89">
        <f t="shared" si="4"/>
        <v>0</v>
      </c>
      <c r="HF31" s="89">
        <f t="shared" si="5"/>
        <v>0</v>
      </c>
      <c r="HG31" s="89">
        <f t="shared" si="6"/>
        <v>0</v>
      </c>
      <c r="HH31" s="89">
        <f t="shared" si="7"/>
        <v>0</v>
      </c>
      <c r="HI31" s="89">
        <f t="shared" si="8"/>
        <v>0</v>
      </c>
      <c r="HJ31" s="89">
        <f t="shared" si="9"/>
        <v>0</v>
      </c>
      <c r="HK31" s="89">
        <f t="shared" si="10"/>
        <v>0</v>
      </c>
      <c r="HL31" s="89">
        <f t="shared" si="11"/>
        <v>0</v>
      </c>
      <c r="HM31" s="89">
        <f t="shared" si="12"/>
        <v>0</v>
      </c>
    </row>
    <row r="32" spans="1:221" x14ac:dyDescent="0.2">
      <c r="A32" s="130">
        <f>IF('Verwerking Bouwdelen'!A16=4,1,0)</f>
        <v>0</v>
      </c>
      <c r="B32" s="208">
        <f>$A32*'Verwerking Bouwdelen'!T16</f>
        <v>0</v>
      </c>
      <c r="C32" s="208">
        <f>$A32*'Verwerking Bouwdelen'!U16</f>
        <v>0</v>
      </c>
      <c r="D32" s="208">
        <f>$A32*'Verwerking Bouwdelen'!V16</f>
        <v>0</v>
      </c>
      <c r="E32" s="208">
        <f>$A32*'Verwerking Bouwdelen'!W16</f>
        <v>0</v>
      </c>
      <c r="F32" s="208">
        <f>$A32*'Verwerking Bouwdelen'!X16</f>
        <v>0</v>
      </c>
      <c r="G32" s="208">
        <f>$A32*'Verwerking Bouwdelen'!Y16</f>
        <v>0</v>
      </c>
      <c r="H32" s="208">
        <f>$A32*'Verwerking Bouwdelen'!Z16</f>
        <v>0</v>
      </c>
      <c r="I32" s="208">
        <f>$A32*'Verwerking Bouwdelen'!AA16</f>
        <v>0</v>
      </c>
      <c r="J32" s="208">
        <f>$A32*'Verwerking Bouwdelen'!AB16</f>
        <v>0</v>
      </c>
      <c r="K32" s="208">
        <f>$A32*'Verwerking Bouwdelen'!AC16</f>
        <v>0</v>
      </c>
      <c r="L32" s="208">
        <f>$A32*'Verwerking Bouwdelen'!AD16</f>
        <v>0</v>
      </c>
      <c r="M32" s="208">
        <f>$A32*'Verwerking Bouwdelen'!AE16</f>
        <v>0</v>
      </c>
      <c r="O32" s="114">
        <f>$A32*'Verwerking Bouwdelen'!AU16</f>
        <v>0</v>
      </c>
      <c r="P32" s="125">
        <f>$A32*'Verwerking Bouwdelen'!AV16</f>
        <v>0</v>
      </c>
      <c r="Q32" s="125">
        <f>$A32*'Verwerking Bouwdelen'!AW16</f>
        <v>0</v>
      </c>
      <c r="R32" s="125">
        <f>$A32*'Verwerking Bouwdelen'!AX16</f>
        <v>0</v>
      </c>
      <c r="S32" s="125">
        <f>$A32*'Verwerking Bouwdelen'!AY16</f>
        <v>0</v>
      </c>
      <c r="T32" s="125">
        <f>$A32*'Verwerking Bouwdelen'!AZ16</f>
        <v>0</v>
      </c>
      <c r="U32" s="125">
        <f>$A32*'Verwerking Bouwdelen'!BA16</f>
        <v>0</v>
      </c>
      <c r="V32" s="125">
        <f>$A32*'Verwerking Bouwdelen'!BB16</f>
        <v>0</v>
      </c>
      <c r="W32" s="125">
        <f>$A32*'Verwerking Bouwdelen'!BC16</f>
        <v>0</v>
      </c>
      <c r="X32" s="125">
        <f>$A32*'Verwerking Bouwdelen'!BD16</f>
        <v>0</v>
      </c>
      <c r="Y32" s="125">
        <f>$A32*'Verwerking Bouwdelen'!BE16</f>
        <v>0</v>
      </c>
      <c r="Z32" s="195">
        <f>$A32*'Verwerking Bouwdelen'!BF16</f>
        <v>0</v>
      </c>
      <c r="AB32" s="125">
        <f>IF(OR('Verwerking Bouwdelen'!C16=3,'Verwerking Bouwdelen'!C16=6),1,0)</f>
        <v>0</v>
      </c>
      <c r="AC32" s="130">
        <f>IF('Verwerking Bouwdelen'!A16=4,1,0)</f>
        <v>0</v>
      </c>
      <c r="AD32" s="208">
        <f>IF($AB32=1,$AC32*'Verwerking Bouwdelen'!DL16,$AC32*'Verwerking Bouwdelen'!T16)</f>
        <v>0</v>
      </c>
      <c r="AE32" s="208">
        <f>IF($AB32=1,$AC32*'Verwerking Bouwdelen'!DM16,$AC32*'Verwerking Bouwdelen'!U16)</f>
        <v>0</v>
      </c>
      <c r="AF32" s="208">
        <f>IF($AB32=1,$AC32*'Verwerking Bouwdelen'!DN16,$AC32*'Verwerking Bouwdelen'!V16)</f>
        <v>0</v>
      </c>
      <c r="AG32" s="208">
        <f>IF($AB32=1,$AC32*'Verwerking Bouwdelen'!DO16,$AC32*'Verwerking Bouwdelen'!W16)</f>
        <v>0</v>
      </c>
      <c r="AH32" s="208">
        <f>IF($AB32=1,$AC32*'Verwerking Bouwdelen'!DP16,$AC32*'Verwerking Bouwdelen'!X16)</f>
        <v>0</v>
      </c>
      <c r="AI32" s="208">
        <f>IF($AB32=1,$AC32*'Verwerking Bouwdelen'!DQ16,$AC32*'Verwerking Bouwdelen'!Y16)</f>
        <v>0</v>
      </c>
      <c r="AJ32" s="208">
        <f>IF($AB32=1,$AC32*'Verwerking Bouwdelen'!DR16,$AC32*'Verwerking Bouwdelen'!Z16)</f>
        <v>0</v>
      </c>
      <c r="AK32" s="208">
        <f>IF($AB32=1,$AC32*'Verwerking Bouwdelen'!DS16,$AC32*'Verwerking Bouwdelen'!AA16)</f>
        <v>0</v>
      </c>
      <c r="AL32" s="208">
        <f>IF($AB32=1,$AC32*'Verwerking Bouwdelen'!DT16,$AC32*'Verwerking Bouwdelen'!AB16)</f>
        <v>0</v>
      </c>
      <c r="AM32" s="208">
        <f>IF($AB32=1,$AC32*'Verwerking Bouwdelen'!DU16,$AC32*'Verwerking Bouwdelen'!AC16)</f>
        <v>0</v>
      </c>
      <c r="AN32" s="208">
        <f>IF($AB32=1,$AC32*'Verwerking Bouwdelen'!DV16,$AC32*'Verwerking Bouwdelen'!AD16)</f>
        <v>0</v>
      </c>
      <c r="AO32" s="208">
        <f>IF($AB32=1,$AC32*'Verwerking Bouwdelen'!DW16,$AC32*'Verwerking Bouwdelen'!AE16)</f>
        <v>0</v>
      </c>
      <c r="AP32" s="10">
        <f>IF(AD32=B32,0,'Verwerking Bouwdelen'!D16*AB32*AC32)</f>
        <v>0</v>
      </c>
      <c r="AQ32" s="10">
        <f>AB32*AC32*'Verwerking Bouwdelen'!GH16</f>
        <v>0</v>
      </c>
      <c r="AR32" s="10"/>
      <c r="AS32" s="248"/>
      <c r="AT32" s="125">
        <f>IF('Verwerking Bouwdelen'!C16=4,1,0)</f>
        <v>0</v>
      </c>
      <c r="AU32" s="130">
        <f>IF('Verwerking Bouwdelen'!A16=4,1,0)</f>
        <v>0</v>
      </c>
      <c r="AV32" s="208">
        <f>IF($AT32=1,$AU32*'Verwerking Bouwdelen'!DL16,$AU32*'Verwerking Bouwdelen'!T16)</f>
        <v>0</v>
      </c>
      <c r="AW32" s="208">
        <f>IF($AT32=1,$AU32*'Verwerking Bouwdelen'!DM16,$AU32*'Verwerking Bouwdelen'!U16)</f>
        <v>0</v>
      </c>
      <c r="AX32" s="208">
        <f>IF($AT32=1,$AU32*'Verwerking Bouwdelen'!DN16,$AU32*'Verwerking Bouwdelen'!V16)</f>
        <v>0</v>
      </c>
      <c r="AY32" s="208">
        <f>IF($AT32=1,$AU32*'Verwerking Bouwdelen'!DO16,$AU32*'Verwerking Bouwdelen'!W16)</f>
        <v>0</v>
      </c>
      <c r="AZ32" s="208">
        <f>IF($AT32=1,$AU32*'Verwerking Bouwdelen'!DP16,$AU32*'Verwerking Bouwdelen'!X16)</f>
        <v>0</v>
      </c>
      <c r="BA32" s="208">
        <f>IF($AT32=1,$AU32*'Verwerking Bouwdelen'!DQ16,$AU32*'Verwerking Bouwdelen'!Y16)</f>
        <v>0</v>
      </c>
      <c r="BB32" s="208">
        <f>IF($AT32=1,$AU32*'Verwerking Bouwdelen'!DR16,$AU32*'Verwerking Bouwdelen'!Z16)</f>
        <v>0</v>
      </c>
      <c r="BC32" s="208">
        <f>IF($AT32=1,$AU32*'Verwerking Bouwdelen'!DS16,$AU32*'Verwerking Bouwdelen'!AA16)</f>
        <v>0</v>
      </c>
      <c r="BD32" s="208">
        <f>IF($AT32=1,$AU32*'Verwerking Bouwdelen'!DT16,$AU32*'Verwerking Bouwdelen'!AB16)</f>
        <v>0</v>
      </c>
      <c r="BE32" s="208">
        <f>IF($AT32=1,$AU32*'Verwerking Bouwdelen'!DU16,$AU32*'Verwerking Bouwdelen'!AC16)</f>
        <v>0</v>
      </c>
      <c r="BF32" s="208">
        <f>IF($AT32=1,$AU32*'Verwerking Bouwdelen'!DV16,$AU32*'Verwerking Bouwdelen'!AD16)</f>
        <v>0</v>
      </c>
      <c r="BG32" s="208">
        <f>IF($AT32=1,$AU32*'Verwerking Bouwdelen'!DW16,$AU32*'Verwerking Bouwdelen'!AE16)</f>
        <v>0</v>
      </c>
      <c r="BH32" s="10">
        <f>IF(AV32=B32,0,'Verwerking Bouwdelen'!D16*AT32*AU32)</f>
        <v>0</v>
      </c>
      <c r="BI32" s="10">
        <f>AT32*AU32*'Verwerking Bouwdelen'!GH16</f>
        <v>0</v>
      </c>
      <c r="BJ32" s="10"/>
      <c r="BK32" s="10"/>
      <c r="BM32" s="125">
        <f>IF('Verwerking Bouwdelen'!C16=5,1,0)</f>
        <v>0</v>
      </c>
      <c r="BN32" s="130">
        <f>IF('Verwerking Bouwdelen'!A16=4,1,0)</f>
        <v>0</v>
      </c>
      <c r="BO32" s="208">
        <f>IF($BM32=1,$BN32*'Verwerking Bouwdelen'!DL16,$BN32*'Verwerking Bouwdelen'!T16)</f>
        <v>0</v>
      </c>
      <c r="BP32" s="208">
        <f>IF($BM32=1,$BN32*'Verwerking Bouwdelen'!DM16,$BN32*'Verwerking Bouwdelen'!U16)</f>
        <v>0</v>
      </c>
      <c r="BQ32" s="208">
        <f>IF($BM32=1,$BN32*'Verwerking Bouwdelen'!DN16,$BN32*'Verwerking Bouwdelen'!V16)</f>
        <v>0</v>
      </c>
      <c r="BR32" s="208">
        <f>IF($BM32=1,$BN32*'Verwerking Bouwdelen'!DO16,$BN32*'Verwerking Bouwdelen'!W16)</f>
        <v>0</v>
      </c>
      <c r="BS32" s="208">
        <f>IF($BM32=1,$BN32*'Verwerking Bouwdelen'!DP16,$BN32*'Verwerking Bouwdelen'!X16)</f>
        <v>0</v>
      </c>
      <c r="BT32" s="208">
        <f>IF($BM32=1,$BN32*'Verwerking Bouwdelen'!DQ16,$BN32*'Verwerking Bouwdelen'!Y16)</f>
        <v>0</v>
      </c>
      <c r="BU32" s="208">
        <f>IF($BM32=1,$BN32*'Verwerking Bouwdelen'!DR16,$BN32*'Verwerking Bouwdelen'!Z16)</f>
        <v>0</v>
      </c>
      <c r="BV32" s="208">
        <f>IF($BM32=1,$BN32*'Verwerking Bouwdelen'!DS16,$BN32*'Verwerking Bouwdelen'!AA16)</f>
        <v>0</v>
      </c>
      <c r="BW32" s="208">
        <f>IF($BM32=1,$BN32*'Verwerking Bouwdelen'!DT16,$BN32*'Verwerking Bouwdelen'!AB16)</f>
        <v>0</v>
      </c>
      <c r="BX32" s="208">
        <f>IF($BM32=1,$BN32*'Verwerking Bouwdelen'!DU16,$BN32*'Verwerking Bouwdelen'!AC16)</f>
        <v>0</v>
      </c>
      <c r="BY32" s="208">
        <f>IF($BM32=1,$BN32*'Verwerking Bouwdelen'!DV16,$BN32*'Verwerking Bouwdelen'!AD16)</f>
        <v>0</v>
      </c>
      <c r="BZ32" s="208">
        <f>IF($BM32=1,$BN32*'Verwerking Bouwdelen'!DW16,$BN32*'Verwerking Bouwdelen'!AE16)</f>
        <v>0</v>
      </c>
      <c r="CA32" s="10">
        <f>IF(BO32=$B32,0,'Verwerking Bouwdelen'!$D16*BM32*BN32)</f>
        <v>0</v>
      </c>
      <c r="CB32" s="10">
        <f>BM32*BN32*'Verwerking Bouwdelen'!GH16</f>
        <v>0</v>
      </c>
      <c r="CC32" s="10"/>
      <c r="CD32" s="248"/>
      <c r="CE32" s="125">
        <f>IF('Verwerking Bouwdelen'!C16=2,1,0)</f>
        <v>0</v>
      </c>
      <c r="CF32" s="130">
        <f>IF('Verwerking Bouwdelen'!A16=4,1,0)</f>
        <v>0</v>
      </c>
      <c r="CG32" s="208">
        <f>IF($CE32=1,$CF32*'Verwerking Bouwdelen'!DL16,$CF32*'Verwerking Bouwdelen'!T16)</f>
        <v>0</v>
      </c>
      <c r="CH32" s="208">
        <f>IF($CE32=1,$CF32*'Verwerking Bouwdelen'!DM16,$CF32*'Verwerking Bouwdelen'!U16)</f>
        <v>0</v>
      </c>
      <c r="CI32" s="208">
        <f>IF($CE32=1,$CF32*'Verwerking Bouwdelen'!DN16,$CF32*'Verwerking Bouwdelen'!V16)</f>
        <v>0</v>
      </c>
      <c r="CJ32" s="208">
        <f>IF($CE32=1,$CF32*'Verwerking Bouwdelen'!DO16,$CF32*'Verwerking Bouwdelen'!W16)</f>
        <v>0</v>
      </c>
      <c r="CK32" s="208">
        <f>IF($CE32=1,$CF32*'Verwerking Bouwdelen'!DP16,$CF32*'Verwerking Bouwdelen'!X16)</f>
        <v>0</v>
      </c>
      <c r="CL32" s="208">
        <f>IF($CE32=1,$CF32*'Verwerking Bouwdelen'!DQ16,$CF32*'Verwerking Bouwdelen'!Y16)</f>
        <v>0</v>
      </c>
      <c r="CM32" s="208">
        <f>IF($CE32=1,$CF32*'Verwerking Bouwdelen'!DR16,$CF32*'Verwerking Bouwdelen'!Z16)</f>
        <v>0</v>
      </c>
      <c r="CN32" s="208">
        <f>IF($CE32=1,$CF32*'Verwerking Bouwdelen'!DS16,$CF32*'Verwerking Bouwdelen'!AA16)</f>
        <v>0</v>
      </c>
      <c r="CO32" s="208">
        <f>IF($CE32=1,$CF32*'Verwerking Bouwdelen'!DT16,$CF32*'Verwerking Bouwdelen'!AB16)</f>
        <v>0</v>
      </c>
      <c r="CP32" s="208">
        <f>IF($CE32=1,$CF32*'Verwerking Bouwdelen'!DU16,$CF32*'Verwerking Bouwdelen'!AC16)</f>
        <v>0</v>
      </c>
      <c r="CQ32" s="208">
        <f>IF($CE32=1,$CF32*'Verwerking Bouwdelen'!DV16,$CF32*'Verwerking Bouwdelen'!AD16)</f>
        <v>0</v>
      </c>
      <c r="CR32" s="208">
        <f>IF($CE32=1,$CF32*'Verwerking Bouwdelen'!DW16,$CF32*'Verwerking Bouwdelen'!AE16)</f>
        <v>0</v>
      </c>
      <c r="CS32" s="10">
        <f>IF(CG32=$B32,0,('Verwerking Bouwdelen'!$D16-'Verwerking Bouwdelen'!G16)*CE32*CF32)</f>
        <v>0</v>
      </c>
      <c r="CT32" s="260">
        <f>CE32*CF32*'Verwerking Bouwdelen'!GH16</f>
        <v>0</v>
      </c>
      <c r="CU32" s="261">
        <f>CE32*CF32*'Verwerking Bouwdelen'!GI16</f>
        <v>0</v>
      </c>
      <c r="CW32" s="209">
        <f>$AC32*'Verwerking Bouwdelen'!EE16</f>
        <v>0</v>
      </c>
      <c r="CX32" s="209">
        <f>$AC32*'Verwerking Bouwdelen'!EF16</f>
        <v>0</v>
      </c>
      <c r="CY32" s="209">
        <f>$AC32*'Verwerking Bouwdelen'!EG16</f>
        <v>0</v>
      </c>
      <c r="CZ32" s="209">
        <f>$AC32*'Verwerking Bouwdelen'!EH16</f>
        <v>0</v>
      </c>
      <c r="DA32" s="209">
        <f>$AC32*'Verwerking Bouwdelen'!EI16</f>
        <v>0</v>
      </c>
      <c r="DB32" s="209">
        <f>$AC32*'Verwerking Bouwdelen'!EJ16</f>
        <v>0</v>
      </c>
      <c r="DC32" s="209">
        <f>$AC32*'Verwerking Bouwdelen'!EK16</f>
        <v>0</v>
      </c>
      <c r="DD32" s="209">
        <f>$AC32*'Verwerking Bouwdelen'!EL16</f>
        <v>0</v>
      </c>
      <c r="DE32" s="209">
        <f>$AC32*'Verwerking Bouwdelen'!EM16</f>
        <v>0</v>
      </c>
      <c r="DF32" s="209">
        <f>$AC32*'Verwerking Bouwdelen'!EN16</f>
        <v>0</v>
      </c>
      <c r="DG32" s="209">
        <f>$AC32*'Verwerking Bouwdelen'!EO16</f>
        <v>0</v>
      </c>
      <c r="DH32" s="209">
        <f>$AC32*'Verwerking Bouwdelen'!EP16</f>
        <v>0</v>
      </c>
      <c r="DI32" s="10">
        <f>IF(CW32=$O32,0,'Verwerking Bouwdelen'!G16)</f>
        <v>0</v>
      </c>
      <c r="DJ32" s="259">
        <f>'Verwerking Bouwdelen'!GK16*CF32</f>
        <v>0</v>
      </c>
      <c r="DK32" s="259">
        <f>'Verwerking Bouwdelen'!GL16*CF32</f>
        <v>0</v>
      </c>
      <c r="DL32" s="125"/>
      <c r="FZ32" s="89">
        <f>IF('Verwerken verlichting'!B28=4,1,0)</f>
        <v>0</v>
      </c>
      <c r="GA32" s="89">
        <f>$FZ32*'Verwerken verlichting'!BX28</f>
        <v>0</v>
      </c>
      <c r="GB32" s="89">
        <f>$FZ32*'Verwerken verlichting'!BY28</f>
        <v>0</v>
      </c>
      <c r="GC32" s="89">
        <f>$FZ32*'Verwerken verlichting'!BZ28</f>
        <v>0</v>
      </c>
      <c r="GD32" s="89">
        <f>$FZ32*'Verwerken verlichting'!CA28</f>
        <v>0</v>
      </c>
      <c r="GE32" s="89">
        <f>$FZ32*'Verwerken verlichting'!CB28</f>
        <v>0</v>
      </c>
      <c r="GF32" s="89">
        <f>$FZ32*'Verwerken verlichting'!CC28</f>
        <v>0</v>
      </c>
      <c r="GG32" s="89">
        <f>FZ32*'Invoer verlichting'!N27</f>
        <v>0</v>
      </c>
      <c r="GH32" s="89">
        <f>FZ32*'Verwerken verlichting'!AH28</f>
        <v>0</v>
      </c>
      <c r="GI32" s="89">
        <f>FZ32*'Verwerken verlichting'!AG28</f>
        <v>0</v>
      </c>
      <c r="GJ32" s="89">
        <f>FZ32*'Verwerken verlichting'!CE28</f>
        <v>0</v>
      </c>
      <c r="GM32" s="89">
        <f t="shared" si="13"/>
        <v>0</v>
      </c>
      <c r="GN32" s="89">
        <f t="shared" si="14"/>
        <v>0</v>
      </c>
      <c r="GO32" s="208">
        <f>IF($GN32=1,$GN32*$GM32*'Verwerking Bouwdelen'!DL16,$GN32*$GM32*'Verwerking Bouwdelen'!T16)</f>
        <v>0</v>
      </c>
      <c r="GP32" s="208">
        <f>IF($GN32=1,$GN32*$GM32*'Verwerking Bouwdelen'!DM16,$GN32*$GM32*'Verwerking Bouwdelen'!U16)</f>
        <v>0</v>
      </c>
      <c r="GQ32" s="208">
        <f>IF($GN32=1,$GN32*$GM32*'Verwerking Bouwdelen'!DN16,$GN32*$GM32*'Verwerking Bouwdelen'!V16)</f>
        <v>0</v>
      </c>
      <c r="GR32" s="208">
        <f>IF($GN32=1,$GN32*$GM32*'Verwerking Bouwdelen'!DO16,$GN32*$GM32*'Verwerking Bouwdelen'!W16)</f>
        <v>0</v>
      </c>
      <c r="GS32" s="208">
        <f>IF($GN32=1,$GN32*$GM32*'Verwerking Bouwdelen'!DP16,$GN32*$GM32*'Verwerking Bouwdelen'!X16)</f>
        <v>0</v>
      </c>
      <c r="GT32" s="208">
        <f>IF($GN32=1,$GN32*$GM32*'Verwerking Bouwdelen'!DQ16,$GN32*$GM32*'Verwerking Bouwdelen'!Y16)</f>
        <v>0</v>
      </c>
      <c r="GU32" s="208">
        <f>IF($GN32=1,$GN32*$GM32*'Verwerking Bouwdelen'!DR16,$GN32*$GM32*'Verwerking Bouwdelen'!Z16)</f>
        <v>0</v>
      </c>
      <c r="GV32" s="208">
        <f>IF($GN32=1,$GN32*$GM32*'Verwerking Bouwdelen'!DS16,$GN32*$GM32*'Verwerking Bouwdelen'!AA16)</f>
        <v>0</v>
      </c>
      <c r="GW32" s="208">
        <f>IF($GN32=1,$GN32*$GM32*'Verwerking Bouwdelen'!DT16,$GN32*$GM32*'Verwerking Bouwdelen'!AB16)</f>
        <v>0</v>
      </c>
      <c r="GX32" s="208">
        <f>IF($GN32=1,$GN32*$GM32*'Verwerking Bouwdelen'!DU16,$GN32*$GM32*'Verwerking Bouwdelen'!AC16)</f>
        <v>0</v>
      </c>
      <c r="GY32" s="208">
        <f>IF($GN32=1,$GN32*$GM32*'Verwerking Bouwdelen'!DV16,$GN32*$GM32*'Verwerking Bouwdelen'!AD16)</f>
        <v>0</v>
      </c>
      <c r="GZ32" s="208">
        <f>IF($GN32=1,$GN32*$GM32*'Verwerking Bouwdelen'!DW16,$GN32*$GM32*'Verwerking Bouwdelen'!AE16)</f>
        <v>0</v>
      </c>
      <c r="HB32" s="89">
        <f t="shared" si="1"/>
        <v>0</v>
      </c>
      <c r="HC32" s="89">
        <f t="shared" si="2"/>
        <v>0</v>
      </c>
      <c r="HD32" s="89">
        <f t="shared" si="3"/>
        <v>0</v>
      </c>
      <c r="HE32" s="89">
        <f t="shared" si="4"/>
        <v>0</v>
      </c>
      <c r="HF32" s="89">
        <f t="shared" si="5"/>
        <v>0</v>
      </c>
      <c r="HG32" s="89">
        <f t="shared" si="6"/>
        <v>0</v>
      </c>
      <c r="HH32" s="89">
        <f t="shared" si="7"/>
        <v>0</v>
      </c>
      <c r="HI32" s="89">
        <f t="shared" si="8"/>
        <v>0</v>
      </c>
      <c r="HJ32" s="89">
        <f t="shared" si="9"/>
        <v>0</v>
      </c>
      <c r="HK32" s="89">
        <f t="shared" si="10"/>
        <v>0</v>
      </c>
      <c r="HL32" s="89">
        <f t="shared" si="11"/>
        <v>0</v>
      </c>
      <c r="HM32" s="89">
        <f t="shared" si="12"/>
        <v>0</v>
      </c>
    </row>
    <row r="33" spans="1:221" x14ac:dyDescent="0.2">
      <c r="A33" s="130">
        <f>IF('Verwerking Bouwdelen'!A17=4,1,0)</f>
        <v>0</v>
      </c>
      <c r="B33" s="208">
        <f>$A33*'Verwerking Bouwdelen'!T17</f>
        <v>0</v>
      </c>
      <c r="C33" s="208">
        <f>$A33*'Verwerking Bouwdelen'!U17</f>
        <v>0</v>
      </c>
      <c r="D33" s="208">
        <f>$A33*'Verwerking Bouwdelen'!V17</f>
        <v>0</v>
      </c>
      <c r="E33" s="208">
        <f>$A33*'Verwerking Bouwdelen'!W17</f>
        <v>0</v>
      </c>
      <c r="F33" s="208">
        <f>$A33*'Verwerking Bouwdelen'!X17</f>
        <v>0</v>
      </c>
      <c r="G33" s="208">
        <f>$A33*'Verwerking Bouwdelen'!Y17</f>
        <v>0</v>
      </c>
      <c r="H33" s="208">
        <f>$A33*'Verwerking Bouwdelen'!Z17</f>
        <v>0</v>
      </c>
      <c r="I33" s="208">
        <f>$A33*'Verwerking Bouwdelen'!AA17</f>
        <v>0</v>
      </c>
      <c r="J33" s="208">
        <f>$A33*'Verwerking Bouwdelen'!AB17</f>
        <v>0</v>
      </c>
      <c r="K33" s="208">
        <f>$A33*'Verwerking Bouwdelen'!AC17</f>
        <v>0</v>
      </c>
      <c r="L33" s="208">
        <f>$A33*'Verwerking Bouwdelen'!AD17</f>
        <v>0</v>
      </c>
      <c r="M33" s="208">
        <f>$A33*'Verwerking Bouwdelen'!AE17</f>
        <v>0</v>
      </c>
      <c r="O33" s="114">
        <f>$A33*'Verwerking Bouwdelen'!AU17</f>
        <v>0</v>
      </c>
      <c r="P33" s="125">
        <f>$A33*'Verwerking Bouwdelen'!AV17</f>
        <v>0</v>
      </c>
      <c r="Q33" s="125">
        <f>$A33*'Verwerking Bouwdelen'!AW17</f>
        <v>0</v>
      </c>
      <c r="R33" s="125">
        <f>$A33*'Verwerking Bouwdelen'!AX17</f>
        <v>0</v>
      </c>
      <c r="S33" s="125">
        <f>$A33*'Verwerking Bouwdelen'!AY17</f>
        <v>0</v>
      </c>
      <c r="T33" s="125">
        <f>$A33*'Verwerking Bouwdelen'!AZ17</f>
        <v>0</v>
      </c>
      <c r="U33" s="125">
        <f>$A33*'Verwerking Bouwdelen'!BA17</f>
        <v>0</v>
      </c>
      <c r="V33" s="125">
        <f>$A33*'Verwerking Bouwdelen'!BB17</f>
        <v>0</v>
      </c>
      <c r="W33" s="125">
        <f>$A33*'Verwerking Bouwdelen'!BC17</f>
        <v>0</v>
      </c>
      <c r="X33" s="125">
        <f>$A33*'Verwerking Bouwdelen'!BD17</f>
        <v>0</v>
      </c>
      <c r="Y33" s="125">
        <f>$A33*'Verwerking Bouwdelen'!BE17</f>
        <v>0</v>
      </c>
      <c r="Z33" s="195">
        <f>$A33*'Verwerking Bouwdelen'!BF17</f>
        <v>0</v>
      </c>
      <c r="AB33" s="125">
        <f>IF(OR('Verwerking Bouwdelen'!C17=3,'Verwerking Bouwdelen'!C17=6),1,0)</f>
        <v>0</v>
      </c>
      <c r="AC33" s="130">
        <f>IF('Verwerking Bouwdelen'!A17=4,1,0)</f>
        <v>0</v>
      </c>
      <c r="AD33" s="208">
        <f>IF($AB33=1,$AC33*'Verwerking Bouwdelen'!DL17,$AC33*'Verwerking Bouwdelen'!T17)</f>
        <v>0</v>
      </c>
      <c r="AE33" s="208">
        <f>IF($AB33=1,$AC33*'Verwerking Bouwdelen'!DM17,$AC33*'Verwerking Bouwdelen'!U17)</f>
        <v>0</v>
      </c>
      <c r="AF33" s="208">
        <f>IF($AB33=1,$AC33*'Verwerking Bouwdelen'!DN17,$AC33*'Verwerking Bouwdelen'!V17)</f>
        <v>0</v>
      </c>
      <c r="AG33" s="208">
        <f>IF($AB33=1,$AC33*'Verwerking Bouwdelen'!DO17,$AC33*'Verwerking Bouwdelen'!W17)</f>
        <v>0</v>
      </c>
      <c r="AH33" s="208">
        <f>IF($AB33=1,$AC33*'Verwerking Bouwdelen'!DP17,$AC33*'Verwerking Bouwdelen'!X17)</f>
        <v>0</v>
      </c>
      <c r="AI33" s="208">
        <f>IF($AB33=1,$AC33*'Verwerking Bouwdelen'!DQ17,$AC33*'Verwerking Bouwdelen'!Y17)</f>
        <v>0</v>
      </c>
      <c r="AJ33" s="208">
        <f>IF($AB33=1,$AC33*'Verwerking Bouwdelen'!DR17,$AC33*'Verwerking Bouwdelen'!Z17)</f>
        <v>0</v>
      </c>
      <c r="AK33" s="208">
        <f>IF($AB33=1,$AC33*'Verwerking Bouwdelen'!DS17,$AC33*'Verwerking Bouwdelen'!AA17)</f>
        <v>0</v>
      </c>
      <c r="AL33" s="208">
        <f>IF($AB33=1,$AC33*'Verwerking Bouwdelen'!DT17,$AC33*'Verwerking Bouwdelen'!AB17)</f>
        <v>0</v>
      </c>
      <c r="AM33" s="208">
        <f>IF($AB33=1,$AC33*'Verwerking Bouwdelen'!DU17,$AC33*'Verwerking Bouwdelen'!AC17)</f>
        <v>0</v>
      </c>
      <c r="AN33" s="208">
        <f>IF($AB33=1,$AC33*'Verwerking Bouwdelen'!DV17,$AC33*'Verwerking Bouwdelen'!AD17)</f>
        <v>0</v>
      </c>
      <c r="AO33" s="208">
        <f>IF($AB33=1,$AC33*'Verwerking Bouwdelen'!DW17,$AC33*'Verwerking Bouwdelen'!AE17)</f>
        <v>0</v>
      </c>
      <c r="AP33" s="10">
        <f>IF(AD33=B33,0,'Verwerking Bouwdelen'!D17*AB33*AC33)</f>
        <v>0</v>
      </c>
      <c r="AQ33" s="10">
        <f>AB33*AC33*'Verwerking Bouwdelen'!GH17</f>
        <v>0</v>
      </c>
      <c r="AR33" s="10"/>
      <c r="AS33" s="248"/>
      <c r="AT33" s="125">
        <f>IF('Verwerking Bouwdelen'!C17=4,1,0)</f>
        <v>0</v>
      </c>
      <c r="AU33" s="130">
        <f>IF('Verwerking Bouwdelen'!A17=4,1,0)</f>
        <v>0</v>
      </c>
      <c r="AV33" s="208">
        <f>IF($AT33=1,$AU33*'Verwerking Bouwdelen'!DL17,$AU33*'Verwerking Bouwdelen'!T17)</f>
        <v>0</v>
      </c>
      <c r="AW33" s="208">
        <f>IF($AT33=1,$AU33*'Verwerking Bouwdelen'!DM17,$AU33*'Verwerking Bouwdelen'!U17)</f>
        <v>0</v>
      </c>
      <c r="AX33" s="208">
        <f>IF($AT33=1,$AU33*'Verwerking Bouwdelen'!DN17,$AU33*'Verwerking Bouwdelen'!V17)</f>
        <v>0</v>
      </c>
      <c r="AY33" s="208">
        <f>IF($AT33=1,$AU33*'Verwerking Bouwdelen'!DO17,$AU33*'Verwerking Bouwdelen'!W17)</f>
        <v>0</v>
      </c>
      <c r="AZ33" s="208">
        <f>IF($AT33=1,$AU33*'Verwerking Bouwdelen'!DP17,$AU33*'Verwerking Bouwdelen'!X17)</f>
        <v>0</v>
      </c>
      <c r="BA33" s="208">
        <f>IF($AT33=1,$AU33*'Verwerking Bouwdelen'!DQ17,$AU33*'Verwerking Bouwdelen'!Y17)</f>
        <v>0</v>
      </c>
      <c r="BB33" s="208">
        <f>IF($AT33=1,$AU33*'Verwerking Bouwdelen'!DR17,$AU33*'Verwerking Bouwdelen'!Z17)</f>
        <v>0</v>
      </c>
      <c r="BC33" s="208">
        <f>IF($AT33=1,$AU33*'Verwerking Bouwdelen'!DS17,$AU33*'Verwerking Bouwdelen'!AA17)</f>
        <v>0</v>
      </c>
      <c r="BD33" s="208">
        <f>IF($AT33=1,$AU33*'Verwerking Bouwdelen'!DT17,$AU33*'Verwerking Bouwdelen'!AB17)</f>
        <v>0</v>
      </c>
      <c r="BE33" s="208">
        <f>IF($AT33=1,$AU33*'Verwerking Bouwdelen'!DU17,$AU33*'Verwerking Bouwdelen'!AC17)</f>
        <v>0</v>
      </c>
      <c r="BF33" s="208">
        <f>IF($AT33=1,$AU33*'Verwerking Bouwdelen'!DV17,$AU33*'Verwerking Bouwdelen'!AD17)</f>
        <v>0</v>
      </c>
      <c r="BG33" s="208">
        <f>IF($AT33=1,$AU33*'Verwerking Bouwdelen'!DW17,$AU33*'Verwerking Bouwdelen'!AE17)</f>
        <v>0</v>
      </c>
      <c r="BH33" s="10">
        <f>IF(AV33=B33,0,'Verwerking Bouwdelen'!D17*AT33*AU33)</f>
        <v>0</v>
      </c>
      <c r="BI33" s="10">
        <f>AT33*AU33*'Verwerking Bouwdelen'!GH17</f>
        <v>0</v>
      </c>
      <c r="BJ33" s="10"/>
      <c r="BK33" s="10"/>
      <c r="BM33" s="125">
        <f>IF('Verwerking Bouwdelen'!C17=5,1,0)</f>
        <v>0</v>
      </c>
      <c r="BN33" s="130">
        <f>IF('Verwerking Bouwdelen'!A17=4,1,0)</f>
        <v>0</v>
      </c>
      <c r="BO33" s="208">
        <f>IF($BM33=1,$BN33*'Verwerking Bouwdelen'!DL17,$BN33*'Verwerking Bouwdelen'!T17)</f>
        <v>0</v>
      </c>
      <c r="BP33" s="208">
        <f>IF($BM33=1,$BN33*'Verwerking Bouwdelen'!DM17,$BN33*'Verwerking Bouwdelen'!U17)</f>
        <v>0</v>
      </c>
      <c r="BQ33" s="208">
        <f>IF($BM33=1,$BN33*'Verwerking Bouwdelen'!DN17,$BN33*'Verwerking Bouwdelen'!V17)</f>
        <v>0</v>
      </c>
      <c r="BR33" s="208">
        <f>IF($BM33=1,$BN33*'Verwerking Bouwdelen'!DO17,$BN33*'Verwerking Bouwdelen'!W17)</f>
        <v>0</v>
      </c>
      <c r="BS33" s="208">
        <f>IF($BM33=1,$BN33*'Verwerking Bouwdelen'!DP17,$BN33*'Verwerking Bouwdelen'!X17)</f>
        <v>0</v>
      </c>
      <c r="BT33" s="208">
        <f>IF($BM33=1,$BN33*'Verwerking Bouwdelen'!DQ17,$BN33*'Verwerking Bouwdelen'!Y17)</f>
        <v>0</v>
      </c>
      <c r="BU33" s="208">
        <f>IF($BM33=1,$BN33*'Verwerking Bouwdelen'!DR17,$BN33*'Verwerking Bouwdelen'!Z17)</f>
        <v>0</v>
      </c>
      <c r="BV33" s="208">
        <f>IF($BM33=1,$BN33*'Verwerking Bouwdelen'!DS17,$BN33*'Verwerking Bouwdelen'!AA17)</f>
        <v>0</v>
      </c>
      <c r="BW33" s="208">
        <f>IF($BM33=1,$BN33*'Verwerking Bouwdelen'!DT17,$BN33*'Verwerking Bouwdelen'!AB17)</f>
        <v>0</v>
      </c>
      <c r="BX33" s="208">
        <f>IF($BM33=1,$BN33*'Verwerking Bouwdelen'!DU17,$BN33*'Verwerking Bouwdelen'!AC17)</f>
        <v>0</v>
      </c>
      <c r="BY33" s="208">
        <f>IF($BM33=1,$BN33*'Verwerking Bouwdelen'!DV17,$BN33*'Verwerking Bouwdelen'!AD17)</f>
        <v>0</v>
      </c>
      <c r="BZ33" s="208">
        <f>IF($BM33=1,$BN33*'Verwerking Bouwdelen'!DW17,$BN33*'Verwerking Bouwdelen'!AE17)</f>
        <v>0</v>
      </c>
      <c r="CA33" s="10">
        <f>IF(BO33=$B33,0,'Verwerking Bouwdelen'!$D17*BM33*BN33)</f>
        <v>0</v>
      </c>
      <c r="CB33" s="10">
        <f>BM33*BN33*'Verwerking Bouwdelen'!GH17</f>
        <v>0</v>
      </c>
      <c r="CC33" s="10"/>
      <c r="CD33" s="248"/>
      <c r="CE33" s="125">
        <f>IF('Verwerking Bouwdelen'!C17=2,1,0)</f>
        <v>0</v>
      </c>
      <c r="CF33" s="130">
        <f>IF('Verwerking Bouwdelen'!A17=4,1,0)</f>
        <v>0</v>
      </c>
      <c r="CG33" s="208">
        <f>IF($CE33=1,$CF33*'Verwerking Bouwdelen'!DL17,$CF33*'Verwerking Bouwdelen'!T17)</f>
        <v>0</v>
      </c>
      <c r="CH33" s="208">
        <f>IF($CE33=1,$CF33*'Verwerking Bouwdelen'!DM17,$CF33*'Verwerking Bouwdelen'!U17)</f>
        <v>0</v>
      </c>
      <c r="CI33" s="208">
        <f>IF($CE33=1,$CF33*'Verwerking Bouwdelen'!DN17,$CF33*'Verwerking Bouwdelen'!V17)</f>
        <v>0</v>
      </c>
      <c r="CJ33" s="208">
        <f>IF($CE33=1,$CF33*'Verwerking Bouwdelen'!DO17,$CF33*'Verwerking Bouwdelen'!W17)</f>
        <v>0</v>
      </c>
      <c r="CK33" s="208">
        <f>IF($CE33=1,$CF33*'Verwerking Bouwdelen'!DP17,$CF33*'Verwerking Bouwdelen'!X17)</f>
        <v>0</v>
      </c>
      <c r="CL33" s="208">
        <f>IF($CE33=1,$CF33*'Verwerking Bouwdelen'!DQ17,$CF33*'Verwerking Bouwdelen'!Y17)</f>
        <v>0</v>
      </c>
      <c r="CM33" s="208">
        <f>IF($CE33=1,$CF33*'Verwerking Bouwdelen'!DR17,$CF33*'Verwerking Bouwdelen'!Z17)</f>
        <v>0</v>
      </c>
      <c r="CN33" s="208">
        <f>IF($CE33=1,$CF33*'Verwerking Bouwdelen'!DS17,$CF33*'Verwerking Bouwdelen'!AA17)</f>
        <v>0</v>
      </c>
      <c r="CO33" s="208">
        <f>IF($CE33=1,$CF33*'Verwerking Bouwdelen'!DT17,$CF33*'Verwerking Bouwdelen'!AB17)</f>
        <v>0</v>
      </c>
      <c r="CP33" s="208">
        <f>IF($CE33=1,$CF33*'Verwerking Bouwdelen'!DU17,$CF33*'Verwerking Bouwdelen'!AC17)</f>
        <v>0</v>
      </c>
      <c r="CQ33" s="208">
        <f>IF($CE33=1,$CF33*'Verwerking Bouwdelen'!DV17,$CF33*'Verwerking Bouwdelen'!AD17)</f>
        <v>0</v>
      </c>
      <c r="CR33" s="208">
        <f>IF($CE33=1,$CF33*'Verwerking Bouwdelen'!DW17,$CF33*'Verwerking Bouwdelen'!AE17)</f>
        <v>0</v>
      </c>
      <c r="CS33" s="10">
        <f>IF(CG33=$B33,0,('Verwerking Bouwdelen'!$D17-'Verwerking Bouwdelen'!G17)*CE33*CF33)</f>
        <v>0</v>
      </c>
      <c r="CT33" s="260">
        <f>CE33*CF33*'Verwerking Bouwdelen'!GH17</f>
        <v>0</v>
      </c>
      <c r="CU33" s="261">
        <f>CE33*CF33*'Verwerking Bouwdelen'!GI17</f>
        <v>0</v>
      </c>
      <c r="CW33" s="209">
        <f>$AC33*'Verwerking Bouwdelen'!EE17</f>
        <v>0</v>
      </c>
      <c r="CX33" s="209">
        <f>$AC33*'Verwerking Bouwdelen'!EF17</f>
        <v>0</v>
      </c>
      <c r="CY33" s="209">
        <f>$AC33*'Verwerking Bouwdelen'!EG17</f>
        <v>0</v>
      </c>
      <c r="CZ33" s="209">
        <f>$AC33*'Verwerking Bouwdelen'!EH17</f>
        <v>0</v>
      </c>
      <c r="DA33" s="209">
        <f>$AC33*'Verwerking Bouwdelen'!EI17</f>
        <v>0</v>
      </c>
      <c r="DB33" s="209">
        <f>$AC33*'Verwerking Bouwdelen'!EJ17</f>
        <v>0</v>
      </c>
      <c r="DC33" s="209">
        <f>$AC33*'Verwerking Bouwdelen'!EK17</f>
        <v>0</v>
      </c>
      <c r="DD33" s="209">
        <f>$AC33*'Verwerking Bouwdelen'!EL17</f>
        <v>0</v>
      </c>
      <c r="DE33" s="209">
        <f>$AC33*'Verwerking Bouwdelen'!EM17</f>
        <v>0</v>
      </c>
      <c r="DF33" s="209">
        <f>$AC33*'Verwerking Bouwdelen'!EN17</f>
        <v>0</v>
      </c>
      <c r="DG33" s="209">
        <f>$AC33*'Verwerking Bouwdelen'!EO17</f>
        <v>0</v>
      </c>
      <c r="DH33" s="209">
        <f>$AC33*'Verwerking Bouwdelen'!EP17</f>
        <v>0</v>
      </c>
      <c r="DI33" s="10">
        <f>IF(CW33=$O33,0,'Verwerking Bouwdelen'!G17)</f>
        <v>0</v>
      </c>
      <c r="DJ33" s="259">
        <f>'Verwerking Bouwdelen'!GK17*CF33</f>
        <v>0</v>
      </c>
      <c r="DK33" s="259">
        <f>'Verwerking Bouwdelen'!GL17*CF33</f>
        <v>0</v>
      </c>
      <c r="DL33" s="125"/>
      <c r="GA33" s="89">
        <f t="shared" ref="GA33:GH33" si="15">SUM(GA9:GA32)</f>
        <v>0</v>
      </c>
      <c r="GB33" s="89">
        <f t="shared" si="15"/>
        <v>0</v>
      </c>
      <c r="GC33" s="89">
        <f t="shared" si="15"/>
        <v>0</v>
      </c>
      <c r="GD33" s="89">
        <f t="shared" si="15"/>
        <v>0</v>
      </c>
      <c r="GE33" s="89">
        <f t="shared" si="15"/>
        <v>0</v>
      </c>
      <c r="GF33" s="89">
        <f t="shared" si="15"/>
        <v>0</v>
      </c>
      <c r="GG33" s="89">
        <f t="shared" si="15"/>
        <v>0</v>
      </c>
      <c r="GH33" s="89">
        <f t="shared" si="15"/>
        <v>0</v>
      </c>
      <c r="GI33" s="89">
        <f>SUM(GI9:GI32)</f>
        <v>0</v>
      </c>
      <c r="GJ33" s="89">
        <f>SUM(GJ9:GJ32)</f>
        <v>0</v>
      </c>
      <c r="GM33" s="89">
        <f t="shared" si="13"/>
        <v>0</v>
      </c>
      <c r="GN33" s="89">
        <f t="shared" si="14"/>
        <v>0</v>
      </c>
      <c r="GO33" s="208">
        <f>IF($GN33=1,$GN33*$GM33*'Verwerking Bouwdelen'!DL17,$GN33*$GM33*'Verwerking Bouwdelen'!T17)</f>
        <v>0</v>
      </c>
      <c r="GP33" s="208">
        <f>IF($GN33=1,$GN33*$GM33*'Verwerking Bouwdelen'!DM17,$GN33*$GM33*'Verwerking Bouwdelen'!U17)</f>
        <v>0</v>
      </c>
      <c r="GQ33" s="208">
        <f>IF($GN33=1,$GN33*$GM33*'Verwerking Bouwdelen'!DN17,$GN33*$GM33*'Verwerking Bouwdelen'!V17)</f>
        <v>0</v>
      </c>
      <c r="GR33" s="208">
        <f>IF($GN33=1,$GN33*$GM33*'Verwerking Bouwdelen'!DO17,$GN33*$GM33*'Verwerking Bouwdelen'!W17)</f>
        <v>0</v>
      </c>
      <c r="GS33" s="208">
        <f>IF($GN33=1,$GN33*$GM33*'Verwerking Bouwdelen'!DP17,$GN33*$GM33*'Verwerking Bouwdelen'!X17)</f>
        <v>0</v>
      </c>
      <c r="GT33" s="208">
        <f>IF($GN33=1,$GN33*$GM33*'Verwerking Bouwdelen'!DQ17,$GN33*$GM33*'Verwerking Bouwdelen'!Y17)</f>
        <v>0</v>
      </c>
      <c r="GU33" s="208">
        <f>IF($GN33=1,$GN33*$GM33*'Verwerking Bouwdelen'!DR17,$GN33*$GM33*'Verwerking Bouwdelen'!Z17)</f>
        <v>0</v>
      </c>
      <c r="GV33" s="208">
        <f>IF($GN33=1,$GN33*$GM33*'Verwerking Bouwdelen'!DS17,$GN33*$GM33*'Verwerking Bouwdelen'!AA17)</f>
        <v>0</v>
      </c>
      <c r="GW33" s="208">
        <f>IF($GN33=1,$GN33*$GM33*'Verwerking Bouwdelen'!DT17,$GN33*$GM33*'Verwerking Bouwdelen'!AB17)</f>
        <v>0</v>
      </c>
      <c r="GX33" s="208">
        <f>IF($GN33=1,$GN33*$GM33*'Verwerking Bouwdelen'!DU17,$GN33*$GM33*'Verwerking Bouwdelen'!AC17)</f>
        <v>0</v>
      </c>
      <c r="GY33" s="208">
        <f>IF($GN33=1,$GN33*$GM33*'Verwerking Bouwdelen'!DV17,$GN33*$GM33*'Verwerking Bouwdelen'!AD17)</f>
        <v>0</v>
      </c>
      <c r="GZ33" s="208">
        <f>IF($GN33=1,$GN33*$GM33*'Verwerking Bouwdelen'!DW17,$GN33*$GM33*'Verwerking Bouwdelen'!AE17)</f>
        <v>0</v>
      </c>
      <c r="HB33" s="89">
        <f t="shared" si="1"/>
        <v>0</v>
      </c>
      <c r="HC33" s="89">
        <f t="shared" si="2"/>
        <v>0</v>
      </c>
      <c r="HD33" s="89">
        <f t="shared" si="3"/>
        <v>0</v>
      </c>
      <c r="HE33" s="89">
        <f t="shared" si="4"/>
        <v>0</v>
      </c>
      <c r="HF33" s="89">
        <f t="shared" si="5"/>
        <v>0</v>
      </c>
      <c r="HG33" s="89">
        <f t="shared" si="6"/>
        <v>0</v>
      </c>
      <c r="HH33" s="89">
        <f t="shared" si="7"/>
        <v>0</v>
      </c>
      <c r="HI33" s="89">
        <f t="shared" si="8"/>
        <v>0</v>
      </c>
      <c r="HJ33" s="89">
        <f t="shared" si="9"/>
        <v>0</v>
      </c>
      <c r="HK33" s="89">
        <f t="shared" si="10"/>
        <v>0</v>
      </c>
      <c r="HL33" s="89">
        <f t="shared" si="11"/>
        <v>0</v>
      </c>
      <c r="HM33" s="89">
        <f t="shared" si="12"/>
        <v>0</v>
      </c>
    </row>
    <row r="34" spans="1:221" x14ac:dyDescent="0.2">
      <c r="A34" s="130">
        <f>IF('Verwerking Bouwdelen'!A18=4,1,0)</f>
        <v>0</v>
      </c>
      <c r="B34" s="208">
        <f>$A34*'Verwerking Bouwdelen'!T18</f>
        <v>0</v>
      </c>
      <c r="C34" s="208">
        <f>$A34*'Verwerking Bouwdelen'!U18</f>
        <v>0</v>
      </c>
      <c r="D34" s="208">
        <f>$A34*'Verwerking Bouwdelen'!V18</f>
        <v>0</v>
      </c>
      <c r="E34" s="208">
        <f>$A34*'Verwerking Bouwdelen'!W18</f>
        <v>0</v>
      </c>
      <c r="F34" s="208">
        <f>$A34*'Verwerking Bouwdelen'!X18</f>
        <v>0</v>
      </c>
      <c r="G34" s="208">
        <f>$A34*'Verwerking Bouwdelen'!Y18</f>
        <v>0</v>
      </c>
      <c r="H34" s="208">
        <f>$A34*'Verwerking Bouwdelen'!Z18</f>
        <v>0</v>
      </c>
      <c r="I34" s="208">
        <f>$A34*'Verwerking Bouwdelen'!AA18</f>
        <v>0</v>
      </c>
      <c r="J34" s="208">
        <f>$A34*'Verwerking Bouwdelen'!AB18</f>
        <v>0</v>
      </c>
      <c r="K34" s="208">
        <f>$A34*'Verwerking Bouwdelen'!AC18</f>
        <v>0</v>
      </c>
      <c r="L34" s="208">
        <f>$A34*'Verwerking Bouwdelen'!AD18</f>
        <v>0</v>
      </c>
      <c r="M34" s="208">
        <f>$A34*'Verwerking Bouwdelen'!AE18</f>
        <v>0</v>
      </c>
      <c r="O34" s="114">
        <f>$A34*'Verwerking Bouwdelen'!AU18</f>
        <v>0</v>
      </c>
      <c r="P34" s="125">
        <f>$A34*'Verwerking Bouwdelen'!AV18</f>
        <v>0</v>
      </c>
      <c r="Q34" s="125">
        <f>$A34*'Verwerking Bouwdelen'!AW18</f>
        <v>0</v>
      </c>
      <c r="R34" s="125">
        <f>$A34*'Verwerking Bouwdelen'!AX18</f>
        <v>0</v>
      </c>
      <c r="S34" s="125">
        <f>$A34*'Verwerking Bouwdelen'!AY18</f>
        <v>0</v>
      </c>
      <c r="T34" s="125">
        <f>$A34*'Verwerking Bouwdelen'!AZ18</f>
        <v>0</v>
      </c>
      <c r="U34" s="125">
        <f>$A34*'Verwerking Bouwdelen'!BA18</f>
        <v>0</v>
      </c>
      <c r="V34" s="125">
        <f>$A34*'Verwerking Bouwdelen'!BB18</f>
        <v>0</v>
      </c>
      <c r="W34" s="125">
        <f>$A34*'Verwerking Bouwdelen'!BC18</f>
        <v>0</v>
      </c>
      <c r="X34" s="125">
        <f>$A34*'Verwerking Bouwdelen'!BD18</f>
        <v>0</v>
      </c>
      <c r="Y34" s="125">
        <f>$A34*'Verwerking Bouwdelen'!BE18</f>
        <v>0</v>
      </c>
      <c r="Z34" s="195">
        <f>$A34*'Verwerking Bouwdelen'!BF18</f>
        <v>0</v>
      </c>
      <c r="AB34" s="125">
        <f>IF(OR('Verwerking Bouwdelen'!C18=3,'Verwerking Bouwdelen'!C18=6),1,0)</f>
        <v>0</v>
      </c>
      <c r="AC34" s="130">
        <f>IF('Verwerking Bouwdelen'!A18=4,1,0)</f>
        <v>0</v>
      </c>
      <c r="AD34" s="208">
        <f>IF($AB34=1,$AC34*'Verwerking Bouwdelen'!DL18,$AC34*'Verwerking Bouwdelen'!T18)</f>
        <v>0</v>
      </c>
      <c r="AE34" s="208">
        <f>IF($AB34=1,$AC34*'Verwerking Bouwdelen'!DM18,$AC34*'Verwerking Bouwdelen'!U18)</f>
        <v>0</v>
      </c>
      <c r="AF34" s="208">
        <f>IF($AB34=1,$AC34*'Verwerking Bouwdelen'!DN18,$AC34*'Verwerking Bouwdelen'!V18)</f>
        <v>0</v>
      </c>
      <c r="AG34" s="208">
        <f>IF($AB34=1,$AC34*'Verwerking Bouwdelen'!DO18,$AC34*'Verwerking Bouwdelen'!W18)</f>
        <v>0</v>
      </c>
      <c r="AH34" s="208">
        <f>IF($AB34=1,$AC34*'Verwerking Bouwdelen'!DP18,$AC34*'Verwerking Bouwdelen'!X18)</f>
        <v>0</v>
      </c>
      <c r="AI34" s="208">
        <f>IF($AB34=1,$AC34*'Verwerking Bouwdelen'!DQ18,$AC34*'Verwerking Bouwdelen'!Y18)</f>
        <v>0</v>
      </c>
      <c r="AJ34" s="208">
        <f>IF($AB34=1,$AC34*'Verwerking Bouwdelen'!DR18,$AC34*'Verwerking Bouwdelen'!Z18)</f>
        <v>0</v>
      </c>
      <c r="AK34" s="208">
        <f>IF($AB34=1,$AC34*'Verwerking Bouwdelen'!DS18,$AC34*'Verwerking Bouwdelen'!AA18)</f>
        <v>0</v>
      </c>
      <c r="AL34" s="208">
        <f>IF($AB34=1,$AC34*'Verwerking Bouwdelen'!DT18,$AC34*'Verwerking Bouwdelen'!AB18)</f>
        <v>0</v>
      </c>
      <c r="AM34" s="208">
        <f>IF($AB34=1,$AC34*'Verwerking Bouwdelen'!DU18,$AC34*'Verwerking Bouwdelen'!AC18)</f>
        <v>0</v>
      </c>
      <c r="AN34" s="208">
        <f>IF($AB34=1,$AC34*'Verwerking Bouwdelen'!DV18,$AC34*'Verwerking Bouwdelen'!AD18)</f>
        <v>0</v>
      </c>
      <c r="AO34" s="208">
        <f>IF($AB34=1,$AC34*'Verwerking Bouwdelen'!DW18,$AC34*'Verwerking Bouwdelen'!AE18)</f>
        <v>0</v>
      </c>
      <c r="AP34" s="10">
        <f>IF(AD34=B34,0,'Verwerking Bouwdelen'!D18*AB34*AC34)</f>
        <v>0</v>
      </c>
      <c r="AQ34" s="10">
        <f>AB34*AC34*'Verwerking Bouwdelen'!GH18</f>
        <v>0</v>
      </c>
      <c r="AR34" s="10"/>
      <c r="AS34" s="248"/>
      <c r="AT34" s="125">
        <f>IF('Verwerking Bouwdelen'!C18=4,1,0)</f>
        <v>0</v>
      </c>
      <c r="AU34" s="130">
        <f>IF('Verwerking Bouwdelen'!A18=4,1,0)</f>
        <v>0</v>
      </c>
      <c r="AV34" s="208">
        <f>IF($AT34=1,$AU34*'Verwerking Bouwdelen'!DL18,$AU34*'Verwerking Bouwdelen'!T18)</f>
        <v>0</v>
      </c>
      <c r="AW34" s="208">
        <f>IF($AT34=1,$AU34*'Verwerking Bouwdelen'!DM18,$AU34*'Verwerking Bouwdelen'!U18)</f>
        <v>0</v>
      </c>
      <c r="AX34" s="208">
        <f>IF($AT34=1,$AU34*'Verwerking Bouwdelen'!DN18,$AU34*'Verwerking Bouwdelen'!V18)</f>
        <v>0</v>
      </c>
      <c r="AY34" s="208">
        <f>IF($AT34=1,$AU34*'Verwerking Bouwdelen'!DO18,$AU34*'Verwerking Bouwdelen'!W18)</f>
        <v>0</v>
      </c>
      <c r="AZ34" s="208">
        <f>IF($AT34=1,$AU34*'Verwerking Bouwdelen'!DP18,$AU34*'Verwerking Bouwdelen'!X18)</f>
        <v>0</v>
      </c>
      <c r="BA34" s="208">
        <f>IF($AT34=1,$AU34*'Verwerking Bouwdelen'!DQ18,$AU34*'Verwerking Bouwdelen'!Y18)</f>
        <v>0</v>
      </c>
      <c r="BB34" s="208">
        <f>IF($AT34=1,$AU34*'Verwerking Bouwdelen'!DR18,$AU34*'Verwerking Bouwdelen'!Z18)</f>
        <v>0</v>
      </c>
      <c r="BC34" s="208">
        <f>IF($AT34=1,$AU34*'Verwerking Bouwdelen'!DS18,$AU34*'Verwerking Bouwdelen'!AA18)</f>
        <v>0</v>
      </c>
      <c r="BD34" s="208">
        <f>IF($AT34=1,$AU34*'Verwerking Bouwdelen'!DT18,$AU34*'Verwerking Bouwdelen'!AB18)</f>
        <v>0</v>
      </c>
      <c r="BE34" s="208">
        <f>IF($AT34=1,$AU34*'Verwerking Bouwdelen'!DU18,$AU34*'Verwerking Bouwdelen'!AC18)</f>
        <v>0</v>
      </c>
      <c r="BF34" s="208">
        <f>IF($AT34=1,$AU34*'Verwerking Bouwdelen'!DV18,$AU34*'Verwerking Bouwdelen'!AD18)</f>
        <v>0</v>
      </c>
      <c r="BG34" s="208">
        <f>IF($AT34=1,$AU34*'Verwerking Bouwdelen'!DW18,$AU34*'Verwerking Bouwdelen'!AE18)</f>
        <v>0</v>
      </c>
      <c r="BH34" s="10">
        <f>IF(AV34=B34,0,'Verwerking Bouwdelen'!D18*AT34*AU34)</f>
        <v>0</v>
      </c>
      <c r="BI34" s="10">
        <f>AT34*AU34*'Verwerking Bouwdelen'!GH18</f>
        <v>0</v>
      </c>
      <c r="BJ34" s="10"/>
      <c r="BK34" s="10"/>
      <c r="BM34" s="125">
        <f>IF('Verwerking Bouwdelen'!C18=5,1,0)</f>
        <v>0</v>
      </c>
      <c r="BN34" s="130">
        <f>IF('Verwerking Bouwdelen'!A18=4,1,0)</f>
        <v>0</v>
      </c>
      <c r="BO34" s="208">
        <f>IF($BM34=1,$BN34*'Verwerking Bouwdelen'!DL18,$BN34*'Verwerking Bouwdelen'!T18)</f>
        <v>0</v>
      </c>
      <c r="BP34" s="208">
        <f>IF($BM34=1,$BN34*'Verwerking Bouwdelen'!DM18,$BN34*'Verwerking Bouwdelen'!U18)</f>
        <v>0</v>
      </c>
      <c r="BQ34" s="208">
        <f>IF($BM34=1,$BN34*'Verwerking Bouwdelen'!DN18,$BN34*'Verwerking Bouwdelen'!V18)</f>
        <v>0</v>
      </c>
      <c r="BR34" s="208">
        <f>IF($BM34=1,$BN34*'Verwerking Bouwdelen'!DO18,$BN34*'Verwerking Bouwdelen'!W18)</f>
        <v>0</v>
      </c>
      <c r="BS34" s="208">
        <f>IF($BM34=1,$BN34*'Verwerking Bouwdelen'!DP18,$BN34*'Verwerking Bouwdelen'!X18)</f>
        <v>0</v>
      </c>
      <c r="BT34" s="208">
        <f>IF($BM34=1,$BN34*'Verwerking Bouwdelen'!DQ18,$BN34*'Verwerking Bouwdelen'!Y18)</f>
        <v>0</v>
      </c>
      <c r="BU34" s="208">
        <f>IF($BM34=1,$BN34*'Verwerking Bouwdelen'!DR18,$BN34*'Verwerking Bouwdelen'!Z18)</f>
        <v>0</v>
      </c>
      <c r="BV34" s="208">
        <f>IF($BM34=1,$BN34*'Verwerking Bouwdelen'!DS18,$BN34*'Verwerking Bouwdelen'!AA18)</f>
        <v>0</v>
      </c>
      <c r="BW34" s="208">
        <f>IF($BM34=1,$BN34*'Verwerking Bouwdelen'!DT18,$BN34*'Verwerking Bouwdelen'!AB18)</f>
        <v>0</v>
      </c>
      <c r="BX34" s="208">
        <f>IF($BM34=1,$BN34*'Verwerking Bouwdelen'!DU18,$BN34*'Verwerking Bouwdelen'!AC18)</f>
        <v>0</v>
      </c>
      <c r="BY34" s="208">
        <f>IF($BM34=1,$BN34*'Verwerking Bouwdelen'!DV18,$BN34*'Verwerking Bouwdelen'!AD18)</f>
        <v>0</v>
      </c>
      <c r="BZ34" s="208">
        <f>IF($BM34=1,$BN34*'Verwerking Bouwdelen'!DW18,$BN34*'Verwerking Bouwdelen'!AE18)</f>
        <v>0</v>
      </c>
      <c r="CA34" s="10">
        <f>IF(BO34=$B34,0,'Verwerking Bouwdelen'!$D18*BM34*BN34)</f>
        <v>0</v>
      </c>
      <c r="CB34" s="10">
        <f>BM34*BN34*'Verwerking Bouwdelen'!GH18</f>
        <v>0</v>
      </c>
      <c r="CC34" s="10"/>
      <c r="CD34" s="248"/>
      <c r="CE34" s="125">
        <f>IF('Verwerking Bouwdelen'!C18=2,1,0)</f>
        <v>0</v>
      </c>
      <c r="CF34" s="130">
        <f>IF('Verwerking Bouwdelen'!A18=4,1,0)</f>
        <v>0</v>
      </c>
      <c r="CG34" s="208">
        <f>IF($CE34=1,$CF34*'Verwerking Bouwdelen'!DL18,$CF34*'Verwerking Bouwdelen'!T18)</f>
        <v>0</v>
      </c>
      <c r="CH34" s="208">
        <f>IF($CE34=1,$CF34*'Verwerking Bouwdelen'!DM18,$CF34*'Verwerking Bouwdelen'!U18)</f>
        <v>0</v>
      </c>
      <c r="CI34" s="208">
        <f>IF($CE34=1,$CF34*'Verwerking Bouwdelen'!DN18,$CF34*'Verwerking Bouwdelen'!V18)</f>
        <v>0</v>
      </c>
      <c r="CJ34" s="208">
        <f>IF($CE34=1,$CF34*'Verwerking Bouwdelen'!DO18,$CF34*'Verwerking Bouwdelen'!W18)</f>
        <v>0</v>
      </c>
      <c r="CK34" s="208">
        <f>IF($CE34=1,$CF34*'Verwerking Bouwdelen'!DP18,$CF34*'Verwerking Bouwdelen'!X18)</f>
        <v>0</v>
      </c>
      <c r="CL34" s="208">
        <f>IF($CE34=1,$CF34*'Verwerking Bouwdelen'!DQ18,$CF34*'Verwerking Bouwdelen'!Y18)</f>
        <v>0</v>
      </c>
      <c r="CM34" s="208">
        <f>IF($CE34=1,$CF34*'Verwerking Bouwdelen'!DR18,$CF34*'Verwerking Bouwdelen'!Z18)</f>
        <v>0</v>
      </c>
      <c r="CN34" s="208">
        <f>IF($CE34=1,$CF34*'Verwerking Bouwdelen'!DS18,$CF34*'Verwerking Bouwdelen'!AA18)</f>
        <v>0</v>
      </c>
      <c r="CO34" s="208">
        <f>IF($CE34=1,$CF34*'Verwerking Bouwdelen'!DT18,$CF34*'Verwerking Bouwdelen'!AB18)</f>
        <v>0</v>
      </c>
      <c r="CP34" s="208">
        <f>IF($CE34=1,$CF34*'Verwerking Bouwdelen'!DU18,$CF34*'Verwerking Bouwdelen'!AC18)</f>
        <v>0</v>
      </c>
      <c r="CQ34" s="208">
        <f>IF($CE34=1,$CF34*'Verwerking Bouwdelen'!DV18,$CF34*'Verwerking Bouwdelen'!AD18)</f>
        <v>0</v>
      </c>
      <c r="CR34" s="208">
        <f>IF($CE34=1,$CF34*'Verwerking Bouwdelen'!DW18,$CF34*'Verwerking Bouwdelen'!AE18)</f>
        <v>0</v>
      </c>
      <c r="CS34" s="10">
        <f>IF(CG34=$B34,0,('Verwerking Bouwdelen'!$D18-'Verwerking Bouwdelen'!G18)*CE34*CF34)</f>
        <v>0</v>
      </c>
      <c r="CT34" s="260">
        <f>CE34*CF34*'Verwerking Bouwdelen'!GH18</f>
        <v>0</v>
      </c>
      <c r="CU34" s="261">
        <f>CE34*CF34*'Verwerking Bouwdelen'!GI18</f>
        <v>0</v>
      </c>
      <c r="CW34" s="209">
        <f>$AC34*'Verwerking Bouwdelen'!EE18</f>
        <v>0</v>
      </c>
      <c r="CX34" s="209">
        <f>$AC34*'Verwerking Bouwdelen'!EF18</f>
        <v>0</v>
      </c>
      <c r="CY34" s="209">
        <f>$AC34*'Verwerking Bouwdelen'!EG18</f>
        <v>0</v>
      </c>
      <c r="CZ34" s="209">
        <f>$AC34*'Verwerking Bouwdelen'!EH18</f>
        <v>0</v>
      </c>
      <c r="DA34" s="209">
        <f>$AC34*'Verwerking Bouwdelen'!EI18</f>
        <v>0</v>
      </c>
      <c r="DB34" s="209">
        <f>$AC34*'Verwerking Bouwdelen'!EJ18</f>
        <v>0</v>
      </c>
      <c r="DC34" s="209">
        <f>$AC34*'Verwerking Bouwdelen'!EK18</f>
        <v>0</v>
      </c>
      <c r="DD34" s="209">
        <f>$AC34*'Verwerking Bouwdelen'!EL18</f>
        <v>0</v>
      </c>
      <c r="DE34" s="209">
        <f>$AC34*'Verwerking Bouwdelen'!EM18</f>
        <v>0</v>
      </c>
      <c r="DF34" s="209">
        <f>$AC34*'Verwerking Bouwdelen'!EN18</f>
        <v>0</v>
      </c>
      <c r="DG34" s="209">
        <f>$AC34*'Verwerking Bouwdelen'!EO18</f>
        <v>0</v>
      </c>
      <c r="DH34" s="209">
        <f>$AC34*'Verwerking Bouwdelen'!EP18</f>
        <v>0</v>
      </c>
      <c r="DI34" s="10">
        <f>IF(CW34=$O34,0,'Verwerking Bouwdelen'!G18)</f>
        <v>0</v>
      </c>
      <c r="DJ34" s="259">
        <f>'Verwerking Bouwdelen'!GK18*CF34</f>
        <v>0</v>
      </c>
      <c r="DK34" s="259">
        <f>'Verwerking Bouwdelen'!GL18*CF34</f>
        <v>0</v>
      </c>
      <c r="DL34" s="125"/>
      <c r="GM34" s="89">
        <f t="shared" si="13"/>
        <v>0</v>
      </c>
      <c r="GN34" s="89">
        <f t="shared" si="14"/>
        <v>0</v>
      </c>
      <c r="GO34" s="208">
        <f>IF($GN34=1,$GN34*$GM34*'Verwerking Bouwdelen'!DL18,$GN34*$GM34*'Verwerking Bouwdelen'!T18)</f>
        <v>0</v>
      </c>
      <c r="GP34" s="208">
        <f>IF($GN34=1,$GN34*$GM34*'Verwerking Bouwdelen'!DM18,$GN34*$GM34*'Verwerking Bouwdelen'!U18)</f>
        <v>0</v>
      </c>
      <c r="GQ34" s="208">
        <f>IF($GN34=1,$GN34*$GM34*'Verwerking Bouwdelen'!DN18,$GN34*$GM34*'Verwerking Bouwdelen'!V18)</f>
        <v>0</v>
      </c>
      <c r="GR34" s="208">
        <f>IF($GN34=1,$GN34*$GM34*'Verwerking Bouwdelen'!DO18,$GN34*$GM34*'Verwerking Bouwdelen'!W18)</f>
        <v>0</v>
      </c>
      <c r="GS34" s="208">
        <f>IF($GN34=1,$GN34*$GM34*'Verwerking Bouwdelen'!DP18,$GN34*$GM34*'Verwerking Bouwdelen'!X18)</f>
        <v>0</v>
      </c>
      <c r="GT34" s="208">
        <f>IF($GN34=1,$GN34*$GM34*'Verwerking Bouwdelen'!DQ18,$GN34*$GM34*'Verwerking Bouwdelen'!Y18)</f>
        <v>0</v>
      </c>
      <c r="GU34" s="208">
        <f>IF($GN34=1,$GN34*$GM34*'Verwerking Bouwdelen'!DR18,$GN34*$GM34*'Verwerking Bouwdelen'!Z18)</f>
        <v>0</v>
      </c>
      <c r="GV34" s="208">
        <f>IF($GN34=1,$GN34*$GM34*'Verwerking Bouwdelen'!DS18,$GN34*$GM34*'Verwerking Bouwdelen'!AA18)</f>
        <v>0</v>
      </c>
      <c r="GW34" s="208">
        <f>IF($GN34=1,$GN34*$GM34*'Verwerking Bouwdelen'!DT18,$GN34*$GM34*'Verwerking Bouwdelen'!AB18)</f>
        <v>0</v>
      </c>
      <c r="GX34" s="208">
        <f>IF($GN34=1,$GN34*$GM34*'Verwerking Bouwdelen'!DU18,$GN34*$GM34*'Verwerking Bouwdelen'!AC18)</f>
        <v>0</v>
      </c>
      <c r="GY34" s="208">
        <f>IF($GN34=1,$GN34*$GM34*'Verwerking Bouwdelen'!DV18,$GN34*$GM34*'Verwerking Bouwdelen'!AD18)</f>
        <v>0</v>
      </c>
      <c r="GZ34" s="208">
        <f>IF($GN34=1,$GN34*$GM34*'Verwerking Bouwdelen'!DW18,$GN34*$GM34*'Verwerking Bouwdelen'!AE18)</f>
        <v>0</v>
      </c>
      <c r="HB34" s="89">
        <f t="shared" si="1"/>
        <v>0</v>
      </c>
      <c r="HC34" s="89">
        <f t="shared" si="2"/>
        <v>0</v>
      </c>
      <c r="HD34" s="89">
        <f t="shared" si="3"/>
        <v>0</v>
      </c>
      <c r="HE34" s="89">
        <f t="shared" si="4"/>
        <v>0</v>
      </c>
      <c r="HF34" s="89">
        <f t="shared" si="5"/>
        <v>0</v>
      </c>
      <c r="HG34" s="89">
        <f t="shared" si="6"/>
        <v>0</v>
      </c>
      <c r="HH34" s="89">
        <f t="shared" si="7"/>
        <v>0</v>
      </c>
      <c r="HI34" s="89">
        <f t="shared" si="8"/>
        <v>0</v>
      </c>
      <c r="HJ34" s="89">
        <f t="shared" si="9"/>
        <v>0</v>
      </c>
      <c r="HK34" s="89">
        <f t="shared" si="10"/>
        <v>0</v>
      </c>
      <c r="HL34" s="89">
        <f t="shared" si="11"/>
        <v>0</v>
      </c>
      <c r="HM34" s="89">
        <f t="shared" si="12"/>
        <v>0</v>
      </c>
    </row>
    <row r="35" spans="1:221" x14ac:dyDescent="0.2">
      <c r="A35" s="130">
        <f>IF('Verwerking Bouwdelen'!A19=4,1,0)</f>
        <v>0</v>
      </c>
      <c r="B35" s="208">
        <f>$A35*'Verwerking Bouwdelen'!T19</f>
        <v>0</v>
      </c>
      <c r="C35" s="208">
        <f>$A35*'Verwerking Bouwdelen'!U19</f>
        <v>0</v>
      </c>
      <c r="D35" s="208">
        <f>$A35*'Verwerking Bouwdelen'!V19</f>
        <v>0</v>
      </c>
      <c r="E35" s="208">
        <f>$A35*'Verwerking Bouwdelen'!W19</f>
        <v>0</v>
      </c>
      <c r="F35" s="208">
        <f>$A35*'Verwerking Bouwdelen'!X19</f>
        <v>0</v>
      </c>
      <c r="G35" s="208">
        <f>$A35*'Verwerking Bouwdelen'!Y19</f>
        <v>0</v>
      </c>
      <c r="H35" s="208">
        <f>$A35*'Verwerking Bouwdelen'!Z19</f>
        <v>0</v>
      </c>
      <c r="I35" s="208">
        <f>$A35*'Verwerking Bouwdelen'!AA19</f>
        <v>0</v>
      </c>
      <c r="J35" s="208">
        <f>$A35*'Verwerking Bouwdelen'!AB19</f>
        <v>0</v>
      </c>
      <c r="K35" s="208">
        <f>$A35*'Verwerking Bouwdelen'!AC19</f>
        <v>0</v>
      </c>
      <c r="L35" s="208">
        <f>$A35*'Verwerking Bouwdelen'!AD19</f>
        <v>0</v>
      </c>
      <c r="M35" s="208">
        <f>$A35*'Verwerking Bouwdelen'!AE19</f>
        <v>0</v>
      </c>
      <c r="O35" s="114">
        <f>$A35*'Verwerking Bouwdelen'!AU19</f>
        <v>0</v>
      </c>
      <c r="P35" s="125">
        <f>$A35*'Verwerking Bouwdelen'!AV19</f>
        <v>0</v>
      </c>
      <c r="Q35" s="125">
        <f>$A35*'Verwerking Bouwdelen'!AW19</f>
        <v>0</v>
      </c>
      <c r="R35" s="125">
        <f>$A35*'Verwerking Bouwdelen'!AX19</f>
        <v>0</v>
      </c>
      <c r="S35" s="125">
        <f>$A35*'Verwerking Bouwdelen'!AY19</f>
        <v>0</v>
      </c>
      <c r="T35" s="125">
        <f>$A35*'Verwerking Bouwdelen'!AZ19</f>
        <v>0</v>
      </c>
      <c r="U35" s="125">
        <f>$A35*'Verwerking Bouwdelen'!BA19</f>
        <v>0</v>
      </c>
      <c r="V35" s="125">
        <f>$A35*'Verwerking Bouwdelen'!BB19</f>
        <v>0</v>
      </c>
      <c r="W35" s="125">
        <f>$A35*'Verwerking Bouwdelen'!BC19</f>
        <v>0</v>
      </c>
      <c r="X35" s="125">
        <f>$A35*'Verwerking Bouwdelen'!BD19</f>
        <v>0</v>
      </c>
      <c r="Y35" s="125">
        <f>$A35*'Verwerking Bouwdelen'!BE19</f>
        <v>0</v>
      </c>
      <c r="Z35" s="195">
        <f>$A35*'Verwerking Bouwdelen'!BF19</f>
        <v>0</v>
      </c>
      <c r="AB35" s="125">
        <f>IF(OR('Verwerking Bouwdelen'!C19=3,'Verwerking Bouwdelen'!C19=6),1,0)</f>
        <v>0</v>
      </c>
      <c r="AC35" s="130">
        <f>IF('Verwerking Bouwdelen'!A19=4,1,0)</f>
        <v>0</v>
      </c>
      <c r="AD35" s="208">
        <f>IF($AB35=1,$AC35*'Verwerking Bouwdelen'!DL19,$AC35*'Verwerking Bouwdelen'!T19)</f>
        <v>0</v>
      </c>
      <c r="AE35" s="208">
        <f>IF($AB35=1,$AC35*'Verwerking Bouwdelen'!DM19,$AC35*'Verwerking Bouwdelen'!U19)</f>
        <v>0</v>
      </c>
      <c r="AF35" s="208">
        <f>IF($AB35=1,$AC35*'Verwerking Bouwdelen'!DN19,$AC35*'Verwerking Bouwdelen'!V19)</f>
        <v>0</v>
      </c>
      <c r="AG35" s="208">
        <f>IF($AB35=1,$AC35*'Verwerking Bouwdelen'!DO19,$AC35*'Verwerking Bouwdelen'!W19)</f>
        <v>0</v>
      </c>
      <c r="AH35" s="208">
        <f>IF($AB35=1,$AC35*'Verwerking Bouwdelen'!DP19,$AC35*'Verwerking Bouwdelen'!X19)</f>
        <v>0</v>
      </c>
      <c r="AI35" s="208">
        <f>IF($AB35=1,$AC35*'Verwerking Bouwdelen'!DQ19,$AC35*'Verwerking Bouwdelen'!Y19)</f>
        <v>0</v>
      </c>
      <c r="AJ35" s="208">
        <f>IF($AB35=1,$AC35*'Verwerking Bouwdelen'!DR19,$AC35*'Verwerking Bouwdelen'!Z19)</f>
        <v>0</v>
      </c>
      <c r="AK35" s="208">
        <f>IF($AB35=1,$AC35*'Verwerking Bouwdelen'!DS19,$AC35*'Verwerking Bouwdelen'!AA19)</f>
        <v>0</v>
      </c>
      <c r="AL35" s="208">
        <f>IF($AB35=1,$AC35*'Verwerking Bouwdelen'!DT19,$AC35*'Verwerking Bouwdelen'!AB19)</f>
        <v>0</v>
      </c>
      <c r="AM35" s="208">
        <f>IF($AB35=1,$AC35*'Verwerking Bouwdelen'!DU19,$AC35*'Verwerking Bouwdelen'!AC19)</f>
        <v>0</v>
      </c>
      <c r="AN35" s="208">
        <f>IF($AB35=1,$AC35*'Verwerking Bouwdelen'!DV19,$AC35*'Verwerking Bouwdelen'!AD19)</f>
        <v>0</v>
      </c>
      <c r="AO35" s="208">
        <f>IF($AB35=1,$AC35*'Verwerking Bouwdelen'!DW19,$AC35*'Verwerking Bouwdelen'!AE19)</f>
        <v>0</v>
      </c>
      <c r="AP35" s="10">
        <f>IF(AD35=B35,0,'Verwerking Bouwdelen'!D19*AB35*AC35)</f>
        <v>0</v>
      </c>
      <c r="AQ35" s="10">
        <f>AB35*AC35*'Verwerking Bouwdelen'!GH19</f>
        <v>0</v>
      </c>
      <c r="AR35" s="10"/>
      <c r="AS35" s="248"/>
      <c r="AT35" s="125">
        <f>IF('Verwerking Bouwdelen'!C19=4,1,0)</f>
        <v>0</v>
      </c>
      <c r="AU35" s="130">
        <f>IF('Verwerking Bouwdelen'!A19=4,1,0)</f>
        <v>0</v>
      </c>
      <c r="AV35" s="208">
        <f>IF($AT35=1,$AU35*'Verwerking Bouwdelen'!DL19,$AU35*'Verwerking Bouwdelen'!T19)</f>
        <v>0</v>
      </c>
      <c r="AW35" s="208">
        <f>IF($AT35=1,$AU35*'Verwerking Bouwdelen'!DM19,$AU35*'Verwerking Bouwdelen'!U19)</f>
        <v>0</v>
      </c>
      <c r="AX35" s="208">
        <f>IF($AT35=1,$AU35*'Verwerking Bouwdelen'!DN19,$AU35*'Verwerking Bouwdelen'!V19)</f>
        <v>0</v>
      </c>
      <c r="AY35" s="208">
        <f>IF($AT35=1,$AU35*'Verwerking Bouwdelen'!DO19,$AU35*'Verwerking Bouwdelen'!W19)</f>
        <v>0</v>
      </c>
      <c r="AZ35" s="208">
        <f>IF($AT35=1,$AU35*'Verwerking Bouwdelen'!DP19,$AU35*'Verwerking Bouwdelen'!X19)</f>
        <v>0</v>
      </c>
      <c r="BA35" s="208">
        <f>IF($AT35=1,$AU35*'Verwerking Bouwdelen'!DQ19,$AU35*'Verwerking Bouwdelen'!Y19)</f>
        <v>0</v>
      </c>
      <c r="BB35" s="208">
        <f>IF($AT35=1,$AU35*'Verwerking Bouwdelen'!DR19,$AU35*'Verwerking Bouwdelen'!Z19)</f>
        <v>0</v>
      </c>
      <c r="BC35" s="208">
        <f>IF($AT35=1,$AU35*'Verwerking Bouwdelen'!DS19,$AU35*'Verwerking Bouwdelen'!AA19)</f>
        <v>0</v>
      </c>
      <c r="BD35" s="208">
        <f>IF($AT35=1,$AU35*'Verwerking Bouwdelen'!DT19,$AU35*'Verwerking Bouwdelen'!AB19)</f>
        <v>0</v>
      </c>
      <c r="BE35" s="208">
        <f>IF($AT35=1,$AU35*'Verwerking Bouwdelen'!DU19,$AU35*'Verwerking Bouwdelen'!AC19)</f>
        <v>0</v>
      </c>
      <c r="BF35" s="208">
        <f>IF($AT35=1,$AU35*'Verwerking Bouwdelen'!DV19,$AU35*'Verwerking Bouwdelen'!AD19)</f>
        <v>0</v>
      </c>
      <c r="BG35" s="208">
        <f>IF($AT35=1,$AU35*'Verwerking Bouwdelen'!DW19,$AU35*'Verwerking Bouwdelen'!AE19)</f>
        <v>0</v>
      </c>
      <c r="BH35" s="10">
        <f>IF(AV35=B35,0,'Verwerking Bouwdelen'!D19*AT35*AU35)</f>
        <v>0</v>
      </c>
      <c r="BI35" s="10">
        <f>AT35*AU35*'Verwerking Bouwdelen'!GH19</f>
        <v>0</v>
      </c>
      <c r="BJ35" s="10"/>
      <c r="BK35" s="10"/>
      <c r="BM35" s="125">
        <f>IF('Verwerking Bouwdelen'!C19=5,1,0)</f>
        <v>0</v>
      </c>
      <c r="BN35" s="130">
        <f>IF('Verwerking Bouwdelen'!A19=4,1,0)</f>
        <v>0</v>
      </c>
      <c r="BO35" s="208">
        <f>IF($BM35=1,$BN35*'Verwerking Bouwdelen'!DL19,$BN35*'Verwerking Bouwdelen'!T19)</f>
        <v>0</v>
      </c>
      <c r="BP35" s="208">
        <f>IF($BM35=1,$BN35*'Verwerking Bouwdelen'!DM19,$BN35*'Verwerking Bouwdelen'!U19)</f>
        <v>0</v>
      </c>
      <c r="BQ35" s="208">
        <f>IF($BM35=1,$BN35*'Verwerking Bouwdelen'!DN19,$BN35*'Verwerking Bouwdelen'!V19)</f>
        <v>0</v>
      </c>
      <c r="BR35" s="208">
        <f>IF($BM35=1,$BN35*'Verwerking Bouwdelen'!DO19,$BN35*'Verwerking Bouwdelen'!W19)</f>
        <v>0</v>
      </c>
      <c r="BS35" s="208">
        <f>IF($BM35=1,$BN35*'Verwerking Bouwdelen'!DP19,$BN35*'Verwerking Bouwdelen'!X19)</f>
        <v>0</v>
      </c>
      <c r="BT35" s="208">
        <f>IF($BM35=1,$BN35*'Verwerking Bouwdelen'!DQ19,$BN35*'Verwerking Bouwdelen'!Y19)</f>
        <v>0</v>
      </c>
      <c r="BU35" s="208">
        <f>IF($BM35=1,$BN35*'Verwerking Bouwdelen'!DR19,$BN35*'Verwerking Bouwdelen'!Z19)</f>
        <v>0</v>
      </c>
      <c r="BV35" s="208">
        <f>IF($BM35=1,$BN35*'Verwerking Bouwdelen'!DS19,$BN35*'Verwerking Bouwdelen'!AA19)</f>
        <v>0</v>
      </c>
      <c r="BW35" s="208">
        <f>IF($BM35=1,$BN35*'Verwerking Bouwdelen'!DT19,$BN35*'Verwerking Bouwdelen'!AB19)</f>
        <v>0</v>
      </c>
      <c r="BX35" s="208">
        <f>IF($BM35=1,$BN35*'Verwerking Bouwdelen'!DU19,$BN35*'Verwerking Bouwdelen'!AC19)</f>
        <v>0</v>
      </c>
      <c r="BY35" s="208">
        <f>IF($BM35=1,$BN35*'Verwerking Bouwdelen'!DV19,$BN35*'Verwerking Bouwdelen'!AD19)</f>
        <v>0</v>
      </c>
      <c r="BZ35" s="208">
        <f>IF($BM35=1,$BN35*'Verwerking Bouwdelen'!DW19,$BN35*'Verwerking Bouwdelen'!AE19)</f>
        <v>0</v>
      </c>
      <c r="CA35" s="10">
        <f>IF(BO35=$B35,0,'Verwerking Bouwdelen'!$D19*BM35*BN35)</f>
        <v>0</v>
      </c>
      <c r="CB35" s="10">
        <f>BM35*BN35*'Verwerking Bouwdelen'!GH19</f>
        <v>0</v>
      </c>
      <c r="CC35" s="10"/>
      <c r="CD35" s="248"/>
      <c r="CE35" s="125">
        <f>IF('Verwerking Bouwdelen'!C19=2,1,0)</f>
        <v>0</v>
      </c>
      <c r="CF35" s="130">
        <f>IF('Verwerking Bouwdelen'!A19=4,1,0)</f>
        <v>0</v>
      </c>
      <c r="CG35" s="208">
        <f>IF($CE35=1,$CF35*'Verwerking Bouwdelen'!DL19,$CF35*'Verwerking Bouwdelen'!T19)</f>
        <v>0</v>
      </c>
      <c r="CH35" s="208">
        <f>IF($CE35=1,$CF35*'Verwerking Bouwdelen'!DM19,$CF35*'Verwerking Bouwdelen'!U19)</f>
        <v>0</v>
      </c>
      <c r="CI35" s="208">
        <f>IF($CE35=1,$CF35*'Verwerking Bouwdelen'!DN19,$CF35*'Verwerking Bouwdelen'!V19)</f>
        <v>0</v>
      </c>
      <c r="CJ35" s="208">
        <f>IF($CE35=1,$CF35*'Verwerking Bouwdelen'!DO19,$CF35*'Verwerking Bouwdelen'!W19)</f>
        <v>0</v>
      </c>
      <c r="CK35" s="208">
        <f>IF($CE35=1,$CF35*'Verwerking Bouwdelen'!DP19,$CF35*'Verwerking Bouwdelen'!X19)</f>
        <v>0</v>
      </c>
      <c r="CL35" s="208">
        <f>IF($CE35=1,$CF35*'Verwerking Bouwdelen'!DQ19,$CF35*'Verwerking Bouwdelen'!Y19)</f>
        <v>0</v>
      </c>
      <c r="CM35" s="208">
        <f>IF($CE35=1,$CF35*'Verwerking Bouwdelen'!DR19,$CF35*'Verwerking Bouwdelen'!Z19)</f>
        <v>0</v>
      </c>
      <c r="CN35" s="208">
        <f>IF($CE35=1,$CF35*'Verwerking Bouwdelen'!DS19,$CF35*'Verwerking Bouwdelen'!AA19)</f>
        <v>0</v>
      </c>
      <c r="CO35" s="208">
        <f>IF($CE35=1,$CF35*'Verwerking Bouwdelen'!DT19,$CF35*'Verwerking Bouwdelen'!AB19)</f>
        <v>0</v>
      </c>
      <c r="CP35" s="208">
        <f>IF($CE35=1,$CF35*'Verwerking Bouwdelen'!DU19,$CF35*'Verwerking Bouwdelen'!AC19)</f>
        <v>0</v>
      </c>
      <c r="CQ35" s="208">
        <f>IF($CE35=1,$CF35*'Verwerking Bouwdelen'!DV19,$CF35*'Verwerking Bouwdelen'!AD19)</f>
        <v>0</v>
      </c>
      <c r="CR35" s="208">
        <f>IF($CE35=1,$CF35*'Verwerking Bouwdelen'!DW19,$CF35*'Verwerking Bouwdelen'!AE19)</f>
        <v>0</v>
      </c>
      <c r="CS35" s="10">
        <f>IF(CG35=$B35,0,('Verwerking Bouwdelen'!$D19-'Verwerking Bouwdelen'!G19)*CE35*CF35)</f>
        <v>0</v>
      </c>
      <c r="CT35" s="260">
        <f>CE35*CF35*'Verwerking Bouwdelen'!GH19</f>
        <v>0</v>
      </c>
      <c r="CU35" s="261">
        <f>CE35*CF35*'Verwerking Bouwdelen'!GI19</f>
        <v>0</v>
      </c>
      <c r="CW35" s="209">
        <f>$AC35*'Verwerking Bouwdelen'!EE19</f>
        <v>0</v>
      </c>
      <c r="CX35" s="209">
        <f>$AC35*'Verwerking Bouwdelen'!EF19</f>
        <v>0</v>
      </c>
      <c r="CY35" s="209">
        <f>$AC35*'Verwerking Bouwdelen'!EG19</f>
        <v>0</v>
      </c>
      <c r="CZ35" s="209">
        <f>$AC35*'Verwerking Bouwdelen'!EH19</f>
        <v>0</v>
      </c>
      <c r="DA35" s="209">
        <f>$AC35*'Verwerking Bouwdelen'!EI19</f>
        <v>0</v>
      </c>
      <c r="DB35" s="209">
        <f>$AC35*'Verwerking Bouwdelen'!EJ19</f>
        <v>0</v>
      </c>
      <c r="DC35" s="209">
        <f>$AC35*'Verwerking Bouwdelen'!EK19</f>
        <v>0</v>
      </c>
      <c r="DD35" s="209">
        <f>$AC35*'Verwerking Bouwdelen'!EL19</f>
        <v>0</v>
      </c>
      <c r="DE35" s="209">
        <f>$AC35*'Verwerking Bouwdelen'!EM19</f>
        <v>0</v>
      </c>
      <c r="DF35" s="209">
        <f>$AC35*'Verwerking Bouwdelen'!EN19</f>
        <v>0</v>
      </c>
      <c r="DG35" s="209">
        <f>$AC35*'Verwerking Bouwdelen'!EO19</f>
        <v>0</v>
      </c>
      <c r="DH35" s="209">
        <f>$AC35*'Verwerking Bouwdelen'!EP19</f>
        <v>0</v>
      </c>
      <c r="DI35" s="10">
        <f>IF(CW35=$O35,0,'Verwerking Bouwdelen'!G19)</f>
        <v>0</v>
      </c>
      <c r="DJ35" s="259">
        <f>'Verwerking Bouwdelen'!GK19*CF35</f>
        <v>0</v>
      </c>
      <c r="DK35" s="259">
        <f>'Verwerking Bouwdelen'!GL19*CF35</f>
        <v>0</v>
      </c>
      <c r="DL35" s="125"/>
      <c r="GM35" s="89">
        <f t="shared" si="13"/>
        <v>0</v>
      </c>
      <c r="GN35" s="89">
        <f t="shared" si="14"/>
        <v>0</v>
      </c>
      <c r="GO35" s="208">
        <f>IF($GN35=1,$GN35*$GM35*'Verwerking Bouwdelen'!DL19,$GN35*$GM35*'Verwerking Bouwdelen'!T19)</f>
        <v>0</v>
      </c>
      <c r="GP35" s="208">
        <f>IF($GN35=1,$GN35*$GM35*'Verwerking Bouwdelen'!DM19,$GN35*$GM35*'Verwerking Bouwdelen'!U19)</f>
        <v>0</v>
      </c>
      <c r="GQ35" s="208">
        <f>IF($GN35=1,$GN35*$GM35*'Verwerking Bouwdelen'!DN19,$GN35*$GM35*'Verwerking Bouwdelen'!V19)</f>
        <v>0</v>
      </c>
      <c r="GR35" s="208">
        <f>IF($GN35=1,$GN35*$GM35*'Verwerking Bouwdelen'!DO19,$GN35*$GM35*'Verwerking Bouwdelen'!W19)</f>
        <v>0</v>
      </c>
      <c r="GS35" s="208">
        <f>IF($GN35=1,$GN35*$GM35*'Verwerking Bouwdelen'!DP19,$GN35*$GM35*'Verwerking Bouwdelen'!X19)</f>
        <v>0</v>
      </c>
      <c r="GT35" s="208">
        <f>IF($GN35=1,$GN35*$GM35*'Verwerking Bouwdelen'!DQ19,$GN35*$GM35*'Verwerking Bouwdelen'!Y19)</f>
        <v>0</v>
      </c>
      <c r="GU35" s="208">
        <f>IF($GN35=1,$GN35*$GM35*'Verwerking Bouwdelen'!DR19,$GN35*$GM35*'Verwerking Bouwdelen'!Z19)</f>
        <v>0</v>
      </c>
      <c r="GV35" s="208">
        <f>IF($GN35=1,$GN35*$GM35*'Verwerking Bouwdelen'!DS19,$GN35*$GM35*'Verwerking Bouwdelen'!AA19)</f>
        <v>0</v>
      </c>
      <c r="GW35" s="208">
        <f>IF($GN35=1,$GN35*$GM35*'Verwerking Bouwdelen'!DT19,$GN35*$GM35*'Verwerking Bouwdelen'!AB19)</f>
        <v>0</v>
      </c>
      <c r="GX35" s="208">
        <f>IF($GN35=1,$GN35*$GM35*'Verwerking Bouwdelen'!DU19,$GN35*$GM35*'Verwerking Bouwdelen'!AC19)</f>
        <v>0</v>
      </c>
      <c r="GY35" s="208">
        <f>IF($GN35=1,$GN35*$GM35*'Verwerking Bouwdelen'!DV19,$GN35*$GM35*'Verwerking Bouwdelen'!AD19)</f>
        <v>0</v>
      </c>
      <c r="GZ35" s="208">
        <f>IF($GN35=1,$GN35*$GM35*'Verwerking Bouwdelen'!DW19,$GN35*$GM35*'Verwerking Bouwdelen'!AE19)</f>
        <v>0</v>
      </c>
      <c r="HB35" s="89">
        <f t="shared" si="1"/>
        <v>0</v>
      </c>
      <c r="HC35" s="89">
        <f t="shared" si="2"/>
        <v>0</v>
      </c>
      <c r="HD35" s="89">
        <f t="shared" si="3"/>
        <v>0</v>
      </c>
      <c r="HE35" s="89">
        <f t="shared" si="4"/>
        <v>0</v>
      </c>
      <c r="HF35" s="89">
        <f t="shared" si="5"/>
        <v>0</v>
      </c>
      <c r="HG35" s="89">
        <f t="shared" si="6"/>
        <v>0</v>
      </c>
      <c r="HH35" s="89">
        <f t="shared" si="7"/>
        <v>0</v>
      </c>
      <c r="HI35" s="89">
        <f t="shared" si="8"/>
        <v>0</v>
      </c>
      <c r="HJ35" s="89">
        <f t="shared" si="9"/>
        <v>0</v>
      </c>
      <c r="HK35" s="89">
        <f t="shared" si="10"/>
        <v>0</v>
      </c>
      <c r="HL35" s="89">
        <f t="shared" si="11"/>
        <v>0</v>
      </c>
      <c r="HM35" s="89">
        <f t="shared" si="12"/>
        <v>0</v>
      </c>
    </row>
    <row r="36" spans="1:221" x14ac:dyDescent="0.2">
      <c r="A36" s="130">
        <f>IF('Verwerking Bouwdelen'!A20=4,1,0)</f>
        <v>0</v>
      </c>
      <c r="B36" s="208">
        <f>$A36*'Verwerking Bouwdelen'!T20</f>
        <v>0</v>
      </c>
      <c r="C36" s="208">
        <f>$A36*'Verwerking Bouwdelen'!U20</f>
        <v>0</v>
      </c>
      <c r="D36" s="208">
        <f>$A36*'Verwerking Bouwdelen'!V20</f>
        <v>0</v>
      </c>
      <c r="E36" s="208">
        <f>$A36*'Verwerking Bouwdelen'!W20</f>
        <v>0</v>
      </c>
      <c r="F36" s="208">
        <f>$A36*'Verwerking Bouwdelen'!X20</f>
        <v>0</v>
      </c>
      <c r="G36" s="208">
        <f>$A36*'Verwerking Bouwdelen'!Y20</f>
        <v>0</v>
      </c>
      <c r="H36" s="208">
        <f>$A36*'Verwerking Bouwdelen'!Z20</f>
        <v>0</v>
      </c>
      <c r="I36" s="208">
        <f>$A36*'Verwerking Bouwdelen'!AA20</f>
        <v>0</v>
      </c>
      <c r="J36" s="208">
        <f>$A36*'Verwerking Bouwdelen'!AB20</f>
        <v>0</v>
      </c>
      <c r="K36" s="208">
        <f>$A36*'Verwerking Bouwdelen'!AC20</f>
        <v>0</v>
      </c>
      <c r="L36" s="208">
        <f>$A36*'Verwerking Bouwdelen'!AD20</f>
        <v>0</v>
      </c>
      <c r="M36" s="208">
        <f>$A36*'Verwerking Bouwdelen'!AE20</f>
        <v>0</v>
      </c>
      <c r="O36" s="114">
        <f>$A36*'Verwerking Bouwdelen'!AU20</f>
        <v>0</v>
      </c>
      <c r="P36" s="125">
        <f>$A36*'Verwerking Bouwdelen'!AV20</f>
        <v>0</v>
      </c>
      <c r="Q36" s="125">
        <f>$A36*'Verwerking Bouwdelen'!AW20</f>
        <v>0</v>
      </c>
      <c r="R36" s="125">
        <f>$A36*'Verwerking Bouwdelen'!AX20</f>
        <v>0</v>
      </c>
      <c r="S36" s="125">
        <f>$A36*'Verwerking Bouwdelen'!AY20</f>
        <v>0</v>
      </c>
      <c r="T36" s="125">
        <f>$A36*'Verwerking Bouwdelen'!AZ20</f>
        <v>0</v>
      </c>
      <c r="U36" s="125">
        <f>$A36*'Verwerking Bouwdelen'!BA20</f>
        <v>0</v>
      </c>
      <c r="V36" s="125">
        <f>$A36*'Verwerking Bouwdelen'!BB20</f>
        <v>0</v>
      </c>
      <c r="W36" s="125">
        <f>$A36*'Verwerking Bouwdelen'!BC20</f>
        <v>0</v>
      </c>
      <c r="X36" s="125">
        <f>$A36*'Verwerking Bouwdelen'!BD20</f>
        <v>0</v>
      </c>
      <c r="Y36" s="125">
        <f>$A36*'Verwerking Bouwdelen'!BE20</f>
        <v>0</v>
      </c>
      <c r="Z36" s="195">
        <f>$A36*'Verwerking Bouwdelen'!BF20</f>
        <v>0</v>
      </c>
      <c r="AB36" s="125">
        <f>IF(OR('Verwerking Bouwdelen'!C20=3,'Verwerking Bouwdelen'!C20=6),1,0)</f>
        <v>0</v>
      </c>
      <c r="AC36" s="130">
        <f>IF('Verwerking Bouwdelen'!A20=4,1,0)</f>
        <v>0</v>
      </c>
      <c r="AD36" s="208">
        <f>IF($AB36=1,$AC36*'Verwerking Bouwdelen'!DL20,$AC36*'Verwerking Bouwdelen'!T20)</f>
        <v>0</v>
      </c>
      <c r="AE36" s="208">
        <f>IF($AB36=1,$AC36*'Verwerking Bouwdelen'!DM20,$AC36*'Verwerking Bouwdelen'!U20)</f>
        <v>0</v>
      </c>
      <c r="AF36" s="208">
        <f>IF($AB36=1,$AC36*'Verwerking Bouwdelen'!DN20,$AC36*'Verwerking Bouwdelen'!V20)</f>
        <v>0</v>
      </c>
      <c r="AG36" s="208">
        <f>IF($AB36=1,$AC36*'Verwerking Bouwdelen'!DO20,$AC36*'Verwerking Bouwdelen'!W20)</f>
        <v>0</v>
      </c>
      <c r="AH36" s="208">
        <f>IF($AB36=1,$AC36*'Verwerking Bouwdelen'!DP20,$AC36*'Verwerking Bouwdelen'!X20)</f>
        <v>0</v>
      </c>
      <c r="AI36" s="208">
        <f>IF($AB36=1,$AC36*'Verwerking Bouwdelen'!DQ20,$AC36*'Verwerking Bouwdelen'!Y20)</f>
        <v>0</v>
      </c>
      <c r="AJ36" s="208">
        <f>IF($AB36=1,$AC36*'Verwerking Bouwdelen'!DR20,$AC36*'Verwerking Bouwdelen'!Z20)</f>
        <v>0</v>
      </c>
      <c r="AK36" s="208">
        <f>IF($AB36=1,$AC36*'Verwerking Bouwdelen'!DS20,$AC36*'Verwerking Bouwdelen'!AA20)</f>
        <v>0</v>
      </c>
      <c r="AL36" s="208">
        <f>IF($AB36=1,$AC36*'Verwerking Bouwdelen'!DT20,$AC36*'Verwerking Bouwdelen'!AB20)</f>
        <v>0</v>
      </c>
      <c r="AM36" s="208">
        <f>IF($AB36=1,$AC36*'Verwerking Bouwdelen'!DU20,$AC36*'Verwerking Bouwdelen'!AC20)</f>
        <v>0</v>
      </c>
      <c r="AN36" s="208">
        <f>IF($AB36=1,$AC36*'Verwerking Bouwdelen'!DV20,$AC36*'Verwerking Bouwdelen'!AD20)</f>
        <v>0</v>
      </c>
      <c r="AO36" s="208">
        <f>IF($AB36=1,$AC36*'Verwerking Bouwdelen'!DW20,$AC36*'Verwerking Bouwdelen'!AE20)</f>
        <v>0</v>
      </c>
      <c r="AP36" s="10">
        <f>IF(AD36=B36,0,'Verwerking Bouwdelen'!D20*AB36*AC36)</f>
        <v>0</v>
      </c>
      <c r="AQ36" s="10">
        <f>AB36*AC36*'Verwerking Bouwdelen'!GH20</f>
        <v>0</v>
      </c>
      <c r="AR36" s="10"/>
      <c r="AS36" s="248"/>
      <c r="AT36" s="125">
        <f>IF('Verwerking Bouwdelen'!C20=4,1,0)</f>
        <v>0</v>
      </c>
      <c r="AU36" s="130">
        <f>IF('Verwerking Bouwdelen'!A20=4,1,0)</f>
        <v>0</v>
      </c>
      <c r="AV36" s="208">
        <f>IF($AT36=1,$AU36*'Verwerking Bouwdelen'!DL20,$AU36*'Verwerking Bouwdelen'!T20)</f>
        <v>0</v>
      </c>
      <c r="AW36" s="208">
        <f>IF($AT36=1,$AU36*'Verwerking Bouwdelen'!DM20,$AU36*'Verwerking Bouwdelen'!U20)</f>
        <v>0</v>
      </c>
      <c r="AX36" s="208">
        <f>IF($AT36=1,$AU36*'Verwerking Bouwdelen'!DN20,$AU36*'Verwerking Bouwdelen'!V20)</f>
        <v>0</v>
      </c>
      <c r="AY36" s="208">
        <f>IF($AT36=1,$AU36*'Verwerking Bouwdelen'!DO20,$AU36*'Verwerking Bouwdelen'!W20)</f>
        <v>0</v>
      </c>
      <c r="AZ36" s="208">
        <f>IF($AT36=1,$AU36*'Verwerking Bouwdelen'!DP20,$AU36*'Verwerking Bouwdelen'!X20)</f>
        <v>0</v>
      </c>
      <c r="BA36" s="208">
        <f>IF($AT36=1,$AU36*'Verwerking Bouwdelen'!DQ20,$AU36*'Verwerking Bouwdelen'!Y20)</f>
        <v>0</v>
      </c>
      <c r="BB36" s="208">
        <f>IF($AT36=1,$AU36*'Verwerking Bouwdelen'!DR20,$AU36*'Verwerking Bouwdelen'!Z20)</f>
        <v>0</v>
      </c>
      <c r="BC36" s="208">
        <f>IF($AT36=1,$AU36*'Verwerking Bouwdelen'!DS20,$AU36*'Verwerking Bouwdelen'!AA20)</f>
        <v>0</v>
      </c>
      <c r="BD36" s="208">
        <f>IF($AT36=1,$AU36*'Verwerking Bouwdelen'!DT20,$AU36*'Verwerking Bouwdelen'!AB20)</f>
        <v>0</v>
      </c>
      <c r="BE36" s="208">
        <f>IF($AT36=1,$AU36*'Verwerking Bouwdelen'!DU20,$AU36*'Verwerking Bouwdelen'!AC20)</f>
        <v>0</v>
      </c>
      <c r="BF36" s="208">
        <f>IF($AT36=1,$AU36*'Verwerking Bouwdelen'!DV20,$AU36*'Verwerking Bouwdelen'!AD20)</f>
        <v>0</v>
      </c>
      <c r="BG36" s="208">
        <f>IF($AT36=1,$AU36*'Verwerking Bouwdelen'!DW20,$AU36*'Verwerking Bouwdelen'!AE20)</f>
        <v>0</v>
      </c>
      <c r="BH36" s="10">
        <f>IF(AV36=B36,0,'Verwerking Bouwdelen'!D20*AT36*AU36)</f>
        <v>0</v>
      </c>
      <c r="BI36" s="10">
        <f>AT36*AU36*'Verwerking Bouwdelen'!GH20</f>
        <v>0</v>
      </c>
      <c r="BJ36" s="10"/>
      <c r="BK36" s="10"/>
      <c r="BM36" s="125">
        <f>IF('Verwerking Bouwdelen'!C20=5,1,0)</f>
        <v>0</v>
      </c>
      <c r="BN36" s="130">
        <f>IF('Verwerking Bouwdelen'!A20=4,1,0)</f>
        <v>0</v>
      </c>
      <c r="BO36" s="208">
        <f>IF($BM36=1,$BN36*'Verwerking Bouwdelen'!DL20,$BN36*'Verwerking Bouwdelen'!T20)</f>
        <v>0</v>
      </c>
      <c r="BP36" s="208">
        <f>IF($BM36=1,$BN36*'Verwerking Bouwdelen'!DM20,$BN36*'Verwerking Bouwdelen'!U20)</f>
        <v>0</v>
      </c>
      <c r="BQ36" s="208">
        <f>IF($BM36=1,$BN36*'Verwerking Bouwdelen'!DN20,$BN36*'Verwerking Bouwdelen'!V20)</f>
        <v>0</v>
      </c>
      <c r="BR36" s="208">
        <f>IF($BM36=1,$BN36*'Verwerking Bouwdelen'!DO20,$BN36*'Verwerking Bouwdelen'!W20)</f>
        <v>0</v>
      </c>
      <c r="BS36" s="208">
        <f>IF($BM36=1,$BN36*'Verwerking Bouwdelen'!DP20,$BN36*'Verwerking Bouwdelen'!X20)</f>
        <v>0</v>
      </c>
      <c r="BT36" s="208">
        <f>IF($BM36=1,$BN36*'Verwerking Bouwdelen'!DQ20,$BN36*'Verwerking Bouwdelen'!Y20)</f>
        <v>0</v>
      </c>
      <c r="BU36" s="208">
        <f>IF($BM36=1,$BN36*'Verwerking Bouwdelen'!DR20,$BN36*'Verwerking Bouwdelen'!Z20)</f>
        <v>0</v>
      </c>
      <c r="BV36" s="208">
        <f>IF($BM36=1,$BN36*'Verwerking Bouwdelen'!DS20,$BN36*'Verwerking Bouwdelen'!AA20)</f>
        <v>0</v>
      </c>
      <c r="BW36" s="208">
        <f>IF($BM36=1,$BN36*'Verwerking Bouwdelen'!DT20,$BN36*'Verwerking Bouwdelen'!AB20)</f>
        <v>0</v>
      </c>
      <c r="BX36" s="208">
        <f>IF($BM36=1,$BN36*'Verwerking Bouwdelen'!DU20,$BN36*'Verwerking Bouwdelen'!AC20)</f>
        <v>0</v>
      </c>
      <c r="BY36" s="208">
        <f>IF($BM36=1,$BN36*'Verwerking Bouwdelen'!DV20,$BN36*'Verwerking Bouwdelen'!AD20)</f>
        <v>0</v>
      </c>
      <c r="BZ36" s="208">
        <f>IF($BM36=1,$BN36*'Verwerking Bouwdelen'!DW20,$BN36*'Verwerking Bouwdelen'!AE20)</f>
        <v>0</v>
      </c>
      <c r="CA36" s="10">
        <f>IF(BO36=$B36,0,'Verwerking Bouwdelen'!$D20*BM36*BN36)</f>
        <v>0</v>
      </c>
      <c r="CB36" s="10">
        <f>BM36*BN36*'Verwerking Bouwdelen'!GH20</f>
        <v>0</v>
      </c>
      <c r="CC36" s="10"/>
      <c r="CD36" s="248"/>
      <c r="CE36" s="125">
        <f>IF('Verwerking Bouwdelen'!C20=2,1,0)</f>
        <v>0</v>
      </c>
      <c r="CF36" s="130">
        <f>IF('Verwerking Bouwdelen'!A20=4,1,0)</f>
        <v>0</v>
      </c>
      <c r="CG36" s="208">
        <f>IF($CE36=1,$CF36*'Verwerking Bouwdelen'!DL20,$CF36*'Verwerking Bouwdelen'!T20)</f>
        <v>0</v>
      </c>
      <c r="CH36" s="208">
        <f>IF($CE36=1,$CF36*'Verwerking Bouwdelen'!DM20,$CF36*'Verwerking Bouwdelen'!U20)</f>
        <v>0</v>
      </c>
      <c r="CI36" s="208">
        <f>IF($CE36=1,$CF36*'Verwerking Bouwdelen'!DN20,$CF36*'Verwerking Bouwdelen'!V20)</f>
        <v>0</v>
      </c>
      <c r="CJ36" s="208">
        <f>IF($CE36=1,$CF36*'Verwerking Bouwdelen'!DO20,$CF36*'Verwerking Bouwdelen'!W20)</f>
        <v>0</v>
      </c>
      <c r="CK36" s="208">
        <f>IF($CE36=1,$CF36*'Verwerking Bouwdelen'!DP20,$CF36*'Verwerking Bouwdelen'!X20)</f>
        <v>0</v>
      </c>
      <c r="CL36" s="208">
        <f>IF($CE36=1,$CF36*'Verwerking Bouwdelen'!DQ20,$CF36*'Verwerking Bouwdelen'!Y20)</f>
        <v>0</v>
      </c>
      <c r="CM36" s="208">
        <f>IF($CE36=1,$CF36*'Verwerking Bouwdelen'!DR20,$CF36*'Verwerking Bouwdelen'!Z20)</f>
        <v>0</v>
      </c>
      <c r="CN36" s="208">
        <f>IF($CE36=1,$CF36*'Verwerking Bouwdelen'!DS20,$CF36*'Verwerking Bouwdelen'!AA20)</f>
        <v>0</v>
      </c>
      <c r="CO36" s="208">
        <f>IF($CE36=1,$CF36*'Verwerking Bouwdelen'!DT20,$CF36*'Verwerking Bouwdelen'!AB20)</f>
        <v>0</v>
      </c>
      <c r="CP36" s="208">
        <f>IF($CE36=1,$CF36*'Verwerking Bouwdelen'!DU20,$CF36*'Verwerking Bouwdelen'!AC20)</f>
        <v>0</v>
      </c>
      <c r="CQ36" s="208">
        <f>IF($CE36=1,$CF36*'Verwerking Bouwdelen'!DV20,$CF36*'Verwerking Bouwdelen'!AD20)</f>
        <v>0</v>
      </c>
      <c r="CR36" s="208">
        <f>IF($CE36=1,$CF36*'Verwerking Bouwdelen'!DW20,$CF36*'Verwerking Bouwdelen'!AE20)</f>
        <v>0</v>
      </c>
      <c r="CS36" s="10">
        <f>IF(CG36=$B36,0,('Verwerking Bouwdelen'!$D20-'Verwerking Bouwdelen'!G20)*CE36*CF36)</f>
        <v>0</v>
      </c>
      <c r="CT36" s="260">
        <f>CE36*CF36*'Verwerking Bouwdelen'!GH20</f>
        <v>0</v>
      </c>
      <c r="CU36" s="261">
        <f>CE36*CF36*'Verwerking Bouwdelen'!GI20</f>
        <v>0</v>
      </c>
      <c r="CW36" s="209">
        <f>$AC36*'Verwerking Bouwdelen'!EE20</f>
        <v>0</v>
      </c>
      <c r="CX36" s="209">
        <f>$AC36*'Verwerking Bouwdelen'!EF20</f>
        <v>0</v>
      </c>
      <c r="CY36" s="209">
        <f>$AC36*'Verwerking Bouwdelen'!EG20</f>
        <v>0</v>
      </c>
      <c r="CZ36" s="209">
        <f>$AC36*'Verwerking Bouwdelen'!EH20</f>
        <v>0</v>
      </c>
      <c r="DA36" s="209">
        <f>$AC36*'Verwerking Bouwdelen'!EI20</f>
        <v>0</v>
      </c>
      <c r="DB36" s="209">
        <f>$AC36*'Verwerking Bouwdelen'!EJ20</f>
        <v>0</v>
      </c>
      <c r="DC36" s="209">
        <f>$AC36*'Verwerking Bouwdelen'!EK20</f>
        <v>0</v>
      </c>
      <c r="DD36" s="209">
        <f>$AC36*'Verwerking Bouwdelen'!EL20</f>
        <v>0</v>
      </c>
      <c r="DE36" s="209">
        <f>$AC36*'Verwerking Bouwdelen'!EM20</f>
        <v>0</v>
      </c>
      <c r="DF36" s="209">
        <f>$AC36*'Verwerking Bouwdelen'!EN20</f>
        <v>0</v>
      </c>
      <c r="DG36" s="209">
        <f>$AC36*'Verwerking Bouwdelen'!EO20</f>
        <v>0</v>
      </c>
      <c r="DH36" s="209">
        <f>$AC36*'Verwerking Bouwdelen'!EP20</f>
        <v>0</v>
      </c>
      <c r="DI36" s="10">
        <f>IF(CW36=$O36,0,'Verwerking Bouwdelen'!G20)</f>
        <v>0</v>
      </c>
      <c r="DJ36" s="259">
        <f>'Verwerking Bouwdelen'!GK20*CF36</f>
        <v>0</v>
      </c>
      <c r="DK36" s="259">
        <f>'Verwerking Bouwdelen'!GL20*CF36</f>
        <v>0</v>
      </c>
      <c r="DL36" s="125"/>
      <c r="GM36" s="89">
        <f t="shared" si="13"/>
        <v>0</v>
      </c>
      <c r="GN36" s="89">
        <f t="shared" si="14"/>
        <v>0</v>
      </c>
      <c r="GO36" s="208">
        <f>IF($GN36=1,$GN36*$GM36*'Verwerking Bouwdelen'!DL20,$GN36*$GM36*'Verwerking Bouwdelen'!T20)</f>
        <v>0</v>
      </c>
      <c r="GP36" s="208">
        <f>IF($GN36=1,$GN36*$GM36*'Verwerking Bouwdelen'!DM20,$GN36*$GM36*'Verwerking Bouwdelen'!U20)</f>
        <v>0</v>
      </c>
      <c r="GQ36" s="208">
        <f>IF($GN36=1,$GN36*$GM36*'Verwerking Bouwdelen'!DN20,$GN36*$GM36*'Verwerking Bouwdelen'!V20)</f>
        <v>0</v>
      </c>
      <c r="GR36" s="208">
        <f>IF($GN36=1,$GN36*$GM36*'Verwerking Bouwdelen'!DO20,$GN36*$GM36*'Verwerking Bouwdelen'!W20)</f>
        <v>0</v>
      </c>
      <c r="GS36" s="208">
        <f>IF($GN36=1,$GN36*$GM36*'Verwerking Bouwdelen'!DP20,$GN36*$GM36*'Verwerking Bouwdelen'!X20)</f>
        <v>0</v>
      </c>
      <c r="GT36" s="208">
        <f>IF($GN36=1,$GN36*$GM36*'Verwerking Bouwdelen'!DQ20,$GN36*$GM36*'Verwerking Bouwdelen'!Y20)</f>
        <v>0</v>
      </c>
      <c r="GU36" s="208">
        <f>IF($GN36=1,$GN36*$GM36*'Verwerking Bouwdelen'!DR20,$GN36*$GM36*'Verwerking Bouwdelen'!Z20)</f>
        <v>0</v>
      </c>
      <c r="GV36" s="208">
        <f>IF($GN36=1,$GN36*$GM36*'Verwerking Bouwdelen'!DS20,$GN36*$GM36*'Verwerking Bouwdelen'!AA20)</f>
        <v>0</v>
      </c>
      <c r="GW36" s="208">
        <f>IF($GN36=1,$GN36*$GM36*'Verwerking Bouwdelen'!DT20,$GN36*$GM36*'Verwerking Bouwdelen'!AB20)</f>
        <v>0</v>
      </c>
      <c r="GX36" s="208">
        <f>IF($GN36=1,$GN36*$GM36*'Verwerking Bouwdelen'!DU20,$GN36*$GM36*'Verwerking Bouwdelen'!AC20)</f>
        <v>0</v>
      </c>
      <c r="GY36" s="208">
        <f>IF($GN36=1,$GN36*$GM36*'Verwerking Bouwdelen'!DV20,$GN36*$GM36*'Verwerking Bouwdelen'!AD20)</f>
        <v>0</v>
      </c>
      <c r="GZ36" s="208">
        <f>IF($GN36=1,$GN36*$GM36*'Verwerking Bouwdelen'!DW20,$GN36*$GM36*'Verwerking Bouwdelen'!AE20)</f>
        <v>0</v>
      </c>
      <c r="HB36" s="89">
        <f t="shared" si="1"/>
        <v>0</v>
      </c>
      <c r="HC36" s="89">
        <f t="shared" si="2"/>
        <v>0</v>
      </c>
      <c r="HD36" s="89">
        <f t="shared" si="3"/>
        <v>0</v>
      </c>
      <c r="HE36" s="89">
        <f t="shared" si="4"/>
        <v>0</v>
      </c>
      <c r="HF36" s="89">
        <f t="shared" si="5"/>
        <v>0</v>
      </c>
      <c r="HG36" s="89">
        <f t="shared" si="6"/>
        <v>0</v>
      </c>
      <c r="HH36" s="89">
        <f t="shared" si="7"/>
        <v>0</v>
      </c>
      <c r="HI36" s="89">
        <f t="shared" si="8"/>
        <v>0</v>
      </c>
      <c r="HJ36" s="89">
        <f t="shared" si="9"/>
        <v>0</v>
      </c>
      <c r="HK36" s="89">
        <f t="shared" si="10"/>
        <v>0</v>
      </c>
      <c r="HL36" s="89">
        <f t="shared" si="11"/>
        <v>0</v>
      </c>
      <c r="HM36" s="89">
        <f t="shared" si="12"/>
        <v>0</v>
      </c>
    </row>
    <row r="37" spans="1:221" x14ac:dyDescent="0.2">
      <c r="A37" s="130">
        <f>IF('Verwerking Bouwdelen'!A21=4,1,0)</f>
        <v>0</v>
      </c>
      <c r="B37" s="208">
        <f>$A37*'Verwerking Bouwdelen'!T21</f>
        <v>0</v>
      </c>
      <c r="C37" s="208">
        <f>$A37*'Verwerking Bouwdelen'!U21</f>
        <v>0</v>
      </c>
      <c r="D37" s="208">
        <f>$A37*'Verwerking Bouwdelen'!V21</f>
        <v>0</v>
      </c>
      <c r="E37" s="208">
        <f>$A37*'Verwerking Bouwdelen'!W21</f>
        <v>0</v>
      </c>
      <c r="F37" s="208">
        <f>$A37*'Verwerking Bouwdelen'!X21</f>
        <v>0</v>
      </c>
      <c r="G37" s="208">
        <f>$A37*'Verwerking Bouwdelen'!Y21</f>
        <v>0</v>
      </c>
      <c r="H37" s="208">
        <f>$A37*'Verwerking Bouwdelen'!Z21</f>
        <v>0</v>
      </c>
      <c r="I37" s="208">
        <f>$A37*'Verwerking Bouwdelen'!AA21</f>
        <v>0</v>
      </c>
      <c r="J37" s="208">
        <f>$A37*'Verwerking Bouwdelen'!AB21</f>
        <v>0</v>
      </c>
      <c r="K37" s="208">
        <f>$A37*'Verwerking Bouwdelen'!AC21</f>
        <v>0</v>
      </c>
      <c r="L37" s="208">
        <f>$A37*'Verwerking Bouwdelen'!AD21</f>
        <v>0</v>
      </c>
      <c r="M37" s="208">
        <f>$A37*'Verwerking Bouwdelen'!AE21</f>
        <v>0</v>
      </c>
      <c r="O37" s="114">
        <f>$A37*'Verwerking Bouwdelen'!AU21</f>
        <v>0</v>
      </c>
      <c r="P37" s="125">
        <f>$A37*'Verwerking Bouwdelen'!AV21</f>
        <v>0</v>
      </c>
      <c r="Q37" s="125">
        <f>$A37*'Verwerking Bouwdelen'!AW21</f>
        <v>0</v>
      </c>
      <c r="R37" s="125">
        <f>$A37*'Verwerking Bouwdelen'!AX21</f>
        <v>0</v>
      </c>
      <c r="S37" s="125">
        <f>$A37*'Verwerking Bouwdelen'!AY21</f>
        <v>0</v>
      </c>
      <c r="T37" s="125">
        <f>$A37*'Verwerking Bouwdelen'!AZ21</f>
        <v>0</v>
      </c>
      <c r="U37" s="125">
        <f>$A37*'Verwerking Bouwdelen'!BA21</f>
        <v>0</v>
      </c>
      <c r="V37" s="125">
        <f>$A37*'Verwerking Bouwdelen'!BB21</f>
        <v>0</v>
      </c>
      <c r="W37" s="125">
        <f>$A37*'Verwerking Bouwdelen'!BC21</f>
        <v>0</v>
      </c>
      <c r="X37" s="125">
        <f>$A37*'Verwerking Bouwdelen'!BD21</f>
        <v>0</v>
      </c>
      <c r="Y37" s="125">
        <f>$A37*'Verwerking Bouwdelen'!BE21</f>
        <v>0</v>
      </c>
      <c r="Z37" s="195">
        <f>$A37*'Verwerking Bouwdelen'!BF21</f>
        <v>0</v>
      </c>
      <c r="AB37" s="125">
        <f>IF(OR('Verwerking Bouwdelen'!C21=3,'Verwerking Bouwdelen'!C21=6),1,0)</f>
        <v>0</v>
      </c>
      <c r="AC37" s="130">
        <f>IF('Verwerking Bouwdelen'!A21=4,1,0)</f>
        <v>0</v>
      </c>
      <c r="AD37" s="208">
        <f>IF($AB37=1,$AC37*'Verwerking Bouwdelen'!DL21,$AC37*'Verwerking Bouwdelen'!T21)</f>
        <v>0</v>
      </c>
      <c r="AE37" s="208">
        <f>IF($AB37=1,$AC37*'Verwerking Bouwdelen'!DM21,$AC37*'Verwerking Bouwdelen'!U21)</f>
        <v>0</v>
      </c>
      <c r="AF37" s="208">
        <f>IF($AB37=1,$AC37*'Verwerking Bouwdelen'!DN21,$AC37*'Verwerking Bouwdelen'!V21)</f>
        <v>0</v>
      </c>
      <c r="AG37" s="208">
        <f>IF($AB37=1,$AC37*'Verwerking Bouwdelen'!DO21,$AC37*'Verwerking Bouwdelen'!W21)</f>
        <v>0</v>
      </c>
      <c r="AH37" s="208">
        <f>IF($AB37=1,$AC37*'Verwerking Bouwdelen'!DP21,$AC37*'Verwerking Bouwdelen'!X21)</f>
        <v>0</v>
      </c>
      <c r="AI37" s="208">
        <f>IF($AB37=1,$AC37*'Verwerking Bouwdelen'!DQ21,$AC37*'Verwerking Bouwdelen'!Y21)</f>
        <v>0</v>
      </c>
      <c r="AJ37" s="208">
        <f>IF($AB37=1,$AC37*'Verwerking Bouwdelen'!DR21,$AC37*'Verwerking Bouwdelen'!Z21)</f>
        <v>0</v>
      </c>
      <c r="AK37" s="208">
        <f>IF($AB37=1,$AC37*'Verwerking Bouwdelen'!DS21,$AC37*'Verwerking Bouwdelen'!AA21)</f>
        <v>0</v>
      </c>
      <c r="AL37" s="208">
        <f>IF($AB37=1,$AC37*'Verwerking Bouwdelen'!DT21,$AC37*'Verwerking Bouwdelen'!AB21)</f>
        <v>0</v>
      </c>
      <c r="AM37" s="208">
        <f>IF($AB37=1,$AC37*'Verwerking Bouwdelen'!DU21,$AC37*'Verwerking Bouwdelen'!AC21)</f>
        <v>0</v>
      </c>
      <c r="AN37" s="208">
        <f>IF($AB37=1,$AC37*'Verwerking Bouwdelen'!DV21,$AC37*'Verwerking Bouwdelen'!AD21)</f>
        <v>0</v>
      </c>
      <c r="AO37" s="208">
        <f>IF($AB37=1,$AC37*'Verwerking Bouwdelen'!DW21,$AC37*'Verwerking Bouwdelen'!AE21)</f>
        <v>0</v>
      </c>
      <c r="AP37" s="10">
        <f>IF(AD37=B37,0,'Verwerking Bouwdelen'!D21*AB37*AC37)</f>
        <v>0</v>
      </c>
      <c r="AQ37" s="10">
        <f>AB37*AC37*'Verwerking Bouwdelen'!GH21</f>
        <v>0</v>
      </c>
      <c r="AR37" s="10"/>
      <c r="AS37" s="248"/>
      <c r="AT37" s="125">
        <f>IF('Verwerking Bouwdelen'!C21=4,1,0)</f>
        <v>0</v>
      </c>
      <c r="AU37" s="130">
        <f>IF('Verwerking Bouwdelen'!A21=4,1,0)</f>
        <v>0</v>
      </c>
      <c r="AV37" s="208">
        <f>IF($AT37=1,$AU37*'Verwerking Bouwdelen'!DL21,$AU37*'Verwerking Bouwdelen'!T21)</f>
        <v>0</v>
      </c>
      <c r="AW37" s="208">
        <f>IF($AT37=1,$AU37*'Verwerking Bouwdelen'!DM21,$AU37*'Verwerking Bouwdelen'!U21)</f>
        <v>0</v>
      </c>
      <c r="AX37" s="208">
        <f>IF($AT37=1,$AU37*'Verwerking Bouwdelen'!DN21,$AU37*'Verwerking Bouwdelen'!V21)</f>
        <v>0</v>
      </c>
      <c r="AY37" s="208">
        <f>IF($AT37=1,$AU37*'Verwerking Bouwdelen'!DO21,$AU37*'Verwerking Bouwdelen'!W21)</f>
        <v>0</v>
      </c>
      <c r="AZ37" s="208">
        <f>IF($AT37=1,$AU37*'Verwerking Bouwdelen'!DP21,$AU37*'Verwerking Bouwdelen'!X21)</f>
        <v>0</v>
      </c>
      <c r="BA37" s="208">
        <f>IF($AT37=1,$AU37*'Verwerking Bouwdelen'!DQ21,$AU37*'Verwerking Bouwdelen'!Y21)</f>
        <v>0</v>
      </c>
      <c r="BB37" s="208">
        <f>IF($AT37=1,$AU37*'Verwerking Bouwdelen'!DR21,$AU37*'Verwerking Bouwdelen'!Z21)</f>
        <v>0</v>
      </c>
      <c r="BC37" s="208">
        <f>IF($AT37=1,$AU37*'Verwerking Bouwdelen'!DS21,$AU37*'Verwerking Bouwdelen'!AA21)</f>
        <v>0</v>
      </c>
      <c r="BD37" s="208">
        <f>IF($AT37=1,$AU37*'Verwerking Bouwdelen'!DT21,$AU37*'Verwerking Bouwdelen'!AB21)</f>
        <v>0</v>
      </c>
      <c r="BE37" s="208">
        <f>IF($AT37=1,$AU37*'Verwerking Bouwdelen'!DU21,$AU37*'Verwerking Bouwdelen'!AC21)</f>
        <v>0</v>
      </c>
      <c r="BF37" s="208">
        <f>IF($AT37=1,$AU37*'Verwerking Bouwdelen'!DV21,$AU37*'Verwerking Bouwdelen'!AD21)</f>
        <v>0</v>
      </c>
      <c r="BG37" s="208">
        <f>IF($AT37=1,$AU37*'Verwerking Bouwdelen'!DW21,$AU37*'Verwerking Bouwdelen'!AE21)</f>
        <v>0</v>
      </c>
      <c r="BH37" s="10">
        <f>IF(AV37=B37,0,'Verwerking Bouwdelen'!D21*AT37*AU37)</f>
        <v>0</v>
      </c>
      <c r="BI37" s="10">
        <f>AT37*AU37*'Verwerking Bouwdelen'!GH21</f>
        <v>0</v>
      </c>
      <c r="BJ37" s="10"/>
      <c r="BK37" s="10"/>
      <c r="BM37" s="125">
        <f>IF('Verwerking Bouwdelen'!C21=5,1,0)</f>
        <v>0</v>
      </c>
      <c r="BN37" s="130">
        <f>IF('Verwerking Bouwdelen'!A21=4,1,0)</f>
        <v>0</v>
      </c>
      <c r="BO37" s="208">
        <f>IF($BM37=1,$BN37*'Verwerking Bouwdelen'!DL21,$BN37*'Verwerking Bouwdelen'!T21)</f>
        <v>0</v>
      </c>
      <c r="BP37" s="208">
        <f>IF($BM37=1,$BN37*'Verwerking Bouwdelen'!DM21,$BN37*'Verwerking Bouwdelen'!U21)</f>
        <v>0</v>
      </c>
      <c r="BQ37" s="208">
        <f>IF($BM37=1,$BN37*'Verwerking Bouwdelen'!DN21,$BN37*'Verwerking Bouwdelen'!V21)</f>
        <v>0</v>
      </c>
      <c r="BR37" s="208">
        <f>IF($BM37=1,$BN37*'Verwerking Bouwdelen'!DO21,$BN37*'Verwerking Bouwdelen'!W21)</f>
        <v>0</v>
      </c>
      <c r="BS37" s="208">
        <f>IF($BM37=1,$BN37*'Verwerking Bouwdelen'!DP21,$BN37*'Verwerking Bouwdelen'!X21)</f>
        <v>0</v>
      </c>
      <c r="BT37" s="208">
        <f>IF($BM37=1,$BN37*'Verwerking Bouwdelen'!DQ21,$BN37*'Verwerking Bouwdelen'!Y21)</f>
        <v>0</v>
      </c>
      <c r="BU37" s="208">
        <f>IF($BM37=1,$BN37*'Verwerking Bouwdelen'!DR21,$BN37*'Verwerking Bouwdelen'!Z21)</f>
        <v>0</v>
      </c>
      <c r="BV37" s="208">
        <f>IF($BM37=1,$BN37*'Verwerking Bouwdelen'!DS21,$BN37*'Verwerking Bouwdelen'!AA21)</f>
        <v>0</v>
      </c>
      <c r="BW37" s="208">
        <f>IF($BM37=1,$BN37*'Verwerking Bouwdelen'!DT21,$BN37*'Verwerking Bouwdelen'!AB21)</f>
        <v>0</v>
      </c>
      <c r="BX37" s="208">
        <f>IF($BM37=1,$BN37*'Verwerking Bouwdelen'!DU21,$BN37*'Verwerking Bouwdelen'!AC21)</f>
        <v>0</v>
      </c>
      <c r="BY37" s="208">
        <f>IF($BM37=1,$BN37*'Verwerking Bouwdelen'!DV21,$BN37*'Verwerking Bouwdelen'!AD21)</f>
        <v>0</v>
      </c>
      <c r="BZ37" s="208">
        <f>IF($BM37=1,$BN37*'Verwerking Bouwdelen'!DW21,$BN37*'Verwerking Bouwdelen'!AE21)</f>
        <v>0</v>
      </c>
      <c r="CA37" s="10">
        <f>IF(BO37=$B37,0,'Verwerking Bouwdelen'!$D21*BM37*BN37)</f>
        <v>0</v>
      </c>
      <c r="CB37" s="10">
        <f>BM37*BN37*'Verwerking Bouwdelen'!GH21</f>
        <v>0</v>
      </c>
      <c r="CC37" s="10"/>
      <c r="CD37" s="248"/>
      <c r="CE37" s="125">
        <f>IF('Verwerking Bouwdelen'!C21=2,1,0)</f>
        <v>0</v>
      </c>
      <c r="CF37" s="130">
        <f>IF('Verwerking Bouwdelen'!A21=4,1,0)</f>
        <v>0</v>
      </c>
      <c r="CG37" s="208">
        <f>IF($CE37=1,$CF37*'Verwerking Bouwdelen'!DL21,$CF37*'Verwerking Bouwdelen'!T21)</f>
        <v>0</v>
      </c>
      <c r="CH37" s="208">
        <f>IF($CE37=1,$CF37*'Verwerking Bouwdelen'!DM21,$CF37*'Verwerking Bouwdelen'!U21)</f>
        <v>0</v>
      </c>
      <c r="CI37" s="208">
        <f>IF($CE37=1,$CF37*'Verwerking Bouwdelen'!DN21,$CF37*'Verwerking Bouwdelen'!V21)</f>
        <v>0</v>
      </c>
      <c r="CJ37" s="208">
        <f>IF($CE37=1,$CF37*'Verwerking Bouwdelen'!DO21,$CF37*'Verwerking Bouwdelen'!W21)</f>
        <v>0</v>
      </c>
      <c r="CK37" s="208">
        <f>IF($CE37=1,$CF37*'Verwerking Bouwdelen'!DP21,$CF37*'Verwerking Bouwdelen'!X21)</f>
        <v>0</v>
      </c>
      <c r="CL37" s="208">
        <f>IF($CE37=1,$CF37*'Verwerking Bouwdelen'!DQ21,$CF37*'Verwerking Bouwdelen'!Y21)</f>
        <v>0</v>
      </c>
      <c r="CM37" s="208">
        <f>IF($CE37=1,$CF37*'Verwerking Bouwdelen'!DR21,$CF37*'Verwerking Bouwdelen'!Z21)</f>
        <v>0</v>
      </c>
      <c r="CN37" s="208">
        <f>IF($CE37=1,$CF37*'Verwerking Bouwdelen'!DS21,$CF37*'Verwerking Bouwdelen'!AA21)</f>
        <v>0</v>
      </c>
      <c r="CO37" s="208">
        <f>IF($CE37=1,$CF37*'Verwerking Bouwdelen'!DT21,$CF37*'Verwerking Bouwdelen'!AB21)</f>
        <v>0</v>
      </c>
      <c r="CP37" s="208">
        <f>IF($CE37=1,$CF37*'Verwerking Bouwdelen'!DU21,$CF37*'Verwerking Bouwdelen'!AC21)</f>
        <v>0</v>
      </c>
      <c r="CQ37" s="208">
        <f>IF($CE37=1,$CF37*'Verwerking Bouwdelen'!DV21,$CF37*'Verwerking Bouwdelen'!AD21)</f>
        <v>0</v>
      </c>
      <c r="CR37" s="208">
        <f>IF($CE37=1,$CF37*'Verwerking Bouwdelen'!DW21,$CF37*'Verwerking Bouwdelen'!AE21)</f>
        <v>0</v>
      </c>
      <c r="CS37" s="10">
        <f>IF(CG37=$B37,0,('Verwerking Bouwdelen'!$D21-'Verwerking Bouwdelen'!G21)*CE37*CF37)</f>
        <v>0</v>
      </c>
      <c r="CT37" s="260">
        <f>CE37*CF37*'Verwerking Bouwdelen'!GH21</f>
        <v>0</v>
      </c>
      <c r="CU37" s="261">
        <f>CE37*CF37*'Verwerking Bouwdelen'!GI21</f>
        <v>0</v>
      </c>
      <c r="CW37" s="209">
        <f>$AC37*'Verwerking Bouwdelen'!EE21</f>
        <v>0</v>
      </c>
      <c r="CX37" s="209">
        <f>$AC37*'Verwerking Bouwdelen'!EF21</f>
        <v>0</v>
      </c>
      <c r="CY37" s="209">
        <f>$AC37*'Verwerking Bouwdelen'!EG21</f>
        <v>0</v>
      </c>
      <c r="CZ37" s="209">
        <f>$AC37*'Verwerking Bouwdelen'!EH21</f>
        <v>0</v>
      </c>
      <c r="DA37" s="209">
        <f>$AC37*'Verwerking Bouwdelen'!EI21</f>
        <v>0</v>
      </c>
      <c r="DB37" s="209">
        <f>$AC37*'Verwerking Bouwdelen'!EJ21</f>
        <v>0</v>
      </c>
      <c r="DC37" s="209">
        <f>$AC37*'Verwerking Bouwdelen'!EK21</f>
        <v>0</v>
      </c>
      <c r="DD37" s="209">
        <f>$AC37*'Verwerking Bouwdelen'!EL21</f>
        <v>0</v>
      </c>
      <c r="DE37" s="209">
        <f>$AC37*'Verwerking Bouwdelen'!EM21</f>
        <v>0</v>
      </c>
      <c r="DF37" s="209">
        <f>$AC37*'Verwerking Bouwdelen'!EN21</f>
        <v>0</v>
      </c>
      <c r="DG37" s="209">
        <f>$AC37*'Verwerking Bouwdelen'!EO21</f>
        <v>0</v>
      </c>
      <c r="DH37" s="209">
        <f>$AC37*'Verwerking Bouwdelen'!EP21</f>
        <v>0</v>
      </c>
      <c r="DI37" s="10">
        <f>IF(CW37=$O37,0,'Verwerking Bouwdelen'!G21)</f>
        <v>0</v>
      </c>
      <c r="DJ37" s="259">
        <f>'Verwerking Bouwdelen'!GK21*CF37</f>
        <v>0</v>
      </c>
      <c r="DK37" s="259">
        <f>'Verwerking Bouwdelen'!GL21*CF37</f>
        <v>0</v>
      </c>
      <c r="DL37" s="125"/>
      <c r="GM37" s="89">
        <f t="shared" si="13"/>
        <v>0</v>
      </c>
      <c r="GN37" s="89">
        <f t="shared" si="14"/>
        <v>0</v>
      </c>
      <c r="GO37" s="208">
        <f>IF($GN37=1,$GN37*$GM37*'Verwerking Bouwdelen'!DL21,$GN37*$GM37*'Verwerking Bouwdelen'!T21)</f>
        <v>0</v>
      </c>
      <c r="GP37" s="208">
        <f>IF($GN37=1,$GN37*$GM37*'Verwerking Bouwdelen'!DM21,$GN37*$GM37*'Verwerking Bouwdelen'!U21)</f>
        <v>0</v>
      </c>
      <c r="GQ37" s="208">
        <f>IF($GN37=1,$GN37*$GM37*'Verwerking Bouwdelen'!DN21,$GN37*$GM37*'Verwerking Bouwdelen'!V21)</f>
        <v>0</v>
      </c>
      <c r="GR37" s="208">
        <f>IF($GN37=1,$GN37*$GM37*'Verwerking Bouwdelen'!DO21,$GN37*$GM37*'Verwerking Bouwdelen'!W21)</f>
        <v>0</v>
      </c>
      <c r="GS37" s="208">
        <f>IF($GN37=1,$GN37*$GM37*'Verwerking Bouwdelen'!DP21,$GN37*$GM37*'Verwerking Bouwdelen'!X21)</f>
        <v>0</v>
      </c>
      <c r="GT37" s="208">
        <f>IF($GN37=1,$GN37*$GM37*'Verwerking Bouwdelen'!DQ21,$GN37*$GM37*'Verwerking Bouwdelen'!Y21)</f>
        <v>0</v>
      </c>
      <c r="GU37" s="208">
        <f>IF($GN37=1,$GN37*$GM37*'Verwerking Bouwdelen'!DR21,$GN37*$GM37*'Verwerking Bouwdelen'!Z21)</f>
        <v>0</v>
      </c>
      <c r="GV37" s="208">
        <f>IF($GN37=1,$GN37*$GM37*'Verwerking Bouwdelen'!DS21,$GN37*$GM37*'Verwerking Bouwdelen'!AA21)</f>
        <v>0</v>
      </c>
      <c r="GW37" s="208">
        <f>IF($GN37=1,$GN37*$GM37*'Verwerking Bouwdelen'!DT21,$GN37*$GM37*'Verwerking Bouwdelen'!AB21)</f>
        <v>0</v>
      </c>
      <c r="GX37" s="208">
        <f>IF($GN37=1,$GN37*$GM37*'Verwerking Bouwdelen'!DU21,$GN37*$GM37*'Verwerking Bouwdelen'!AC21)</f>
        <v>0</v>
      </c>
      <c r="GY37" s="208">
        <f>IF($GN37=1,$GN37*$GM37*'Verwerking Bouwdelen'!DV21,$GN37*$GM37*'Verwerking Bouwdelen'!AD21)</f>
        <v>0</v>
      </c>
      <c r="GZ37" s="208">
        <f>IF($GN37=1,$GN37*$GM37*'Verwerking Bouwdelen'!DW21,$GN37*$GM37*'Verwerking Bouwdelen'!AE21)</f>
        <v>0</v>
      </c>
      <c r="HB37" s="89">
        <f t="shared" si="1"/>
        <v>0</v>
      </c>
      <c r="HC37" s="89">
        <f t="shared" si="2"/>
        <v>0</v>
      </c>
      <c r="HD37" s="89">
        <f t="shared" si="3"/>
        <v>0</v>
      </c>
      <c r="HE37" s="89">
        <f t="shared" si="4"/>
        <v>0</v>
      </c>
      <c r="HF37" s="89">
        <f t="shared" si="5"/>
        <v>0</v>
      </c>
      <c r="HG37" s="89">
        <f t="shared" si="6"/>
        <v>0</v>
      </c>
      <c r="HH37" s="89">
        <f t="shared" si="7"/>
        <v>0</v>
      </c>
      <c r="HI37" s="89">
        <f t="shared" si="8"/>
        <v>0</v>
      </c>
      <c r="HJ37" s="89">
        <f t="shared" si="9"/>
        <v>0</v>
      </c>
      <c r="HK37" s="89">
        <f t="shared" si="10"/>
        <v>0</v>
      </c>
      <c r="HL37" s="89">
        <f t="shared" si="11"/>
        <v>0</v>
      </c>
      <c r="HM37" s="89">
        <f t="shared" si="12"/>
        <v>0</v>
      </c>
    </row>
    <row r="38" spans="1:221" x14ac:dyDescent="0.2">
      <c r="A38" s="130">
        <f>IF('Verwerking Bouwdelen'!A22=4,1,0)</f>
        <v>0</v>
      </c>
      <c r="B38" s="208">
        <f>$A38*'Verwerking Bouwdelen'!T22</f>
        <v>0</v>
      </c>
      <c r="C38" s="208">
        <f>$A38*'Verwerking Bouwdelen'!U22</f>
        <v>0</v>
      </c>
      <c r="D38" s="208">
        <f>$A38*'Verwerking Bouwdelen'!V22</f>
        <v>0</v>
      </c>
      <c r="E38" s="208">
        <f>$A38*'Verwerking Bouwdelen'!W22</f>
        <v>0</v>
      </c>
      <c r="F38" s="208">
        <f>$A38*'Verwerking Bouwdelen'!X22</f>
        <v>0</v>
      </c>
      <c r="G38" s="208">
        <f>$A38*'Verwerking Bouwdelen'!Y22</f>
        <v>0</v>
      </c>
      <c r="H38" s="208">
        <f>$A38*'Verwerking Bouwdelen'!Z22</f>
        <v>0</v>
      </c>
      <c r="I38" s="208">
        <f>$A38*'Verwerking Bouwdelen'!AA22</f>
        <v>0</v>
      </c>
      <c r="J38" s="208">
        <f>$A38*'Verwerking Bouwdelen'!AB22</f>
        <v>0</v>
      </c>
      <c r="K38" s="208">
        <f>$A38*'Verwerking Bouwdelen'!AC22</f>
        <v>0</v>
      </c>
      <c r="L38" s="208">
        <f>$A38*'Verwerking Bouwdelen'!AD22</f>
        <v>0</v>
      </c>
      <c r="M38" s="208">
        <f>$A38*'Verwerking Bouwdelen'!AE22</f>
        <v>0</v>
      </c>
      <c r="O38" s="114">
        <f>$A38*'Verwerking Bouwdelen'!AU22</f>
        <v>0</v>
      </c>
      <c r="P38" s="125">
        <f>$A38*'Verwerking Bouwdelen'!AV22</f>
        <v>0</v>
      </c>
      <c r="Q38" s="125">
        <f>$A38*'Verwerking Bouwdelen'!AW22</f>
        <v>0</v>
      </c>
      <c r="R38" s="125">
        <f>$A38*'Verwerking Bouwdelen'!AX22</f>
        <v>0</v>
      </c>
      <c r="S38" s="125">
        <f>$A38*'Verwerking Bouwdelen'!AY22</f>
        <v>0</v>
      </c>
      <c r="T38" s="125">
        <f>$A38*'Verwerking Bouwdelen'!AZ22</f>
        <v>0</v>
      </c>
      <c r="U38" s="125">
        <f>$A38*'Verwerking Bouwdelen'!BA22</f>
        <v>0</v>
      </c>
      <c r="V38" s="125">
        <f>$A38*'Verwerking Bouwdelen'!BB22</f>
        <v>0</v>
      </c>
      <c r="W38" s="125">
        <f>$A38*'Verwerking Bouwdelen'!BC22</f>
        <v>0</v>
      </c>
      <c r="X38" s="125">
        <f>$A38*'Verwerking Bouwdelen'!BD22</f>
        <v>0</v>
      </c>
      <c r="Y38" s="125">
        <f>$A38*'Verwerking Bouwdelen'!BE22</f>
        <v>0</v>
      </c>
      <c r="Z38" s="195">
        <f>$A38*'Verwerking Bouwdelen'!BF22</f>
        <v>0</v>
      </c>
      <c r="AB38" s="125">
        <f>IF(OR('Verwerking Bouwdelen'!C22=3,'Verwerking Bouwdelen'!C22=6),1,0)</f>
        <v>0</v>
      </c>
      <c r="AC38" s="130">
        <f>IF('Verwerking Bouwdelen'!A22=4,1,0)</f>
        <v>0</v>
      </c>
      <c r="AD38" s="208">
        <f>IF($AB38=1,$AC38*'Verwerking Bouwdelen'!DL22,$AC38*'Verwerking Bouwdelen'!T22)</f>
        <v>0</v>
      </c>
      <c r="AE38" s="208">
        <f>IF($AB38=1,$AC38*'Verwerking Bouwdelen'!DM22,$AC38*'Verwerking Bouwdelen'!U22)</f>
        <v>0</v>
      </c>
      <c r="AF38" s="208">
        <f>IF($AB38=1,$AC38*'Verwerking Bouwdelen'!DN22,$AC38*'Verwerking Bouwdelen'!V22)</f>
        <v>0</v>
      </c>
      <c r="AG38" s="208">
        <f>IF($AB38=1,$AC38*'Verwerking Bouwdelen'!DO22,$AC38*'Verwerking Bouwdelen'!W22)</f>
        <v>0</v>
      </c>
      <c r="AH38" s="208">
        <f>IF($AB38=1,$AC38*'Verwerking Bouwdelen'!DP22,$AC38*'Verwerking Bouwdelen'!X22)</f>
        <v>0</v>
      </c>
      <c r="AI38" s="208">
        <f>IF($AB38=1,$AC38*'Verwerking Bouwdelen'!DQ22,$AC38*'Verwerking Bouwdelen'!Y22)</f>
        <v>0</v>
      </c>
      <c r="AJ38" s="208">
        <f>IF($AB38=1,$AC38*'Verwerking Bouwdelen'!DR22,$AC38*'Verwerking Bouwdelen'!Z22)</f>
        <v>0</v>
      </c>
      <c r="AK38" s="208">
        <f>IF($AB38=1,$AC38*'Verwerking Bouwdelen'!DS22,$AC38*'Verwerking Bouwdelen'!AA22)</f>
        <v>0</v>
      </c>
      <c r="AL38" s="208">
        <f>IF($AB38=1,$AC38*'Verwerking Bouwdelen'!DT22,$AC38*'Verwerking Bouwdelen'!AB22)</f>
        <v>0</v>
      </c>
      <c r="AM38" s="208">
        <f>IF($AB38=1,$AC38*'Verwerking Bouwdelen'!DU22,$AC38*'Verwerking Bouwdelen'!AC22)</f>
        <v>0</v>
      </c>
      <c r="AN38" s="208">
        <f>IF($AB38=1,$AC38*'Verwerking Bouwdelen'!DV22,$AC38*'Verwerking Bouwdelen'!AD22)</f>
        <v>0</v>
      </c>
      <c r="AO38" s="208">
        <f>IF($AB38=1,$AC38*'Verwerking Bouwdelen'!DW22,$AC38*'Verwerking Bouwdelen'!AE22)</f>
        <v>0</v>
      </c>
      <c r="AP38" s="10">
        <f>IF(AD38=B38,0,'Verwerking Bouwdelen'!D22*AB38*AC38)</f>
        <v>0</v>
      </c>
      <c r="AQ38" s="10">
        <f>AB38*AC38*'Verwerking Bouwdelen'!GH22</f>
        <v>0</v>
      </c>
      <c r="AR38" s="10"/>
      <c r="AS38" s="248"/>
      <c r="AT38" s="125">
        <f>IF('Verwerking Bouwdelen'!C22=4,1,0)</f>
        <v>0</v>
      </c>
      <c r="AU38" s="130">
        <f>IF('Verwerking Bouwdelen'!A22=4,1,0)</f>
        <v>0</v>
      </c>
      <c r="AV38" s="208">
        <f>IF($AT38=1,$AU38*'Verwerking Bouwdelen'!DL22,$AU38*'Verwerking Bouwdelen'!T22)</f>
        <v>0</v>
      </c>
      <c r="AW38" s="208">
        <f>IF($AT38=1,$AU38*'Verwerking Bouwdelen'!DM22,$AU38*'Verwerking Bouwdelen'!U22)</f>
        <v>0</v>
      </c>
      <c r="AX38" s="208">
        <f>IF($AT38=1,$AU38*'Verwerking Bouwdelen'!DN22,$AU38*'Verwerking Bouwdelen'!V22)</f>
        <v>0</v>
      </c>
      <c r="AY38" s="208">
        <f>IF($AT38=1,$AU38*'Verwerking Bouwdelen'!DO22,$AU38*'Verwerking Bouwdelen'!W22)</f>
        <v>0</v>
      </c>
      <c r="AZ38" s="208">
        <f>IF($AT38=1,$AU38*'Verwerking Bouwdelen'!DP22,$AU38*'Verwerking Bouwdelen'!X22)</f>
        <v>0</v>
      </c>
      <c r="BA38" s="208">
        <f>IF($AT38=1,$AU38*'Verwerking Bouwdelen'!DQ22,$AU38*'Verwerking Bouwdelen'!Y22)</f>
        <v>0</v>
      </c>
      <c r="BB38" s="208">
        <f>IF($AT38=1,$AU38*'Verwerking Bouwdelen'!DR22,$AU38*'Verwerking Bouwdelen'!Z22)</f>
        <v>0</v>
      </c>
      <c r="BC38" s="208">
        <f>IF($AT38=1,$AU38*'Verwerking Bouwdelen'!DS22,$AU38*'Verwerking Bouwdelen'!AA22)</f>
        <v>0</v>
      </c>
      <c r="BD38" s="208">
        <f>IF($AT38=1,$AU38*'Verwerking Bouwdelen'!DT22,$AU38*'Verwerking Bouwdelen'!AB22)</f>
        <v>0</v>
      </c>
      <c r="BE38" s="208">
        <f>IF($AT38=1,$AU38*'Verwerking Bouwdelen'!DU22,$AU38*'Verwerking Bouwdelen'!AC22)</f>
        <v>0</v>
      </c>
      <c r="BF38" s="208">
        <f>IF($AT38=1,$AU38*'Verwerking Bouwdelen'!DV22,$AU38*'Verwerking Bouwdelen'!AD22)</f>
        <v>0</v>
      </c>
      <c r="BG38" s="208">
        <f>IF($AT38=1,$AU38*'Verwerking Bouwdelen'!DW22,$AU38*'Verwerking Bouwdelen'!AE22)</f>
        <v>0</v>
      </c>
      <c r="BH38" s="10">
        <f>IF(AV38=B38,0,'Verwerking Bouwdelen'!D22*AT38*AU38)</f>
        <v>0</v>
      </c>
      <c r="BI38" s="10">
        <f>AT38*AU38*'Verwerking Bouwdelen'!GH22</f>
        <v>0</v>
      </c>
      <c r="BJ38" s="10"/>
      <c r="BK38" s="10"/>
      <c r="BM38" s="125">
        <f>IF('Verwerking Bouwdelen'!C22=5,1,0)</f>
        <v>0</v>
      </c>
      <c r="BN38" s="130">
        <f>IF('Verwerking Bouwdelen'!A22=4,1,0)</f>
        <v>0</v>
      </c>
      <c r="BO38" s="208">
        <f>IF($BM38=1,$BN38*'Verwerking Bouwdelen'!DL22,$BN38*'Verwerking Bouwdelen'!T22)</f>
        <v>0</v>
      </c>
      <c r="BP38" s="208">
        <f>IF($BM38=1,$BN38*'Verwerking Bouwdelen'!DM22,$BN38*'Verwerking Bouwdelen'!U22)</f>
        <v>0</v>
      </c>
      <c r="BQ38" s="208">
        <f>IF($BM38=1,$BN38*'Verwerking Bouwdelen'!DN22,$BN38*'Verwerking Bouwdelen'!V22)</f>
        <v>0</v>
      </c>
      <c r="BR38" s="208">
        <f>IF($BM38=1,$BN38*'Verwerking Bouwdelen'!DO22,$BN38*'Verwerking Bouwdelen'!W22)</f>
        <v>0</v>
      </c>
      <c r="BS38" s="208">
        <f>IF($BM38=1,$BN38*'Verwerking Bouwdelen'!DP22,$BN38*'Verwerking Bouwdelen'!X22)</f>
        <v>0</v>
      </c>
      <c r="BT38" s="208">
        <f>IF($BM38=1,$BN38*'Verwerking Bouwdelen'!DQ22,$BN38*'Verwerking Bouwdelen'!Y22)</f>
        <v>0</v>
      </c>
      <c r="BU38" s="208">
        <f>IF($BM38=1,$BN38*'Verwerking Bouwdelen'!DR22,$BN38*'Verwerking Bouwdelen'!Z22)</f>
        <v>0</v>
      </c>
      <c r="BV38" s="208">
        <f>IF($BM38=1,$BN38*'Verwerking Bouwdelen'!DS22,$BN38*'Verwerking Bouwdelen'!AA22)</f>
        <v>0</v>
      </c>
      <c r="BW38" s="208">
        <f>IF($BM38=1,$BN38*'Verwerking Bouwdelen'!DT22,$BN38*'Verwerking Bouwdelen'!AB22)</f>
        <v>0</v>
      </c>
      <c r="BX38" s="208">
        <f>IF($BM38=1,$BN38*'Verwerking Bouwdelen'!DU22,$BN38*'Verwerking Bouwdelen'!AC22)</f>
        <v>0</v>
      </c>
      <c r="BY38" s="208">
        <f>IF($BM38=1,$BN38*'Verwerking Bouwdelen'!DV22,$BN38*'Verwerking Bouwdelen'!AD22)</f>
        <v>0</v>
      </c>
      <c r="BZ38" s="208">
        <f>IF($BM38=1,$BN38*'Verwerking Bouwdelen'!DW22,$BN38*'Verwerking Bouwdelen'!AE22)</f>
        <v>0</v>
      </c>
      <c r="CA38" s="10">
        <f>IF(BO38=$B38,0,'Verwerking Bouwdelen'!$D22*BM38*BN38)</f>
        <v>0</v>
      </c>
      <c r="CB38" s="10">
        <f>BM38*BN38*'Verwerking Bouwdelen'!GH22</f>
        <v>0</v>
      </c>
      <c r="CC38" s="10"/>
      <c r="CD38" s="248"/>
      <c r="CE38" s="125">
        <f>IF('Verwerking Bouwdelen'!C22=2,1,0)</f>
        <v>0</v>
      </c>
      <c r="CF38" s="130">
        <f>IF('Verwerking Bouwdelen'!A22=4,1,0)</f>
        <v>0</v>
      </c>
      <c r="CG38" s="208">
        <f>IF($CE38=1,$CF38*'Verwerking Bouwdelen'!DL22,$CF38*'Verwerking Bouwdelen'!T22)</f>
        <v>0</v>
      </c>
      <c r="CH38" s="208">
        <f>IF($CE38=1,$CF38*'Verwerking Bouwdelen'!DM22,$CF38*'Verwerking Bouwdelen'!U22)</f>
        <v>0</v>
      </c>
      <c r="CI38" s="208">
        <f>IF($CE38=1,$CF38*'Verwerking Bouwdelen'!DN22,$CF38*'Verwerking Bouwdelen'!V22)</f>
        <v>0</v>
      </c>
      <c r="CJ38" s="208">
        <f>IF($CE38=1,$CF38*'Verwerking Bouwdelen'!DO22,$CF38*'Verwerking Bouwdelen'!W22)</f>
        <v>0</v>
      </c>
      <c r="CK38" s="208">
        <f>IF($CE38=1,$CF38*'Verwerking Bouwdelen'!DP22,$CF38*'Verwerking Bouwdelen'!X22)</f>
        <v>0</v>
      </c>
      <c r="CL38" s="208">
        <f>IF($CE38=1,$CF38*'Verwerking Bouwdelen'!DQ22,$CF38*'Verwerking Bouwdelen'!Y22)</f>
        <v>0</v>
      </c>
      <c r="CM38" s="208">
        <f>IF($CE38=1,$CF38*'Verwerking Bouwdelen'!DR22,$CF38*'Verwerking Bouwdelen'!Z22)</f>
        <v>0</v>
      </c>
      <c r="CN38" s="208">
        <f>IF($CE38=1,$CF38*'Verwerking Bouwdelen'!DS22,$CF38*'Verwerking Bouwdelen'!AA22)</f>
        <v>0</v>
      </c>
      <c r="CO38" s="208">
        <f>IF($CE38=1,$CF38*'Verwerking Bouwdelen'!DT22,$CF38*'Verwerking Bouwdelen'!AB22)</f>
        <v>0</v>
      </c>
      <c r="CP38" s="208">
        <f>IF($CE38=1,$CF38*'Verwerking Bouwdelen'!DU22,$CF38*'Verwerking Bouwdelen'!AC22)</f>
        <v>0</v>
      </c>
      <c r="CQ38" s="208">
        <f>IF($CE38=1,$CF38*'Verwerking Bouwdelen'!DV22,$CF38*'Verwerking Bouwdelen'!AD22)</f>
        <v>0</v>
      </c>
      <c r="CR38" s="208">
        <f>IF($CE38=1,$CF38*'Verwerking Bouwdelen'!DW22,$CF38*'Verwerking Bouwdelen'!AE22)</f>
        <v>0</v>
      </c>
      <c r="CS38" s="10">
        <f>IF(CG38=$B38,0,('Verwerking Bouwdelen'!$D22-'Verwerking Bouwdelen'!G22)*CE38*CF38)</f>
        <v>0</v>
      </c>
      <c r="CT38" s="260">
        <f>CE38*CF38*'Verwerking Bouwdelen'!GH22</f>
        <v>0</v>
      </c>
      <c r="CU38" s="261">
        <f>CE38*CF38*'Verwerking Bouwdelen'!GI22</f>
        <v>0</v>
      </c>
      <c r="CW38" s="209">
        <f>$AC38*'Verwerking Bouwdelen'!EE22</f>
        <v>0</v>
      </c>
      <c r="CX38" s="209">
        <f>$AC38*'Verwerking Bouwdelen'!EF22</f>
        <v>0</v>
      </c>
      <c r="CY38" s="209">
        <f>$AC38*'Verwerking Bouwdelen'!EG22</f>
        <v>0</v>
      </c>
      <c r="CZ38" s="209">
        <f>$AC38*'Verwerking Bouwdelen'!EH22</f>
        <v>0</v>
      </c>
      <c r="DA38" s="209">
        <f>$AC38*'Verwerking Bouwdelen'!EI22</f>
        <v>0</v>
      </c>
      <c r="DB38" s="209">
        <f>$AC38*'Verwerking Bouwdelen'!EJ22</f>
        <v>0</v>
      </c>
      <c r="DC38" s="209">
        <f>$AC38*'Verwerking Bouwdelen'!EK22</f>
        <v>0</v>
      </c>
      <c r="DD38" s="209">
        <f>$AC38*'Verwerking Bouwdelen'!EL22</f>
        <v>0</v>
      </c>
      <c r="DE38" s="209">
        <f>$AC38*'Verwerking Bouwdelen'!EM22</f>
        <v>0</v>
      </c>
      <c r="DF38" s="209">
        <f>$AC38*'Verwerking Bouwdelen'!EN22</f>
        <v>0</v>
      </c>
      <c r="DG38" s="209">
        <f>$AC38*'Verwerking Bouwdelen'!EO22</f>
        <v>0</v>
      </c>
      <c r="DH38" s="209">
        <f>$AC38*'Verwerking Bouwdelen'!EP22</f>
        <v>0</v>
      </c>
      <c r="DI38" s="10">
        <f>IF(CW38=$O38,0,'Verwerking Bouwdelen'!G22)</f>
        <v>0</v>
      </c>
      <c r="DJ38" s="259">
        <f>'Verwerking Bouwdelen'!GK22*CF38</f>
        <v>0</v>
      </c>
      <c r="DK38" s="259">
        <f>'Verwerking Bouwdelen'!GL22*CF38</f>
        <v>0</v>
      </c>
      <c r="DL38" s="125"/>
      <c r="GM38" s="89">
        <f t="shared" si="13"/>
        <v>0</v>
      </c>
      <c r="GN38" s="89">
        <f t="shared" si="14"/>
        <v>0</v>
      </c>
      <c r="GO38" s="208">
        <f>IF($GN38=1,$GN38*$GM38*'Verwerking Bouwdelen'!DL22,$GN38*$GM38*'Verwerking Bouwdelen'!T22)</f>
        <v>0</v>
      </c>
      <c r="GP38" s="208">
        <f>IF($GN38=1,$GN38*$GM38*'Verwerking Bouwdelen'!DM22,$GN38*$GM38*'Verwerking Bouwdelen'!U22)</f>
        <v>0</v>
      </c>
      <c r="GQ38" s="208">
        <f>IF($GN38=1,$GN38*$GM38*'Verwerking Bouwdelen'!DN22,$GN38*$GM38*'Verwerking Bouwdelen'!V22)</f>
        <v>0</v>
      </c>
      <c r="GR38" s="208">
        <f>IF($GN38=1,$GN38*$GM38*'Verwerking Bouwdelen'!DO22,$GN38*$GM38*'Verwerking Bouwdelen'!W22)</f>
        <v>0</v>
      </c>
      <c r="GS38" s="208">
        <f>IF($GN38=1,$GN38*$GM38*'Verwerking Bouwdelen'!DP22,$GN38*$GM38*'Verwerking Bouwdelen'!X22)</f>
        <v>0</v>
      </c>
      <c r="GT38" s="208">
        <f>IF($GN38=1,$GN38*$GM38*'Verwerking Bouwdelen'!DQ22,$GN38*$GM38*'Verwerking Bouwdelen'!Y22)</f>
        <v>0</v>
      </c>
      <c r="GU38" s="208">
        <f>IF($GN38=1,$GN38*$GM38*'Verwerking Bouwdelen'!DR22,$GN38*$GM38*'Verwerking Bouwdelen'!Z22)</f>
        <v>0</v>
      </c>
      <c r="GV38" s="208">
        <f>IF($GN38=1,$GN38*$GM38*'Verwerking Bouwdelen'!DS22,$GN38*$GM38*'Verwerking Bouwdelen'!AA22)</f>
        <v>0</v>
      </c>
      <c r="GW38" s="208">
        <f>IF($GN38=1,$GN38*$GM38*'Verwerking Bouwdelen'!DT22,$GN38*$GM38*'Verwerking Bouwdelen'!AB22)</f>
        <v>0</v>
      </c>
      <c r="GX38" s="208">
        <f>IF($GN38=1,$GN38*$GM38*'Verwerking Bouwdelen'!DU22,$GN38*$GM38*'Verwerking Bouwdelen'!AC22)</f>
        <v>0</v>
      </c>
      <c r="GY38" s="208">
        <f>IF($GN38=1,$GN38*$GM38*'Verwerking Bouwdelen'!DV22,$GN38*$GM38*'Verwerking Bouwdelen'!AD22)</f>
        <v>0</v>
      </c>
      <c r="GZ38" s="208">
        <f>IF($GN38=1,$GN38*$GM38*'Verwerking Bouwdelen'!DW22,$GN38*$GM38*'Verwerking Bouwdelen'!AE22)</f>
        <v>0</v>
      </c>
      <c r="HB38" s="89">
        <f t="shared" si="1"/>
        <v>0</v>
      </c>
      <c r="HC38" s="89">
        <f t="shared" si="2"/>
        <v>0</v>
      </c>
      <c r="HD38" s="89">
        <f t="shared" si="3"/>
        <v>0</v>
      </c>
      <c r="HE38" s="89">
        <f t="shared" si="4"/>
        <v>0</v>
      </c>
      <c r="HF38" s="89">
        <f t="shared" si="5"/>
        <v>0</v>
      </c>
      <c r="HG38" s="89">
        <f t="shared" si="6"/>
        <v>0</v>
      </c>
      <c r="HH38" s="89">
        <f t="shared" si="7"/>
        <v>0</v>
      </c>
      <c r="HI38" s="89">
        <f t="shared" si="8"/>
        <v>0</v>
      </c>
      <c r="HJ38" s="89">
        <f t="shared" si="9"/>
        <v>0</v>
      </c>
      <c r="HK38" s="89">
        <f t="shared" si="10"/>
        <v>0</v>
      </c>
      <c r="HL38" s="89">
        <f t="shared" si="11"/>
        <v>0</v>
      </c>
      <c r="HM38" s="89">
        <f t="shared" si="12"/>
        <v>0</v>
      </c>
    </row>
    <row r="39" spans="1:221" x14ac:dyDescent="0.2">
      <c r="A39" s="130">
        <f>IF('Verwerking Bouwdelen'!A23=4,1,0)</f>
        <v>0</v>
      </c>
      <c r="B39" s="208">
        <f>$A39*'Verwerking Bouwdelen'!T23</f>
        <v>0</v>
      </c>
      <c r="C39" s="208">
        <f>$A39*'Verwerking Bouwdelen'!U23</f>
        <v>0</v>
      </c>
      <c r="D39" s="208">
        <f>$A39*'Verwerking Bouwdelen'!V23</f>
        <v>0</v>
      </c>
      <c r="E39" s="208">
        <f>$A39*'Verwerking Bouwdelen'!W23</f>
        <v>0</v>
      </c>
      <c r="F39" s="208">
        <f>$A39*'Verwerking Bouwdelen'!X23</f>
        <v>0</v>
      </c>
      <c r="G39" s="208">
        <f>$A39*'Verwerking Bouwdelen'!Y23</f>
        <v>0</v>
      </c>
      <c r="H39" s="208">
        <f>$A39*'Verwerking Bouwdelen'!Z23</f>
        <v>0</v>
      </c>
      <c r="I39" s="208">
        <f>$A39*'Verwerking Bouwdelen'!AA23</f>
        <v>0</v>
      </c>
      <c r="J39" s="208">
        <f>$A39*'Verwerking Bouwdelen'!AB23</f>
        <v>0</v>
      </c>
      <c r="K39" s="208">
        <f>$A39*'Verwerking Bouwdelen'!AC23</f>
        <v>0</v>
      </c>
      <c r="L39" s="208">
        <f>$A39*'Verwerking Bouwdelen'!AD23</f>
        <v>0</v>
      </c>
      <c r="M39" s="208">
        <f>$A39*'Verwerking Bouwdelen'!AE23</f>
        <v>0</v>
      </c>
      <c r="O39" s="114">
        <f>$A39*'Verwerking Bouwdelen'!AU23</f>
        <v>0</v>
      </c>
      <c r="P39" s="125">
        <f>$A39*'Verwerking Bouwdelen'!AV23</f>
        <v>0</v>
      </c>
      <c r="Q39" s="125">
        <f>$A39*'Verwerking Bouwdelen'!AW23</f>
        <v>0</v>
      </c>
      <c r="R39" s="125">
        <f>$A39*'Verwerking Bouwdelen'!AX23</f>
        <v>0</v>
      </c>
      <c r="S39" s="125">
        <f>$A39*'Verwerking Bouwdelen'!AY23</f>
        <v>0</v>
      </c>
      <c r="T39" s="125">
        <f>$A39*'Verwerking Bouwdelen'!AZ23</f>
        <v>0</v>
      </c>
      <c r="U39" s="125">
        <f>$A39*'Verwerking Bouwdelen'!BA23</f>
        <v>0</v>
      </c>
      <c r="V39" s="125">
        <f>$A39*'Verwerking Bouwdelen'!BB23</f>
        <v>0</v>
      </c>
      <c r="W39" s="125">
        <f>$A39*'Verwerking Bouwdelen'!BC23</f>
        <v>0</v>
      </c>
      <c r="X39" s="125">
        <f>$A39*'Verwerking Bouwdelen'!BD23</f>
        <v>0</v>
      </c>
      <c r="Y39" s="125">
        <f>$A39*'Verwerking Bouwdelen'!BE23</f>
        <v>0</v>
      </c>
      <c r="Z39" s="195">
        <f>$A39*'Verwerking Bouwdelen'!BF23</f>
        <v>0</v>
      </c>
      <c r="AB39" s="125">
        <f>IF(OR('Verwerking Bouwdelen'!C23=3,'Verwerking Bouwdelen'!C23=6),1,0)</f>
        <v>0</v>
      </c>
      <c r="AC39" s="130">
        <f>IF('Verwerking Bouwdelen'!A23=4,1,0)</f>
        <v>0</v>
      </c>
      <c r="AD39" s="208">
        <f>IF($AB39=1,$AC39*'Verwerking Bouwdelen'!DL23,$AC39*'Verwerking Bouwdelen'!T23)</f>
        <v>0</v>
      </c>
      <c r="AE39" s="208">
        <f>IF($AB39=1,$AC39*'Verwerking Bouwdelen'!DM23,$AC39*'Verwerking Bouwdelen'!U23)</f>
        <v>0</v>
      </c>
      <c r="AF39" s="208">
        <f>IF($AB39=1,$AC39*'Verwerking Bouwdelen'!DN23,$AC39*'Verwerking Bouwdelen'!V23)</f>
        <v>0</v>
      </c>
      <c r="AG39" s="208">
        <f>IF($AB39=1,$AC39*'Verwerking Bouwdelen'!DO23,$AC39*'Verwerking Bouwdelen'!W23)</f>
        <v>0</v>
      </c>
      <c r="AH39" s="208">
        <f>IF($AB39=1,$AC39*'Verwerking Bouwdelen'!DP23,$AC39*'Verwerking Bouwdelen'!X23)</f>
        <v>0</v>
      </c>
      <c r="AI39" s="208">
        <f>IF($AB39=1,$AC39*'Verwerking Bouwdelen'!DQ23,$AC39*'Verwerking Bouwdelen'!Y23)</f>
        <v>0</v>
      </c>
      <c r="AJ39" s="208">
        <f>IF($AB39=1,$AC39*'Verwerking Bouwdelen'!DR23,$AC39*'Verwerking Bouwdelen'!Z23)</f>
        <v>0</v>
      </c>
      <c r="AK39" s="208">
        <f>IF($AB39=1,$AC39*'Verwerking Bouwdelen'!DS23,$AC39*'Verwerking Bouwdelen'!AA23)</f>
        <v>0</v>
      </c>
      <c r="AL39" s="208">
        <f>IF($AB39=1,$AC39*'Verwerking Bouwdelen'!DT23,$AC39*'Verwerking Bouwdelen'!AB23)</f>
        <v>0</v>
      </c>
      <c r="AM39" s="208">
        <f>IF($AB39=1,$AC39*'Verwerking Bouwdelen'!DU23,$AC39*'Verwerking Bouwdelen'!AC23)</f>
        <v>0</v>
      </c>
      <c r="AN39" s="208">
        <f>IF($AB39=1,$AC39*'Verwerking Bouwdelen'!DV23,$AC39*'Verwerking Bouwdelen'!AD23)</f>
        <v>0</v>
      </c>
      <c r="AO39" s="208">
        <f>IF($AB39=1,$AC39*'Verwerking Bouwdelen'!DW23,$AC39*'Verwerking Bouwdelen'!AE23)</f>
        <v>0</v>
      </c>
      <c r="AP39" s="10">
        <f>IF(AD39=B39,0,'Verwerking Bouwdelen'!D23*AB39*AC39)</f>
        <v>0</v>
      </c>
      <c r="AQ39" s="10">
        <f>AB39*AC39*'Verwerking Bouwdelen'!GH23</f>
        <v>0</v>
      </c>
      <c r="AR39" s="10"/>
      <c r="AS39" s="248"/>
      <c r="AT39" s="125">
        <f>IF('Verwerking Bouwdelen'!C23=4,1,0)</f>
        <v>0</v>
      </c>
      <c r="AU39" s="130">
        <f>IF('Verwerking Bouwdelen'!A23=4,1,0)</f>
        <v>0</v>
      </c>
      <c r="AV39" s="208">
        <f>IF($AT39=1,$AU39*'Verwerking Bouwdelen'!DL23,$AU39*'Verwerking Bouwdelen'!T23)</f>
        <v>0</v>
      </c>
      <c r="AW39" s="208">
        <f>IF($AT39=1,$AU39*'Verwerking Bouwdelen'!DM23,$AU39*'Verwerking Bouwdelen'!U23)</f>
        <v>0</v>
      </c>
      <c r="AX39" s="208">
        <f>IF($AT39=1,$AU39*'Verwerking Bouwdelen'!DN23,$AU39*'Verwerking Bouwdelen'!V23)</f>
        <v>0</v>
      </c>
      <c r="AY39" s="208">
        <f>IF($AT39=1,$AU39*'Verwerking Bouwdelen'!DO23,$AU39*'Verwerking Bouwdelen'!W23)</f>
        <v>0</v>
      </c>
      <c r="AZ39" s="208">
        <f>IF($AT39=1,$AU39*'Verwerking Bouwdelen'!DP23,$AU39*'Verwerking Bouwdelen'!X23)</f>
        <v>0</v>
      </c>
      <c r="BA39" s="208">
        <f>IF($AT39=1,$AU39*'Verwerking Bouwdelen'!DQ23,$AU39*'Verwerking Bouwdelen'!Y23)</f>
        <v>0</v>
      </c>
      <c r="BB39" s="208">
        <f>IF($AT39=1,$AU39*'Verwerking Bouwdelen'!DR23,$AU39*'Verwerking Bouwdelen'!Z23)</f>
        <v>0</v>
      </c>
      <c r="BC39" s="208">
        <f>IF($AT39=1,$AU39*'Verwerking Bouwdelen'!DS23,$AU39*'Verwerking Bouwdelen'!AA23)</f>
        <v>0</v>
      </c>
      <c r="BD39" s="208">
        <f>IF($AT39=1,$AU39*'Verwerking Bouwdelen'!DT23,$AU39*'Verwerking Bouwdelen'!AB23)</f>
        <v>0</v>
      </c>
      <c r="BE39" s="208">
        <f>IF($AT39=1,$AU39*'Verwerking Bouwdelen'!DU23,$AU39*'Verwerking Bouwdelen'!AC23)</f>
        <v>0</v>
      </c>
      <c r="BF39" s="208">
        <f>IF($AT39=1,$AU39*'Verwerking Bouwdelen'!DV23,$AU39*'Verwerking Bouwdelen'!AD23)</f>
        <v>0</v>
      </c>
      <c r="BG39" s="208">
        <f>IF($AT39=1,$AU39*'Verwerking Bouwdelen'!DW23,$AU39*'Verwerking Bouwdelen'!AE23)</f>
        <v>0</v>
      </c>
      <c r="BH39" s="10">
        <f>IF(AV39=B39,0,'Verwerking Bouwdelen'!D23*AT39*AU39)</f>
        <v>0</v>
      </c>
      <c r="BI39" s="10">
        <f>AT39*AU39*'Verwerking Bouwdelen'!GH23</f>
        <v>0</v>
      </c>
      <c r="BJ39" s="10"/>
      <c r="BK39" s="10"/>
      <c r="BM39" s="125">
        <f>IF('Verwerking Bouwdelen'!C23=5,1,0)</f>
        <v>0</v>
      </c>
      <c r="BN39" s="130">
        <f>IF('Verwerking Bouwdelen'!A23=4,1,0)</f>
        <v>0</v>
      </c>
      <c r="BO39" s="208">
        <f>IF($BM39=1,$BN39*'Verwerking Bouwdelen'!DL23,$BN39*'Verwerking Bouwdelen'!T23)</f>
        <v>0</v>
      </c>
      <c r="BP39" s="208">
        <f>IF($BM39=1,$BN39*'Verwerking Bouwdelen'!DM23,$BN39*'Verwerking Bouwdelen'!U23)</f>
        <v>0</v>
      </c>
      <c r="BQ39" s="208">
        <f>IF($BM39=1,$BN39*'Verwerking Bouwdelen'!DN23,$BN39*'Verwerking Bouwdelen'!V23)</f>
        <v>0</v>
      </c>
      <c r="BR39" s="208">
        <f>IF($BM39=1,$BN39*'Verwerking Bouwdelen'!DO23,$BN39*'Verwerking Bouwdelen'!W23)</f>
        <v>0</v>
      </c>
      <c r="BS39" s="208">
        <f>IF($BM39=1,$BN39*'Verwerking Bouwdelen'!DP23,$BN39*'Verwerking Bouwdelen'!X23)</f>
        <v>0</v>
      </c>
      <c r="BT39" s="208">
        <f>IF($BM39=1,$BN39*'Verwerking Bouwdelen'!DQ23,$BN39*'Verwerking Bouwdelen'!Y23)</f>
        <v>0</v>
      </c>
      <c r="BU39" s="208">
        <f>IF($BM39=1,$BN39*'Verwerking Bouwdelen'!DR23,$BN39*'Verwerking Bouwdelen'!Z23)</f>
        <v>0</v>
      </c>
      <c r="BV39" s="208">
        <f>IF($BM39=1,$BN39*'Verwerking Bouwdelen'!DS23,$BN39*'Verwerking Bouwdelen'!AA23)</f>
        <v>0</v>
      </c>
      <c r="BW39" s="208">
        <f>IF($BM39=1,$BN39*'Verwerking Bouwdelen'!DT23,$BN39*'Verwerking Bouwdelen'!AB23)</f>
        <v>0</v>
      </c>
      <c r="BX39" s="208">
        <f>IF($BM39=1,$BN39*'Verwerking Bouwdelen'!DU23,$BN39*'Verwerking Bouwdelen'!AC23)</f>
        <v>0</v>
      </c>
      <c r="BY39" s="208">
        <f>IF($BM39=1,$BN39*'Verwerking Bouwdelen'!DV23,$BN39*'Verwerking Bouwdelen'!AD23)</f>
        <v>0</v>
      </c>
      <c r="BZ39" s="208">
        <f>IF($BM39=1,$BN39*'Verwerking Bouwdelen'!DW23,$BN39*'Verwerking Bouwdelen'!AE23)</f>
        <v>0</v>
      </c>
      <c r="CA39" s="10">
        <f>IF(BO39=$B39,0,'Verwerking Bouwdelen'!$D23*BM39*BN39)</f>
        <v>0</v>
      </c>
      <c r="CB39" s="10">
        <f>BM39*BN39*'Verwerking Bouwdelen'!GH23</f>
        <v>0</v>
      </c>
      <c r="CC39" s="10"/>
      <c r="CD39" s="248"/>
      <c r="CE39" s="125">
        <f>IF('Verwerking Bouwdelen'!C23=2,1,0)</f>
        <v>0</v>
      </c>
      <c r="CF39" s="130">
        <f>IF('Verwerking Bouwdelen'!A23=4,1,0)</f>
        <v>0</v>
      </c>
      <c r="CG39" s="208">
        <f>IF($CE39=1,$CF39*'Verwerking Bouwdelen'!DL23,$CF39*'Verwerking Bouwdelen'!T23)</f>
        <v>0</v>
      </c>
      <c r="CH39" s="208">
        <f>IF($CE39=1,$CF39*'Verwerking Bouwdelen'!DM23,$CF39*'Verwerking Bouwdelen'!U23)</f>
        <v>0</v>
      </c>
      <c r="CI39" s="208">
        <f>IF($CE39=1,$CF39*'Verwerking Bouwdelen'!DN23,$CF39*'Verwerking Bouwdelen'!V23)</f>
        <v>0</v>
      </c>
      <c r="CJ39" s="208">
        <f>IF($CE39=1,$CF39*'Verwerking Bouwdelen'!DO23,$CF39*'Verwerking Bouwdelen'!W23)</f>
        <v>0</v>
      </c>
      <c r="CK39" s="208">
        <f>IF($CE39=1,$CF39*'Verwerking Bouwdelen'!DP23,$CF39*'Verwerking Bouwdelen'!X23)</f>
        <v>0</v>
      </c>
      <c r="CL39" s="208">
        <f>IF($CE39=1,$CF39*'Verwerking Bouwdelen'!DQ23,$CF39*'Verwerking Bouwdelen'!Y23)</f>
        <v>0</v>
      </c>
      <c r="CM39" s="208">
        <f>IF($CE39=1,$CF39*'Verwerking Bouwdelen'!DR23,$CF39*'Verwerking Bouwdelen'!Z23)</f>
        <v>0</v>
      </c>
      <c r="CN39" s="208">
        <f>IF($CE39=1,$CF39*'Verwerking Bouwdelen'!DS23,$CF39*'Verwerking Bouwdelen'!AA23)</f>
        <v>0</v>
      </c>
      <c r="CO39" s="208">
        <f>IF($CE39=1,$CF39*'Verwerking Bouwdelen'!DT23,$CF39*'Verwerking Bouwdelen'!AB23)</f>
        <v>0</v>
      </c>
      <c r="CP39" s="208">
        <f>IF($CE39=1,$CF39*'Verwerking Bouwdelen'!DU23,$CF39*'Verwerking Bouwdelen'!AC23)</f>
        <v>0</v>
      </c>
      <c r="CQ39" s="208">
        <f>IF($CE39=1,$CF39*'Verwerking Bouwdelen'!DV23,$CF39*'Verwerking Bouwdelen'!AD23)</f>
        <v>0</v>
      </c>
      <c r="CR39" s="208">
        <f>IF($CE39=1,$CF39*'Verwerking Bouwdelen'!DW23,$CF39*'Verwerking Bouwdelen'!AE23)</f>
        <v>0</v>
      </c>
      <c r="CS39" s="10">
        <f>IF(CG39=$B39,0,('Verwerking Bouwdelen'!$D23-'Verwerking Bouwdelen'!G23)*CE39*CF39)</f>
        <v>0</v>
      </c>
      <c r="CT39" s="260">
        <f>CE39*CF39*'Verwerking Bouwdelen'!GH23</f>
        <v>0</v>
      </c>
      <c r="CU39" s="261">
        <f>CE39*CF39*'Verwerking Bouwdelen'!GI23</f>
        <v>0</v>
      </c>
      <c r="CW39" s="209">
        <f>$AC39*'Verwerking Bouwdelen'!EE23</f>
        <v>0</v>
      </c>
      <c r="CX39" s="209">
        <f>$AC39*'Verwerking Bouwdelen'!EF23</f>
        <v>0</v>
      </c>
      <c r="CY39" s="209">
        <f>$AC39*'Verwerking Bouwdelen'!EG23</f>
        <v>0</v>
      </c>
      <c r="CZ39" s="209">
        <f>$AC39*'Verwerking Bouwdelen'!EH23</f>
        <v>0</v>
      </c>
      <c r="DA39" s="209">
        <f>$AC39*'Verwerking Bouwdelen'!EI23</f>
        <v>0</v>
      </c>
      <c r="DB39" s="209">
        <f>$AC39*'Verwerking Bouwdelen'!EJ23</f>
        <v>0</v>
      </c>
      <c r="DC39" s="209">
        <f>$AC39*'Verwerking Bouwdelen'!EK23</f>
        <v>0</v>
      </c>
      <c r="DD39" s="209">
        <f>$AC39*'Verwerking Bouwdelen'!EL23</f>
        <v>0</v>
      </c>
      <c r="DE39" s="209">
        <f>$AC39*'Verwerking Bouwdelen'!EM23</f>
        <v>0</v>
      </c>
      <c r="DF39" s="209">
        <f>$AC39*'Verwerking Bouwdelen'!EN23</f>
        <v>0</v>
      </c>
      <c r="DG39" s="209">
        <f>$AC39*'Verwerking Bouwdelen'!EO23</f>
        <v>0</v>
      </c>
      <c r="DH39" s="209">
        <f>$AC39*'Verwerking Bouwdelen'!EP23</f>
        <v>0</v>
      </c>
      <c r="DI39" s="10">
        <f>IF(CW39=$O39,0,'Verwerking Bouwdelen'!G23)</f>
        <v>0</v>
      </c>
      <c r="DJ39" s="259">
        <f>'Verwerking Bouwdelen'!GK23*CF39</f>
        <v>0</v>
      </c>
      <c r="DK39" s="259">
        <f>'Verwerking Bouwdelen'!GL23*CF39</f>
        <v>0</v>
      </c>
      <c r="DL39" s="125"/>
      <c r="GM39" s="89">
        <f t="shared" si="13"/>
        <v>0</v>
      </c>
      <c r="GN39" s="89">
        <f t="shared" si="14"/>
        <v>0</v>
      </c>
      <c r="GO39" s="208">
        <f>IF($GN39=1,$GN39*$GM39*'Verwerking Bouwdelen'!DL23,$GN39*$GM39*'Verwerking Bouwdelen'!T23)</f>
        <v>0</v>
      </c>
      <c r="GP39" s="208">
        <f>IF($GN39=1,$GN39*$GM39*'Verwerking Bouwdelen'!DM23,$GN39*$GM39*'Verwerking Bouwdelen'!U23)</f>
        <v>0</v>
      </c>
      <c r="GQ39" s="208">
        <f>IF($GN39=1,$GN39*$GM39*'Verwerking Bouwdelen'!DN23,$GN39*$GM39*'Verwerking Bouwdelen'!V23)</f>
        <v>0</v>
      </c>
      <c r="GR39" s="208">
        <f>IF($GN39=1,$GN39*$GM39*'Verwerking Bouwdelen'!DO23,$GN39*$GM39*'Verwerking Bouwdelen'!W23)</f>
        <v>0</v>
      </c>
      <c r="GS39" s="208">
        <f>IF($GN39=1,$GN39*$GM39*'Verwerking Bouwdelen'!DP23,$GN39*$GM39*'Verwerking Bouwdelen'!X23)</f>
        <v>0</v>
      </c>
      <c r="GT39" s="208">
        <f>IF($GN39=1,$GN39*$GM39*'Verwerking Bouwdelen'!DQ23,$GN39*$GM39*'Verwerking Bouwdelen'!Y23)</f>
        <v>0</v>
      </c>
      <c r="GU39" s="208">
        <f>IF($GN39=1,$GN39*$GM39*'Verwerking Bouwdelen'!DR23,$GN39*$GM39*'Verwerking Bouwdelen'!Z23)</f>
        <v>0</v>
      </c>
      <c r="GV39" s="208">
        <f>IF($GN39=1,$GN39*$GM39*'Verwerking Bouwdelen'!DS23,$GN39*$GM39*'Verwerking Bouwdelen'!AA23)</f>
        <v>0</v>
      </c>
      <c r="GW39" s="208">
        <f>IF($GN39=1,$GN39*$GM39*'Verwerking Bouwdelen'!DT23,$GN39*$GM39*'Verwerking Bouwdelen'!AB23)</f>
        <v>0</v>
      </c>
      <c r="GX39" s="208">
        <f>IF($GN39=1,$GN39*$GM39*'Verwerking Bouwdelen'!DU23,$GN39*$GM39*'Verwerking Bouwdelen'!AC23)</f>
        <v>0</v>
      </c>
      <c r="GY39" s="208">
        <f>IF($GN39=1,$GN39*$GM39*'Verwerking Bouwdelen'!DV23,$GN39*$GM39*'Verwerking Bouwdelen'!AD23)</f>
        <v>0</v>
      </c>
      <c r="GZ39" s="208">
        <f>IF($GN39=1,$GN39*$GM39*'Verwerking Bouwdelen'!DW23,$GN39*$GM39*'Verwerking Bouwdelen'!AE23)</f>
        <v>0</v>
      </c>
      <c r="HB39" s="89">
        <f t="shared" si="1"/>
        <v>0</v>
      </c>
      <c r="HC39" s="89">
        <f t="shared" si="2"/>
        <v>0</v>
      </c>
      <c r="HD39" s="89">
        <f t="shared" si="3"/>
        <v>0</v>
      </c>
      <c r="HE39" s="89">
        <f t="shared" si="4"/>
        <v>0</v>
      </c>
      <c r="HF39" s="89">
        <f t="shared" si="5"/>
        <v>0</v>
      </c>
      <c r="HG39" s="89">
        <f t="shared" si="6"/>
        <v>0</v>
      </c>
      <c r="HH39" s="89">
        <f t="shared" si="7"/>
        <v>0</v>
      </c>
      <c r="HI39" s="89">
        <f t="shared" si="8"/>
        <v>0</v>
      </c>
      <c r="HJ39" s="89">
        <f t="shared" si="9"/>
        <v>0</v>
      </c>
      <c r="HK39" s="89">
        <f t="shared" si="10"/>
        <v>0</v>
      </c>
      <c r="HL39" s="89">
        <f t="shared" si="11"/>
        <v>0</v>
      </c>
      <c r="HM39" s="89">
        <f t="shared" si="12"/>
        <v>0</v>
      </c>
    </row>
    <row r="40" spans="1:221" x14ac:dyDescent="0.2">
      <c r="A40" s="130">
        <f>IF('Verwerking Bouwdelen'!A24=4,1,0)</f>
        <v>0</v>
      </c>
      <c r="B40" s="208">
        <f>$A40*'Verwerking Bouwdelen'!T24</f>
        <v>0</v>
      </c>
      <c r="C40" s="208">
        <f>$A40*'Verwerking Bouwdelen'!U24</f>
        <v>0</v>
      </c>
      <c r="D40" s="208">
        <f>$A40*'Verwerking Bouwdelen'!V24</f>
        <v>0</v>
      </c>
      <c r="E40" s="208">
        <f>$A40*'Verwerking Bouwdelen'!W24</f>
        <v>0</v>
      </c>
      <c r="F40" s="208">
        <f>$A40*'Verwerking Bouwdelen'!X24</f>
        <v>0</v>
      </c>
      <c r="G40" s="208">
        <f>$A40*'Verwerking Bouwdelen'!Y24</f>
        <v>0</v>
      </c>
      <c r="H40" s="208">
        <f>$A40*'Verwerking Bouwdelen'!Z24</f>
        <v>0</v>
      </c>
      <c r="I40" s="208">
        <f>$A40*'Verwerking Bouwdelen'!AA24</f>
        <v>0</v>
      </c>
      <c r="J40" s="208">
        <f>$A40*'Verwerking Bouwdelen'!AB24</f>
        <v>0</v>
      </c>
      <c r="K40" s="208">
        <f>$A40*'Verwerking Bouwdelen'!AC24</f>
        <v>0</v>
      </c>
      <c r="L40" s="208">
        <f>$A40*'Verwerking Bouwdelen'!AD24</f>
        <v>0</v>
      </c>
      <c r="M40" s="208">
        <f>$A40*'Verwerking Bouwdelen'!AE24</f>
        <v>0</v>
      </c>
      <c r="O40" s="114">
        <f>$A40*'Verwerking Bouwdelen'!AU24</f>
        <v>0</v>
      </c>
      <c r="P40" s="125">
        <f>$A40*'Verwerking Bouwdelen'!AV24</f>
        <v>0</v>
      </c>
      <c r="Q40" s="125">
        <f>$A40*'Verwerking Bouwdelen'!AW24</f>
        <v>0</v>
      </c>
      <c r="R40" s="125">
        <f>$A40*'Verwerking Bouwdelen'!AX24</f>
        <v>0</v>
      </c>
      <c r="S40" s="125">
        <f>$A40*'Verwerking Bouwdelen'!AY24</f>
        <v>0</v>
      </c>
      <c r="T40" s="125">
        <f>$A40*'Verwerking Bouwdelen'!AZ24</f>
        <v>0</v>
      </c>
      <c r="U40" s="125">
        <f>$A40*'Verwerking Bouwdelen'!BA24</f>
        <v>0</v>
      </c>
      <c r="V40" s="125">
        <f>$A40*'Verwerking Bouwdelen'!BB24</f>
        <v>0</v>
      </c>
      <c r="W40" s="125">
        <f>$A40*'Verwerking Bouwdelen'!BC24</f>
        <v>0</v>
      </c>
      <c r="X40" s="125">
        <f>$A40*'Verwerking Bouwdelen'!BD24</f>
        <v>0</v>
      </c>
      <c r="Y40" s="125">
        <f>$A40*'Verwerking Bouwdelen'!BE24</f>
        <v>0</v>
      </c>
      <c r="Z40" s="195">
        <f>$A40*'Verwerking Bouwdelen'!BF24</f>
        <v>0</v>
      </c>
      <c r="AB40" s="125">
        <f>IF(OR('Verwerking Bouwdelen'!C24=3,'Verwerking Bouwdelen'!C24=6),1,0)</f>
        <v>0</v>
      </c>
      <c r="AC40" s="130">
        <f>IF('Verwerking Bouwdelen'!A24=4,1,0)</f>
        <v>0</v>
      </c>
      <c r="AD40" s="208">
        <f>IF($AB40=1,$AC40*'Verwerking Bouwdelen'!DL24,$AC40*'Verwerking Bouwdelen'!T24)</f>
        <v>0</v>
      </c>
      <c r="AE40" s="208">
        <f>IF($AB40=1,$AC40*'Verwerking Bouwdelen'!DM24,$AC40*'Verwerking Bouwdelen'!U24)</f>
        <v>0</v>
      </c>
      <c r="AF40" s="208">
        <f>IF($AB40=1,$AC40*'Verwerking Bouwdelen'!DN24,$AC40*'Verwerking Bouwdelen'!V24)</f>
        <v>0</v>
      </c>
      <c r="AG40" s="208">
        <f>IF($AB40=1,$AC40*'Verwerking Bouwdelen'!DO24,$AC40*'Verwerking Bouwdelen'!W24)</f>
        <v>0</v>
      </c>
      <c r="AH40" s="208">
        <f>IF($AB40=1,$AC40*'Verwerking Bouwdelen'!DP24,$AC40*'Verwerking Bouwdelen'!X24)</f>
        <v>0</v>
      </c>
      <c r="AI40" s="208">
        <f>IF($AB40=1,$AC40*'Verwerking Bouwdelen'!DQ24,$AC40*'Verwerking Bouwdelen'!Y24)</f>
        <v>0</v>
      </c>
      <c r="AJ40" s="208">
        <f>IF($AB40=1,$AC40*'Verwerking Bouwdelen'!DR24,$AC40*'Verwerking Bouwdelen'!Z24)</f>
        <v>0</v>
      </c>
      <c r="AK40" s="208">
        <f>IF($AB40=1,$AC40*'Verwerking Bouwdelen'!DS24,$AC40*'Verwerking Bouwdelen'!AA24)</f>
        <v>0</v>
      </c>
      <c r="AL40" s="208">
        <f>IF($AB40=1,$AC40*'Verwerking Bouwdelen'!DT24,$AC40*'Verwerking Bouwdelen'!AB24)</f>
        <v>0</v>
      </c>
      <c r="AM40" s="208">
        <f>IF($AB40=1,$AC40*'Verwerking Bouwdelen'!DU24,$AC40*'Verwerking Bouwdelen'!AC24)</f>
        <v>0</v>
      </c>
      <c r="AN40" s="208">
        <f>IF($AB40=1,$AC40*'Verwerking Bouwdelen'!DV24,$AC40*'Verwerking Bouwdelen'!AD24)</f>
        <v>0</v>
      </c>
      <c r="AO40" s="208">
        <f>IF($AB40=1,$AC40*'Verwerking Bouwdelen'!DW24,$AC40*'Verwerking Bouwdelen'!AE24)</f>
        <v>0</v>
      </c>
      <c r="AP40" s="10">
        <f>IF(AD40=B40,0,'Verwerking Bouwdelen'!D24*AB40*AC40)</f>
        <v>0</v>
      </c>
      <c r="AQ40" s="10">
        <f>AB40*AC40*'Verwerking Bouwdelen'!GH24</f>
        <v>0</v>
      </c>
      <c r="AR40" s="10"/>
      <c r="AS40" s="248"/>
      <c r="AT40" s="125">
        <f>IF('Verwerking Bouwdelen'!C24=4,1,0)</f>
        <v>0</v>
      </c>
      <c r="AU40" s="130">
        <f>IF('Verwerking Bouwdelen'!A24=4,1,0)</f>
        <v>0</v>
      </c>
      <c r="AV40" s="208">
        <f>IF($AT40=1,$AU40*'Verwerking Bouwdelen'!DL24,$AU40*'Verwerking Bouwdelen'!T24)</f>
        <v>0</v>
      </c>
      <c r="AW40" s="208">
        <f>IF($AT40=1,$AU40*'Verwerking Bouwdelen'!DM24,$AU40*'Verwerking Bouwdelen'!U24)</f>
        <v>0</v>
      </c>
      <c r="AX40" s="208">
        <f>IF($AT40=1,$AU40*'Verwerking Bouwdelen'!DN24,$AU40*'Verwerking Bouwdelen'!V24)</f>
        <v>0</v>
      </c>
      <c r="AY40" s="208">
        <f>IF($AT40=1,$AU40*'Verwerking Bouwdelen'!DO24,$AU40*'Verwerking Bouwdelen'!W24)</f>
        <v>0</v>
      </c>
      <c r="AZ40" s="208">
        <f>IF($AT40=1,$AU40*'Verwerking Bouwdelen'!DP24,$AU40*'Verwerking Bouwdelen'!X24)</f>
        <v>0</v>
      </c>
      <c r="BA40" s="208">
        <f>IF($AT40=1,$AU40*'Verwerking Bouwdelen'!DQ24,$AU40*'Verwerking Bouwdelen'!Y24)</f>
        <v>0</v>
      </c>
      <c r="BB40" s="208">
        <f>IF($AT40=1,$AU40*'Verwerking Bouwdelen'!DR24,$AU40*'Verwerking Bouwdelen'!Z24)</f>
        <v>0</v>
      </c>
      <c r="BC40" s="208">
        <f>IF($AT40=1,$AU40*'Verwerking Bouwdelen'!DS24,$AU40*'Verwerking Bouwdelen'!AA24)</f>
        <v>0</v>
      </c>
      <c r="BD40" s="208">
        <f>IF($AT40=1,$AU40*'Verwerking Bouwdelen'!DT24,$AU40*'Verwerking Bouwdelen'!AB24)</f>
        <v>0</v>
      </c>
      <c r="BE40" s="208">
        <f>IF($AT40=1,$AU40*'Verwerking Bouwdelen'!DU24,$AU40*'Verwerking Bouwdelen'!AC24)</f>
        <v>0</v>
      </c>
      <c r="BF40" s="208">
        <f>IF($AT40=1,$AU40*'Verwerking Bouwdelen'!DV24,$AU40*'Verwerking Bouwdelen'!AD24)</f>
        <v>0</v>
      </c>
      <c r="BG40" s="208">
        <f>IF($AT40=1,$AU40*'Verwerking Bouwdelen'!DW24,$AU40*'Verwerking Bouwdelen'!AE24)</f>
        <v>0</v>
      </c>
      <c r="BH40" s="10">
        <f>IF(AV40=B40,0,'Verwerking Bouwdelen'!D24*AT40*AU40)</f>
        <v>0</v>
      </c>
      <c r="BI40" s="10">
        <f>AT40*AU40*'Verwerking Bouwdelen'!GH24</f>
        <v>0</v>
      </c>
      <c r="BJ40" s="10"/>
      <c r="BK40" s="10"/>
      <c r="BM40" s="125">
        <f>IF('Verwerking Bouwdelen'!C24=5,1,0)</f>
        <v>0</v>
      </c>
      <c r="BN40" s="130">
        <f>IF('Verwerking Bouwdelen'!A24=4,1,0)</f>
        <v>0</v>
      </c>
      <c r="BO40" s="208">
        <f>IF($BM40=1,$BN40*'Verwerking Bouwdelen'!DL24,$BN40*'Verwerking Bouwdelen'!T24)</f>
        <v>0</v>
      </c>
      <c r="BP40" s="208">
        <f>IF($BM40=1,$BN40*'Verwerking Bouwdelen'!DM24,$BN40*'Verwerking Bouwdelen'!U24)</f>
        <v>0</v>
      </c>
      <c r="BQ40" s="208">
        <f>IF($BM40=1,$BN40*'Verwerking Bouwdelen'!DN24,$BN40*'Verwerking Bouwdelen'!V24)</f>
        <v>0</v>
      </c>
      <c r="BR40" s="208">
        <f>IF($BM40=1,$BN40*'Verwerking Bouwdelen'!DO24,$BN40*'Verwerking Bouwdelen'!W24)</f>
        <v>0</v>
      </c>
      <c r="BS40" s="208">
        <f>IF($BM40=1,$BN40*'Verwerking Bouwdelen'!DP24,$BN40*'Verwerking Bouwdelen'!X24)</f>
        <v>0</v>
      </c>
      <c r="BT40" s="208">
        <f>IF($BM40=1,$BN40*'Verwerking Bouwdelen'!DQ24,$BN40*'Verwerking Bouwdelen'!Y24)</f>
        <v>0</v>
      </c>
      <c r="BU40" s="208">
        <f>IF($BM40=1,$BN40*'Verwerking Bouwdelen'!DR24,$BN40*'Verwerking Bouwdelen'!Z24)</f>
        <v>0</v>
      </c>
      <c r="BV40" s="208">
        <f>IF($BM40=1,$BN40*'Verwerking Bouwdelen'!DS24,$BN40*'Verwerking Bouwdelen'!AA24)</f>
        <v>0</v>
      </c>
      <c r="BW40" s="208">
        <f>IF($BM40=1,$BN40*'Verwerking Bouwdelen'!DT24,$BN40*'Verwerking Bouwdelen'!AB24)</f>
        <v>0</v>
      </c>
      <c r="BX40" s="208">
        <f>IF($BM40=1,$BN40*'Verwerking Bouwdelen'!DU24,$BN40*'Verwerking Bouwdelen'!AC24)</f>
        <v>0</v>
      </c>
      <c r="BY40" s="208">
        <f>IF($BM40=1,$BN40*'Verwerking Bouwdelen'!DV24,$BN40*'Verwerking Bouwdelen'!AD24)</f>
        <v>0</v>
      </c>
      <c r="BZ40" s="208">
        <f>IF($BM40=1,$BN40*'Verwerking Bouwdelen'!DW24,$BN40*'Verwerking Bouwdelen'!AE24)</f>
        <v>0</v>
      </c>
      <c r="CA40" s="10">
        <f>IF(BO40=$B40,0,'Verwerking Bouwdelen'!$D24*BM40*BN40)</f>
        <v>0</v>
      </c>
      <c r="CB40" s="10">
        <f>BM40*BN40*'Verwerking Bouwdelen'!GH24</f>
        <v>0</v>
      </c>
      <c r="CC40" s="10"/>
      <c r="CD40" s="248"/>
      <c r="CE40" s="125">
        <f>IF('Verwerking Bouwdelen'!C24=2,1,0)</f>
        <v>0</v>
      </c>
      <c r="CF40" s="130">
        <f>IF('Verwerking Bouwdelen'!A24=4,1,0)</f>
        <v>0</v>
      </c>
      <c r="CG40" s="208">
        <f>IF($CE40=1,$CF40*'Verwerking Bouwdelen'!DL24,$CF40*'Verwerking Bouwdelen'!T24)</f>
        <v>0</v>
      </c>
      <c r="CH40" s="208">
        <f>IF($CE40=1,$CF40*'Verwerking Bouwdelen'!DM24,$CF40*'Verwerking Bouwdelen'!U24)</f>
        <v>0</v>
      </c>
      <c r="CI40" s="208">
        <f>IF($CE40=1,$CF40*'Verwerking Bouwdelen'!DN24,$CF40*'Verwerking Bouwdelen'!V24)</f>
        <v>0</v>
      </c>
      <c r="CJ40" s="208">
        <f>IF($CE40=1,$CF40*'Verwerking Bouwdelen'!DO24,$CF40*'Verwerking Bouwdelen'!W24)</f>
        <v>0</v>
      </c>
      <c r="CK40" s="208">
        <f>IF($CE40=1,$CF40*'Verwerking Bouwdelen'!DP24,$CF40*'Verwerking Bouwdelen'!X24)</f>
        <v>0</v>
      </c>
      <c r="CL40" s="208">
        <f>IF($CE40=1,$CF40*'Verwerking Bouwdelen'!DQ24,$CF40*'Verwerking Bouwdelen'!Y24)</f>
        <v>0</v>
      </c>
      <c r="CM40" s="208">
        <f>IF($CE40=1,$CF40*'Verwerking Bouwdelen'!DR24,$CF40*'Verwerking Bouwdelen'!Z24)</f>
        <v>0</v>
      </c>
      <c r="CN40" s="208">
        <f>IF($CE40=1,$CF40*'Verwerking Bouwdelen'!DS24,$CF40*'Verwerking Bouwdelen'!AA24)</f>
        <v>0</v>
      </c>
      <c r="CO40" s="208">
        <f>IF($CE40=1,$CF40*'Verwerking Bouwdelen'!DT24,$CF40*'Verwerking Bouwdelen'!AB24)</f>
        <v>0</v>
      </c>
      <c r="CP40" s="208">
        <f>IF($CE40=1,$CF40*'Verwerking Bouwdelen'!DU24,$CF40*'Verwerking Bouwdelen'!AC24)</f>
        <v>0</v>
      </c>
      <c r="CQ40" s="208">
        <f>IF($CE40=1,$CF40*'Verwerking Bouwdelen'!DV24,$CF40*'Verwerking Bouwdelen'!AD24)</f>
        <v>0</v>
      </c>
      <c r="CR40" s="208">
        <f>IF($CE40=1,$CF40*'Verwerking Bouwdelen'!DW24,$CF40*'Verwerking Bouwdelen'!AE24)</f>
        <v>0</v>
      </c>
      <c r="CS40" s="10">
        <f>IF(CG40=$B40,0,('Verwerking Bouwdelen'!$D24-'Verwerking Bouwdelen'!G24)*CE40*CF40)</f>
        <v>0</v>
      </c>
      <c r="CT40" s="260">
        <f>CE40*CF40*'Verwerking Bouwdelen'!GH24</f>
        <v>0</v>
      </c>
      <c r="CU40" s="261">
        <f>CE40*CF40*'Verwerking Bouwdelen'!GI24</f>
        <v>0</v>
      </c>
      <c r="CW40" s="209">
        <f>$AC40*'Verwerking Bouwdelen'!EE24</f>
        <v>0</v>
      </c>
      <c r="CX40" s="209">
        <f>$AC40*'Verwerking Bouwdelen'!EF24</f>
        <v>0</v>
      </c>
      <c r="CY40" s="209">
        <f>$AC40*'Verwerking Bouwdelen'!EG24</f>
        <v>0</v>
      </c>
      <c r="CZ40" s="209">
        <f>$AC40*'Verwerking Bouwdelen'!EH24</f>
        <v>0</v>
      </c>
      <c r="DA40" s="209">
        <f>$AC40*'Verwerking Bouwdelen'!EI24</f>
        <v>0</v>
      </c>
      <c r="DB40" s="209">
        <f>$AC40*'Verwerking Bouwdelen'!EJ24</f>
        <v>0</v>
      </c>
      <c r="DC40" s="209">
        <f>$AC40*'Verwerking Bouwdelen'!EK24</f>
        <v>0</v>
      </c>
      <c r="DD40" s="209">
        <f>$AC40*'Verwerking Bouwdelen'!EL24</f>
        <v>0</v>
      </c>
      <c r="DE40" s="209">
        <f>$AC40*'Verwerking Bouwdelen'!EM24</f>
        <v>0</v>
      </c>
      <c r="DF40" s="209">
        <f>$AC40*'Verwerking Bouwdelen'!EN24</f>
        <v>0</v>
      </c>
      <c r="DG40" s="209">
        <f>$AC40*'Verwerking Bouwdelen'!EO24</f>
        <v>0</v>
      </c>
      <c r="DH40" s="209">
        <f>$AC40*'Verwerking Bouwdelen'!EP24</f>
        <v>0</v>
      </c>
      <c r="DI40" s="10">
        <f>IF(CW40=$O40,0,'Verwerking Bouwdelen'!G24)</f>
        <v>0</v>
      </c>
      <c r="DJ40" s="259">
        <f>'Verwerking Bouwdelen'!GK24*CF40</f>
        <v>0</v>
      </c>
      <c r="DK40" s="259">
        <f>'Verwerking Bouwdelen'!GL24*CF40</f>
        <v>0</v>
      </c>
      <c r="DL40" s="125"/>
      <c r="GM40" s="89">
        <f t="shared" si="13"/>
        <v>0</v>
      </c>
      <c r="GN40" s="89">
        <f t="shared" si="14"/>
        <v>0</v>
      </c>
      <c r="GO40" s="208">
        <f>IF($GN40=1,$GN40*$GM40*'Verwerking Bouwdelen'!DL24,$GN40*$GM40*'Verwerking Bouwdelen'!T24)</f>
        <v>0</v>
      </c>
      <c r="GP40" s="208">
        <f>IF($GN40=1,$GN40*$GM40*'Verwerking Bouwdelen'!DM24,$GN40*$GM40*'Verwerking Bouwdelen'!U24)</f>
        <v>0</v>
      </c>
      <c r="GQ40" s="208">
        <f>IF($GN40=1,$GN40*$GM40*'Verwerking Bouwdelen'!DN24,$GN40*$GM40*'Verwerking Bouwdelen'!V24)</f>
        <v>0</v>
      </c>
      <c r="GR40" s="208">
        <f>IF($GN40=1,$GN40*$GM40*'Verwerking Bouwdelen'!DO24,$GN40*$GM40*'Verwerking Bouwdelen'!W24)</f>
        <v>0</v>
      </c>
      <c r="GS40" s="208">
        <f>IF($GN40=1,$GN40*$GM40*'Verwerking Bouwdelen'!DP24,$GN40*$GM40*'Verwerking Bouwdelen'!X24)</f>
        <v>0</v>
      </c>
      <c r="GT40" s="208">
        <f>IF($GN40=1,$GN40*$GM40*'Verwerking Bouwdelen'!DQ24,$GN40*$GM40*'Verwerking Bouwdelen'!Y24)</f>
        <v>0</v>
      </c>
      <c r="GU40" s="208">
        <f>IF($GN40=1,$GN40*$GM40*'Verwerking Bouwdelen'!DR24,$GN40*$GM40*'Verwerking Bouwdelen'!Z24)</f>
        <v>0</v>
      </c>
      <c r="GV40" s="208">
        <f>IF($GN40=1,$GN40*$GM40*'Verwerking Bouwdelen'!DS24,$GN40*$GM40*'Verwerking Bouwdelen'!AA24)</f>
        <v>0</v>
      </c>
      <c r="GW40" s="208">
        <f>IF($GN40=1,$GN40*$GM40*'Verwerking Bouwdelen'!DT24,$GN40*$GM40*'Verwerking Bouwdelen'!AB24)</f>
        <v>0</v>
      </c>
      <c r="GX40" s="208">
        <f>IF($GN40=1,$GN40*$GM40*'Verwerking Bouwdelen'!DU24,$GN40*$GM40*'Verwerking Bouwdelen'!AC24)</f>
        <v>0</v>
      </c>
      <c r="GY40" s="208">
        <f>IF($GN40=1,$GN40*$GM40*'Verwerking Bouwdelen'!DV24,$GN40*$GM40*'Verwerking Bouwdelen'!AD24)</f>
        <v>0</v>
      </c>
      <c r="GZ40" s="208">
        <f>IF($GN40=1,$GN40*$GM40*'Verwerking Bouwdelen'!DW24,$GN40*$GM40*'Verwerking Bouwdelen'!AE24)</f>
        <v>0</v>
      </c>
      <c r="HB40" s="89">
        <f t="shared" ref="HB40:HB61" si="16">CW40</f>
        <v>0</v>
      </c>
      <c r="HC40" s="89">
        <f t="shared" ref="HC40:HC61" si="17">CX40</f>
        <v>0</v>
      </c>
      <c r="HD40" s="89">
        <f t="shared" ref="HD40:HD61" si="18">CY40</f>
        <v>0</v>
      </c>
      <c r="HE40" s="89">
        <f t="shared" ref="HE40:HM59" si="19">CZ40</f>
        <v>0</v>
      </c>
      <c r="HF40" s="89">
        <f t="shared" si="19"/>
        <v>0</v>
      </c>
      <c r="HG40" s="89">
        <f t="shared" si="19"/>
        <v>0</v>
      </c>
      <c r="HH40" s="89">
        <f t="shared" si="19"/>
        <v>0</v>
      </c>
      <c r="HI40" s="89">
        <f t="shared" si="19"/>
        <v>0</v>
      </c>
      <c r="HJ40" s="89">
        <f t="shared" si="19"/>
        <v>0</v>
      </c>
      <c r="HK40" s="89">
        <f t="shared" si="19"/>
        <v>0</v>
      </c>
      <c r="HL40" s="89">
        <f t="shared" si="19"/>
        <v>0</v>
      </c>
      <c r="HM40" s="89">
        <f t="shared" si="19"/>
        <v>0</v>
      </c>
    </row>
    <row r="41" spans="1:221" x14ac:dyDescent="0.2">
      <c r="A41" s="130">
        <f>IF('Verwerking Bouwdelen'!A25=4,1,0)</f>
        <v>0</v>
      </c>
      <c r="B41" s="208">
        <f>$A41*'Verwerking Bouwdelen'!T25</f>
        <v>0</v>
      </c>
      <c r="C41" s="208">
        <f>$A41*'Verwerking Bouwdelen'!U25</f>
        <v>0</v>
      </c>
      <c r="D41" s="208">
        <f>$A41*'Verwerking Bouwdelen'!V25</f>
        <v>0</v>
      </c>
      <c r="E41" s="208">
        <f>$A41*'Verwerking Bouwdelen'!W25</f>
        <v>0</v>
      </c>
      <c r="F41" s="208">
        <f>$A41*'Verwerking Bouwdelen'!X25</f>
        <v>0</v>
      </c>
      <c r="G41" s="208">
        <f>$A41*'Verwerking Bouwdelen'!Y25</f>
        <v>0</v>
      </c>
      <c r="H41" s="208">
        <f>$A41*'Verwerking Bouwdelen'!Z25</f>
        <v>0</v>
      </c>
      <c r="I41" s="208">
        <f>$A41*'Verwerking Bouwdelen'!AA25</f>
        <v>0</v>
      </c>
      <c r="J41" s="208">
        <f>$A41*'Verwerking Bouwdelen'!AB25</f>
        <v>0</v>
      </c>
      <c r="K41" s="208">
        <f>$A41*'Verwerking Bouwdelen'!AC25</f>
        <v>0</v>
      </c>
      <c r="L41" s="208">
        <f>$A41*'Verwerking Bouwdelen'!AD25</f>
        <v>0</v>
      </c>
      <c r="M41" s="208">
        <f>$A41*'Verwerking Bouwdelen'!AE25</f>
        <v>0</v>
      </c>
      <c r="O41" s="114">
        <f>$A41*'Verwerking Bouwdelen'!AU25</f>
        <v>0</v>
      </c>
      <c r="P41" s="125">
        <f>$A41*'Verwerking Bouwdelen'!AV25</f>
        <v>0</v>
      </c>
      <c r="Q41" s="125">
        <f>$A41*'Verwerking Bouwdelen'!AW25</f>
        <v>0</v>
      </c>
      <c r="R41" s="125">
        <f>$A41*'Verwerking Bouwdelen'!AX25</f>
        <v>0</v>
      </c>
      <c r="S41" s="125">
        <f>$A41*'Verwerking Bouwdelen'!AY25</f>
        <v>0</v>
      </c>
      <c r="T41" s="125">
        <f>$A41*'Verwerking Bouwdelen'!AZ25</f>
        <v>0</v>
      </c>
      <c r="U41" s="125">
        <f>$A41*'Verwerking Bouwdelen'!BA25</f>
        <v>0</v>
      </c>
      <c r="V41" s="125">
        <f>$A41*'Verwerking Bouwdelen'!BB25</f>
        <v>0</v>
      </c>
      <c r="W41" s="125">
        <f>$A41*'Verwerking Bouwdelen'!BC25</f>
        <v>0</v>
      </c>
      <c r="X41" s="125">
        <f>$A41*'Verwerking Bouwdelen'!BD25</f>
        <v>0</v>
      </c>
      <c r="Y41" s="125">
        <f>$A41*'Verwerking Bouwdelen'!BE25</f>
        <v>0</v>
      </c>
      <c r="Z41" s="195">
        <f>$A41*'Verwerking Bouwdelen'!BF25</f>
        <v>0</v>
      </c>
      <c r="AB41" s="125">
        <f>IF(OR('Verwerking Bouwdelen'!C25=3,'Verwerking Bouwdelen'!C25=6),1,0)</f>
        <v>0</v>
      </c>
      <c r="AC41" s="130">
        <f>IF('Verwerking Bouwdelen'!A25=4,1,0)</f>
        <v>0</v>
      </c>
      <c r="AD41" s="208">
        <f>IF($AB41=1,$AC41*'Verwerking Bouwdelen'!DL25,$AC41*'Verwerking Bouwdelen'!T25)</f>
        <v>0</v>
      </c>
      <c r="AE41" s="208">
        <f>IF($AB41=1,$AC41*'Verwerking Bouwdelen'!DM25,$AC41*'Verwerking Bouwdelen'!U25)</f>
        <v>0</v>
      </c>
      <c r="AF41" s="208">
        <f>IF($AB41=1,$AC41*'Verwerking Bouwdelen'!DN25,$AC41*'Verwerking Bouwdelen'!V25)</f>
        <v>0</v>
      </c>
      <c r="AG41" s="208">
        <f>IF($AB41=1,$AC41*'Verwerking Bouwdelen'!DO25,$AC41*'Verwerking Bouwdelen'!W25)</f>
        <v>0</v>
      </c>
      <c r="AH41" s="208">
        <f>IF($AB41=1,$AC41*'Verwerking Bouwdelen'!DP25,$AC41*'Verwerking Bouwdelen'!X25)</f>
        <v>0</v>
      </c>
      <c r="AI41" s="208">
        <f>IF($AB41=1,$AC41*'Verwerking Bouwdelen'!DQ25,$AC41*'Verwerking Bouwdelen'!Y25)</f>
        <v>0</v>
      </c>
      <c r="AJ41" s="208">
        <f>IF($AB41=1,$AC41*'Verwerking Bouwdelen'!DR25,$AC41*'Verwerking Bouwdelen'!Z25)</f>
        <v>0</v>
      </c>
      <c r="AK41" s="208">
        <f>IF($AB41=1,$AC41*'Verwerking Bouwdelen'!DS25,$AC41*'Verwerking Bouwdelen'!AA25)</f>
        <v>0</v>
      </c>
      <c r="AL41" s="208">
        <f>IF($AB41=1,$AC41*'Verwerking Bouwdelen'!DT25,$AC41*'Verwerking Bouwdelen'!AB25)</f>
        <v>0</v>
      </c>
      <c r="AM41" s="208">
        <f>IF($AB41=1,$AC41*'Verwerking Bouwdelen'!DU25,$AC41*'Verwerking Bouwdelen'!AC25)</f>
        <v>0</v>
      </c>
      <c r="AN41" s="208">
        <f>IF($AB41=1,$AC41*'Verwerking Bouwdelen'!DV25,$AC41*'Verwerking Bouwdelen'!AD25)</f>
        <v>0</v>
      </c>
      <c r="AO41" s="208">
        <f>IF($AB41=1,$AC41*'Verwerking Bouwdelen'!DW25,$AC41*'Verwerking Bouwdelen'!AE25)</f>
        <v>0</v>
      </c>
      <c r="AP41" s="10">
        <f>IF(AD41=B41,0,'Verwerking Bouwdelen'!D25*AB41*AC41)</f>
        <v>0</v>
      </c>
      <c r="AQ41" s="10">
        <f>AB41*AC41*'Verwerking Bouwdelen'!GH25</f>
        <v>0</v>
      </c>
      <c r="AR41" s="10"/>
      <c r="AS41" s="248"/>
      <c r="AT41" s="125">
        <f>IF('Verwerking Bouwdelen'!C25=4,1,0)</f>
        <v>0</v>
      </c>
      <c r="AU41" s="130">
        <f>IF('Verwerking Bouwdelen'!A25=4,1,0)</f>
        <v>0</v>
      </c>
      <c r="AV41" s="208">
        <f>IF($AT41=1,$AU41*'Verwerking Bouwdelen'!DL25,$AU41*'Verwerking Bouwdelen'!T25)</f>
        <v>0</v>
      </c>
      <c r="AW41" s="208">
        <f>IF($AT41=1,$AU41*'Verwerking Bouwdelen'!DM25,$AU41*'Verwerking Bouwdelen'!U25)</f>
        <v>0</v>
      </c>
      <c r="AX41" s="208">
        <f>IF($AT41=1,$AU41*'Verwerking Bouwdelen'!DN25,$AU41*'Verwerking Bouwdelen'!V25)</f>
        <v>0</v>
      </c>
      <c r="AY41" s="208">
        <f>IF($AT41=1,$AU41*'Verwerking Bouwdelen'!DO25,$AU41*'Verwerking Bouwdelen'!W25)</f>
        <v>0</v>
      </c>
      <c r="AZ41" s="208">
        <f>IF($AT41=1,$AU41*'Verwerking Bouwdelen'!DP25,$AU41*'Verwerking Bouwdelen'!X25)</f>
        <v>0</v>
      </c>
      <c r="BA41" s="208">
        <f>IF($AT41=1,$AU41*'Verwerking Bouwdelen'!DQ25,$AU41*'Verwerking Bouwdelen'!Y25)</f>
        <v>0</v>
      </c>
      <c r="BB41" s="208">
        <f>IF($AT41=1,$AU41*'Verwerking Bouwdelen'!DR25,$AU41*'Verwerking Bouwdelen'!Z25)</f>
        <v>0</v>
      </c>
      <c r="BC41" s="208">
        <f>IF($AT41=1,$AU41*'Verwerking Bouwdelen'!DS25,$AU41*'Verwerking Bouwdelen'!AA25)</f>
        <v>0</v>
      </c>
      <c r="BD41" s="208">
        <f>IF($AT41=1,$AU41*'Verwerking Bouwdelen'!DT25,$AU41*'Verwerking Bouwdelen'!AB25)</f>
        <v>0</v>
      </c>
      <c r="BE41" s="208">
        <f>IF($AT41=1,$AU41*'Verwerking Bouwdelen'!DU25,$AU41*'Verwerking Bouwdelen'!AC25)</f>
        <v>0</v>
      </c>
      <c r="BF41" s="208">
        <f>IF($AT41=1,$AU41*'Verwerking Bouwdelen'!DV25,$AU41*'Verwerking Bouwdelen'!AD25)</f>
        <v>0</v>
      </c>
      <c r="BG41" s="208">
        <f>IF($AT41=1,$AU41*'Verwerking Bouwdelen'!DW25,$AU41*'Verwerking Bouwdelen'!AE25)</f>
        <v>0</v>
      </c>
      <c r="BH41" s="10">
        <f>IF(AV41=B41,0,'Verwerking Bouwdelen'!D25*AT41*AU41)</f>
        <v>0</v>
      </c>
      <c r="BI41" s="10">
        <f>AT41*AU41*'Verwerking Bouwdelen'!GH25</f>
        <v>0</v>
      </c>
      <c r="BJ41" s="10"/>
      <c r="BK41" s="10"/>
      <c r="BM41" s="125">
        <f>IF('Verwerking Bouwdelen'!C25=5,1,0)</f>
        <v>0</v>
      </c>
      <c r="BN41" s="130">
        <f>IF('Verwerking Bouwdelen'!A25=4,1,0)</f>
        <v>0</v>
      </c>
      <c r="BO41" s="208">
        <f>IF($BM41=1,$BN41*'Verwerking Bouwdelen'!DL25,$BN41*'Verwerking Bouwdelen'!T25)</f>
        <v>0</v>
      </c>
      <c r="BP41" s="208">
        <f>IF($BM41=1,$BN41*'Verwerking Bouwdelen'!DM25,$BN41*'Verwerking Bouwdelen'!U25)</f>
        <v>0</v>
      </c>
      <c r="BQ41" s="208">
        <f>IF($BM41=1,$BN41*'Verwerking Bouwdelen'!DN25,$BN41*'Verwerking Bouwdelen'!V25)</f>
        <v>0</v>
      </c>
      <c r="BR41" s="208">
        <f>IF($BM41=1,$BN41*'Verwerking Bouwdelen'!DO25,$BN41*'Verwerking Bouwdelen'!W25)</f>
        <v>0</v>
      </c>
      <c r="BS41" s="208">
        <f>IF($BM41=1,$BN41*'Verwerking Bouwdelen'!DP25,$BN41*'Verwerking Bouwdelen'!X25)</f>
        <v>0</v>
      </c>
      <c r="BT41" s="208">
        <f>IF($BM41=1,$BN41*'Verwerking Bouwdelen'!DQ25,$BN41*'Verwerking Bouwdelen'!Y25)</f>
        <v>0</v>
      </c>
      <c r="BU41" s="208">
        <f>IF($BM41=1,$BN41*'Verwerking Bouwdelen'!DR25,$BN41*'Verwerking Bouwdelen'!Z25)</f>
        <v>0</v>
      </c>
      <c r="BV41" s="208">
        <f>IF($BM41=1,$BN41*'Verwerking Bouwdelen'!DS25,$BN41*'Verwerking Bouwdelen'!AA25)</f>
        <v>0</v>
      </c>
      <c r="BW41" s="208">
        <f>IF($BM41=1,$BN41*'Verwerking Bouwdelen'!DT25,$BN41*'Verwerking Bouwdelen'!AB25)</f>
        <v>0</v>
      </c>
      <c r="BX41" s="208">
        <f>IF($BM41=1,$BN41*'Verwerking Bouwdelen'!DU25,$BN41*'Verwerking Bouwdelen'!AC25)</f>
        <v>0</v>
      </c>
      <c r="BY41" s="208">
        <f>IF($BM41=1,$BN41*'Verwerking Bouwdelen'!DV25,$BN41*'Verwerking Bouwdelen'!AD25)</f>
        <v>0</v>
      </c>
      <c r="BZ41" s="208">
        <f>IF($BM41=1,$BN41*'Verwerking Bouwdelen'!DW25,$BN41*'Verwerking Bouwdelen'!AE25)</f>
        <v>0</v>
      </c>
      <c r="CA41" s="10">
        <f>IF(BO41=$B41,0,'Verwerking Bouwdelen'!$D25*BM41*BN41)</f>
        <v>0</v>
      </c>
      <c r="CB41" s="10">
        <f>BM41*BN41*'Verwerking Bouwdelen'!GH25</f>
        <v>0</v>
      </c>
      <c r="CC41" s="10"/>
      <c r="CD41" s="248"/>
      <c r="CE41" s="125">
        <f>IF('Verwerking Bouwdelen'!C25=2,1,0)</f>
        <v>0</v>
      </c>
      <c r="CF41" s="130">
        <f>IF('Verwerking Bouwdelen'!A25=4,1,0)</f>
        <v>0</v>
      </c>
      <c r="CG41" s="208">
        <f>IF($CE41=1,$CF41*'Verwerking Bouwdelen'!DL25,$CF41*'Verwerking Bouwdelen'!T25)</f>
        <v>0</v>
      </c>
      <c r="CH41" s="208">
        <f>IF($CE41=1,$CF41*'Verwerking Bouwdelen'!DM25,$CF41*'Verwerking Bouwdelen'!U25)</f>
        <v>0</v>
      </c>
      <c r="CI41" s="208">
        <f>IF($CE41=1,$CF41*'Verwerking Bouwdelen'!DN25,$CF41*'Verwerking Bouwdelen'!V25)</f>
        <v>0</v>
      </c>
      <c r="CJ41" s="208">
        <f>IF($CE41=1,$CF41*'Verwerking Bouwdelen'!DO25,$CF41*'Verwerking Bouwdelen'!W25)</f>
        <v>0</v>
      </c>
      <c r="CK41" s="208">
        <f>IF($CE41=1,$CF41*'Verwerking Bouwdelen'!DP25,$CF41*'Verwerking Bouwdelen'!X25)</f>
        <v>0</v>
      </c>
      <c r="CL41" s="208">
        <f>IF($CE41=1,$CF41*'Verwerking Bouwdelen'!DQ25,$CF41*'Verwerking Bouwdelen'!Y25)</f>
        <v>0</v>
      </c>
      <c r="CM41" s="208">
        <f>IF($CE41=1,$CF41*'Verwerking Bouwdelen'!DR25,$CF41*'Verwerking Bouwdelen'!Z25)</f>
        <v>0</v>
      </c>
      <c r="CN41" s="208">
        <f>IF($CE41=1,$CF41*'Verwerking Bouwdelen'!DS25,$CF41*'Verwerking Bouwdelen'!AA25)</f>
        <v>0</v>
      </c>
      <c r="CO41" s="208">
        <f>IF($CE41=1,$CF41*'Verwerking Bouwdelen'!DT25,$CF41*'Verwerking Bouwdelen'!AB25)</f>
        <v>0</v>
      </c>
      <c r="CP41" s="208">
        <f>IF($CE41=1,$CF41*'Verwerking Bouwdelen'!DU25,$CF41*'Verwerking Bouwdelen'!AC25)</f>
        <v>0</v>
      </c>
      <c r="CQ41" s="208">
        <f>IF($CE41=1,$CF41*'Verwerking Bouwdelen'!DV25,$CF41*'Verwerking Bouwdelen'!AD25)</f>
        <v>0</v>
      </c>
      <c r="CR41" s="208">
        <f>IF($CE41=1,$CF41*'Verwerking Bouwdelen'!DW25,$CF41*'Verwerking Bouwdelen'!AE25)</f>
        <v>0</v>
      </c>
      <c r="CS41" s="10">
        <f>IF(CG41=$B41,0,('Verwerking Bouwdelen'!$D25-'Verwerking Bouwdelen'!G25)*CE41*CF41)</f>
        <v>0</v>
      </c>
      <c r="CT41" s="260">
        <f>CE41*CF41*'Verwerking Bouwdelen'!GH25</f>
        <v>0</v>
      </c>
      <c r="CU41" s="261">
        <f>CE41*CF41*'Verwerking Bouwdelen'!GI25</f>
        <v>0</v>
      </c>
      <c r="CW41" s="209">
        <f>$AC41*'Verwerking Bouwdelen'!EE25</f>
        <v>0</v>
      </c>
      <c r="CX41" s="209">
        <f>$AC41*'Verwerking Bouwdelen'!EF25</f>
        <v>0</v>
      </c>
      <c r="CY41" s="209">
        <f>$AC41*'Verwerking Bouwdelen'!EG25</f>
        <v>0</v>
      </c>
      <c r="CZ41" s="209">
        <f>$AC41*'Verwerking Bouwdelen'!EH25</f>
        <v>0</v>
      </c>
      <c r="DA41" s="209">
        <f>$AC41*'Verwerking Bouwdelen'!EI25</f>
        <v>0</v>
      </c>
      <c r="DB41" s="209">
        <f>$AC41*'Verwerking Bouwdelen'!EJ25</f>
        <v>0</v>
      </c>
      <c r="DC41" s="209">
        <f>$AC41*'Verwerking Bouwdelen'!EK25</f>
        <v>0</v>
      </c>
      <c r="DD41" s="209">
        <f>$AC41*'Verwerking Bouwdelen'!EL25</f>
        <v>0</v>
      </c>
      <c r="DE41" s="209">
        <f>$AC41*'Verwerking Bouwdelen'!EM25</f>
        <v>0</v>
      </c>
      <c r="DF41" s="209">
        <f>$AC41*'Verwerking Bouwdelen'!EN25</f>
        <v>0</v>
      </c>
      <c r="DG41" s="209">
        <f>$AC41*'Verwerking Bouwdelen'!EO25</f>
        <v>0</v>
      </c>
      <c r="DH41" s="209">
        <f>$AC41*'Verwerking Bouwdelen'!EP25</f>
        <v>0</v>
      </c>
      <c r="DI41" s="10">
        <f>IF(CW41=$O41,0,'Verwerking Bouwdelen'!G25)</f>
        <v>0</v>
      </c>
      <c r="DJ41" s="259">
        <f>'Verwerking Bouwdelen'!GK25*CF41</f>
        <v>0</v>
      </c>
      <c r="DK41" s="259">
        <f>'Verwerking Bouwdelen'!GL25*CF41</f>
        <v>0</v>
      </c>
      <c r="DL41" s="125"/>
      <c r="GM41" s="89">
        <f t="shared" si="13"/>
        <v>0</v>
      </c>
      <c r="GN41" s="89">
        <f t="shared" si="14"/>
        <v>0</v>
      </c>
      <c r="GO41" s="208">
        <f>IF($GN41=1,$GN41*$GM41*'Verwerking Bouwdelen'!DL25,$GN41*$GM41*'Verwerking Bouwdelen'!T25)</f>
        <v>0</v>
      </c>
      <c r="GP41" s="208">
        <f>IF($GN41=1,$GN41*$GM41*'Verwerking Bouwdelen'!DM25,$GN41*$GM41*'Verwerking Bouwdelen'!U25)</f>
        <v>0</v>
      </c>
      <c r="GQ41" s="208">
        <f>IF($GN41=1,$GN41*$GM41*'Verwerking Bouwdelen'!DN25,$GN41*$GM41*'Verwerking Bouwdelen'!V25)</f>
        <v>0</v>
      </c>
      <c r="GR41" s="208">
        <f>IF($GN41=1,$GN41*$GM41*'Verwerking Bouwdelen'!DO25,$GN41*$GM41*'Verwerking Bouwdelen'!W25)</f>
        <v>0</v>
      </c>
      <c r="GS41" s="208">
        <f>IF($GN41=1,$GN41*$GM41*'Verwerking Bouwdelen'!DP25,$GN41*$GM41*'Verwerking Bouwdelen'!X25)</f>
        <v>0</v>
      </c>
      <c r="GT41" s="208">
        <f>IF($GN41=1,$GN41*$GM41*'Verwerking Bouwdelen'!DQ25,$GN41*$GM41*'Verwerking Bouwdelen'!Y25)</f>
        <v>0</v>
      </c>
      <c r="GU41" s="208">
        <f>IF($GN41=1,$GN41*$GM41*'Verwerking Bouwdelen'!DR25,$GN41*$GM41*'Verwerking Bouwdelen'!Z25)</f>
        <v>0</v>
      </c>
      <c r="GV41" s="208">
        <f>IF($GN41=1,$GN41*$GM41*'Verwerking Bouwdelen'!DS25,$GN41*$GM41*'Verwerking Bouwdelen'!AA25)</f>
        <v>0</v>
      </c>
      <c r="GW41" s="208">
        <f>IF($GN41=1,$GN41*$GM41*'Verwerking Bouwdelen'!DT25,$GN41*$GM41*'Verwerking Bouwdelen'!AB25)</f>
        <v>0</v>
      </c>
      <c r="GX41" s="208">
        <f>IF($GN41=1,$GN41*$GM41*'Verwerking Bouwdelen'!DU25,$GN41*$GM41*'Verwerking Bouwdelen'!AC25)</f>
        <v>0</v>
      </c>
      <c r="GY41" s="208">
        <f>IF($GN41=1,$GN41*$GM41*'Verwerking Bouwdelen'!DV25,$GN41*$GM41*'Verwerking Bouwdelen'!AD25)</f>
        <v>0</v>
      </c>
      <c r="GZ41" s="208">
        <f>IF($GN41=1,$GN41*$GM41*'Verwerking Bouwdelen'!DW25,$GN41*$GM41*'Verwerking Bouwdelen'!AE25)</f>
        <v>0</v>
      </c>
      <c r="HB41" s="89">
        <f t="shared" si="16"/>
        <v>0</v>
      </c>
      <c r="HC41" s="89">
        <f t="shared" si="17"/>
        <v>0</v>
      </c>
      <c r="HD41" s="89">
        <f t="shared" si="18"/>
        <v>0</v>
      </c>
      <c r="HE41" s="89">
        <f t="shared" si="19"/>
        <v>0</v>
      </c>
      <c r="HF41" s="89">
        <f t="shared" si="19"/>
        <v>0</v>
      </c>
      <c r="HG41" s="89">
        <f t="shared" si="19"/>
        <v>0</v>
      </c>
      <c r="HH41" s="89">
        <f t="shared" si="19"/>
        <v>0</v>
      </c>
      <c r="HI41" s="89">
        <f t="shared" si="19"/>
        <v>0</v>
      </c>
      <c r="HJ41" s="89">
        <f t="shared" si="19"/>
        <v>0</v>
      </c>
      <c r="HK41" s="89">
        <f t="shared" si="19"/>
        <v>0</v>
      </c>
      <c r="HL41" s="89">
        <f t="shared" si="19"/>
        <v>0</v>
      </c>
      <c r="HM41" s="89">
        <f t="shared" si="19"/>
        <v>0</v>
      </c>
    </row>
    <row r="42" spans="1:221" x14ac:dyDescent="0.2">
      <c r="A42" s="130">
        <f>IF('Verwerking Bouwdelen'!A26=4,1,0)</f>
        <v>0</v>
      </c>
      <c r="B42" s="208">
        <f>$A42*'Verwerking Bouwdelen'!T26</f>
        <v>0</v>
      </c>
      <c r="C42" s="208">
        <f>$A42*'Verwerking Bouwdelen'!U26</f>
        <v>0</v>
      </c>
      <c r="D42" s="208">
        <f>$A42*'Verwerking Bouwdelen'!V26</f>
        <v>0</v>
      </c>
      <c r="E42" s="208">
        <f>$A42*'Verwerking Bouwdelen'!W26</f>
        <v>0</v>
      </c>
      <c r="F42" s="208">
        <f>$A42*'Verwerking Bouwdelen'!X26</f>
        <v>0</v>
      </c>
      <c r="G42" s="208">
        <f>$A42*'Verwerking Bouwdelen'!Y26</f>
        <v>0</v>
      </c>
      <c r="H42" s="208">
        <f>$A42*'Verwerking Bouwdelen'!Z26</f>
        <v>0</v>
      </c>
      <c r="I42" s="208">
        <f>$A42*'Verwerking Bouwdelen'!AA26</f>
        <v>0</v>
      </c>
      <c r="J42" s="208">
        <f>$A42*'Verwerking Bouwdelen'!AB26</f>
        <v>0</v>
      </c>
      <c r="K42" s="208">
        <f>$A42*'Verwerking Bouwdelen'!AC26</f>
        <v>0</v>
      </c>
      <c r="L42" s="208">
        <f>$A42*'Verwerking Bouwdelen'!AD26</f>
        <v>0</v>
      </c>
      <c r="M42" s="208">
        <f>$A42*'Verwerking Bouwdelen'!AE26</f>
        <v>0</v>
      </c>
      <c r="O42" s="114">
        <f>$A42*'Verwerking Bouwdelen'!AU26</f>
        <v>0</v>
      </c>
      <c r="P42" s="125">
        <f>$A42*'Verwerking Bouwdelen'!AV26</f>
        <v>0</v>
      </c>
      <c r="Q42" s="125">
        <f>$A42*'Verwerking Bouwdelen'!AW26</f>
        <v>0</v>
      </c>
      <c r="R42" s="125">
        <f>$A42*'Verwerking Bouwdelen'!AX26</f>
        <v>0</v>
      </c>
      <c r="S42" s="125">
        <f>$A42*'Verwerking Bouwdelen'!AY26</f>
        <v>0</v>
      </c>
      <c r="T42" s="125">
        <f>$A42*'Verwerking Bouwdelen'!AZ26</f>
        <v>0</v>
      </c>
      <c r="U42" s="125">
        <f>$A42*'Verwerking Bouwdelen'!BA26</f>
        <v>0</v>
      </c>
      <c r="V42" s="125">
        <f>$A42*'Verwerking Bouwdelen'!BB26</f>
        <v>0</v>
      </c>
      <c r="W42" s="125">
        <f>$A42*'Verwerking Bouwdelen'!BC26</f>
        <v>0</v>
      </c>
      <c r="X42" s="125">
        <f>$A42*'Verwerking Bouwdelen'!BD26</f>
        <v>0</v>
      </c>
      <c r="Y42" s="125">
        <f>$A42*'Verwerking Bouwdelen'!BE26</f>
        <v>0</v>
      </c>
      <c r="Z42" s="195">
        <f>$A42*'Verwerking Bouwdelen'!BF26</f>
        <v>0</v>
      </c>
      <c r="AB42" s="125">
        <f>IF(OR('Verwerking Bouwdelen'!C26=3,'Verwerking Bouwdelen'!C26=6),1,0)</f>
        <v>0</v>
      </c>
      <c r="AC42" s="130">
        <f>IF('Verwerking Bouwdelen'!A26=4,1,0)</f>
        <v>0</v>
      </c>
      <c r="AD42" s="208">
        <f>IF($AB42=1,$AC42*'Verwerking Bouwdelen'!DL26,$AC42*'Verwerking Bouwdelen'!T26)</f>
        <v>0</v>
      </c>
      <c r="AE42" s="208">
        <f>IF($AB42=1,$AC42*'Verwerking Bouwdelen'!DM26,$AC42*'Verwerking Bouwdelen'!U26)</f>
        <v>0</v>
      </c>
      <c r="AF42" s="208">
        <f>IF($AB42=1,$AC42*'Verwerking Bouwdelen'!DN26,$AC42*'Verwerking Bouwdelen'!V26)</f>
        <v>0</v>
      </c>
      <c r="AG42" s="208">
        <f>IF($AB42=1,$AC42*'Verwerking Bouwdelen'!DO26,$AC42*'Verwerking Bouwdelen'!W26)</f>
        <v>0</v>
      </c>
      <c r="AH42" s="208">
        <f>IF($AB42=1,$AC42*'Verwerking Bouwdelen'!DP26,$AC42*'Verwerking Bouwdelen'!X26)</f>
        <v>0</v>
      </c>
      <c r="AI42" s="208">
        <f>IF($AB42=1,$AC42*'Verwerking Bouwdelen'!DQ26,$AC42*'Verwerking Bouwdelen'!Y26)</f>
        <v>0</v>
      </c>
      <c r="AJ42" s="208">
        <f>IF($AB42=1,$AC42*'Verwerking Bouwdelen'!DR26,$AC42*'Verwerking Bouwdelen'!Z26)</f>
        <v>0</v>
      </c>
      <c r="AK42" s="208">
        <f>IF($AB42=1,$AC42*'Verwerking Bouwdelen'!DS26,$AC42*'Verwerking Bouwdelen'!AA26)</f>
        <v>0</v>
      </c>
      <c r="AL42" s="208">
        <f>IF($AB42=1,$AC42*'Verwerking Bouwdelen'!DT26,$AC42*'Verwerking Bouwdelen'!AB26)</f>
        <v>0</v>
      </c>
      <c r="AM42" s="208">
        <f>IF($AB42=1,$AC42*'Verwerking Bouwdelen'!DU26,$AC42*'Verwerking Bouwdelen'!AC26)</f>
        <v>0</v>
      </c>
      <c r="AN42" s="208">
        <f>IF($AB42=1,$AC42*'Verwerking Bouwdelen'!DV26,$AC42*'Verwerking Bouwdelen'!AD26)</f>
        <v>0</v>
      </c>
      <c r="AO42" s="208">
        <f>IF($AB42=1,$AC42*'Verwerking Bouwdelen'!DW26,$AC42*'Verwerking Bouwdelen'!AE26)</f>
        <v>0</v>
      </c>
      <c r="AP42" s="10">
        <f>IF(AD42=B42,0,'Verwerking Bouwdelen'!D26*AB42*AC42)</f>
        <v>0</v>
      </c>
      <c r="AQ42" s="10">
        <f>AB42*AC42*'Verwerking Bouwdelen'!GH26</f>
        <v>0</v>
      </c>
      <c r="AR42" s="10"/>
      <c r="AS42" s="248"/>
      <c r="AT42" s="125">
        <f>IF('Verwerking Bouwdelen'!C26=4,1,0)</f>
        <v>0</v>
      </c>
      <c r="AU42" s="130">
        <f>IF('Verwerking Bouwdelen'!A26=4,1,0)</f>
        <v>0</v>
      </c>
      <c r="AV42" s="208">
        <f>IF($AT42=1,$AU42*'Verwerking Bouwdelen'!DL26,$AU42*'Verwerking Bouwdelen'!T26)</f>
        <v>0</v>
      </c>
      <c r="AW42" s="208">
        <f>IF($AT42=1,$AU42*'Verwerking Bouwdelen'!DM26,$AU42*'Verwerking Bouwdelen'!U26)</f>
        <v>0</v>
      </c>
      <c r="AX42" s="208">
        <f>IF($AT42=1,$AU42*'Verwerking Bouwdelen'!DN26,$AU42*'Verwerking Bouwdelen'!V26)</f>
        <v>0</v>
      </c>
      <c r="AY42" s="208">
        <f>IF($AT42=1,$AU42*'Verwerking Bouwdelen'!DO26,$AU42*'Verwerking Bouwdelen'!W26)</f>
        <v>0</v>
      </c>
      <c r="AZ42" s="208">
        <f>IF($AT42=1,$AU42*'Verwerking Bouwdelen'!DP26,$AU42*'Verwerking Bouwdelen'!X26)</f>
        <v>0</v>
      </c>
      <c r="BA42" s="208">
        <f>IF($AT42=1,$AU42*'Verwerking Bouwdelen'!DQ26,$AU42*'Verwerking Bouwdelen'!Y26)</f>
        <v>0</v>
      </c>
      <c r="BB42" s="208">
        <f>IF($AT42=1,$AU42*'Verwerking Bouwdelen'!DR26,$AU42*'Verwerking Bouwdelen'!Z26)</f>
        <v>0</v>
      </c>
      <c r="BC42" s="208">
        <f>IF($AT42=1,$AU42*'Verwerking Bouwdelen'!DS26,$AU42*'Verwerking Bouwdelen'!AA26)</f>
        <v>0</v>
      </c>
      <c r="BD42" s="208">
        <f>IF($AT42=1,$AU42*'Verwerking Bouwdelen'!DT26,$AU42*'Verwerking Bouwdelen'!AB26)</f>
        <v>0</v>
      </c>
      <c r="BE42" s="208">
        <f>IF($AT42=1,$AU42*'Verwerking Bouwdelen'!DU26,$AU42*'Verwerking Bouwdelen'!AC26)</f>
        <v>0</v>
      </c>
      <c r="BF42" s="208">
        <f>IF($AT42=1,$AU42*'Verwerking Bouwdelen'!DV26,$AU42*'Verwerking Bouwdelen'!AD26)</f>
        <v>0</v>
      </c>
      <c r="BG42" s="208">
        <f>IF($AT42=1,$AU42*'Verwerking Bouwdelen'!DW26,$AU42*'Verwerking Bouwdelen'!AE26)</f>
        <v>0</v>
      </c>
      <c r="BH42" s="10">
        <f>IF(AV42=B42,0,'Verwerking Bouwdelen'!D26*AT42*AU42)</f>
        <v>0</v>
      </c>
      <c r="BI42" s="10">
        <f>AT42*AU42*'Verwerking Bouwdelen'!GH26</f>
        <v>0</v>
      </c>
      <c r="BJ42" s="10"/>
      <c r="BK42" s="10"/>
      <c r="BM42" s="125">
        <f>IF('Verwerking Bouwdelen'!C26=5,1,0)</f>
        <v>0</v>
      </c>
      <c r="BN42" s="130">
        <f>IF('Verwerking Bouwdelen'!A26=4,1,0)</f>
        <v>0</v>
      </c>
      <c r="BO42" s="208">
        <f>IF($BM42=1,$BN42*'Verwerking Bouwdelen'!DL26,$BN42*'Verwerking Bouwdelen'!T26)</f>
        <v>0</v>
      </c>
      <c r="BP42" s="208">
        <f>IF($BM42=1,$BN42*'Verwerking Bouwdelen'!DM26,$BN42*'Verwerking Bouwdelen'!U26)</f>
        <v>0</v>
      </c>
      <c r="BQ42" s="208">
        <f>IF($BM42=1,$BN42*'Verwerking Bouwdelen'!DN26,$BN42*'Verwerking Bouwdelen'!V26)</f>
        <v>0</v>
      </c>
      <c r="BR42" s="208">
        <f>IF($BM42=1,$BN42*'Verwerking Bouwdelen'!DO26,$BN42*'Verwerking Bouwdelen'!W26)</f>
        <v>0</v>
      </c>
      <c r="BS42" s="208">
        <f>IF($BM42=1,$BN42*'Verwerking Bouwdelen'!DP26,$BN42*'Verwerking Bouwdelen'!X26)</f>
        <v>0</v>
      </c>
      <c r="BT42" s="208">
        <f>IF($BM42=1,$BN42*'Verwerking Bouwdelen'!DQ26,$BN42*'Verwerking Bouwdelen'!Y26)</f>
        <v>0</v>
      </c>
      <c r="BU42" s="208">
        <f>IF($BM42=1,$BN42*'Verwerking Bouwdelen'!DR26,$BN42*'Verwerking Bouwdelen'!Z26)</f>
        <v>0</v>
      </c>
      <c r="BV42" s="208">
        <f>IF($BM42=1,$BN42*'Verwerking Bouwdelen'!DS26,$BN42*'Verwerking Bouwdelen'!AA26)</f>
        <v>0</v>
      </c>
      <c r="BW42" s="208">
        <f>IF($BM42=1,$BN42*'Verwerking Bouwdelen'!DT26,$BN42*'Verwerking Bouwdelen'!AB26)</f>
        <v>0</v>
      </c>
      <c r="BX42" s="208">
        <f>IF($BM42=1,$BN42*'Verwerking Bouwdelen'!DU26,$BN42*'Verwerking Bouwdelen'!AC26)</f>
        <v>0</v>
      </c>
      <c r="BY42" s="208">
        <f>IF($BM42=1,$BN42*'Verwerking Bouwdelen'!DV26,$BN42*'Verwerking Bouwdelen'!AD26)</f>
        <v>0</v>
      </c>
      <c r="BZ42" s="208">
        <f>IF($BM42=1,$BN42*'Verwerking Bouwdelen'!DW26,$BN42*'Verwerking Bouwdelen'!AE26)</f>
        <v>0</v>
      </c>
      <c r="CA42" s="10">
        <f>IF(BO42=$B42,0,'Verwerking Bouwdelen'!$D26*BM42*BN42)</f>
        <v>0</v>
      </c>
      <c r="CB42" s="10">
        <f>BM42*BN42*'Verwerking Bouwdelen'!GH26</f>
        <v>0</v>
      </c>
      <c r="CC42" s="10"/>
      <c r="CD42" s="248"/>
      <c r="CE42" s="125">
        <f>IF('Verwerking Bouwdelen'!C26=2,1,0)</f>
        <v>0</v>
      </c>
      <c r="CF42" s="130">
        <f>IF('Verwerking Bouwdelen'!A26=4,1,0)</f>
        <v>0</v>
      </c>
      <c r="CG42" s="208">
        <f>IF($CE42=1,$CF42*'Verwerking Bouwdelen'!DL26,$CF42*'Verwerking Bouwdelen'!T26)</f>
        <v>0</v>
      </c>
      <c r="CH42" s="208">
        <f>IF($CE42=1,$CF42*'Verwerking Bouwdelen'!DM26,$CF42*'Verwerking Bouwdelen'!U26)</f>
        <v>0</v>
      </c>
      <c r="CI42" s="208">
        <f>IF($CE42=1,$CF42*'Verwerking Bouwdelen'!DN26,$CF42*'Verwerking Bouwdelen'!V26)</f>
        <v>0</v>
      </c>
      <c r="CJ42" s="208">
        <f>IF($CE42=1,$CF42*'Verwerking Bouwdelen'!DO26,$CF42*'Verwerking Bouwdelen'!W26)</f>
        <v>0</v>
      </c>
      <c r="CK42" s="208">
        <f>IF($CE42=1,$CF42*'Verwerking Bouwdelen'!DP26,$CF42*'Verwerking Bouwdelen'!X26)</f>
        <v>0</v>
      </c>
      <c r="CL42" s="208">
        <f>IF($CE42=1,$CF42*'Verwerking Bouwdelen'!DQ26,$CF42*'Verwerking Bouwdelen'!Y26)</f>
        <v>0</v>
      </c>
      <c r="CM42" s="208">
        <f>IF($CE42=1,$CF42*'Verwerking Bouwdelen'!DR26,$CF42*'Verwerking Bouwdelen'!Z26)</f>
        <v>0</v>
      </c>
      <c r="CN42" s="208">
        <f>IF($CE42=1,$CF42*'Verwerking Bouwdelen'!DS26,$CF42*'Verwerking Bouwdelen'!AA26)</f>
        <v>0</v>
      </c>
      <c r="CO42" s="208">
        <f>IF($CE42=1,$CF42*'Verwerking Bouwdelen'!DT26,$CF42*'Verwerking Bouwdelen'!AB26)</f>
        <v>0</v>
      </c>
      <c r="CP42" s="208">
        <f>IF($CE42=1,$CF42*'Verwerking Bouwdelen'!DU26,$CF42*'Verwerking Bouwdelen'!AC26)</f>
        <v>0</v>
      </c>
      <c r="CQ42" s="208">
        <f>IF($CE42=1,$CF42*'Verwerking Bouwdelen'!DV26,$CF42*'Verwerking Bouwdelen'!AD26)</f>
        <v>0</v>
      </c>
      <c r="CR42" s="208">
        <f>IF($CE42=1,$CF42*'Verwerking Bouwdelen'!DW26,$CF42*'Verwerking Bouwdelen'!AE26)</f>
        <v>0</v>
      </c>
      <c r="CS42" s="10">
        <f>IF(CG42=$B42,0,('Verwerking Bouwdelen'!$D26-'Verwerking Bouwdelen'!G26)*CE42*CF42)</f>
        <v>0</v>
      </c>
      <c r="CT42" s="260">
        <f>CE42*CF42*'Verwerking Bouwdelen'!GH26</f>
        <v>0</v>
      </c>
      <c r="CU42" s="261">
        <f>CE42*CF42*'Verwerking Bouwdelen'!GI26</f>
        <v>0</v>
      </c>
      <c r="CW42" s="209">
        <f>$AC42*'Verwerking Bouwdelen'!EE26</f>
        <v>0</v>
      </c>
      <c r="CX42" s="209">
        <f>$AC42*'Verwerking Bouwdelen'!EF26</f>
        <v>0</v>
      </c>
      <c r="CY42" s="209">
        <f>$AC42*'Verwerking Bouwdelen'!EG26</f>
        <v>0</v>
      </c>
      <c r="CZ42" s="209">
        <f>$AC42*'Verwerking Bouwdelen'!EH26</f>
        <v>0</v>
      </c>
      <c r="DA42" s="209">
        <f>$AC42*'Verwerking Bouwdelen'!EI26</f>
        <v>0</v>
      </c>
      <c r="DB42" s="209">
        <f>$AC42*'Verwerking Bouwdelen'!EJ26</f>
        <v>0</v>
      </c>
      <c r="DC42" s="209">
        <f>$AC42*'Verwerking Bouwdelen'!EK26</f>
        <v>0</v>
      </c>
      <c r="DD42" s="209">
        <f>$AC42*'Verwerking Bouwdelen'!EL26</f>
        <v>0</v>
      </c>
      <c r="DE42" s="209">
        <f>$AC42*'Verwerking Bouwdelen'!EM26</f>
        <v>0</v>
      </c>
      <c r="DF42" s="209">
        <f>$AC42*'Verwerking Bouwdelen'!EN26</f>
        <v>0</v>
      </c>
      <c r="DG42" s="209">
        <f>$AC42*'Verwerking Bouwdelen'!EO26</f>
        <v>0</v>
      </c>
      <c r="DH42" s="209">
        <f>$AC42*'Verwerking Bouwdelen'!EP26</f>
        <v>0</v>
      </c>
      <c r="DI42" s="10">
        <f>IF(CW42=$O42,0,'Verwerking Bouwdelen'!G26)</f>
        <v>0</v>
      </c>
      <c r="DJ42" s="259">
        <f>'Verwerking Bouwdelen'!GK26*CF42</f>
        <v>0</v>
      </c>
      <c r="DK42" s="259">
        <f>'Verwerking Bouwdelen'!GL26*CF42</f>
        <v>0</v>
      </c>
      <c r="DL42" s="125"/>
      <c r="GM42" s="89">
        <f t="shared" si="13"/>
        <v>0</v>
      </c>
      <c r="GN42" s="89">
        <f t="shared" si="14"/>
        <v>0</v>
      </c>
      <c r="GO42" s="208">
        <f>IF($GN42=1,$GN42*$GM42*'Verwerking Bouwdelen'!DL26,$GN42*$GM42*'Verwerking Bouwdelen'!T26)</f>
        <v>0</v>
      </c>
      <c r="GP42" s="208">
        <f>IF($GN42=1,$GN42*$GM42*'Verwerking Bouwdelen'!DM26,$GN42*$GM42*'Verwerking Bouwdelen'!U26)</f>
        <v>0</v>
      </c>
      <c r="GQ42" s="208">
        <f>IF($GN42=1,$GN42*$GM42*'Verwerking Bouwdelen'!DN26,$GN42*$GM42*'Verwerking Bouwdelen'!V26)</f>
        <v>0</v>
      </c>
      <c r="GR42" s="208">
        <f>IF($GN42=1,$GN42*$GM42*'Verwerking Bouwdelen'!DO26,$GN42*$GM42*'Verwerking Bouwdelen'!W26)</f>
        <v>0</v>
      </c>
      <c r="GS42" s="208">
        <f>IF($GN42=1,$GN42*$GM42*'Verwerking Bouwdelen'!DP26,$GN42*$GM42*'Verwerking Bouwdelen'!X26)</f>
        <v>0</v>
      </c>
      <c r="GT42" s="208">
        <f>IF($GN42=1,$GN42*$GM42*'Verwerking Bouwdelen'!DQ26,$GN42*$GM42*'Verwerking Bouwdelen'!Y26)</f>
        <v>0</v>
      </c>
      <c r="GU42" s="208">
        <f>IF($GN42=1,$GN42*$GM42*'Verwerking Bouwdelen'!DR26,$GN42*$GM42*'Verwerking Bouwdelen'!Z26)</f>
        <v>0</v>
      </c>
      <c r="GV42" s="208">
        <f>IF($GN42=1,$GN42*$GM42*'Verwerking Bouwdelen'!DS26,$GN42*$GM42*'Verwerking Bouwdelen'!AA26)</f>
        <v>0</v>
      </c>
      <c r="GW42" s="208">
        <f>IF($GN42=1,$GN42*$GM42*'Verwerking Bouwdelen'!DT26,$GN42*$GM42*'Verwerking Bouwdelen'!AB26)</f>
        <v>0</v>
      </c>
      <c r="GX42" s="208">
        <f>IF($GN42=1,$GN42*$GM42*'Verwerking Bouwdelen'!DU26,$GN42*$GM42*'Verwerking Bouwdelen'!AC26)</f>
        <v>0</v>
      </c>
      <c r="GY42" s="208">
        <f>IF($GN42=1,$GN42*$GM42*'Verwerking Bouwdelen'!DV26,$GN42*$GM42*'Verwerking Bouwdelen'!AD26)</f>
        <v>0</v>
      </c>
      <c r="GZ42" s="208">
        <f>IF($GN42=1,$GN42*$GM42*'Verwerking Bouwdelen'!DW26,$GN42*$GM42*'Verwerking Bouwdelen'!AE26)</f>
        <v>0</v>
      </c>
      <c r="HB42" s="89">
        <f t="shared" si="16"/>
        <v>0</v>
      </c>
      <c r="HC42" s="89">
        <f t="shared" si="17"/>
        <v>0</v>
      </c>
      <c r="HD42" s="89">
        <f t="shared" si="18"/>
        <v>0</v>
      </c>
      <c r="HE42" s="89">
        <f t="shared" si="19"/>
        <v>0</v>
      </c>
      <c r="HF42" s="89">
        <f t="shared" si="19"/>
        <v>0</v>
      </c>
      <c r="HG42" s="89">
        <f t="shared" si="19"/>
        <v>0</v>
      </c>
      <c r="HH42" s="89">
        <f t="shared" si="19"/>
        <v>0</v>
      </c>
      <c r="HI42" s="89">
        <f t="shared" si="19"/>
        <v>0</v>
      </c>
      <c r="HJ42" s="89">
        <f t="shared" si="19"/>
        <v>0</v>
      </c>
      <c r="HK42" s="89">
        <f t="shared" si="19"/>
        <v>0</v>
      </c>
      <c r="HL42" s="89">
        <f t="shared" si="19"/>
        <v>0</v>
      </c>
      <c r="HM42" s="89">
        <f t="shared" si="19"/>
        <v>0</v>
      </c>
    </row>
    <row r="43" spans="1:221" x14ac:dyDescent="0.2">
      <c r="A43" s="130">
        <f>IF('Verwerking Bouwdelen'!A27=4,1,0)</f>
        <v>0</v>
      </c>
      <c r="B43" s="208">
        <f>$A43*'Verwerking Bouwdelen'!T27</f>
        <v>0</v>
      </c>
      <c r="C43" s="208">
        <f>$A43*'Verwerking Bouwdelen'!U27</f>
        <v>0</v>
      </c>
      <c r="D43" s="208">
        <f>$A43*'Verwerking Bouwdelen'!V27</f>
        <v>0</v>
      </c>
      <c r="E43" s="208">
        <f>$A43*'Verwerking Bouwdelen'!W27</f>
        <v>0</v>
      </c>
      <c r="F43" s="208">
        <f>$A43*'Verwerking Bouwdelen'!X27</f>
        <v>0</v>
      </c>
      <c r="G43" s="208">
        <f>$A43*'Verwerking Bouwdelen'!Y27</f>
        <v>0</v>
      </c>
      <c r="H43" s="208">
        <f>$A43*'Verwerking Bouwdelen'!Z27</f>
        <v>0</v>
      </c>
      <c r="I43" s="208">
        <f>$A43*'Verwerking Bouwdelen'!AA27</f>
        <v>0</v>
      </c>
      <c r="J43" s="208">
        <f>$A43*'Verwerking Bouwdelen'!AB27</f>
        <v>0</v>
      </c>
      <c r="K43" s="208">
        <f>$A43*'Verwerking Bouwdelen'!AC27</f>
        <v>0</v>
      </c>
      <c r="L43" s="208">
        <f>$A43*'Verwerking Bouwdelen'!AD27</f>
        <v>0</v>
      </c>
      <c r="M43" s="208">
        <f>$A43*'Verwerking Bouwdelen'!AE27</f>
        <v>0</v>
      </c>
      <c r="O43" s="114">
        <f>$A43*'Verwerking Bouwdelen'!AU27</f>
        <v>0</v>
      </c>
      <c r="P43" s="125">
        <f>$A43*'Verwerking Bouwdelen'!AV27</f>
        <v>0</v>
      </c>
      <c r="Q43" s="125">
        <f>$A43*'Verwerking Bouwdelen'!AW27</f>
        <v>0</v>
      </c>
      <c r="R43" s="125">
        <f>$A43*'Verwerking Bouwdelen'!AX27</f>
        <v>0</v>
      </c>
      <c r="S43" s="125">
        <f>$A43*'Verwerking Bouwdelen'!AY27</f>
        <v>0</v>
      </c>
      <c r="T43" s="125">
        <f>$A43*'Verwerking Bouwdelen'!AZ27</f>
        <v>0</v>
      </c>
      <c r="U43" s="125">
        <f>$A43*'Verwerking Bouwdelen'!BA27</f>
        <v>0</v>
      </c>
      <c r="V43" s="125">
        <f>$A43*'Verwerking Bouwdelen'!BB27</f>
        <v>0</v>
      </c>
      <c r="W43" s="125">
        <f>$A43*'Verwerking Bouwdelen'!BC27</f>
        <v>0</v>
      </c>
      <c r="X43" s="125">
        <f>$A43*'Verwerking Bouwdelen'!BD27</f>
        <v>0</v>
      </c>
      <c r="Y43" s="125">
        <f>$A43*'Verwerking Bouwdelen'!BE27</f>
        <v>0</v>
      </c>
      <c r="Z43" s="195">
        <f>$A43*'Verwerking Bouwdelen'!BF27</f>
        <v>0</v>
      </c>
      <c r="AB43" s="125">
        <f>IF(OR('Verwerking Bouwdelen'!C27=3,'Verwerking Bouwdelen'!C27=6),1,0)</f>
        <v>0</v>
      </c>
      <c r="AC43" s="130">
        <f>IF('Verwerking Bouwdelen'!A27=4,1,0)</f>
        <v>0</v>
      </c>
      <c r="AD43" s="208">
        <f>IF($AB43=1,$AC43*'Verwerking Bouwdelen'!DL27,$AC43*'Verwerking Bouwdelen'!T27)</f>
        <v>0</v>
      </c>
      <c r="AE43" s="208">
        <f>IF($AB43=1,$AC43*'Verwerking Bouwdelen'!DM27,$AC43*'Verwerking Bouwdelen'!U27)</f>
        <v>0</v>
      </c>
      <c r="AF43" s="208">
        <f>IF($AB43=1,$AC43*'Verwerking Bouwdelen'!DN27,$AC43*'Verwerking Bouwdelen'!V27)</f>
        <v>0</v>
      </c>
      <c r="AG43" s="208">
        <f>IF($AB43=1,$AC43*'Verwerking Bouwdelen'!DO27,$AC43*'Verwerking Bouwdelen'!W27)</f>
        <v>0</v>
      </c>
      <c r="AH43" s="208">
        <f>IF($AB43=1,$AC43*'Verwerking Bouwdelen'!DP27,$AC43*'Verwerking Bouwdelen'!X27)</f>
        <v>0</v>
      </c>
      <c r="AI43" s="208">
        <f>IF($AB43=1,$AC43*'Verwerking Bouwdelen'!DQ27,$AC43*'Verwerking Bouwdelen'!Y27)</f>
        <v>0</v>
      </c>
      <c r="AJ43" s="208">
        <f>IF($AB43=1,$AC43*'Verwerking Bouwdelen'!DR27,$AC43*'Verwerking Bouwdelen'!Z27)</f>
        <v>0</v>
      </c>
      <c r="AK43" s="208">
        <f>IF($AB43=1,$AC43*'Verwerking Bouwdelen'!DS27,$AC43*'Verwerking Bouwdelen'!AA27)</f>
        <v>0</v>
      </c>
      <c r="AL43" s="208">
        <f>IF($AB43=1,$AC43*'Verwerking Bouwdelen'!DT27,$AC43*'Verwerking Bouwdelen'!AB27)</f>
        <v>0</v>
      </c>
      <c r="AM43" s="208">
        <f>IF($AB43=1,$AC43*'Verwerking Bouwdelen'!DU27,$AC43*'Verwerking Bouwdelen'!AC27)</f>
        <v>0</v>
      </c>
      <c r="AN43" s="208">
        <f>IF($AB43=1,$AC43*'Verwerking Bouwdelen'!DV27,$AC43*'Verwerking Bouwdelen'!AD27)</f>
        <v>0</v>
      </c>
      <c r="AO43" s="208">
        <f>IF($AB43=1,$AC43*'Verwerking Bouwdelen'!DW27,$AC43*'Verwerking Bouwdelen'!AE27)</f>
        <v>0</v>
      </c>
      <c r="AP43" s="10">
        <f>IF(AD43=B43,0,'Verwerking Bouwdelen'!D27*AB43*AC43)</f>
        <v>0</v>
      </c>
      <c r="AQ43" s="10">
        <f>AB43*AC43*'Verwerking Bouwdelen'!GH27</f>
        <v>0</v>
      </c>
      <c r="AR43" s="10"/>
      <c r="AS43" s="248"/>
      <c r="AT43" s="125">
        <f>IF('Verwerking Bouwdelen'!C27=4,1,0)</f>
        <v>0</v>
      </c>
      <c r="AU43" s="130">
        <f>IF('Verwerking Bouwdelen'!A27=4,1,0)</f>
        <v>0</v>
      </c>
      <c r="AV43" s="208">
        <f>IF($AT43=1,$AU43*'Verwerking Bouwdelen'!DL27,$AU43*'Verwerking Bouwdelen'!T27)</f>
        <v>0</v>
      </c>
      <c r="AW43" s="208">
        <f>IF($AT43=1,$AU43*'Verwerking Bouwdelen'!DM27,$AU43*'Verwerking Bouwdelen'!U27)</f>
        <v>0</v>
      </c>
      <c r="AX43" s="208">
        <f>IF($AT43=1,$AU43*'Verwerking Bouwdelen'!DN27,$AU43*'Verwerking Bouwdelen'!V27)</f>
        <v>0</v>
      </c>
      <c r="AY43" s="208">
        <f>IF($AT43=1,$AU43*'Verwerking Bouwdelen'!DO27,$AU43*'Verwerking Bouwdelen'!W27)</f>
        <v>0</v>
      </c>
      <c r="AZ43" s="208">
        <f>IF($AT43=1,$AU43*'Verwerking Bouwdelen'!DP27,$AU43*'Verwerking Bouwdelen'!X27)</f>
        <v>0</v>
      </c>
      <c r="BA43" s="208">
        <f>IF($AT43=1,$AU43*'Verwerking Bouwdelen'!DQ27,$AU43*'Verwerking Bouwdelen'!Y27)</f>
        <v>0</v>
      </c>
      <c r="BB43" s="208">
        <f>IF($AT43=1,$AU43*'Verwerking Bouwdelen'!DR27,$AU43*'Verwerking Bouwdelen'!Z27)</f>
        <v>0</v>
      </c>
      <c r="BC43" s="208">
        <f>IF($AT43=1,$AU43*'Verwerking Bouwdelen'!DS27,$AU43*'Verwerking Bouwdelen'!AA27)</f>
        <v>0</v>
      </c>
      <c r="BD43" s="208">
        <f>IF($AT43=1,$AU43*'Verwerking Bouwdelen'!DT27,$AU43*'Verwerking Bouwdelen'!AB27)</f>
        <v>0</v>
      </c>
      <c r="BE43" s="208">
        <f>IF($AT43=1,$AU43*'Verwerking Bouwdelen'!DU27,$AU43*'Verwerking Bouwdelen'!AC27)</f>
        <v>0</v>
      </c>
      <c r="BF43" s="208">
        <f>IF($AT43=1,$AU43*'Verwerking Bouwdelen'!DV27,$AU43*'Verwerking Bouwdelen'!AD27)</f>
        <v>0</v>
      </c>
      <c r="BG43" s="208">
        <f>IF($AT43=1,$AU43*'Verwerking Bouwdelen'!DW27,$AU43*'Verwerking Bouwdelen'!AE27)</f>
        <v>0</v>
      </c>
      <c r="BH43" s="10">
        <f>IF(AV43=B43,0,'Verwerking Bouwdelen'!D27*AT43*AU43)</f>
        <v>0</v>
      </c>
      <c r="BI43" s="10">
        <f>AT43*AU43*'Verwerking Bouwdelen'!GH27</f>
        <v>0</v>
      </c>
      <c r="BJ43" s="10"/>
      <c r="BK43" s="10"/>
      <c r="BM43" s="125">
        <f>IF('Verwerking Bouwdelen'!C27=5,1,0)</f>
        <v>0</v>
      </c>
      <c r="BN43" s="130">
        <f>IF('Verwerking Bouwdelen'!A27=4,1,0)</f>
        <v>0</v>
      </c>
      <c r="BO43" s="208">
        <f>IF($BM43=1,$BN43*'Verwerking Bouwdelen'!DL27,$BN43*'Verwerking Bouwdelen'!T27)</f>
        <v>0</v>
      </c>
      <c r="BP43" s="208">
        <f>IF($BM43=1,$BN43*'Verwerking Bouwdelen'!DM27,$BN43*'Verwerking Bouwdelen'!U27)</f>
        <v>0</v>
      </c>
      <c r="BQ43" s="208">
        <f>IF($BM43=1,$BN43*'Verwerking Bouwdelen'!DN27,$BN43*'Verwerking Bouwdelen'!V27)</f>
        <v>0</v>
      </c>
      <c r="BR43" s="208">
        <f>IF($BM43=1,$BN43*'Verwerking Bouwdelen'!DO27,$BN43*'Verwerking Bouwdelen'!W27)</f>
        <v>0</v>
      </c>
      <c r="BS43" s="208">
        <f>IF($BM43=1,$BN43*'Verwerking Bouwdelen'!DP27,$BN43*'Verwerking Bouwdelen'!X27)</f>
        <v>0</v>
      </c>
      <c r="BT43" s="208">
        <f>IF($BM43=1,$BN43*'Verwerking Bouwdelen'!DQ27,$BN43*'Verwerking Bouwdelen'!Y27)</f>
        <v>0</v>
      </c>
      <c r="BU43" s="208">
        <f>IF($BM43=1,$BN43*'Verwerking Bouwdelen'!DR27,$BN43*'Verwerking Bouwdelen'!Z27)</f>
        <v>0</v>
      </c>
      <c r="BV43" s="208">
        <f>IF($BM43=1,$BN43*'Verwerking Bouwdelen'!DS27,$BN43*'Verwerking Bouwdelen'!AA27)</f>
        <v>0</v>
      </c>
      <c r="BW43" s="208">
        <f>IF($BM43=1,$BN43*'Verwerking Bouwdelen'!DT27,$BN43*'Verwerking Bouwdelen'!AB27)</f>
        <v>0</v>
      </c>
      <c r="BX43" s="208">
        <f>IF($BM43=1,$BN43*'Verwerking Bouwdelen'!DU27,$BN43*'Verwerking Bouwdelen'!AC27)</f>
        <v>0</v>
      </c>
      <c r="BY43" s="208">
        <f>IF($BM43=1,$BN43*'Verwerking Bouwdelen'!DV27,$BN43*'Verwerking Bouwdelen'!AD27)</f>
        <v>0</v>
      </c>
      <c r="BZ43" s="208">
        <f>IF($BM43=1,$BN43*'Verwerking Bouwdelen'!DW27,$BN43*'Verwerking Bouwdelen'!AE27)</f>
        <v>0</v>
      </c>
      <c r="CA43" s="10">
        <f>IF(BO43=$B43,0,'Verwerking Bouwdelen'!$D27*BM43*BN43)</f>
        <v>0</v>
      </c>
      <c r="CB43" s="10">
        <f>BM43*BN43*'Verwerking Bouwdelen'!GH27</f>
        <v>0</v>
      </c>
      <c r="CC43" s="10"/>
      <c r="CD43" s="248"/>
      <c r="CE43" s="125">
        <f>IF('Verwerking Bouwdelen'!C27=2,1,0)</f>
        <v>0</v>
      </c>
      <c r="CF43" s="130">
        <f>IF('Verwerking Bouwdelen'!A27=4,1,0)</f>
        <v>0</v>
      </c>
      <c r="CG43" s="208">
        <f>IF($CE43=1,$CF43*'Verwerking Bouwdelen'!DL27,$CF43*'Verwerking Bouwdelen'!T27)</f>
        <v>0</v>
      </c>
      <c r="CH43" s="208">
        <f>IF($CE43=1,$CF43*'Verwerking Bouwdelen'!DM27,$CF43*'Verwerking Bouwdelen'!U27)</f>
        <v>0</v>
      </c>
      <c r="CI43" s="208">
        <f>IF($CE43=1,$CF43*'Verwerking Bouwdelen'!DN27,$CF43*'Verwerking Bouwdelen'!V27)</f>
        <v>0</v>
      </c>
      <c r="CJ43" s="208">
        <f>IF($CE43=1,$CF43*'Verwerking Bouwdelen'!DO27,$CF43*'Verwerking Bouwdelen'!W27)</f>
        <v>0</v>
      </c>
      <c r="CK43" s="208">
        <f>IF($CE43=1,$CF43*'Verwerking Bouwdelen'!DP27,$CF43*'Verwerking Bouwdelen'!X27)</f>
        <v>0</v>
      </c>
      <c r="CL43" s="208">
        <f>IF($CE43=1,$CF43*'Verwerking Bouwdelen'!DQ27,$CF43*'Verwerking Bouwdelen'!Y27)</f>
        <v>0</v>
      </c>
      <c r="CM43" s="208">
        <f>IF($CE43=1,$CF43*'Verwerking Bouwdelen'!DR27,$CF43*'Verwerking Bouwdelen'!Z27)</f>
        <v>0</v>
      </c>
      <c r="CN43" s="208">
        <f>IF($CE43=1,$CF43*'Verwerking Bouwdelen'!DS27,$CF43*'Verwerking Bouwdelen'!AA27)</f>
        <v>0</v>
      </c>
      <c r="CO43" s="208">
        <f>IF($CE43=1,$CF43*'Verwerking Bouwdelen'!DT27,$CF43*'Verwerking Bouwdelen'!AB27)</f>
        <v>0</v>
      </c>
      <c r="CP43" s="208">
        <f>IF($CE43=1,$CF43*'Verwerking Bouwdelen'!DU27,$CF43*'Verwerking Bouwdelen'!AC27)</f>
        <v>0</v>
      </c>
      <c r="CQ43" s="208">
        <f>IF($CE43=1,$CF43*'Verwerking Bouwdelen'!DV27,$CF43*'Verwerking Bouwdelen'!AD27)</f>
        <v>0</v>
      </c>
      <c r="CR43" s="208">
        <f>IF($CE43=1,$CF43*'Verwerking Bouwdelen'!DW27,$CF43*'Verwerking Bouwdelen'!AE27)</f>
        <v>0</v>
      </c>
      <c r="CS43" s="10">
        <f>IF(CG43=$B43,0,('Verwerking Bouwdelen'!$D27-'Verwerking Bouwdelen'!G27)*CE43*CF43)</f>
        <v>0</v>
      </c>
      <c r="CT43" s="260">
        <f>CE43*CF43*'Verwerking Bouwdelen'!GH27</f>
        <v>0</v>
      </c>
      <c r="CU43" s="261">
        <f>CE43*CF43*'Verwerking Bouwdelen'!GI27</f>
        <v>0</v>
      </c>
      <c r="CW43" s="209">
        <f>$AC43*'Verwerking Bouwdelen'!EE27</f>
        <v>0</v>
      </c>
      <c r="CX43" s="209">
        <f>$AC43*'Verwerking Bouwdelen'!EF27</f>
        <v>0</v>
      </c>
      <c r="CY43" s="209">
        <f>$AC43*'Verwerking Bouwdelen'!EG27</f>
        <v>0</v>
      </c>
      <c r="CZ43" s="209">
        <f>$AC43*'Verwerking Bouwdelen'!EH27</f>
        <v>0</v>
      </c>
      <c r="DA43" s="209">
        <f>$AC43*'Verwerking Bouwdelen'!EI27</f>
        <v>0</v>
      </c>
      <c r="DB43" s="209">
        <f>$AC43*'Verwerking Bouwdelen'!EJ27</f>
        <v>0</v>
      </c>
      <c r="DC43" s="209">
        <f>$AC43*'Verwerking Bouwdelen'!EK27</f>
        <v>0</v>
      </c>
      <c r="DD43" s="209">
        <f>$AC43*'Verwerking Bouwdelen'!EL27</f>
        <v>0</v>
      </c>
      <c r="DE43" s="209">
        <f>$AC43*'Verwerking Bouwdelen'!EM27</f>
        <v>0</v>
      </c>
      <c r="DF43" s="209">
        <f>$AC43*'Verwerking Bouwdelen'!EN27</f>
        <v>0</v>
      </c>
      <c r="DG43" s="209">
        <f>$AC43*'Verwerking Bouwdelen'!EO27</f>
        <v>0</v>
      </c>
      <c r="DH43" s="209">
        <f>$AC43*'Verwerking Bouwdelen'!EP27</f>
        <v>0</v>
      </c>
      <c r="DI43" s="10">
        <f>IF(CW43=$O43,0,'Verwerking Bouwdelen'!G27)</f>
        <v>0</v>
      </c>
      <c r="DJ43" s="259">
        <f>'Verwerking Bouwdelen'!GK27*CF43</f>
        <v>0</v>
      </c>
      <c r="DK43" s="259">
        <f>'Verwerking Bouwdelen'!GL27*CF43</f>
        <v>0</v>
      </c>
      <c r="DL43" s="125"/>
      <c r="GM43" s="89">
        <f t="shared" si="13"/>
        <v>0</v>
      </c>
      <c r="GN43" s="89">
        <f t="shared" si="14"/>
        <v>0</v>
      </c>
      <c r="GO43" s="208">
        <f>IF($GN43=1,$GN43*$GM43*'Verwerking Bouwdelen'!DL27,$GN43*$GM43*'Verwerking Bouwdelen'!T27)</f>
        <v>0</v>
      </c>
      <c r="GP43" s="208">
        <f>IF($GN43=1,$GN43*$GM43*'Verwerking Bouwdelen'!DM27,$GN43*$GM43*'Verwerking Bouwdelen'!U27)</f>
        <v>0</v>
      </c>
      <c r="GQ43" s="208">
        <f>IF($GN43=1,$GN43*$GM43*'Verwerking Bouwdelen'!DN27,$GN43*$GM43*'Verwerking Bouwdelen'!V27)</f>
        <v>0</v>
      </c>
      <c r="GR43" s="208">
        <f>IF($GN43=1,$GN43*$GM43*'Verwerking Bouwdelen'!DO27,$GN43*$GM43*'Verwerking Bouwdelen'!W27)</f>
        <v>0</v>
      </c>
      <c r="GS43" s="208">
        <f>IF($GN43=1,$GN43*$GM43*'Verwerking Bouwdelen'!DP27,$GN43*$GM43*'Verwerking Bouwdelen'!X27)</f>
        <v>0</v>
      </c>
      <c r="GT43" s="208">
        <f>IF($GN43=1,$GN43*$GM43*'Verwerking Bouwdelen'!DQ27,$GN43*$GM43*'Verwerking Bouwdelen'!Y27)</f>
        <v>0</v>
      </c>
      <c r="GU43" s="208">
        <f>IF($GN43=1,$GN43*$GM43*'Verwerking Bouwdelen'!DR27,$GN43*$GM43*'Verwerking Bouwdelen'!Z27)</f>
        <v>0</v>
      </c>
      <c r="GV43" s="208">
        <f>IF($GN43=1,$GN43*$GM43*'Verwerking Bouwdelen'!DS27,$GN43*$GM43*'Verwerking Bouwdelen'!AA27)</f>
        <v>0</v>
      </c>
      <c r="GW43" s="208">
        <f>IF($GN43=1,$GN43*$GM43*'Verwerking Bouwdelen'!DT27,$GN43*$GM43*'Verwerking Bouwdelen'!AB27)</f>
        <v>0</v>
      </c>
      <c r="GX43" s="208">
        <f>IF($GN43=1,$GN43*$GM43*'Verwerking Bouwdelen'!DU27,$GN43*$GM43*'Verwerking Bouwdelen'!AC27)</f>
        <v>0</v>
      </c>
      <c r="GY43" s="208">
        <f>IF($GN43=1,$GN43*$GM43*'Verwerking Bouwdelen'!DV27,$GN43*$GM43*'Verwerking Bouwdelen'!AD27)</f>
        <v>0</v>
      </c>
      <c r="GZ43" s="208">
        <f>IF($GN43=1,$GN43*$GM43*'Verwerking Bouwdelen'!DW27,$GN43*$GM43*'Verwerking Bouwdelen'!AE27)</f>
        <v>0</v>
      </c>
      <c r="HB43" s="89">
        <f t="shared" si="16"/>
        <v>0</v>
      </c>
      <c r="HC43" s="89">
        <f t="shared" si="17"/>
        <v>0</v>
      </c>
      <c r="HD43" s="89">
        <f t="shared" si="18"/>
        <v>0</v>
      </c>
      <c r="HE43" s="89">
        <f t="shared" si="19"/>
        <v>0</v>
      </c>
      <c r="HF43" s="89">
        <f t="shared" si="19"/>
        <v>0</v>
      </c>
      <c r="HG43" s="89">
        <f t="shared" si="19"/>
        <v>0</v>
      </c>
      <c r="HH43" s="89">
        <f t="shared" si="19"/>
        <v>0</v>
      </c>
      <c r="HI43" s="89">
        <f t="shared" si="19"/>
        <v>0</v>
      </c>
      <c r="HJ43" s="89">
        <f t="shared" si="19"/>
        <v>0</v>
      </c>
      <c r="HK43" s="89">
        <f t="shared" si="19"/>
        <v>0</v>
      </c>
      <c r="HL43" s="89">
        <f t="shared" si="19"/>
        <v>0</v>
      </c>
      <c r="HM43" s="89">
        <f t="shared" si="19"/>
        <v>0</v>
      </c>
    </row>
    <row r="44" spans="1:221" x14ac:dyDescent="0.2">
      <c r="A44" s="130">
        <f>IF('Verwerking Bouwdelen'!A28=4,1,0)</f>
        <v>0</v>
      </c>
      <c r="B44" s="208">
        <f>$A44*'Verwerking Bouwdelen'!T28</f>
        <v>0</v>
      </c>
      <c r="C44" s="208">
        <f>$A44*'Verwerking Bouwdelen'!U28</f>
        <v>0</v>
      </c>
      <c r="D44" s="208">
        <f>$A44*'Verwerking Bouwdelen'!V28</f>
        <v>0</v>
      </c>
      <c r="E44" s="208">
        <f>$A44*'Verwerking Bouwdelen'!W28</f>
        <v>0</v>
      </c>
      <c r="F44" s="208">
        <f>$A44*'Verwerking Bouwdelen'!X28</f>
        <v>0</v>
      </c>
      <c r="G44" s="208">
        <f>$A44*'Verwerking Bouwdelen'!Y28</f>
        <v>0</v>
      </c>
      <c r="H44" s="208">
        <f>$A44*'Verwerking Bouwdelen'!Z28</f>
        <v>0</v>
      </c>
      <c r="I44" s="208">
        <f>$A44*'Verwerking Bouwdelen'!AA28</f>
        <v>0</v>
      </c>
      <c r="J44" s="208">
        <f>$A44*'Verwerking Bouwdelen'!AB28</f>
        <v>0</v>
      </c>
      <c r="K44" s="208">
        <f>$A44*'Verwerking Bouwdelen'!AC28</f>
        <v>0</v>
      </c>
      <c r="L44" s="208">
        <f>$A44*'Verwerking Bouwdelen'!AD28</f>
        <v>0</v>
      </c>
      <c r="M44" s="208">
        <f>$A44*'Verwerking Bouwdelen'!AE28</f>
        <v>0</v>
      </c>
      <c r="O44" s="114">
        <f>$A44*'Verwerking Bouwdelen'!AU28</f>
        <v>0</v>
      </c>
      <c r="P44" s="125">
        <f>$A44*'Verwerking Bouwdelen'!AV28</f>
        <v>0</v>
      </c>
      <c r="Q44" s="125">
        <f>$A44*'Verwerking Bouwdelen'!AW28</f>
        <v>0</v>
      </c>
      <c r="R44" s="125">
        <f>$A44*'Verwerking Bouwdelen'!AX28</f>
        <v>0</v>
      </c>
      <c r="S44" s="125">
        <f>$A44*'Verwerking Bouwdelen'!AY28</f>
        <v>0</v>
      </c>
      <c r="T44" s="125">
        <f>$A44*'Verwerking Bouwdelen'!AZ28</f>
        <v>0</v>
      </c>
      <c r="U44" s="125">
        <f>$A44*'Verwerking Bouwdelen'!BA28</f>
        <v>0</v>
      </c>
      <c r="V44" s="125">
        <f>$A44*'Verwerking Bouwdelen'!BB28</f>
        <v>0</v>
      </c>
      <c r="W44" s="125">
        <f>$A44*'Verwerking Bouwdelen'!BC28</f>
        <v>0</v>
      </c>
      <c r="X44" s="125">
        <f>$A44*'Verwerking Bouwdelen'!BD28</f>
        <v>0</v>
      </c>
      <c r="Y44" s="125">
        <f>$A44*'Verwerking Bouwdelen'!BE28</f>
        <v>0</v>
      </c>
      <c r="Z44" s="195">
        <f>$A44*'Verwerking Bouwdelen'!BF28</f>
        <v>0</v>
      </c>
      <c r="AB44" s="125">
        <f>IF(OR('Verwerking Bouwdelen'!C28=3,'Verwerking Bouwdelen'!C28=6),1,0)</f>
        <v>0</v>
      </c>
      <c r="AC44" s="130">
        <f>IF('Verwerking Bouwdelen'!A28=4,1,0)</f>
        <v>0</v>
      </c>
      <c r="AD44" s="208">
        <f>IF($AB44=1,$AC44*'Verwerking Bouwdelen'!DL28,$AC44*'Verwerking Bouwdelen'!T28)</f>
        <v>0</v>
      </c>
      <c r="AE44" s="208">
        <f>IF($AB44=1,$AC44*'Verwerking Bouwdelen'!DM28,$AC44*'Verwerking Bouwdelen'!U28)</f>
        <v>0</v>
      </c>
      <c r="AF44" s="208">
        <f>IF($AB44=1,$AC44*'Verwerking Bouwdelen'!DN28,$AC44*'Verwerking Bouwdelen'!V28)</f>
        <v>0</v>
      </c>
      <c r="AG44" s="208">
        <f>IF($AB44=1,$AC44*'Verwerking Bouwdelen'!DO28,$AC44*'Verwerking Bouwdelen'!W28)</f>
        <v>0</v>
      </c>
      <c r="AH44" s="208">
        <f>IF($AB44=1,$AC44*'Verwerking Bouwdelen'!DP28,$AC44*'Verwerking Bouwdelen'!X28)</f>
        <v>0</v>
      </c>
      <c r="AI44" s="208">
        <f>IF($AB44=1,$AC44*'Verwerking Bouwdelen'!DQ28,$AC44*'Verwerking Bouwdelen'!Y28)</f>
        <v>0</v>
      </c>
      <c r="AJ44" s="208">
        <f>IF($AB44=1,$AC44*'Verwerking Bouwdelen'!DR28,$AC44*'Verwerking Bouwdelen'!Z28)</f>
        <v>0</v>
      </c>
      <c r="AK44" s="208">
        <f>IF($AB44=1,$AC44*'Verwerking Bouwdelen'!DS28,$AC44*'Verwerking Bouwdelen'!AA28)</f>
        <v>0</v>
      </c>
      <c r="AL44" s="208">
        <f>IF($AB44=1,$AC44*'Verwerking Bouwdelen'!DT28,$AC44*'Verwerking Bouwdelen'!AB28)</f>
        <v>0</v>
      </c>
      <c r="AM44" s="208">
        <f>IF($AB44=1,$AC44*'Verwerking Bouwdelen'!DU28,$AC44*'Verwerking Bouwdelen'!AC28)</f>
        <v>0</v>
      </c>
      <c r="AN44" s="208">
        <f>IF($AB44=1,$AC44*'Verwerking Bouwdelen'!DV28,$AC44*'Verwerking Bouwdelen'!AD28)</f>
        <v>0</v>
      </c>
      <c r="AO44" s="208">
        <f>IF($AB44=1,$AC44*'Verwerking Bouwdelen'!DW28,$AC44*'Verwerking Bouwdelen'!AE28)</f>
        <v>0</v>
      </c>
      <c r="AP44" s="10">
        <f>IF(AD44=B44,0,'Verwerking Bouwdelen'!D28*AB44*AC44)</f>
        <v>0</v>
      </c>
      <c r="AQ44" s="10">
        <f>AB44*AC44*'Verwerking Bouwdelen'!GH28</f>
        <v>0</v>
      </c>
      <c r="AR44" s="10"/>
      <c r="AS44" s="248"/>
      <c r="AT44" s="125">
        <f>IF('Verwerking Bouwdelen'!C28=4,1,0)</f>
        <v>0</v>
      </c>
      <c r="AU44" s="130">
        <f>IF('Verwerking Bouwdelen'!A28=4,1,0)</f>
        <v>0</v>
      </c>
      <c r="AV44" s="208">
        <f>IF($AT44=1,$AU44*'Verwerking Bouwdelen'!DL28,$AU44*'Verwerking Bouwdelen'!T28)</f>
        <v>0</v>
      </c>
      <c r="AW44" s="208">
        <f>IF($AT44=1,$AU44*'Verwerking Bouwdelen'!DM28,$AU44*'Verwerking Bouwdelen'!U28)</f>
        <v>0</v>
      </c>
      <c r="AX44" s="208">
        <f>IF($AT44=1,$AU44*'Verwerking Bouwdelen'!DN28,$AU44*'Verwerking Bouwdelen'!V28)</f>
        <v>0</v>
      </c>
      <c r="AY44" s="208">
        <f>IF($AT44=1,$AU44*'Verwerking Bouwdelen'!DO28,$AU44*'Verwerking Bouwdelen'!W28)</f>
        <v>0</v>
      </c>
      <c r="AZ44" s="208">
        <f>IF($AT44=1,$AU44*'Verwerking Bouwdelen'!DP28,$AU44*'Verwerking Bouwdelen'!X28)</f>
        <v>0</v>
      </c>
      <c r="BA44" s="208">
        <f>IF($AT44=1,$AU44*'Verwerking Bouwdelen'!DQ28,$AU44*'Verwerking Bouwdelen'!Y28)</f>
        <v>0</v>
      </c>
      <c r="BB44" s="208">
        <f>IF($AT44=1,$AU44*'Verwerking Bouwdelen'!DR28,$AU44*'Verwerking Bouwdelen'!Z28)</f>
        <v>0</v>
      </c>
      <c r="BC44" s="208">
        <f>IF($AT44=1,$AU44*'Verwerking Bouwdelen'!DS28,$AU44*'Verwerking Bouwdelen'!AA28)</f>
        <v>0</v>
      </c>
      <c r="BD44" s="208">
        <f>IF($AT44=1,$AU44*'Verwerking Bouwdelen'!DT28,$AU44*'Verwerking Bouwdelen'!AB28)</f>
        <v>0</v>
      </c>
      <c r="BE44" s="208">
        <f>IF($AT44=1,$AU44*'Verwerking Bouwdelen'!DU28,$AU44*'Verwerking Bouwdelen'!AC28)</f>
        <v>0</v>
      </c>
      <c r="BF44" s="208">
        <f>IF($AT44=1,$AU44*'Verwerking Bouwdelen'!DV28,$AU44*'Verwerking Bouwdelen'!AD28)</f>
        <v>0</v>
      </c>
      <c r="BG44" s="208">
        <f>IF($AT44=1,$AU44*'Verwerking Bouwdelen'!DW28,$AU44*'Verwerking Bouwdelen'!AE28)</f>
        <v>0</v>
      </c>
      <c r="BH44" s="10">
        <f>IF(AV44=B44,0,'Verwerking Bouwdelen'!D28*AT44*AU44)</f>
        <v>0</v>
      </c>
      <c r="BI44" s="10">
        <f>AT44*AU44*'Verwerking Bouwdelen'!GH28</f>
        <v>0</v>
      </c>
      <c r="BJ44" s="10"/>
      <c r="BK44" s="10"/>
      <c r="BM44" s="125">
        <f>IF('Verwerking Bouwdelen'!C28=5,1,0)</f>
        <v>0</v>
      </c>
      <c r="BN44" s="130">
        <f>IF('Verwerking Bouwdelen'!A28=4,1,0)</f>
        <v>0</v>
      </c>
      <c r="BO44" s="208">
        <f>IF($BM44=1,$BN44*'Verwerking Bouwdelen'!DL28,$BN44*'Verwerking Bouwdelen'!T28)</f>
        <v>0</v>
      </c>
      <c r="BP44" s="208">
        <f>IF($BM44=1,$BN44*'Verwerking Bouwdelen'!DM28,$BN44*'Verwerking Bouwdelen'!U28)</f>
        <v>0</v>
      </c>
      <c r="BQ44" s="208">
        <f>IF($BM44=1,$BN44*'Verwerking Bouwdelen'!DN28,$BN44*'Verwerking Bouwdelen'!V28)</f>
        <v>0</v>
      </c>
      <c r="BR44" s="208">
        <f>IF($BM44=1,$BN44*'Verwerking Bouwdelen'!DO28,$BN44*'Verwerking Bouwdelen'!W28)</f>
        <v>0</v>
      </c>
      <c r="BS44" s="208">
        <f>IF($BM44=1,$BN44*'Verwerking Bouwdelen'!DP28,$BN44*'Verwerking Bouwdelen'!X28)</f>
        <v>0</v>
      </c>
      <c r="BT44" s="208">
        <f>IF($BM44=1,$BN44*'Verwerking Bouwdelen'!DQ28,$BN44*'Verwerking Bouwdelen'!Y28)</f>
        <v>0</v>
      </c>
      <c r="BU44" s="208">
        <f>IF($BM44=1,$BN44*'Verwerking Bouwdelen'!DR28,$BN44*'Verwerking Bouwdelen'!Z28)</f>
        <v>0</v>
      </c>
      <c r="BV44" s="208">
        <f>IF($BM44=1,$BN44*'Verwerking Bouwdelen'!DS28,$BN44*'Verwerking Bouwdelen'!AA28)</f>
        <v>0</v>
      </c>
      <c r="BW44" s="208">
        <f>IF($BM44=1,$BN44*'Verwerking Bouwdelen'!DT28,$BN44*'Verwerking Bouwdelen'!AB28)</f>
        <v>0</v>
      </c>
      <c r="BX44" s="208">
        <f>IF($BM44=1,$BN44*'Verwerking Bouwdelen'!DU28,$BN44*'Verwerking Bouwdelen'!AC28)</f>
        <v>0</v>
      </c>
      <c r="BY44" s="208">
        <f>IF($BM44=1,$BN44*'Verwerking Bouwdelen'!DV28,$BN44*'Verwerking Bouwdelen'!AD28)</f>
        <v>0</v>
      </c>
      <c r="BZ44" s="208">
        <f>IF($BM44=1,$BN44*'Verwerking Bouwdelen'!DW28,$BN44*'Verwerking Bouwdelen'!AE28)</f>
        <v>0</v>
      </c>
      <c r="CA44" s="10">
        <f>IF(BO44=$B44,0,'Verwerking Bouwdelen'!$D28*BM44*BN44)</f>
        <v>0</v>
      </c>
      <c r="CB44" s="10">
        <f>BM44*BN44*'Verwerking Bouwdelen'!GH28</f>
        <v>0</v>
      </c>
      <c r="CC44" s="10"/>
      <c r="CD44" s="248"/>
      <c r="CE44" s="125">
        <f>IF('Verwerking Bouwdelen'!C28=2,1,0)</f>
        <v>0</v>
      </c>
      <c r="CF44" s="130">
        <f>IF('Verwerking Bouwdelen'!A28=4,1,0)</f>
        <v>0</v>
      </c>
      <c r="CG44" s="208">
        <f>IF($CE44=1,$CF44*'Verwerking Bouwdelen'!DL28,$CF44*'Verwerking Bouwdelen'!T28)</f>
        <v>0</v>
      </c>
      <c r="CH44" s="208">
        <f>IF($CE44=1,$CF44*'Verwerking Bouwdelen'!DM28,$CF44*'Verwerking Bouwdelen'!U28)</f>
        <v>0</v>
      </c>
      <c r="CI44" s="208">
        <f>IF($CE44=1,$CF44*'Verwerking Bouwdelen'!DN28,$CF44*'Verwerking Bouwdelen'!V28)</f>
        <v>0</v>
      </c>
      <c r="CJ44" s="208">
        <f>IF($CE44=1,$CF44*'Verwerking Bouwdelen'!DO28,$CF44*'Verwerking Bouwdelen'!W28)</f>
        <v>0</v>
      </c>
      <c r="CK44" s="208">
        <f>IF($CE44=1,$CF44*'Verwerking Bouwdelen'!DP28,$CF44*'Verwerking Bouwdelen'!X28)</f>
        <v>0</v>
      </c>
      <c r="CL44" s="208">
        <f>IF($CE44=1,$CF44*'Verwerking Bouwdelen'!DQ28,$CF44*'Verwerking Bouwdelen'!Y28)</f>
        <v>0</v>
      </c>
      <c r="CM44" s="208">
        <f>IF($CE44=1,$CF44*'Verwerking Bouwdelen'!DR28,$CF44*'Verwerking Bouwdelen'!Z28)</f>
        <v>0</v>
      </c>
      <c r="CN44" s="208">
        <f>IF($CE44=1,$CF44*'Verwerking Bouwdelen'!DS28,$CF44*'Verwerking Bouwdelen'!AA28)</f>
        <v>0</v>
      </c>
      <c r="CO44" s="208">
        <f>IF($CE44=1,$CF44*'Verwerking Bouwdelen'!DT28,$CF44*'Verwerking Bouwdelen'!AB28)</f>
        <v>0</v>
      </c>
      <c r="CP44" s="208">
        <f>IF($CE44=1,$CF44*'Verwerking Bouwdelen'!DU28,$CF44*'Verwerking Bouwdelen'!AC28)</f>
        <v>0</v>
      </c>
      <c r="CQ44" s="208">
        <f>IF($CE44=1,$CF44*'Verwerking Bouwdelen'!DV28,$CF44*'Verwerking Bouwdelen'!AD28)</f>
        <v>0</v>
      </c>
      <c r="CR44" s="208">
        <f>IF($CE44=1,$CF44*'Verwerking Bouwdelen'!DW28,$CF44*'Verwerking Bouwdelen'!AE28)</f>
        <v>0</v>
      </c>
      <c r="CS44" s="10">
        <f>IF(CG44=$B44,0,('Verwerking Bouwdelen'!$D28-'Verwerking Bouwdelen'!G28)*CE44*CF44)</f>
        <v>0</v>
      </c>
      <c r="CT44" s="260">
        <f>CE44*CF44*'Verwerking Bouwdelen'!GH28</f>
        <v>0</v>
      </c>
      <c r="CU44" s="261">
        <f>CE44*CF44*'Verwerking Bouwdelen'!GI28</f>
        <v>0</v>
      </c>
      <c r="CW44" s="209">
        <f>$AC44*'Verwerking Bouwdelen'!EE28</f>
        <v>0</v>
      </c>
      <c r="CX44" s="209">
        <f>$AC44*'Verwerking Bouwdelen'!EF28</f>
        <v>0</v>
      </c>
      <c r="CY44" s="209">
        <f>$AC44*'Verwerking Bouwdelen'!EG28</f>
        <v>0</v>
      </c>
      <c r="CZ44" s="209">
        <f>$AC44*'Verwerking Bouwdelen'!EH28</f>
        <v>0</v>
      </c>
      <c r="DA44" s="209">
        <f>$AC44*'Verwerking Bouwdelen'!EI28</f>
        <v>0</v>
      </c>
      <c r="DB44" s="209">
        <f>$AC44*'Verwerking Bouwdelen'!EJ28</f>
        <v>0</v>
      </c>
      <c r="DC44" s="209">
        <f>$AC44*'Verwerking Bouwdelen'!EK28</f>
        <v>0</v>
      </c>
      <c r="DD44" s="209">
        <f>$AC44*'Verwerking Bouwdelen'!EL28</f>
        <v>0</v>
      </c>
      <c r="DE44" s="209">
        <f>$AC44*'Verwerking Bouwdelen'!EM28</f>
        <v>0</v>
      </c>
      <c r="DF44" s="209">
        <f>$AC44*'Verwerking Bouwdelen'!EN28</f>
        <v>0</v>
      </c>
      <c r="DG44" s="209">
        <f>$AC44*'Verwerking Bouwdelen'!EO28</f>
        <v>0</v>
      </c>
      <c r="DH44" s="209">
        <f>$AC44*'Verwerking Bouwdelen'!EP28</f>
        <v>0</v>
      </c>
      <c r="DI44" s="10">
        <f>IF(CW44=$O44,0,'Verwerking Bouwdelen'!G28)</f>
        <v>0</v>
      </c>
      <c r="DJ44" s="259">
        <f>'Verwerking Bouwdelen'!GK28*CF44</f>
        <v>0</v>
      </c>
      <c r="DK44" s="259">
        <f>'Verwerking Bouwdelen'!GL28*CF44</f>
        <v>0</v>
      </c>
      <c r="DL44" s="125"/>
      <c r="GM44" s="89">
        <f t="shared" si="13"/>
        <v>0</v>
      </c>
      <c r="GN44" s="89">
        <f t="shared" si="14"/>
        <v>0</v>
      </c>
      <c r="GO44" s="208">
        <f>IF($GN44=1,$GN44*$GM44*'Verwerking Bouwdelen'!DL28,$GN44*$GM44*'Verwerking Bouwdelen'!T28)</f>
        <v>0</v>
      </c>
      <c r="GP44" s="208">
        <f>IF($GN44=1,$GN44*$GM44*'Verwerking Bouwdelen'!DM28,$GN44*$GM44*'Verwerking Bouwdelen'!U28)</f>
        <v>0</v>
      </c>
      <c r="GQ44" s="208">
        <f>IF($GN44=1,$GN44*$GM44*'Verwerking Bouwdelen'!DN28,$GN44*$GM44*'Verwerking Bouwdelen'!V28)</f>
        <v>0</v>
      </c>
      <c r="GR44" s="208">
        <f>IF($GN44=1,$GN44*$GM44*'Verwerking Bouwdelen'!DO28,$GN44*$GM44*'Verwerking Bouwdelen'!W28)</f>
        <v>0</v>
      </c>
      <c r="GS44" s="208">
        <f>IF($GN44=1,$GN44*$GM44*'Verwerking Bouwdelen'!DP28,$GN44*$GM44*'Verwerking Bouwdelen'!X28)</f>
        <v>0</v>
      </c>
      <c r="GT44" s="208">
        <f>IF($GN44=1,$GN44*$GM44*'Verwerking Bouwdelen'!DQ28,$GN44*$GM44*'Verwerking Bouwdelen'!Y28)</f>
        <v>0</v>
      </c>
      <c r="GU44" s="208">
        <f>IF($GN44=1,$GN44*$GM44*'Verwerking Bouwdelen'!DR28,$GN44*$GM44*'Verwerking Bouwdelen'!Z28)</f>
        <v>0</v>
      </c>
      <c r="GV44" s="208">
        <f>IF($GN44=1,$GN44*$GM44*'Verwerking Bouwdelen'!DS28,$GN44*$GM44*'Verwerking Bouwdelen'!AA28)</f>
        <v>0</v>
      </c>
      <c r="GW44" s="208">
        <f>IF($GN44=1,$GN44*$GM44*'Verwerking Bouwdelen'!DT28,$GN44*$GM44*'Verwerking Bouwdelen'!AB28)</f>
        <v>0</v>
      </c>
      <c r="GX44" s="208">
        <f>IF($GN44=1,$GN44*$GM44*'Verwerking Bouwdelen'!DU28,$GN44*$GM44*'Verwerking Bouwdelen'!AC28)</f>
        <v>0</v>
      </c>
      <c r="GY44" s="208">
        <f>IF($GN44=1,$GN44*$GM44*'Verwerking Bouwdelen'!DV28,$GN44*$GM44*'Verwerking Bouwdelen'!AD28)</f>
        <v>0</v>
      </c>
      <c r="GZ44" s="208">
        <f>IF($GN44=1,$GN44*$GM44*'Verwerking Bouwdelen'!DW28,$GN44*$GM44*'Verwerking Bouwdelen'!AE28)</f>
        <v>0</v>
      </c>
      <c r="HB44" s="89">
        <f t="shared" si="16"/>
        <v>0</v>
      </c>
      <c r="HC44" s="89">
        <f t="shared" si="17"/>
        <v>0</v>
      </c>
      <c r="HD44" s="89">
        <f t="shared" si="18"/>
        <v>0</v>
      </c>
      <c r="HE44" s="89">
        <f t="shared" si="19"/>
        <v>0</v>
      </c>
      <c r="HF44" s="89">
        <f t="shared" si="19"/>
        <v>0</v>
      </c>
      <c r="HG44" s="89">
        <f t="shared" si="19"/>
        <v>0</v>
      </c>
      <c r="HH44" s="89">
        <f t="shared" si="19"/>
        <v>0</v>
      </c>
      <c r="HI44" s="89">
        <f t="shared" si="19"/>
        <v>0</v>
      </c>
      <c r="HJ44" s="89">
        <f t="shared" si="19"/>
        <v>0</v>
      </c>
      <c r="HK44" s="89">
        <f t="shared" si="19"/>
        <v>0</v>
      </c>
      <c r="HL44" s="89">
        <f t="shared" si="19"/>
        <v>0</v>
      </c>
      <c r="HM44" s="89">
        <f t="shared" si="19"/>
        <v>0</v>
      </c>
    </row>
    <row r="45" spans="1:221" x14ac:dyDescent="0.2">
      <c r="A45" s="130">
        <f>IF('Verwerking Bouwdelen'!A29=4,1,0)</f>
        <v>0</v>
      </c>
      <c r="B45" s="208">
        <f>$A45*'Verwerking Bouwdelen'!T29</f>
        <v>0</v>
      </c>
      <c r="C45" s="208">
        <f>$A45*'Verwerking Bouwdelen'!U29</f>
        <v>0</v>
      </c>
      <c r="D45" s="208">
        <f>$A45*'Verwerking Bouwdelen'!V29</f>
        <v>0</v>
      </c>
      <c r="E45" s="208">
        <f>$A45*'Verwerking Bouwdelen'!W29</f>
        <v>0</v>
      </c>
      <c r="F45" s="208">
        <f>$A45*'Verwerking Bouwdelen'!X29</f>
        <v>0</v>
      </c>
      <c r="G45" s="208">
        <f>$A45*'Verwerking Bouwdelen'!Y29</f>
        <v>0</v>
      </c>
      <c r="H45" s="208">
        <f>$A45*'Verwerking Bouwdelen'!Z29</f>
        <v>0</v>
      </c>
      <c r="I45" s="208">
        <f>$A45*'Verwerking Bouwdelen'!AA29</f>
        <v>0</v>
      </c>
      <c r="J45" s="208">
        <f>$A45*'Verwerking Bouwdelen'!AB29</f>
        <v>0</v>
      </c>
      <c r="K45" s="208">
        <f>$A45*'Verwerking Bouwdelen'!AC29</f>
        <v>0</v>
      </c>
      <c r="L45" s="208">
        <f>$A45*'Verwerking Bouwdelen'!AD29</f>
        <v>0</v>
      </c>
      <c r="M45" s="208">
        <f>$A45*'Verwerking Bouwdelen'!AE29</f>
        <v>0</v>
      </c>
      <c r="O45" s="114">
        <f>$A45*'Verwerking Bouwdelen'!AU29</f>
        <v>0</v>
      </c>
      <c r="P45" s="125">
        <f>$A45*'Verwerking Bouwdelen'!AV29</f>
        <v>0</v>
      </c>
      <c r="Q45" s="125">
        <f>$A45*'Verwerking Bouwdelen'!AW29</f>
        <v>0</v>
      </c>
      <c r="R45" s="125">
        <f>$A45*'Verwerking Bouwdelen'!AX29</f>
        <v>0</v>
      </c>
      <c r="S45" s="125">
        <f>$A45*'Verwerking Bouwdelen'!AY29</f>
        <v>0</v>
      </c>
      <c r="T45" s="125">
        <f>$A45*'Verwerking Bouwdelen'!AZ29</f>
        <v>0</v>
      </c>
      <c r="U45" s="125">
        <f>$A45*'Verwerking Bouwdelen'!BA29</f>
        <v>0</v>
      </c>
      <c r="V45" s="125">
        <f>$A45*'Verwerking Bouwdelen'!BB29</f>
        <v>0</v>
      </c>
      <c r="W45" s="125">
        <f>$A45*'Verwerking Bouwdelen'!BC29</f>
        <v>0</v>
      </c>
      <c r="X45" s="125">
        <f>$A45*'Verwerking Bouwdelen'!BD29</f>
        <v>0</v>
      </c>
      <c r="Y45" s="125">
        <f>$A45*'Verwerking Bouwdelen'!BE29</f>
        <v>0</v>
      </c>
      <c r="Z45" s="195">
        <f>$A45*'Verwerking Bouwdelen'!BF29</f>
        <v>0</v>
      </c>
      <c r="AB45" s="125">
        <f>IF(OR('Verwerking Bouwdelen'!C29=3,'Verwerking Bouwdelen'!C29=6),1,0)</f>
        <v>0</v>
      </c>
      <c r="AC45" s="130">
        <f>IF('Verwerking Bouwdelen'!A29=4,1,0)</f>
        <v>0</v>
      </c>
      <c r="AD45" s="208">
        <f>IF($AB45=1,$AC45*'Verwerking Bouwdelen'!DL29,$AC45*'Verwerking Bouwdelen'!T29)</f>
        <v>0</v>
      </c>
      <c r="AE45" s="208">
        <f>IF($AB45=1,$AC45*'Verwerking Bouwdelen'!DM29,$AC45*'Verwerking Bouwdelen'!U29)</f>
        <v>0</v>
      </c>
      <c r="AF45" s="208">
        <f>IF($AB45=1,$AC45*'Verwerking Bouwdelen'!DN29,$AC45*'Verwerking Bouwdelen'!V29)</f>
        <v>0</v>
      </c>
      <c r="AG45" s="208">
        <f>IF($AB45=1,$AC45*'Verwerking Bouwdelen'!DO29,$AC45*'Verwerking Bouwdelen'!W29)</f>
        <v>0</v>
      </c>
      <c r="AH45" s="208">
        <f>IF($AB45=1,$AC45*'Verwerking Bouwdelen'!DP29,$AC45*'Verwerking Bouwdelen'!X29)</f>
        <v>0</v>
      </c>
      <c r="AI45" s="208">
        <f>IF($AB45=1,$AC45*'Verwerking Bouwdelen'!DQ29,$AC45*'Verwerking Bouwdelen'!Y29)</f>
        <v>0</v>
      </c>
      <c r="AJ45" s="208">
        <f>IF($AB45=1,$AC45*'Verwerking Bouwdelen'!DR29,$AC45*'Verwerking Bouwdelen'!Z29)</f>
        <v>0</v>
      </c>
      <c r="AK45" s="208">
        <f>IF($AB45=1,$AC45*'Verwerking Bouwdelen'!DS29,$AC45*'Verwerking Bouwdelen'!AA29)</f>
        <v>0</v>
      </c>
      <c r="AL45" s="208">
        <f>IF($AB45=1,$AC45*'Verwerking Bouwdelen'!DT29,$AC45*'Verwerking Bouwdelen'!AB29)</f>
        <v>0</v>
      </c>
      <c r="AM45" s="208">
        <f>IF($AB45=1,$AC45*'Verwerking Bouwdelen'!DU29,$AC45*'Verwerking Bouwdelen'!AC29)</f>
        <v>0</v>
      </c>
      <c r="AN45" s="208">
        <f>IF($AB45=1,$AC45*'Verwerking Bouwdelen'!DV29,$AC45*'Verwerking Bouwdelen'!AD29)</f>
        <v>0</v>
      </c>
      <c r="AO45" s="208">
        <f>IF($AB45=1,$AC45*'Verwerking Bouwdelen'!DW29,$AC45*'Verwerking Bouwdelen'!AE29)</f>
        <v>0</v>
      </c>
      <c r="AP45" s="10">
        <f>IF(AD45=B45,0,'Verwerking Bouwdelen'!D29*AB45*AC45)</f>
        <v>0</v>
      </c>
      <c r="AQ45" s="10">
        <f>AB45*AC45*'Verwerking Bouwdelen'!GH29</f>
        <v>0</v>
      </c>
      <c r="AR45" s="10"/>
      <c r="AS45" s="248"/>
      <c r="AT45" s="125">
        <f>IF('Verwerking Bouwdelen'!C29=4,1,0)</f>
        <v>0</v>
      </c>
      <c r="AU45" s="130">
        <f>IF('Verwerking Bouwdelen'!A29=4,1,0)</f>
        <v>0</v>
      </c>
      <c r="AV45" s="208">
        <f>IF($AT45=1,$AU45*'Verwerking Bouwdelen'!DL29,$AU45*'Verwerking Bouwdelen'!T29)</f>
        <v>0</v>
      </c>
      <c r="AW45" s="208">
        <f>IF($AT45=1,$AU45*'Verwerking Bouwdelen'!DM29,$AU45*'Verwerking Bouwdelen'!U29)</f>
        <v>0</v>
      </c>
      <c r="AX45" s="208">
        <f>IF($AT45=1,$AU45*'Verwerking Bouwdelen'!DN29,$AU45*'Verwerking Bouwdelen'!V29)</f>
        <v>0</v>
      </c>
      <c r="AY45" s="208">
        <f>IF($AT45=1,$AU45*'Verwerking Bouwdelen'!DO29,$AU45*'Verwerking Bouwdelen'!W29)</f>
        <v>0</v>
      </c>
      <c r="AZ45" s="208">
        <f>IF($AT45=1,$AU45*'Verwerking Bouwdelen'!DP29,$AU45*'Verwerking Bouwdelen'!X29)</f>
        <v>0</v>
      </c>
      <c r="BA45" s="208">
        <f>IF($AT45=1,$AU45*'Verwerking Bouwdelen'!DQ29,$AU45*'Verwerking Bouwdelen'!Y29)</f>
        <v>0</v>
      </c>
      <c r="BB45" s="208">
        <f>IF($AT45=1,$AU45*'Verwerking Bouwdelen'!DR29,$AU45*'Verwerking Bouwdelen'!Z29)</f>
        <v>0</v>
      </c>
      <c r="BC45" s="208">
        <f>IF($AT45=1,$AU45*'Verwerking Bouwdelen'!DS29,$AU45*'Verwerking Bouwdelen'!AA29)</f>
        <v>0</v>
      </c>
      <c r="BD45" s="208">
        <f>IF($AT45=1,$AU45*'Verwerking Bouwdelen'!DT29,$AU45*'Verwerking Bouwdelen'!AB29)</f>
        <v>0</v>
      </c>
      <c r="BE45" s="208">
        <f>IF($AT45=1,$AU45*'Verwerking Bouwdelen'!DU29,$AU45*'Verwerking Bouwdelen'!AC29)</f>
        <v>0</v>
      </c>
      <c r="BF45" s="208">
        <f>IF($AT45=1,$AU45*'Verwerking Bouwdelen'!DV29,$AU45*'Verwerking Bouwdelen'!AD29)</f>
        <v>0</v>
      </c>
      <c r="BG45" s="208">
        <f>IF($AT45=1,$AU45*'Verwerking Bouwdelen'!DW29,$AU45*'Verwerking Bouwdelen'!AE29)</f>
        <v>0</v>
      </c>
      <c r="BH45" s="10">
        <f>IF(AV45=B45,0,'Verwerking Bouwdelen'!D29*AT45*AU45)</f>
        <v>0</v>
      </c>
      <c r="BI45" s="10">
        <f>AT45*AU45*'Verwerking Bouwdelen'!GH29</f>
        <v>0</v>
      </c>
      <c r="BJ45" s="10"/>
      <c r="BK45" s="10"/>
      <c r="BM45" s="125">
        <f>IF('Verwerking Bouwdelen'!C29=5,1,0)</f>
        <v>0</v>
      </c>
      <c r="BN45" s="130">
        <f>IF('Verwerking Bouwdelen'!A29=4,1,0)</f>
        <v>0</v>
      </c>
      <c r="BO45" s="208">
        <f>IF($BM45=1,$BN45*'Verwerking Bouwdelen'!DL29,$BN45*'Verwerking Bouwdelen'!T29)</f>
        <v>0</v>
      </c>
      <c r="BP45" s="208">
        <f>IF($BM45=1,$BN45*'Verwerking Bouwdelen'!DM29,$BN45*'Verwerking Bouwdelen'!U29)</f>
        <v>0</v>
      </c>
      <c r="BQ45" s="208">
        <f>IF($BM45=1,$BN45*'Verwerking Bouwdelen'!DN29,$BN45*'Verwerking Bouwdelen'!V29)</f>
        <v>0</v>
      </c>
      <c r="BR45" s="208">
        <f>IF($BM45=1,$BN45*'Verwerking Bouwdelen'!DO29,$BN45*'Verwerking Bouwdelen'!W29)</f>
        <v>0</v>
      </c>
      <c r="BS45" s="208">
        <f>IF($BM45=1,$BN45*'Verwerking Bouwdelen'!DP29,$BN45*'Verwerking Bouwdelen'!X29)</f>
        <v>0</v>
      </c>
      <c r="BT45" s="208">
        <f>IF($BM45=1,$BN45*'Verwerking Bouwdelen'!DQ29,$BN45*'Verwerking Bouwdelen'!Y29)</f>
        <v>0</v>
      </c>
      <c r="BU45" s="208">
        <f>IF($BM45=1,$BN45*'Verwerking Bouwdelen'!DR29,$BN45*'Verwerking Bouwdelen'!Z29)</f>
        <v>0</v>
      </c>
      <c r="BV45" s="208">
        <f>IF($BM45=1,$BN45*'Verwerking Bouwdelen'!DS29,$BN45*'Verwerking Bouwdelen'!AA29)</f>
        <v>0</v>
      </c>
      <c r="BW45" s="208">
        <f>IF($BM45=1,$BN45*'Verwerking Bouwdelen'!DT29,$BN45*'Verwerking Bouwdelen'!AB29)</f>
        <v>0</v>
      </c>
      <c r="BX45" s="208">
        <f>IF($BM45=1,$BN45*'Verwerking Bouwdelen'!DU29,$BN45*'Verwerking Bouwdelen'!AC29)</f>
        <v>0</v>
      </c>
      <c r="BY45" s="208">
        <f>IF($BM45=1,$BN45*'Verwerking Bouwdelen'!DV29,$BN45*'Verwerking Bouwdelen'!AD29)</f>
        <v>0</v>
      </c>
      <c r="BZ45" s="208">
        <f>IF($BM45=1,$BN45*'Verwerking Bouwdelen'!DW29,$BN45*'Verwerking Bouwdelen'!AE29)</f>
        <v>0</v>
      </c>
      <c r="CA45" s="10">
        <f>IF(BO45=$B45,0,'Verwerking Bouwdelen'!$D29*BM45*BN45)</f>
        <v>0</v>
      </c>
      <c r="CB45" s="10">
        <f>BM45*BN45*'Verwerking Bouwdelen'!GH29</f>
        <v>0</v>
      </c>
      <c r="CC45" s="10"/>
      <c r="CD45" s="248"/>
      <c r="CE45" s="125">
        <f>IF('Verwerking Bouwdelen'!C29=2,1,0)</f>
        <v>0</v>
      </c>
      <c r="CF45" s="130">
        <f>IF('Verwerking Bouwdelen'!A29=4,1,0)</f>
        <v>0</v>
      </c>
      <c r="CG45" s="208">
        <f>IF($CE45=1,$CF45*'Verwerking Bouwdelen'!DL29,$CF45*'Verwerking Bouwdelen'!T29)</f>
        <v>0</v>
      </c>
      <c r="CH45" s="208">
        <f>IF($CE45=1,$CF45*'Verwerking Bouwdelen'!DM29,$CF45*'Verwerking Bouwdelen'!U29)</f>
        <v>0</v>
      </c>
      <c r="CI45" s="208">
        <f>IF($CE45=1,$CF45*'Verwerking Bouwdelen'!DN29,$CF45*'Verwerking Bouwdelen'!V29)</f>
        <v>0</v>
      </c>
      <c r="CJ45" s="208">
        <f>IF($CE45=1,$CF45*'Verwerking Bouwdelen'!DO29,$CF45*'Verwerking Bouwdelen'!W29)</f>
        <v>0</v>
      </c>
      <c r="CK45" s="208">
        <f>IF($CE45=1,$CF45*'Verwerking Bouwdelen'!DP29,$CF45*'Verwerking Bouwdelen'!X29)</f>
        <v>0</v>
      </c>
      <c r="CL45" s="208">
        <f>IF($CE45=1,$CF45*'Verwerking Bouwdelen'!DQ29,$CF45*'Verwerking Bouwdelen'!Y29)</f>
        <v>0</v>
      </c>
      <c r="CM45" s="208">
        <f>IF($CE45=1,$CF45*'Verwerking Bouwdelen'!DR29,$CF45*'Verwerking Bouwdelen'!Z29)</f>
        <v>0</v>
      </c>
      <c r="CN45" s="208">
        <f>IF($CE45=1,$CF45*'Verwerking Bouwdelen'!DS29,$CF45*'Verwerking Bouwdelen'!AA29)</f>
        <v>0</v>
      </c>
      <c r="CO45" s="208">
        <f>IF($CE45=1,$CF45*'Verwerking Bouwdelen'!DT29,$CF45*'Verwerking Bouwdelen'!AB29)</f>
        <v>0</v>
      </c>
      <c r="CP45" s="208">
        <f>IF($CE45=1,$CF45*'Verwerking Bouwdelen'!DU29,$CF45*'Verwerking Bouwdelen'!AC29)</f>
        <v>0</v>
      </c>
      <c r="CQ45" s="208">
        <f>IF($CE45=1,$CF45*'Verwerking Bouwdelen'!DV29,$CF45*'Verwerking Bouwdelen'!AD29)</f>
        <v>0</v>
      </c>
      <c r="CR45" s="208">
        <f>IF($CE45=1,$CF45*'Verwerking Bouwdelen'!DW29,$CF45*'Verwerking Bouwdelen'!AE29)</f>
        <v>0</v>
      </c>
      <c r="CS45" s="10">
        <f>IF(CG45=$B45,0,('Verwerking Bouwdelen'!$D29-'Verwerking Bouwdelen'!G29)*CE45*CF45)</f>
        <v>0</v>
      </c>
      <c r="CT45" s="260">
        <f>CE45*CF45*'Verwerking Bouwdelen'!GH29</f>
        <v>0</v>
      </c>
      <c r="CU45" s="261">
        <f>CE45*CF45*'Verwerking Bouwdelen'!GI29</f>
        <v>0</v>
      </c>
      <c r="CW45" s="209">
        <f>$AC45*'Verwerking Bouwdelen'!EE29</f>
        <v>0</v>
      </c>
      <c r="CX45" s="209">
        <f>$AC45*'Verwerking Bouwdelen'!EF29</f>
        <v>0</v>
      </c>
      <c r="CY45" s="209">
        <f>$AC45*'Verwerking Bouwdelen'!EG29</f>
        <v>0</v>
      </c>
      <c r="CZ45" s="209">
        <f>$AC45*'Verwerking Bouwdelen'!EH29</f>
        <v>0</v>
      </c>
      <c r="DA45" s="209">
        <f>$AC45*'Verwerking Bouwdelen'!EI29</f>
        <v>0</v>
      </c>
      <c r="DB45" s="209">
        <f>$AC45*'Verwerking Bouwdelen'!EJ29</f>
        <v>0</v>
      </c>
      <c r="DC45" s="209">
        <f>$AC45*'Verwerking Bouwdelen'!EK29</f>
        <v>0</v>
      </c>
      <c r="DD45" s="209">
        <f>$AC45*'Verwerking Bouwdelen'!EL29</f>
        <v>0</v>
      </c>
      <c r="DE45" s="209">
        <f>$AC45*'Verwerking Bouwdelen'!EM29</f>
        <v>0</v>
      </c>
      <c r="DF45" s="209">
        <f>$AC45*'Verwerking Bouwdelen'!EN29</f>
        <v>0</v>
      </c>
      <c r="DG45" s="209">
        <f>$AC45*'Verwerking Bouwdelen'!EO29</f>
        <v>0</v>
      </c>
      <c r="DH45" s="209">
        <f>$AC45*'Verwerking Bouwdelen'!EP29</f>
        <v>0</v>
      </c>
      <c r="DI45" s="10">
        <f>IF(CW45=$O45,0,'Verwerking Bouwdelen'!G29)</f>
        <v>0</v>
      </c>
      <c r="DJ45" s="259">
        <f>'Verwerking Bouwdelen'!GK29*CF45</f>
        <v>0</v>
      </c>
      <c r="DK45" s="259">
        <f>'Verwerking Bouwdelen'!GL29*CF45</f>
        <v>0</v>
      </c>
      <c r="DL45" s="125"/>
      <c r="GM45" s="89">
        <f t="shared" si="13"/>
        <v>0</v>
      </c>
      <c r="GN45" s="89">
        <f t="shared" si="14"/>
        <v>0</v>
      </c>
      <c r="GO45" s="208">
        <f>IF($GN45=1,$GN45*$GM45*'Verwerking Bouwdelen'!DL29,$GN45*$GM45*'Verwerking Bouwdelen'!T29)</f>
        <v>0</v>
      </c>
      <c r="GP45" s="208">
        <f>IF($GN45=1,$GN45*$GM45*'Verwerking Bouwdelen'!DM29,$GN45*$GM45*'Verwerking Bouwdelen'!U29)</f>
        <v>0</v>
      </c>
      <c r="GQ45" s="208">
        <f>IF($GN45=1,$GN45*$GM45*'Verwerking Bouwdelen'!DN29,$GN45*$GM45*'Verwerking Bouwdelen'!V29)</f>
        <v>0</v>
      </c>
      <c r="GR45" s="208">
        <f>IF($GN45=1,$GN45*$GM45*'Verwerking Bouwdelen'!DO29,$GN45*$GM45*'Verwerking Bouwdelen'!W29)</f>
        <v>0</v>
      </c>
      <c r="GS45" s="208">
        <f>IF($GN45=1,$GN45*$GM45*'Verwerking Bouwdelen'!DP29,$GN45*$GM45*'Verwerking Bouwdelen'!X29)</f>
        <v>0</v>
      </c>
      <c r="GT45" s="208">
        <f>IF($GN45=1,$GN45*$GM45*'Verwerking Bouwdelen'!DQ29,$GN45*$GM45*'Verwerking Bouwdelen'!Y29)</f>
        <v>0</v>
      </c>
      <c r="GU45" s="208">
        <f>IF($GN45=1,$GN45*$GM45*'Verwerking Bouwdelen'!DR29,$GN45*$GM45*'Verwerking Bouwdelen'!Z29)</f>
        <v>0</v>
      </c>
      <c r="GV45" s="208">
        <f>IF($GN45=1,$GN45*$GM45*'Verwerking Bouwdelen'!DS29,$GN45*$GM45*'Verwerking Bouwdelen'!AA29)</f>
        <v>0</v>
      </c>
      <c r="GW45" s="208">
        <f>IF($GN45=1,$GN45*$GM45*'Verwerking Bouwdelen'!DT29,$GN45*$GM45*'Verwerking Bouwdelen'!AB29)</f>
        <v>0</v>
      </c>
      <c r="GX45" s="208">
        <f>IF($GN45=1,$GN45*$GM45*'Verwerking Bouwdelen'!DU29,$GN45*$GM45*'Verwerking Bouwdelen'!AC29)</f>
        <v>0</v>
      </c>
      <c r="GY45" s="208">
        <f>IF($GN45=1,$GN45*$GM45*'Verwerking Bouwdelen'!DV29,$GN45*$GM45*'Verwerking Bouwdelen'!AD29)</f>
        <v>0</v>
      </c>
      <c r="GZ45" s="208">
        <f>IF($GN45=1,$GN45*$GM45*'Verwerking Bouwdelen'!DW29,$GN45*$GM45*'Verwerking Bouwdelen'!AE29)</f>
        <v>0</v>
      </c>
      <c r="HB45" s="89">
        <f t="shared" si="16"/>
        <v>0</v>
      </c>
      <c r="HC45" s="89">
        <f t="shared" si="17"/>
        <v>0</v>
      </c>
      <c r="HD45" s="89">
        <f t="shared" si="18"/>
        <v>0</v>
      </c>
      <c r="HE45" s="89">
        <f t="shared" si="19"/>
        <v>0</v>
      </c>
      <c r="HF45" s="89">
        <f t="shared" si="19"/>
        <v>0</v>
      </c>
      <c r="HG45" s="89">
        <f t="shared" si="19"/>
        <v>0</v>
      </c>
      <c r="HH45" s="89">
        <f t="shared" si="19"/>
        <v>0</v>
      </c>
      <c r="HI45" s="89">
        <f t="shared" si="19"/>
        <v>0</v>
      </c>
      <c r="HJ45" s="89">
        <f t="shared" si="19"/>
        <v>0</v>
      </c>
      <c r="HK45" s="89">
        <f t="shared" si="19"/>
        <v>0</v>
      </c>
      <c r="HL45" s="89">
        <f t="shared" si="19"/>
        <v>0</v>
      </c>
      <c r="HM45" s="89">
        <f t="shared" si="19"/>
        <v>0</v>
      </c>
    </row>
    <row r="46" spans="1:221" x14ac:dyDescent="0.2">
      <c r="A46" s="130">
        <f>IF('Verwerking Bouwdelen'!A30=4,1,0)</f>
        <v>0</v>
      </c>
      <c r="B46" s="208">
        <f>$A46*'Verwerking Bouwdelen'!T30</f>
        <v>0</v>
      </c>
      <c r="C46" s="208">
        <f>$A46*'Verwerking Bouwdelen'!U30</f>
        <v>0</v>
      </c>
      <c r="D46" s="208">
        <f>$A46*'Verwerking Bouwdelen'!V30</f>
        <v>0</v>
      </c>
      <c r="E46" s="208">
        <f>$A46*'Verwerking Bouwdelen'!W30</f>
        <v>0</v>
      </c>
      <c r="F46" s="208">
        <f>$A46*'Verwerking Bouwdelen'!X30</f>
        <v>0</v>
      </c>
      <c r="G46" s="208">
        <f>$A46*'Verwerking Bouwdelen'!Y30</f>
        <v>0</v>
      </c>
      <c r="H46" s="208">
        <f>$A46*'Verwerking Bouwdelen'!Z30</f>
        <v>0</v>
      </c>
      <c r="I46" s="208">
        <f>$A46*'Verwerking Bouwdelen'!AA30</f>
        <v>0</v>
      </c>
      <c r="J46" s="208">
        <f>$A46*'Verwerking Bouwdelen'!AB30</f>
        <v>0</v>
      </c>
      <c r="K46" s="208">
        <f>$A46*'Verwerking Bouwdelen'!AC30</f>
        <v>0</v>
      </c>
      <c r="L46" s="208">
        <f>$A46*'Verwerking Bouwdelen'!AD30</f>
        <v>0</v>
      </c>
      <c r="M46" s="208">
        <f>$A46*'Verwerking Bouwdelen'!AE30</f>
        <v>0</v>
      </c>
      <c r="O46" s="114">
        <f>$A46*'Verwerking Bouwdelen'!AU30</f>
        <v>0</v>
      </c>
      <c r="P46" s="125">
        <f>$A46*'Verwerking Bouwdelen'!AV30</f>
        <v>0</v>
      </c>
      <c r="Q46" s="125">
        <f>$A46*'Verwerking Bouwdelen'!AW30</f>
        <v>0</v>
      </c>
      <c r="R46" s="125">
        <f>$A46*'Verwerking Bouwdelen'!AX30</f>
        <v>0</v>
      </c>
      <c r="S46" s="125">
        <f>$A46*'Verwerking Bouwdelen'!AY30</f>
        <v>0</v>
      </c>
      <c r="T46" s="125">
        <f>$A46*'Verwerking Bouwdelen'!AZ30</f>
        <v>0</v>
      </c>
      <c r="U46" s="125">
        <f>$A46*'Verwerking Bouwdelen'!BA30</f>
        <v>0</v>
      </c>
      <c r="V46" s="125">
        <f>$A46*'Verwerking Bouwdelen'!BB30</f>
        <v>0</v>
      </c>
      <c r="W46" s="125">
        <f>$A46*'Verwerking Bouwdelen'!BC30</f>
        <v>0</v>
      </c>
      <c r="X46" s="125">
        <f>$A46*'Verwerking Bouwdelen'!BD30</f>
        <v>0</v>
      </c>
      <c r="Y46" s="125">
        <f>$A46*'Verwerking Bouwdelen'!BE30</f>
        <v>0</v>
      </c>
      <c r="Z46" s="195">
        <f>$A46*'Verwerking Bouwdelen'!BF30</f>
        <v>0</v>
      </c>
      <c r="AB46" s="125">
        <f>IF(OR('Verwerking Bouwdelen'!C30=3,'Verwerking Bouwdelen'!C30=6),1,0)</f>
        <v>0</v>
      </c>
      <c r="AC46" s="130">
        <f>IF('Verwerking Bouwdelen'!A30=4,1,0)</f>
        <v>0</v>
      </c>
      <c r="AD46" s="208">
        <f>IF($AB46=1,$AC46*'Verwerking Bouwdelen'!DL30,$AC46*'Verwerking Bouwdelen'!T30)</f>
        <v>0</v>
      </c>
      <c r="AE46" s="208">
        <f>IF($AB46=1,$AC46*'Verwerking Bouwdelen'!DM30,$AC46*'Verwerking Bouwdelen'!U30)</f>
        <v>0</v>
      </c>
      <c r="AF46" s="208">
        <f>IF($AB46=1,$AC46*'Verwerking Bouwdelen'!DN30,$AC46*'Verwerking Bouwdelen'!V30)</f>
        <v>0</v>
      </c>
      <c r="AG46" s="208">
        <f>IF($AB46=1,$AC46*'Verwerking Bouwdelen'!DO30,$AC46*'Verwerking Bouwdelen'!W30)</f>
        <v>0</v>
      </c>
      <c r="AH46" s="208">
        <f>IF($AB46=1,$AC46*'Verwerking Bouwdelen'!DP30,$AC46*'Verwerking Bouwdelen'!X30)</f>
        <v>0</v>
      </c>
      <c r="AI46" s="208">
        <f>IF($AB46=1,$AC46*'Verwerking Bouwdelen'!DQ30,$AC46*'Verwerking Bouwdelen'!Y30)</f>
        <v>0</v>
      </c>
      <c r="AJ46" s="208">
        <f>IF($AB46=1,$AC46*'Verwerking Bouwdelen'!DR30,$AC46*'Verwerking Bouwdelen'!Z30)</f>
        <v>0</v>
      </c>
      <c r="AK46" s="208">
        <f>IF($AB46=1,$AC46*'Verwerking Bouwdelen'!DS30,$AC46*'Verwerking Bouwdelen'!AA30)</f>
        <v>0</v>
      </c>
      <c r="AL46" s="208">
        <f>IF($AB46=1,$AC46*'Verwerking Bouwdelen'!DT30,$AC46*'Verwerking Bouwdelen'!AB30)</f>
        <v>0</v>
      </c>
      <c r="AM46" s="208">
        <f>IF($AB46=1,$AC46*'Verwerking Bouwdelen'!DU30,$AC46*'Verwerking Bouwdelen'!AC30)</f>
        <v>0</v>
      </c>
      <c r="AN46" s="208">
        <f>IF($AB46=1,$AC46*'Verwerking Bouwdelen'!DV30,$AC46*'Verwerking Bouwdelen'!AD30)</f>
        <v>0</v>
      </c>
      <c r="AO46" s="208">
        <f>IF($AB46=1,$AC46*'Verwerking Bouwdelen'!DW30,$AC46*'Verwerking Bouwdelen'!AE30)</f>
        <v>0</v>
      </c>
      <c r="AP46" s="10">
        <f>IF(AD46=B46,0,'Verwerking Bouwdelen'!D30*AB46*AC46)</f>
        <v>0</v>
      </c>
      <c r="AQ46" s="10">
        <f>AB46*AC46*'Verwerking Bouwdelen'!GH30</f>
        <v>0</v>
      </c>
      <c r="AR46" s="10"/>
      <c r="AS46" s="248"/>
      <c r="AT46" s="125">
        <f>IF('Verwerking Bouwdelen'!C30=4,1,0)</f>
        <v>0</v>
      </c>
      <c r="AU46" s="130">
        <f>IF('Verwerking Bouwdelen'!A30=4,1,0)</f>
        <v>0</v>
      </c>
      <c r="AV46" s="208">
        <f>IF($AT46=1,$AU46*'Verwerking Bouwdelen'!DL30,$AU46*'Verwerking Bouwdelen'!T30)</f>
        <v>0</v>
      </c>
      <c r="AW46" s="208">
        <f>IF($AT46=1,$AU46*'Verwerking Bouwdelen'!DM30,$AU46*'Verwerking Bouwdelen'!U30)</f>
        <v>0</v>
      </c>
      <c r="AX46" s="208">
        <f>IF($AT46=1,$AU46*'Verwerking Bouwdelen'!DN30,$AU46*'Verwerking Bouwdelen'!V30)</f>
        <v>0</v>
      </c>
      <c r="AY46" s="208">
        <f>IF($AT46=1,$AU46*'Verwerking Bouwdelen'!DO30,$AU46*'Verwerking Bouwdelen'!W30)</f>
        <v>0</v>
      </c>
      <c r="AZ46" s="208">
        <f>IF($AT46=1,$AU46*'Verwerking Bouwdelen'!DP30,$AU46*'Verwerking Bouwdelen'!X30)</f>
        <v>0</v>
      </c>
      <c r="BA46" s="208">
        <f>IF($AT46=1,$AU46*'Verwerking Bouwdelen'!DQ30,$AU46*'Verwerking Bouwdelen'!Y30)</f>
        <v>0</v>
      </c>
      <c r="BB46" s="208">
        <f>IF($AT46=1,$AU46*'Verwerking Bouwdelen'!DR30,$AU46*'Verwerking Bouwdelen'!Z30)</f>
        <v>0</v>
      </c>
      <c r="BC46" s="208">
        <f>IF($AT46=1,$AU46*'Verwerking Bouwdelen'!DS30,$AU46*'Verwerking Bouwdelen'!AA30)</f>
        <v>0</v>
      </c>
      <c r="BD46" s="208">
        <f>IF($AT46=1,$AU46*'Verwerking Bouwdelen'!DT30,$AU46*'Verwerking Bouwdelen'!AB30)</f>
        <v>0</v>
      </c>
      <c r="BE46" s="208">
        <f>IF($AT46=1,$AU46*'Verwerking Bouwdelen'!DU30,$AU46*'Verwerking Bouwdelen'!AC30)</f>
        <v>0</v>
      </c>
      <c r="BF46" s="208">
        <f>IF($AT46=1,$AU46*'Verwerking Bouwdelen'!DV30,$AU46*'Verwerking Bouwdelen'!AD30)</f>
        <v>0</v>
      </c>
      <c r="BG46" s="208">
        <f>IF($AT46=1,$AU46*'Verwerking Bouwdelen'!DW30,$AU46*'Verwerking Bouwdelen'!AE30)</f>
        <v>0</v>
      </c>
      <c r="BH46" s="10">
        <f>IF(AV46=B46,0,'Verwerking Bouwdelen'!D30*AT46*AU46)</f>
        <v>0</v>
      </c>
      <c r="BI46" s="10">
        <f>AT46*AU46*'Verwerking Bouwdelen'!GH30</f>
        <v>0</v>
      </c>
      <c r="BJ46" s="10"/>
      <c r="BK46" s="10"/>
      <c r="BM46" s="125">
        <f>IF('Verwerking Bouwdelen'!C30=5,1,0)</f>
        <v>0</v>
      </c>
      <c r="BN46" s="130">
        <f>IF('Verwerking Bouwdelen'!A30=4,1,0)</f>
        <v>0</v>
      </c>
      <c r="BO46" s="208">
        <f>IF($BM46=1,$BN46*'Verwerking Bouwdelen'!DL30,$BN46*'Verwerking Bouwdelen'!T30)</f>
        <v>0</v>
      </c>
      <c r="BP46" s="208">
        <f>IF($BM46=1,$BN46*'Verwerking Bouwdelen'!DM30,$BN46*'Verwerking Bouwdelen'!U30)</f>
        <v>0</v>
      </c>
      <c r="BQ46" s="208">
        <f>IF($BM46=1,$BN46*'Verwerking Bouwdelen'!DN30,$BN46*'Verwerking Bouwdelen'!V30)</f>
        <v>0</v>
      </c>
      <c r="BR46" s="208">
        <f>IF($BM46=1,$BN46*'Verwerking Bouwdelen'!DO30,$BN46*'Verwerking Bouwdelen'!W30)</f>
        <v>0</v>
      </c>
      <c r="BS46" s="208">
        <f>IF($BM46=1,$BN46*'Verwerking Bouwdelen'!DP30,$BN46*'Verwerking Bouwdelen'!X30)</f>
        <v>0</v>
      </c>
      <c r="BT46" s="208">
        <f>IF($BM46=1,$BN46*'Verwerking Bouwdelen'!DQ30,$BN46*'Verwerking Bouwdelen'!Y30)</f>
        <v>0</v>
      </c>
      <c r="BU46" s="208">
        <f>IF($BM46=1,$BN46*'Verwerking Bouwdelen'!DR30,$BN46*'Verwerking Bouwdelen'!Z30)</f>
        <v>0</v>
      </c>
      <c r="BV46" s="208">
        <f>IF($BM46=1,$BN46*'Verwerking Bouwdelen'!DS30,$BN46*'Verwerking Bouwdelen'!AA30)</f>
        <v>0</v>
      </c>
      <c r="BW46" s="208">
        <f>IF($BM46=1,$BN46*'Verwerking Bouwdelen'!DT30,$BN46*'Verwerking Bouwdelen'!AB30)</f>
        <v>0</v>
      </c>
      <c r="BX46" s="208">
        <f>IF($BM46=1,$BN46*'Verwerking Bouwdelen'!DU30,$BN46*'Verwerking Bouwdelen'!AC30)</f>
        <v>0</v>
      </c>
      <c r="BY46" s="208">
        <f>IF($BM46=1,$BN46*'Verwerking Bouwdelen'!DV30,$BN46*'Verwerking Bouwdelen'!AD30)</f>
        <v>0</v>
      </c>
      <c r="BZ46" s="208">
        <f>IF($BM46=1,$BN46*'Verwerking Bouwdelen'!DW30,$BN46*'Verwerking Bouwdelen'!AE30)</f>
        <v>0</v>
      </c>
      <c r="CA46" s="10">
        <f>IF(BO46=$B46,0,'Verwerking Bouwdelen'!$D30*BM46*BN46)</f>
        <v>0</v>
      </c>
      <c r="CB46" s="10">
        <f>BM46*BN46*'Verwerking Bouwdelen'!GH30</f>
        <v>0</v>
      </c>
      <c r="CC46" s="10"/>
      <c r="CD46" s="248"/>
      <c r="CE46" s="125">
        <f>IF('Verwerking Bouwdelen'!C30=2,1,0)</f>
        <v>0</v>
      </c>
      <c r="CF46" s="130">
        <f>IF('Verwerking Bouwdelen'!A30=4,1,0)</f>
        <v>0</v>
      </c>
      <c r="CG46" s="208">
        <f>IF($CE46=1,$CF46*'Verwerking Bouwdelen'!DL30,$CF46*'Verwerking Bouwdelen'!T30)</f>
        <v>0</v>
      </c>
      <c r="CH46" s="208">
        <f>IF($CE46=1,$CF46*'Verwerking Bouwdelen'!DM30,$CF46*'Verwerking Bouwdelen'!U30)</f>
        <v>0</v>
      </c>
      <c r="CI46" s="208">
        <f>IF($CE46=1,$CF46*'Verwerking Bouwdelen'!DN30,$CF46*'Verwerking Bouwdelen'!V30)</f>
        <v>0</v>
      </c>
      <c r="CJ46" s="208">
        <f>IF($CE46=1,$CF46*'Verwerking Bouwdelen'!DO30,$CF46*'Verwerking Bouwdelen'!W30)</f>
        <v>0</v>
      </c>
      <c r="CK46" s="208">
        <f>IF($CE46=1,$CF46*'Verwerking Bouwdelen'!DP30,$CF46*'Verwerking Bouwdelen'!X30)</f>
        <v>0</v>
      </c>
      <c r="CL46" s="208">
        <f>IF($CE46=1,$CF46*'Verwerking Bouwdelen'!DQ30,$CF46*'Verwerking Bouwdelen'!Y30)</f>
        <v>0</v>
      </c>
      <c r="CM46" s="208">
        <f>IF($CE46=1,$CF46*'Verwerking Bouwdelen'!DR30,$CF46*'Verwerking Bouwdelen'!Z30)</f>
        <v>0</v>
      </c>
      <c r="CN46" s="208">
        <f>IF($CE46=1,$CF46*'Verwerking Bouwdelen'!DS30,$CF46*'Verwerking Bouwdelen'!AA30)</f>
        <v>0</v>
      </c>
      <c r="CO46" s="208">
        <f>IF($CE46=1,$CF46*'Verwerking Bouwdelen'!DT30,$CF46*'Verwerking Bouwdelen'!AB30)</f>
        <v>0</v>
      </c>
      <c r="CP46" s="208">
        <f>IF($CE46=1,$CF46*'Verwerking Bouwdelen'!DU30,$CF46*'Verwerking Bouwdelen'!AC30)</f>
        <v>0</v>
      </c>
      <c r="CQ46" s="208">
        <f>IF($CE46=1,$CF46*'Verwerking Bouwdelen'!DV30,$CF46*'Verwerking Bouwdelen'!AD30)</f>
        <v>0</v>
      </c>
      <c r="CR46" s="208">
        <f>IF($CE46=1,$CF46*'Verwerking Bouwdelen'!DW30,$CF46*'Verwerking Bouwdelen'!AE30)</f>
        <v>0</v>
      </c>
      <c r="CS46" s="10">
        <f>IF(CG46=$B46,0,('Verwerking Bouwdelen'!$D30-'Verwerking Bouwdelen'!G30)*CE46*CF46)</f>
        <v>0</v>
      </c>
      <c r="CT46" s="260">
        <f>CE46*CF46*'Verwerking Bouwdelen'!GH30</f>
        <v>0</v>
      </c>
      <c r="CU46" s="261">
        <f>CE46*CF46*'Verwerking Bouwdelen'!GI30</f>
        <v>0</v>
      </c>
      <c r="CW46" s="209">
        <f>$AC46*'Verwerking Bouwdelen'!EE30</f>
        <v>0</v>
      </c>
      <c r="CX46" s="209">
        <f>$AC46*'Verwerking Bouwdelen'!EF30</f>
        <v>0</v>
      </c>
      <c r="CY46" s="209">
        <f>$AC46*'Verwerking Bouwdelen'!EG30</f>
        <v>0</v>
      </c>
      <c r="CZ46" s="209">
        <f>$AC46*'Verwerking Bouwdelen'!EH30</f>
        <v>0</v>
      </c>
      <c r="DA46" s="209">
        <f>$AC46*'Verwerking Bouwdelen'!EI30</f>
        <v>0</v>
      </c>
      <c r="DB46" s="209">
        <f>$AC46*'Verwerking Bouwdelen'!EJ30</f>
        <v>0</v>
      </c>
      <c r="DC46" s="209">
        <f>$AC46*'Verwerking Bouwdelen'!EK30</f>
        <v>0</v>
      </c>
      <c r="DD46" s="209">
        <f>$AC46*'Verwerking Bouwdelen'!EL30</f>
        <v>0</v>
      </c>
      <c r="DE46" s="209">
        <f>$AC46*'Verwerking Bouwdelen'!EM30</f>
        <v>0</v>
      </c>
      <c r="DF46" s="209">
        <f>$AC46*'Verwerking Bouwdelen'!EN30</f>
        <v>0</v>
      </c>
      <c r="DG46" s="209">
        <f>$AC46*'Verwerking Bouwdelen'!EO30</f>
        <v>0</v>
      </c>
      <c r="DH46" s="209">
        <f>$AC46*'Verwerking Bouwdelen'!EP30</f>
        <v>0</v>
      </c>
      <c r="DI46" s="10">
        <f>IF(CW46=$O46,0,'Verwerking Bouwdelen'!G30)</f>
        <v>0</v>
      </c>
      <c r="DJ46" s="259">
        <f>'Verwerking Bouwdelen'!GK30*CF46</f>
        <v>0</v>
      </c>
      <c r="DK46" s="259">
        <f>'Verwerking Bouwdelen'!GL30*CF46</f>
        <v>0</v>
      </c>
      <c r="DL46" s="125"/>
      <c r="GM46" s="89">
        <f t="shared" si="13"/>
        <v>0</v>
      </c>
      <c r="GN46" s="89">
        <f t="shared" si="14"/>
        <v>0</v>
      </c>
      <c r="GO46" s="208">
        <f>IF($GN46=1,$GN46*$GM46*'Verwerking Bouwdelen'!DL30,$GN46*$GM46*'Verwerking Bouwdelen'!T30)</f>
        <v>0</v>
      </c>
      <c r="GP46" s="208">
        <f>IF($GN46=1,$GN46*$GM46*'Verwerking Bouwdelen'!DM30,$GN46*$GM46*'Verwerking Bouwdelen'!U30)</f>
        <v>0</v>
      </c>
      <c r="GQ46" s="208">
        <f>IF($GN46=1,$GN46*$GM46*'Verwerking Bouwdelen'!DN30,$GN46*$GM46*'Verwerking Bouwdelen'!V30)</f>
        <v>0</v>
      </c>
      <c r="GR46" s="208">
        <f>IF($GN46=1,$GN46*$GM46*'Verwerking Bouwdelen'!DO30,$GN46*$GM46*'Verwerking Bouwdelen'!W30)</f>
        <v>0</v>
      </c>
      <c r="GS46" s="208">
        <f>IF($GN46=1,$GN46*$GM46*'Verwerking Bouwdelen'!DP30,$GN46*$GM46*'Verwerking Bouwdelen'!X30)</f>
        <v>0</v>
      </c>
      <c r="GT46" s="208">
        <f>IF($GN46=1,$GN46*$GM46*'Verwerking Bouwdelen'!DQ30,$GN46*$GM46*'Verwerking Bouwdelen'!Y30)</f>
        <v>0</v>
      </c>
      <c r="GU46" s="208">
        <f>IF($GN46=1,$GN46*$GM46*'Verwerking Bouwdelen'!DR30,$GN46*$GM46*'Verwerking Bouwdelen'!Z30)</f>
        <v>0</v>
      </c>
      <c r="GV46" s="208">
        <f>IF($GN46=1,$GN46*$GM46*'Verwerking Bouwdelen'!DS30,$GN46*$GM46*'Verwerking Bouwdelen'!AA30)</f>
        <v>0</v>
      </c>
      <c r="GW46" s="208">
        <f>IF($GN46=1,$GN46*$GM46*'Verwerking Bouwdelen'!DT30,$GN46*$GM46*'Verwerking Bouwdelen'!AB30)</f>
        <v>0</v>
      </c>
      <c r="GX46" s="208">
        <f>IF($GN46=1,$GN46*$GM46*'Verwerking Bouwdelen'!DU30,$GN46*$GM46*'Verwerking Bouwdelen'!AC30)</f>
        <v>0</v>
      </c>
      <c r="GY46" s="208">
        <f>IF($GN46=1,$GN46*$GM46*'Verwerking Bouwdelen'!DV30,$GN46*$GM46*'Verwerking Bouwdelen'!AD30)</f>
        <v>0</v>
      </c>
      <c r="GZ46" s="208">
        <f>IF($GN46=1,$GN46*$GM46*'Verwerking Bouwdelen'!DW30,$GN46*$GM46*'Verwerking Bouwdelen'!AE30)</f>
        <v>0</v>
      </c>
      <c r="HB46" s="89">
        <f t="shared" si="16"/>
        <v>0</v>
      </c>
      <c r="HC46" s="89">
        <f t="shared" si="17"/>
        <v>0</v>
      </c>
      <c r="HD46" s="89">
        <f t="shared" si="18"/>
        <v>0</v>
      </c>
      <c r="HE46" s="89">
        <f t="shared" si="19"/>
        <v>0</v>
      </c>
      <c r="HF46" s="89">
        <f t="shared" si="19"/>
        <v>0</v>
      </c>
      <c r="HG46" s="89">
        <f t="shared" si="19"/>
        <v>0</v>
      </c>
      <c r="HH46" s="89">
        <f t="shared" si="19"/>
        <v>0</v>
      </c>
      <c r="HI46" s="89">
        <f t="shared" si="19"/>
        <v>0</v>
      </c>
      <c r="HJ46" s="89">
        <f t="shared" si="19"/>
        <v>0</v>
      </c>
      <c r="HK46" s="89">
        <f t="shared" si="19"/>
        <v>0</v>
      </c>
      <c r="HL46" s="89">
        <f t="shared" si="19"/>
        <v>0</v>
      </c>
      <c r="HM46" s="89">
        <f t="shared" si="19"/>
        <v>0</v>
      </c>
    </row>
    <row r="47" spans="1:221" x14ac:dyDescent="0.2">
      <c r="A47" s="130">
        <f>IF('Verwerking Bouwdelen'!A31=4,1,0)</f>
        <v>0</v>
      </c>
      <c r="B47" s="208">
        <f>$A47*'Verwerking Bouwdelen'!T31</f>
        <v>0</v>
      </c>
      <c r="C47" s="208">
        <f>$A47*'Verwerking Bouwdelen'!U31</f>
        <v>0</v>
      </c>
      <c r="D47" s="208">
        <f>$A47*'Verwerking Bouwdelen'!V31</f>
        <v>0</v>
      </c>
      <c r="E47" s="208">
        <f>$A47*'Verwerking Bouwdelen'!W31</f>
        <v>0</v>
      </c>
      <c r="F47" s="208">
        <f>$A47*'Verwerking Bouwdelen'!X31</f>
        <v>0</v>
      </c>
      <c r="G47" s="208">
        <f>$A47*'Verwerking Bouwdelen'!Y31</f>
        <v>0</v>
      </c>
      <c r="H47" s="208">
        <f>$A47*'Verwerking Bouwdelen'!Z31</f>
        <v>0</v>
      </c>
      <c r="I47" s="208">
        <f>$A47*'Verwerking Bouwdelen'!AA31</f>
        <v>0</v>
      </c>
      <c r="J47" s="208">
        <f>$A47*'Verwerking Bouwdelen'!AB31</f>
        <v>0</v>
      </c>
      <c r="K47" s="208">
        <f>$A47*'Verwerking Bouwdelen'!AC31</f>
        <v>0</v>
      </c>
      <c r="L47" s="208">
        <f>$A47*'Verwerking Bouwdelen'!AD31</f>
        <v>0</v>
      </c>
      <c r="M47" s="208">
        <f>$A47*'Verwerking Bouwdelen'!AE31</f>
        <v>0</v>
      </c>
      <c r="O47" s="114">
        <f>$A47*'Verwerking Bouwdelen'!AU31</f>
        <v>0</v>
      </c>
      <c r="P47" s="125">
        <f>$A47*'Verwerking Bouwdelen'!AV31</f>
        <v>0</v>
      </c>
      <c r="Q47" s="125">
        <f>$A47*'Verwerking Bouwdelen'!AW31</f>
        <v>0</v>
      </c>
      <c r="R47" s="125">
        <f>$A47*'Verwerking Bouwdelen'!AX31</f>
        <v>0</v>
      </c>
      <c r="S47" s="125">
        <f>$A47*'Verwerking Bouwdelen'!AY31</f>
        <v>0</v>
      </c>
      <c r="T47" s="125">
        <f>$A47*'Verwerking Bouwdelen'!AZ31</f>
        <v>0</v>
      </c>
      <c r="U47" s="125">
        <f>$A47*'Verwerking Bouwdelen'!BA31</f>
        <v>0</v>
      </c>
      <c r="V47" s="125">
        <f>$A47*'Verwerking Bouwdelen'!BB31</f>
        <v>0</v>
      </c>
      <c r="W47" s="125">
        <f>$A47*'Verwerking Bouwdelen'!BC31</f>
        <v>0</v>
      </c>
      <c r="X47" s="125">
        <f>$A47*'Verwerking Bouwdelen'!BD31</f>
        <v>0</v>
      </c>
      <c r="Y47" s="125">
        <f>$A47*'Verwerking Bouwdelen'!BE31</f>
        <v>0</v>
      </c>
      <c r="Z47" s="195">
        <f>$A47*'Verwerking Bouwdelen'!BF31</f>
        <v>0</v>
      </c>
      <c r="AB47" s="125">
        <f>IF(OR('Verwerking Bouwdelen'!C31=3,'Verwerking Bouwdelen'!C31=6),1,0)</f>
        <v>0</v>
      </c>
      <c r="AC47" s="130">
        <f>IF('Verwerking Bouwdelen'!A31=4,1,0)</f>
        <v>0</v>
      </c>
      <c r="AD47" s="208">
        <f>IF($AB47=1,$AC47*'Verwerking Bouwdelen'!DL31,$AC47*'Verwerking Bouwdelen'!T31)</f>
        <v>0</v>
      </c>
      <c r="AE47" s="208">
        <f>IF($AB47=1,$AC47*'Verwerking Bouwdelen'!DM31,$AC47*'Verwerking Bouwdelen'!U31)</f>
        <v>0</v>
      </c>
      <c r="AF47" s="208">
        <f>IF($AB47=1,$AC47*'Verwerking Bouwdelen'!DN31,$AC47*'Verwerking Bouwdelen'!V31)</f>
        <v>0</v>
      </c>
      <c r="AG47" s="208">
        <f>IF($AB47=1,$AC47*'Verwerking Bouwdelen'!DO31,$AC47*'Verwerking Bouwdelen'!W31)</f>
        <v>0</v>
      </c>
      <c r="AH47" s="208">
        <f>IF($AB47=1,$AC47*'Verwerking Bouwdelen'!DP31,$AC47*'Verwerking Bouwdelen'!X31)</f>
        <v>0</v>
      </c>
      <c r="AI47" s="208">
        <f>IF($AB47=1,$AC47*'Verwerking Bouwdelen'!DQ31,$AC47*'Verwerking Bouwdelen'!Y31)</f>
        <v>0</v>
      </c>
      <c r="AJ47" s="208">
        <f>IF($AB47=1,$AC47*'Verwerking Bouwdelen'!DR31,$AC47*'Verwerking Bouwdelen'!Z31)</f>
        <v>0</v>
      </c>
      <c r="AK47" s="208">
        <f>IF($AB47=1,$AC47*'Verwerking Bouwdelen'!DS31,$AC47*'Verwerking Bouwdelen'!AA31)</f>
        <v>0</v>
      </c>
      <c r="AL47" s="208">
        <f>IF($AB47=1,$AC47*'Verwerking Bouwdelen'!DT31,$AC47*'Verwerking Bouwdelen'!AB31)</f>
        <v>0</v>
      </c>
      <c r="AM47" s="208">
        <f>IF($AB47=1,$AC47*'Verwerking Bouwdelen'!DU31,$AC47*'Verwerking Bouwdelen'!AC31)</f>
        <v>0</v>
      </c>
      <c r="AN47" s="208">
        <f>IF($AB47=1,$AC47*'Verwerking Bouwdelen'!DV31,$AC47*'Verwerking Bouwdelen'!AD31)</f>
        <v>0</v>
      </c>
      <c r="AO47" s="208">
        <f>IF($AB47=1,$AC47*'Verwerking Bouwdelen'!DW31,$AC47*'Verwerking Bouwdelen'!AE31)</f>
        <v>0</v>
      </c>
      <c r="AP47" s="10">
        <f>IF(AD47=B47,0,'Verwerking Bouwdelen'!D31*AB47*AC47)</f>
        <v>0</v>
      </c>
      <c r="AQ47" s="10">
        <f>AB47*AC47*'Verwerking Bouwdelen'!GH31</f>
        <v>0</v>
      </c>
      <c r="AR47" s="10"/>
      <c r="AS47" s="248"/>
      <c r="AT47" s="125">
        <f>IF('Verwerking Bouwdelen'!C31=4,1,0)</f>
        <v>0</v>
      </c>
      <c r="AU47" s="130">
        <f>IF('Verwerking Bouwdelen'!A31=4,1,0)</f>
        <v>0</v>
      </c>
      <c r="AV47" s="208">
        <f>IF($AT47=1,$AU47*'Verwerking Bouwdelen'!DL31,$AU47*'Verwerking Bouwdelen'!T31)</f>
        <v>0</v>
      </c>
      <c r="AW47" s="208">
        <f>IF($AT47=1,$AU47*'Verwerking Bouwdelen'!DM31,$AU47*'Verwerking Bouwdelen'!U31)</f>
        <v>0</v>
      </c>
      <c r="AX47" s="208">
        <f>IF($AT47=1,$AU47*'Verwerking Bouwdelen'!DN31,$AU47*'Verwerking Bouwdelen'!V31)</f>
        <v>0</v>
      </c>
      <c r="AY47" s="208">
        <f>IF($AT47=1,$AU47*'Verwerking Bouwdelen'!DO31,$AU47*'Verwerking Bouwdelen'!W31)</f>
        <v>0</v>
      </c>
      <c r="AZ47" s="208">
        <f>IF($AT47=1,$AU47*'Verwerking Bouwdelen'!DP31,$AU47*'Verwerking Bouwdelen'!X31)</f>
        <v>0</v>
      </c>
      <c r="BA47" s="208">
        <f>IF($AT47=1,$AU47*'Verwerking Bouwdelen'!DQ31,$AU47*'Verwerking Bouwdelen'!Y31)</f>
        <v>0</v>
      </c>
      <c r="BB47" s="208">
        <f>IF($AT47=1,$AU47*'Verwerking Bouwdelen'!DR31,$AU47*'Verwerking Bouwdelen'!Z31)</f>
        <v>0</v>
      </c>
      <c r="BC47" s="208">
        <f>IF($AT47=1,$AU47*'Verwerking Bouwdelen'!DS31,$AU47*'Verwerking Bouwdelen'!AA31)</f>
        <v>0</v>
      </c>
      <c r="BD47" s="208">
        <f>IF($AT47=1,$AU47*'Verwerking Bouwdelen'!DT31,$AU47*'Verwerking Bouwdelen'!AB31)</f>
        <v>0</v>
      </c>
      <c r="BE47" s="208">
        <f>IF($AT47=1,$AU47*'Verwerking Bouwdelen'!DU31,$AU47*'Verwerking Bouwdelen'!AC31)</f>
        <v>0</v>
      </c>
      <c r="BF47" s="208">
        <f>IF($AT47=1,$AU47*'Verwerking Bouwdelen'!DV31,$AU47*'Verwerking Bouwdelen'!AD31)</f>
        <v>0</v>
      </c>
      <c r="BG47" s="208">
        <f>IF($AT47=1,$AU47*'Verwerking Bouwdelen'!DW31,$AU47*'Verwerking Bouwdelen'!AE31)</f>
        <v>0</v>
      </c>
      <c r="BH47" s="10">
        <f>IF(AV47=B47,0,'Verwerking Bouwdelen'!D31*AT47*AU47)</f>
        <v>0</v>
      </c>
      <c r="BI47" s="10">
        <f>AT47*AU47*'Verwerking Bouwdelen'!GH31</f>
        <v>0</v>
      </c>
      <c r="BJ47" s="10"/>
      <c r="BK47" s="10"/>
      <c r="BM47" s="125">
        <f>IF('Verwerking Bouwdelen'!C31=5,1,0)</f>
        <v>0</v>
      </c>
      <c r="BN47" s="130">
        <f>IF('Verwerking Bouwdelen'!A31=4,1,0)</f>
        <v>0</v>
      </c>
      <c r="BO47" s="208">
        <f>IF($BM47=1,$BN47*'Verwerking Bouwdelen'!DL31,$BN47*'Verwerking Bouwdelen'!T31)</f>
        <v>0</v>
      </c>
      <c r="BP47" s="208">
        <f>IF($BM47=1,$BN47*'Verwerking Bouwdelen'!DM31,$BN47*'Verwerking Bouwdelen'!U31)</f>
        <v>0</v>
      </c>
      <c r="BQ47" s="208">
        <f>IF($BM47=1,$BN47*'Verwerking Bouwdelen'!DN31,$BN47*'Verwerking Bouwdelen'!V31)</f>
        <v>0</v>
      </c>
      <c r="BR47" s="208">
        <f>IF($BM47=1,$BN47*'Verwerking Bouwdelen'!DO31,$BN47*'Verwerking Bouwdelen'!W31)</f>
        <v>0</v>
      </c>
      <c r="BS47" s="208">
        <f>IF($BM47=1,$BN47*'Verwerking Bouwdelen'!DP31,$BN47*'Verwerking Bouwdelen'!X31)</f>
        <v>0</v>
      </c>
      <c r="BT47" s="208">
        <f>IF($BM47=1,$BN47*'Verwerking Bouwdelen'!DQ31,$BN47*'Verwerking Bouwdelen'!Y31)</f>
        <v>0</v>
      </c>
      <c r="BU47" s="208">
        <f>IF($BM47=1,$BN47*'Verwerking Bouwdelen'!DR31,$BN47*'Verwerking Bouwdelen'!Z31)</f>
        <v>0</v>
      </c>
      <c r="BV47" s="208">
        <f>IF($BM47=1,$BN47*'Verwerking Bouwdelen'!DS31,$BN47*'Verwerking Bouwdelen'!AA31)</f>
        <v>0</v>
      </c>
      <c r="BW47" s="208">
        <f>IF($BM47=1,$BN47*'Verwerking Bouwdelen'!DT31,$BN47*'Verwerking Bouwdelen'!AB31)</f>
        <v>0</v>
      </c>
      <c r="BX47" s="208">
        <f>IF($BM47=1,$BN47*'Verwerking Bouwdelen'!DU31,$BN47*'Verwerking Bouwdelen'!AC31)</f>
        <v>0</v>
      </c>
      <c r="BY47" s="208">
        <f>IF($BM47=1,$BN47*'Verwerking Bouwdelen'!DV31,$BN47*'Verwerking Bouwdelen'!AD31)</f>
        <v>0</v>
      </c>
      <c r="BZ47" s="208">
        <f>IF($BM47=1,$BN47*'Verwerking Bouwdelen'!DW31,$BN47*'Verwerking Bouwdelen'!AE31)</f>
        <v>0</v>
      </c>
      <c r="CA47" s="10">
        <f>IF(BO47=$B47,0,'Verwerking Bouwdelen'!$D31*BM47*BN47)</f>
        <v>0</v>
      </c>
      <c r="CB47" s="10">
        <f>BM47*BN47*'Verwerking Bouwdelen'!GH31</f>
        <v>0</v>
      </c>
      <c r="CC47" s="10"/>
      <c r="CD47" s="248"/>
      <c r="CE47" s="125">
        <f>IF('Verwerking Bouwdelen'!C31=2,1,0)</f>
        <v>0</v>
      </c>
      <c r="CF47" s="130">
        <f>IF('Verwerking Bouwdelen'!A31=4,1,0)</f>
        <v>0</v>
      </c>
      <c r="CG47" s="208">
        <f>IF($CE47=1,$CF47*'Verwerking Bouwdelen'!DL31,$CF47*'Verwerking Bouwdelen'!T31)</f>
        <v>0</v>
      </c>
      <c r="CH47" s="208">
        <f>IF($CE47=1,$CF47*'Verwerking Bouwdelen'!DM31,$CF47*'Verwerking Bouwdelen'!U31)</f>
        <v>0</v>
      </c>
      <c r="CI47" s="208">
        <f>IF($CE47=1,$CF47*'Verwerking Bouwdelen'!DN31,$CF47*'Verwerking Bouwdelen'!V31)</f>
        <v>0</v>
      </c>
      <c r="CJ47" s="208">
        <f>IF($CE47=1,$CF47*'Verwerking Bouwdelen'!DO31,$CF47*'Verwerking Bouwdelen'!W31)</f>
        <v>0</v>
      </c>
      <c r="CK47" s="208">
        <f>IF($CE47=1,$CF47*'Verwerking Bouwdelen'!DP31,$CF47*'Verwerking Bouwdelen'!X31)</f>
        <v>0</v>
      </c>
      <c r="CL47" s="208">
        <f>IF($CE47=1,$CF47*'Verwerking Bouwdelen'!DQ31,$CF47*'Verwerking Bouwdelen'!Y31)</f>
        <v>0</v>
      </c>
      <c r="CM47" s="208">
        <f>IF($CE47=1,$CF47*'Verwerking Bouwdelen'!DR31,$CF47*'Verwerking Bouwdelen'!Z31)</f>
        <v>0</v>
      </c>
      <c r="CN47" s="208">
        <f>IF($CE47=1,$CF47*'Verwerking Bouwdelen'!DS31,$CF47*'Verwerking Bouwdelen'!AA31)</f>
        <v>0</v>
      </c>
      <c r="CO47" s="208">
        <f>IF($CE47=1,$CF47*'Verwerking Bouwdelen'!DT31,$CF47*'Verwerking Bouwdelen'!AB31)</f>
        <v>0</v>
      </c>
      <c r="CP47" s="208">
        <f>IF($CE47=1,$CF47*'Verwerking Bouwdelen'!DU31,$CF47*'Verwerking Bouwdelen'!AC31)</f>
        <v>0</v>
      </c>
      <c r="CQ47" s="208">
        <f>IF($CE47=1,$CF47*'Verwerking Bouwdelen'!DV31,$CF47*'Verwerking Bouwdelen'!AD31)</f>
        <v>0</v>
      </c>
      <c r="CR47" s="208">
        <f>IF($CE47=1,$CF47*'Verwerking Bouwdelen'!DW31,$CF47*'Verwerking Bouwdelen'!AE31)</f>
        <v>0</v>
      </c>
      <c r="CS47" s="10">
        <f>IF(CG47=$B47,0,('Verwerking Bouwdelen'!$D31-'Verwerking Bouwdelen'!G31)*CE47*CF47)</f>
        <v>0</v>
      </c>
      <c r="CT47" s="260">
        <f>CE47*CF47*'Verwerking Bouwdelen'!GH31</f>
        <v>0</v>
      </c>
      <c r="CU47" s="261">
        <f>CE47*CF47*'Verwerking Bouwdelen'!GI31</f>
        <v>0</v>
      </c>
      <c r="CW47" s="209">
        <f>$AC47*'Verwerking Bouwdelen'!EE31</f>
        <v>0</v>
      </c>
      <c r="CX47" s="209">
        <f>$AC47*'Verwerking Bouwdelen'!EF31</f>
        <v>0</v>
      </c>
      <c r="CY47" s="209">
        <f>$AC47*'Verwerking Bouwdelen'!EG31</f>
        <v>0</v>
      </c>
      <c r="CZ47" s="209">
        <f>$AC47*'Verwerking Bouwdelen'!EH31</f>
        <v>0</v>
      </c>
      <c r="DA47" s="209">
        <f>$AC47*'Verwerking Bouwdelen'!EI31</f>
        <v>0</v>
      </c>
      <c r="DB47" s="209">
        <f>$AC47*'Verwerking Bouwdelen'!EJ31</f>
        <v>0</v>
      </c>
      <c r="DC47" s="209">
        <f>$AC47*'Verwerking Bouwdelen'!EK31</f>
        <v>0</v>
      </c>
      <c r="DD47" s="209">
        <f>$AC47*'Verwerking Bouwdelen'!EL31</f>
        <v>0</v>
      </c>
      <c r="DE47" s="209">
        <f>$AC47*'Verwerking Bouwdelen'!EM31</f>
        <v>0</v>
      </c>
      <c r="DF47" s="209">
        <f>$AC47*'Verwerking Bouwdelen'!EN31</f>
        <v>0</v>
      </c>
      <c r="DG47" s="209">
        <f>$AC47*'Verwerking Bouwdelen'!EO31</f>
        <v>0</v>
      </c>
      <c r="DH47" s="209">
        <f>$AC47*'Verwerking Bouwdelen'!EP31</f>
        <v>0</v>
      </c>
      <c r="DI47" s="10">
        <f>IF(CW47=$O47,0,'Verwerking Bouwdelen'!G31)</f>
        <v>0</v>
      </c>
      <c r="DJ47" s="259">
        <f>'Verwerking Bouwdelen'!GK31*CF47</f>
        <v>0</v>
      </c>
      <c r="DK47" s="259">
        <f>'Verwerking Bouwdelen'!GL31*CF47</f>
        <v>0</v>
      </c>
      <c r="DL47" s="125"/>
      <c r="GM47" s="89">
        <f t="shared" si="13"/>
        <v>0</v>
      </c>
      <c r="GN47" s="89">
        <f t="shared" si="14"/>
        <v>0</v>
      </c>
      <c r="GO47" s="208">
        <f>IF($GN47=1,$GN47*$GM47*'Verwerking Bouwdelen'!DL31,$GN47*$GM47*'Verwerking Bouwdelen'!T31)</f>
        <v>0</v>
      </c>
      <c r="GP47" s="208">
        <f>IF($GN47=1,$GN47*$GM47*'Verwerking Bouwdelen'!DM31,$GN47*$GM47*'Verwerking Bouwdelen'!U31)</f>
        <v>0</v>
      </c>
      <c r="GQ47" s="208">
        <f>IF($GN47=1,$GN47*$GM47*'Verwerking Bouwdelen'!DN31,$GN47*$GM47*'Verwerking Bouwdelen'!V31)</f>
        <v>0</v>
      </c>
      <c r="GR47" s="208">
        <f>IF($GN47=1,$GN47*$GM47*'Verwerking Bouwdelen'!DO31,$GN47*$GM47*'Verwerking Bouwdelen'!W31)</f>
        <v>0</v>
      </c>
      <c r="GS47" s="208">
        <f>IF($GN47=1,$GN47*$GM47*'Verwerking Bouwdelen'!DP31,$GN47*$GM47*'Verwerking Bouwdelen'!X31)</f>
        <v>0</v>
      </c>
      <c r="GT47" s="208">
        <f>IF($GN47=1,$GN47*$GM47*'Verwerking Bouwdelen'!DQ31,$GN47*$GM47*'Verwerking Bouwdelen'!Y31)</f>
        <v>0</v>
      </c>
      <c r="GU47" s="208">
        <f>IF($GN47=1,$GN47*$GM47*'Verwerking Bouwdelen'!DR31,$GN47*$GM47*'Verwerking Bouwdelen'!Z31)</f>
        <v>0</v>
      </c>
      <c r="GV47" s="208">
        <f>IF($GN47=1,$GN47*$GM47*'Verwerking Bouwdelen'!DS31,$GN47*$GM47*'Verwerking Bouwdelen'!AA31)</f>
        <v>0</v>
      </c>
      <c r="GW47" s="208">
        <f>IF($GN47=1,$GN47*$GM47*'Verwerking Bouwdelen'!DT31,$GN47*$GM47*'Verwerking Bouwdelen'!AB31)</f>
        <v>0</v>
      </c>
      <c r="GX47" s="208">
        <f>IF($GN47=1,$GN47*$GM47*'Verwerking Bouwdelen'!DU31,$GN47*$GM47*'Verwerking Bouwdelen'!AC31)</f>
        <v>0</v>
      </c>
      <c r="GY47" s="208">
        <f>IF($GN47=1,$GN47*$GM47*'Verwerking Bouwdelen'!DV31,$GN47*$GM47*'Verwerking Bouwdelen'!AD31)</f>
        <v>0</v>
      </c>
      <c r="GZ47" s="208">
        <f>IF($GN47=1,$GN47*$GM47*'Verwerking Bouwdelen'!DW31,$GN47*$GM47*'Verwerking Bouwdelen'!AE31)</f>
        <v>0</v>
      </c>
      <c r="HB47" s="89">
        <f t="shared" si="16"/>
        <v>0</v>
      </c>
      <c r="HC47" s="89">
        <f t="shared" si="17"/>
        <v>0</v>
      </c>
      <c r="HD47" s="89">
        <f t="shared" si="18"/>
        <v>0</v>
      </c>
      <c r="HE47" s="89">
        <f t="shared" si="19"/>
        <v>0</v>
      </c>
      <c r="HF47" s="89">
        <f t="shared" si="19"/>
        <v>0</v>
      </c>
      <c r="HG47" s="89">
        <f t="shared" si="19"/>
        <v>0</v>
      </c>
      <c r="HH47" s="89">
        <f t="shared" si="19"/>
        <v>0</v>
      </c>
      <c r="HI47" s="89">
        <f t="shared" si="19"/>
        <v>0</v>
      </c>
      <c r="HJ47" s="89">
        <f t="shared" si="19"/>
        <v>0</v>
      </c>
      <c r="HK47" s="89">
        <f t="shared" si="19"/>
        <v>0</v>
      </c>
      <c r="HL47" s="89">
        <f t="shared" si="19"/>
        <v>0</v>
      </c>
      <c r="HM47" s="89">
        <f t="shared" si="19"/>
        <v>0</v>
      </c>
    </row>
    <row r="48" spans="1:221" x14ac:dyDescent="0.2">
      <c r="A48" s="130">
        <f>IF('Verwerking Bouwdelen'!A32=4,1,0)</f>
        <v>0</v>
      </c>
      <c r="B48" s="208">
        <f>$A48*'Verwerking Bouwdelen'!T32</f>
        <v>0</v>
      </c>
      <c r="C48" s="208">
        <f>$A48*'Verwerking Bouwdelen'!U32</f>
        <v>0</v>
      </c>
      <c r="D48" s="208">
        <f>$A48*'Verwerking Bouwdelen'!V32</f>
        <v>0</v>
      </c>
      <c r="E48" s="208">
        <f>$A48*'Verwerking Bouwdelen'!W32</f>
        <v>0</v>
      </c>
      <c r="F48" s="208">
        <f>$A48*'Verwerking Bouwdelen'!X32</f>
        <v>0</v>
      </c>
      <c r="G48" s="208">
        <f>$A48*'Verwerking Bouwdelen'!Y32</f>
        <v>0</v>
      </c>
      <c r="H48" s="208">
        <f>$A48*'Verwerking Bouwdelen'!Z32</f>
        <v>0</v>
      </c>
      <c r="I48" s="208">
        <f>$A48*'Verwerking Bouwdelen'!AA32</f>
        <v>0</v>
      </c>
      <c r="J48" s="208">
        <f>$A48*'Verwerking Bouwdelen'!AB32</f>
        <v>0</v>
      </c>
      <c r="K48" s="208">
        <f>$A48*'Verwerking Bouwdelen'!AC32</f>
        <v>0</v>
      </c>
      <c r="L48" s="208">
        <f>$A48*'Verwerking Bouwdelen'!AD32</f>
        <v>0</v>
      </c>
      <c r="M48" s="208">
        <f>$A48*'Verwerking Bouwdelen'!AE32</f>
        <v>0</v>
      </c>
      <c r="O48" s="114">
        <f>$A48*'Verwerking Bouwdelen'!AU32</f>
        <v>0</v>
      </c>
      <c r="P48" s="125">
        <f>$A48*'Verwerking Bouwdelen'!AV32</f>
        <v>0</v>
      </c>
      <c r="Q48" s="125">
        <f>$A48*'Verwerking Bouwdelen'!AW32</f>
        <v>0</v>
      </c>
      <c r="R48" s="125">
        <f>$A48*'Verwerking Bouwdelen'!AX32</f>
        <v>0</v>
      </c>
      <c r="S48" s="125">
        <f>$A48*'Verwerking Bouwdelen'!AY32</f>
        <v>0</v>
      </c>
      <c r="T48" s="125">
        <f>$A48*'Verwerking Bouwdelen'!AZ32</f>
        <v>0</v>
      </c>
      <c r="U48" s="125">
        <f>$A48*'Verwerking Bouwdelen'!BA32</f>
        <v>0</v>
      </c>
      <c r="V48" s="125">
        <f>$A48*'Verwerking Bouwdelen'!BB32</f>
        <v>0</v>
      </c>
      <c r="W48" s="125">
        <f>$A48*'Verwerking Bouwdelen'!BC32</f>
        <v>0</v>
      </c>
      <c r="X48" s="125">
        <f>$A48*'Verwerking Bouwdelen'!BD32</f>
        <v>0</v>
      </c>
      <c r="Y48" s="125">
        <f>$A48*'Verwerking Bouwdelen'!BE32</f>
        <v>0</v>
      </c>
      <c r="Z48" s="195">
        <f>$A48*'Verwerking Bouwdelen'!BF32</f>
        <v>0</v>
      </c>
      <c r="AB48" s="125">
        <f>IF(OR('Verwerking Bouwdelen'!C32=3,'Verwerking Bouwdelen'!C32=6),1,0)</f>
        <v>0</v>
      </c>
      <c r="AC48" s="130">
        <f>IF('Verwerking Bouwdelen'!A32=4,1,0)</f>
        <v>0</v>
      </c>
      <c r="AD48" s="208">
        <f>IF($AB48=1,$AC48*'Verwerking Bouwdelen'!DL32,$AC48*'Verwerking Bouwdelen'!T32)</f>
        <v>0</v>
      </c>
      <c r="AE48" s="208">
        <f>IF($AB48=1,$AC48*'Verwerking Bouwdelen'!DM32,$AC48*'Verwerking Bouwdelen'!U32)</f>
        <v>0</v>
      </c>
      <c r="AF48" s="208">
        <f>IF($AB48=1,$AC48*'Verwerking Bouwdelen'!DN32,$AC48*'Verwerking Bouwdelen'!V32)</f>
        <v>0</v>
      </c>
      <c r="AG48" s="208">
        <f>IF($AB48=1,$AC48*'Verwerking Bouwdelen'!DO32,$AC48*'Verwerking Bouwdelen'!W32)</f>
        <v>0</v>
      </c>
      <c r="AH48" s="208">
        <f>IF($AB48=1,$AC48*'Verwerking Bouwdelen'!DP32,$AC48*'Verwerking Bouwdelen'!X32)</f>
        <v>0</v>
      </c>
      <c r="AI48" s="208">
        <f>IF($AB48=1,$AC48*'Verwerking Bouwdelen'!DQ32,$AC48*'Verwerking Bouwdelen'!Y32)</f>
        <v>0</v>
      </c>
      <c r="AJ48" s="208">
        <f>IF($AB48=1,$AC48*'Verwerking Bouwdelen'!DR32,$AC48*'Verwerking Bouwdelen'!Z32)</f>
        <v>0</v>
      </c>
      <c r="AK48" s="208">
        <f>IF($AB48=1,$AC48*'Verwerking Bouwdelen'!DS32,$AC48*'Verwerking Bouwdelen'!AA32)</f>
        <v>0</v>
      </c>
      <c r="AL48" s="208">
        <f>IF($AB48=1,$AC48*'Verwerking Bouwdelen'!DT32,$AC48*'Verwerking Bouwdelen'!AB32)</f>
        <v>0</v>
      </c>
      <c r="AM48" s="208">
        <f>IF($AB48=1,$AC48*'Verwerking Bouwdelen'!DU32,$AC48*'Verwerking Bouwdelen'!AC32)</f>
        <v>0</v>
      </c>
      <c r="AN48" s="208">
        <f>IF($AB48=1,$AC48*'Verwerking Bouwdelen'!DV32,$AC48*'Verwerking Bouwdelen'!AD32)</f>
        <v>0</v>
      </c>
      <c r="AO48" s="208">
        <f>IF($AB48=1,$AC48*'Verwerking Bouwdelen'!DW32,$AC48*'Verwerking Bouwdelen'!AE32)</f>
        <v>0</v>
      </c>
      <c r="AP48" s="10">
        <f>IF(AD48=B48,0,'Verwerking Bouwdelen'!D32*AB48*AC48)</f>
        <v>0</v>
      </c>
      <c r="AQ48" s="10">
        <f>AB48*AC48*'Verwerking Bouwdelen'!GH32</f>
        <v>0</v>
      </c>
      <c r="AR48" s="10"/>
      <c r="AS48" s="248"/>
      <c r="AT48" s="125">
        <f>IF('Verwerking Bouwdelen'!C32=4,1,0)</f>
        <v>0</v>
      </c>
      <c r="AU48" s="130">
        <f>IF('Verwerking Bouwdelen'!A32=4,1,0)</f>
        <v>0</v>
      </c>
      <c r="AV48" s="208">
        <f>IF($AT48=1,$AU48*'Verwerking Bouwdelen'!DL32,$AU48*'Verwerking Bouwdelen'!T32)</f>
        <v>0</v>
      </c>
      <c r="AW48" s="208">
        <f>IF($AT48=1,$AU48*'Verwerking Bouwdelen'!DM32,$AU48*'Verwerking Bouwdelen'!U32)</f>
        <v>0</v>
      </c>
      <c r="AX48" s="208">
        <f>IF($AT48=1,$AU48*'Verwerking Bouwdelen'!DN32,$AU48*'Verwerking Bouwdelen'!V32)</f>
        <v>0</v>
      </c>
      <c r="AY48" s="208">
        <f>IF($AT48=1,$AU48*'Verwerking Bouwdelen'!DO32,$AU48*'Verwerking Bouwdelen'!W32)</f>
        <v>0</v>
      </c>
      <c r="AZ48" s="208">
        <f>IF($AT48=1,$AU48*'Verwerking Bouwdelen'!DP32,$AU48*'Verwerking Bouwdelen'!X32)</f>
        <v>0</v>
      </c>
      <c r="BA48" s="208">
        <f>IF($AT48=1,$AU48*'Verwerking Bouwdelen'!DQ32,$AU48*'Verwerking Bouwdelen'!Y32)</f>
        <v>0</v>
      </c>
      <c r="BB48" s="208">
        <f>IF($AT48=1,$AU48*'Verwerking Bouwdelen'!DR32,$AU48*'Verwerking Bouwdelen'!Z32)</f>
        <v>0</v>
      </c>
      <c r="BC48" s="208">
        <f>IF($AT48=1,$AU48*'Verwerking Bouwdelen'!DS32,$AU48*'Verwerking Bouwdelen'!AA32)</f>
        <v>0</v>
      </c>
      <c r="BD48" s="208">
        <f>IF($AT48=1,$AU48*'Verwerking Bouwdelen'!DT32,$AU48*'Verwerking Bouwdelen'!AB32)</f>
        <v>0</v>
      </c>
      <c r="BE48" s="208">
        <f>IF($AT48=1,$AU48*'Verwerking Bouwdelen'!DU32,$AU48*'Verwerking Bouwdelen'!AC32)</f>
        <v>0</v>
      </c>
      <c r="BF48" s="208">
        <f>IF($AT48=1,$AU48*'Verwerking Bouwdelen'!DV32,$AU48*'Verwerking Bouwdelen'!AD32)</f>
        <v>0</v>
      </c>
      <c r="BG48" s="208">
        <f>IF($AT48=1,$AU48*'Verwerking Bouwdelen'!DW32,$AU48*'Verwerking Bouwdelen'!AE32)</f>
        <v>0</v>
      </c>
      <c r="BH48" s="10">
        <f>IF(AV48=B48,0,'Verwerking Bouwdelen'!D32*AT48*AU48)</f>
        <v>0</v>
      </c>
      <c r="BI48" s="10">
        <f>AT48*AU48*'Verwerking Bouwdelen'!GH32</f>
        <v>0</v>
      </c>
      <c r="BJ48" s="10"/>
      <c r="BK48" s="10"/>
      <c r="BM48" s="125">
        <f>IF('Verwerking Bouwdelen'!C32=5,1,0)</f>
        <v>0</v>
      </c>
      <c r="BN48" s="130">
        <f>IF('Verwerking Bouwdelen'!A32=4,1,0)</f>
        <v>0</v>
      </c>
      <c r="BO48" s="208">
        <f>IF($BM48=1,$BN48*'Verwerking Bouwdelen'!DL32,$BN48*'Verwerking Bouwdelen'!T32)</f>
        <v>0</v>
      </c>
      <c r="BP48" s="208">
        <f>IF($BM48=1,$BN48*'Verwerking Bouwdelen'!DM32,$BN48*'Verwerking Bouwdelen'!U32)</f>
        <v>0</v>
      </c>
      <c r="BQ48" s="208">
        <f>IF($BM48=1,$BN48*'Verwerking Bouwdelen'!DN32,$BN48*'Verwerking Bouwdelen'!V32)</f>
        <v>0</v>
      </c>
      <c r="BR48" s="208">
        <f>IF($BM48=1,$BN48*'Verwerking Bouwdelen'!DO32,$BN48*'Verwerking Bouwdelen'!W32)</f>
        <v>0</v>
      </c>
      <c r="BS48" s="208">
        <f>IF($BM48=1,$BN48*'Verwerking Bouwdelen'!DP32,$BN48*'Verwerking Bouwdelen'!X32)</f>
        <v>0</v>
      </c>
      <c r="BT48" s="208">
        <f>IF($BM48=1,$BN48*'Verwerking Bouwdelen'!DQ32,$BN48*'Verwerking Bouwdelen'!Y32)</f>
        <v>0</v>
      </c>
      <c r="BU48" s="208">
        <f>IF($BM48=1,$BN48*'Verwerking Bouwdelen'!DR32,$BN48*'Verwerking Bouwdelen'!Z32)</f>
        <v>0</v>
      </c>
      <c r="BV48" s="208">
        <f>IF($BM48=1,$BN48*'Verwerking Bouwdelen'!DS32,$BN48*'Verwerking Bouwdelen'!AA32)</f>
        <v>0</v>
      </c>
      <c r="BW48" s="208">
        <f>IF($BM48=1,$BN48*'Verwerking Bouwdelen'!DT32,$BN48*'Verwerking Bouwdelen'!AB32)</f>
        <v>0</v>
      </c>
      <c r="BX48" s="208">
        <f>IF($BM48=1,$BN48*'Verwerking Bouwdelen'!DU32,$BN48*'Verwerking Bouwdelen'!AC32)</f>
        <v>0</v>
      </c>
      <c r="BY48" s="208">
        <f>IF($BM48=1,$BN48*'Verwerking Bouwdelen'!DV32,$BN48*'Verwerking Bouwdelen'!AD32)</f>
        <v>0</v>
      </c>
      <c r="BZ48" s="208">
        <f>IF($BM48=1,$BN48*'Verwerking Bouwdelen'!DW32,$BN48*'Verwerking Bouwdelen'!AE32)</f>
        <v>0</v>
      </c>
      <c r="CA48" s="10">
        <f>IF(BO48=$B48,0,'Verwerking Bouwdelen'!$D32*BM48*BN48)</f>
        <v>0</v>
      </c>
      <c r="CB48" s="10">
        <f>BM48*BN48*'Verwerking Bouwdelen'!GH32</f>
        <v>0</v>
      </c>
      <c r="CC48" s="10"/>
      <c r="CD48" s="248"/>
      <c r="CE48" s="125">
        <f>IF('Verwerking Bouwdelen'!C32=2,1,0)</f>
        <v>0</v>
      </c>
      <c r="CF48" s="130">
        <f>IF('Verwerking Bouwdelen'!A32=4,1,0)</f>
        <v>0</v>
      </c>
      <c r="CG48" s="208">
        <f>IF($CE48=1,$CF48*'Verwerking Bouwdelen'!DL32,$CF48*'Verwerking Bouwdelen'!T32)</f>
        <v>0</v>
      </c>
      <c r="CH48" s="208">
        <f>IF($CE48=1,$CF48*'Verwerking Bouwdelen'!DM32,$CF48*'Verwerking Bouwdelen'!U32)</f>
        <v>0</v>
      </c>
      <c r="CI48" s="208">
        <f>IF($CE48=1,$CF48*'Verwerking Bouwdelen'!DN32,$CF48*'Verwerking Bouwdelen'!V32)</f>
        <v>0</v>
      </c>
      <c r="CJ48" s="208">
        <f>IF($CE48=1,$CF48*'Verwerking Bouwdelen'!DO32,$CF48*'Verwerking Bouwdelen'!W32)</f>
        <v>0</v>
      </c>
      <c r="CK48" s="208">
        <f>IF($CE48=1,$CF48*'Verwerking Bouwdelen'!DP32,$CF48*'Verwerking Bouwdelen'!X32)</f>
        <v>0</v>
      </c>
      <c r="CL48" s="208">
        <f>IF($CE48=1,$CF48*'Verwerking Bouwdelen'!DQ32,$CF48*'Verwerking Bouwdelen'!Y32)</f>
        <v>0</v>
      </c>
      <c r="CM48" s="208">
        <f>IF($CE48=1,$CF48*'Verwerking Bouwdelen'!DR32,$CF48*'Verwerking Bouwdelen'!Z32)</f>
        <v>0</v>
      </c>
      <c r="CN48" s="208">
        <f>IF($CE48=1,$CF48*'Verwerking Bouwdelen'!DS32,$CF48*'Verwerking Bouwdelen'!AA32)</f>
        <v>0</v>
      </c>
      <c r="CO48" s="208">
        <f>IF($CE48=1,$CF48*'Verwerking Bouwdelen'!DT32,$CF48*'Verwerking Bouwdelen'!AB32)</f>
        <v>0</v>
      </c>
      <c r="CP48" s="208">
        <f>IF($CE48=1,$CF48*'Verwerking Bouwdelen'!DU32,$CF48*'Verwerking Bouwdelen'!AC32)</f>
        <v>0</v>
      </c>
      <c r="CQ48" s="208">
        <f>IF($CE48=1,$CF48*'Verwerking Bouwdelen'!DV32,$CF48*'Verwerking Bouwdelen'!AD32)</f>
        <v>0</v>
      </c>
      <c r="CR48" s="208">
        <f>IF($CE48=1,$CF48*'Verwerking Bouwdelen'!DW32,$CF48*'Verwerking Bouwdelen'!AE32)</f>
        <v>0</v>
      </c>
      <c r="CS48" s="10">
        <f>IF(CG48=$B48,0,('Verwerking Bouwdelen'!$D32-'Verwerking Bouwdelen'!G32)*CE48*CF48)</f>
        <v>0</v>
      </c>
      <c r="CT48" s="260">
        <f>CE48*CF48*'Verwerking Bouwdelen'!GH32</f>
        <v>0</v>
      </c>
      <c r="CU48" s="261">
        <f>CE48*CF48*'Verwerking Bouwdelen'!GI32</f>
        <v>0</v>
      </c>
      <c r="CW48" s="209">
        <f>$AC48*'Verwerking Bouwdelen'!EE32</f>
        <v>0</v>
      </c>
      <c r="CX48" s="209">
        <f>$AC48*'Verwerking Bouwdelen'!EF32</f>
        <v>0</v>
      </c>
      <c r="CY48" s="209">
        <f>$AC48*'Verwerking Bouwdelen'!EG32</f>
        <v>0</v>
      </c>
      <c r="CZ48" s="209">
        <f>$AC48*'Verwerking Bouwdelen'!EH32</f>
        <v>0</v>
      </c>
      <c r="DA48" s="209">
        <f>$AC48*'Verwerking Bouwdelen'!EI32</f>
        <v>0</v>
      </c>
      <c r="DB48" s="209">
        <f>$AC48*'Verwerking Bouwdelen'!EJ32</f>
        <v>0</v>
      </c>
      <c r="DC48" s="209">
        <f>$AC48*'Verwerking Bouwdelen'!EK32</f>
        <v>0</v>
      </c>
      <c r="DD48" s="209">
        <f>$AC48*'Verwerking Bouwdelen'!EL32</f>
        <v>0</v>
      </c>
      <c r="DE48" s="209">
        <f>$AC48*'Verwerking Bouwdelen'!EM32</f>
        <v>0</v>
      </c>
      <c r="DF48" s="209">
        <f>$AC48*'Verwerking Bouwdelen'!EN32</f>
        <v>0</v>
      </c>
      <c r="DG48" s="209">
        <f>$AC48*'Verwerking Bouwdelen'!EO32</f>
        <v>0</v>
      </c>
      <c r="DH48" s="209">
        <f>$AC48*'Verwerking Bouwdelen'!EP32</f>
        <v>0</v>
      </c>
      <c r="DI48" s="10">
        <f>IF(CW48=$O48,0,'Verwerking Bouwdelen'!G32)</f>
        <v>0</v>
      </c>
      <c r="DJ48" s="259">
        <f>'Verwerking Bouwdelen'!GK32*CF48</f>
        <v>0</v>
      </c>
      <c r="DK48" s="259">
        <f>'Verwerking Bouwdelen'!GL32*CF48</f>
        <v>0</v>
      </c>
      <c r="DL48" s="125"/>
      <c r="GM48" s="89">
        <f t="shared" si="13"/>
        <v>0</v>
      </c>
      <c r="GN48" s="89">
        <f t="shared" si="14"/>
        <v>0</v>
      </c>
      <c r="GO48" s="208">
        <f>IF($GN48=1,$GN48*$GM48*'Verwerking Bouwdelen'!DL32,$GN48*$GM48*'Verwerking Bouwdelen'!T32)</f>
        <v>0</v>
      </c>
      <c r="GP48" s="208">
        <f>IF($GN48=1,$GN48*$GM48*'Verwerking Bouwdelen'!DM32,$GN48*$GM48*'Verwerking Bouwdelen'!U32)</f>
        <v>0</v>
      </c>
      <c r="GQ48" s="208">
        <f>IF($GN48=1,$GN48*$GM48*'Verwerking Bouwdelen'!DN32,$GN48*$GM48*'Verwerking Bouwdelen'!V32)</f>
        <v>0</v>
      </c>
      <c r="GR48" s="208">
        <f>IF($GN48=1,$GN48*$GM48*'Verwerking Bouwdelen'!DO32,$GN48*$GM48*'Verwerking Bouwdelen'!W32)</f>
        <v>0</v>
      </c>
      <c r="GS48" s="208">
        <f>IF($GN48=1,$GN48*$GM48*'Verwerking Bouwdelen'!DP32,$GN48*$GM48*'Verwerking Bouwdelen'!X32)</f>
        <v>0</v>
      </c>
      <c r="GT48" s="208">
        <f>IF($GN48=1,$GN48*$GM48*'Verwerking Bouwdelen'!DQ32,$GN48*$GM48*'Verwerking Bouwdelen'!Y32)</f>
        <v>0</v>
      </c>
      <c r="GU48" s="208">
        <f>IF($GN48=1,$GN48*$GM48*'Verwerking Bouwdelen'!DR32,$GN48*$GM48*'Verwerking Bouwdelen'!Z32)</f>
        <v>0</v>
      </c>
      <c r="GV48" s="208">
        <f>IF($GN48=1,$GN48*$GM48*'Verwerking Bouwdelen'!DS32,$GN48*$GM48*'Verwerking Bouwdelen'!AA32)</f>
        <v>0</v>
      </c>
      <c r="GW48" s="208">
        <f>IF($GN48=1,$GN48*$GM48*'Verwerking Bouwdelen'!DT32,$GN48*$GM48*'Verwerking Bouwdelen'!AB32)</f>
        <v>0</v>
      </c>
      <c r="GX48" s="208">
        <f>IF($GN48=1,$GN48*$GM48*'Verwerking Bouwdelen'!DU32,$GN48*$GM48*'Verwerking Bouwdelen'!AC32)</f>
        <v>0</v>
      </c>
      <c r="GY48" s="208">
        <f>IF($GN48=1,$GN48*$GM48*'Verwerking Bouwdelen'!DV32,$GN48*$GM48*'Verwerking Bouwdelen'!AD32)</f>
        <v>0</v>
      </c>
      <c r="GZ48" s="208">
        <f>IF($GN48=1,$GN48*$GM48*'Verwerking Bouwdelen'!DW32,$GN48*$GM48*'Verwerking Bouwdelen'!AE32)</f>
        <v>0</v>
      </c>
      <c r="HB48" s="89">
        <f t="shared" si="16"/>
        <v>0</v>
      </c>
      <c r="HC48" s="89">
        <f t="shared" si="17"/>
        <v>0</v>
      </c>
      <c r="HD48" s="89">
        <f t="shared" si="18"/>
        <v>0</v>
      </c>
      <c r="HE48" s="89">
        <f t="shared" si="19"/>
        <v>0</v>
      </c>
      <c r="HF48" s="89">
        <f t="shared" si="19"/>
        <v>0</v>
      </c>
      <c r="HG48" s="89">
        <f t="shared" si="19"/>
        <v>0</v>
      </c>
      <c r="HH48" s="89">
        <f t="shared" si="19"/>
        <v>0</v>
      </c>
      <c r="HI48" s="89">
        <f t="shared" si="19"/>
        <v>0</v>
      </c>
      <c r="HJ48" s="89">
        <f t="shared" si="19"/>
        <v>0</v>
      </c>
      <c r="HK48" s="89">
        <f t="shared" si="19"/>
        <v>0</v>
      </c>
      <c r="HL48" s="89">
        <f t="shared" si="19"/>
        <v>0</v>
      </c>
      <c r="HM48" s="89">
        <f t="shared" si="19"/>
        <v>0</v>
      </c>
    </row>
    <row r="49" spans="1:221" x14ac:dyDescent="0.2">
      <c r="A49" s="130">
        <f>IF('Verwerking Bouwdelen'!A33=4,1,0)</f>
        <v>0</v>
      </c>
      <c r="B49" s="208">
        <f>$A49*'Verwerking Bouwdelen'!T33</f>
        <v>0</v>
      </c>
      <c r="C49" s="208">
        <f>$A49*'Verwerking Bouwdelen'!U33</f>
        <v>0</v>
      </c>
      <c r="D49" s="208">
        <f>$A49*'Verwerking Bouwdelen'!V33</f>
        <v>0</v>
      </c>
      <c r="E49" s="208">
        <f>$A49*'Verwerking Bouwdelen'!W33</f>
        <v>0</v>
      </c>
      <c r="F49" s="208">
        <f>$A49*'Verwerking Bouwdelen'!X33</f>
        <v>0</v>
      </c>
      <c r="G49" s="208">
        <f>$A49*'Verwerking Bouwdelen'!Y33</f>
        <v>0</v>
      </c>
      <c r="H49" s="208">
        <f>$A49*'Verwerking Bouwdelen'!Z33</f>
        <v>0</v>
      </c>
      <c r="I49" s="208">
        <f>$A49*'Verwerking Bouwdelen'!AA33</f>
        <v>0</v>
      </c>
      <c r="J49" s="208">
        <f>$A49*'Verwerking Bouwdelen'!AB33</f>
        <v>0</v>
      </c>
      <c r="K49" s="208">
        <f>$A49*'Verwerking Bouwdelen'!AC33</f>
        <v>0</v>
      </c>
      <c r="L49" s="208">
        <f>$A49*'Verwerking Bouwdelen'!AD33</f>
        <v>0</v>
      </c>
      <c r="M49" s="208">
        <f>$A49*'Verwerking Bouwdelen'!AE33</f>
        <v>0</v>
      </c>
      <c r="O49" s="114">
        <f>$A49*'Verwerking Bouwdelen'!AU33</f>
        <v>0</v>
      </c>
      <c r="P49" s="125">
        <f>$A49*'Verwerking Bouwdelen'!AV33</f>
        <v>0</v>
      </c>
      <c r="Q49" s="125">
        <f>$A49*'Verwerking Bouwdelen'!AW33</f>
        <v>0</v>
      </c>
      <c r="R49" s="125">
        <f>$A49*'Verwerking Bouwdelen'!AX33</f>
        <v>0</v>
      </c>
      <c r="S49" s="125">
        <f>$A49*'Verwerking Bouwdelen'!AY33</f>
        <v>0</v>
      </c>
      <c r="T49" s="125">
        <f>$A49*'Verwerking Bouwdelen'!AZ33</f>
        <v>0</v>
      </c>
      <c r="U49" s="125">
        <f>$A49*'Verwerking Bouwdelen'!BA33</f>
        <v>0</v>
      </c>
      <c r="V49" s="125">
        <f>$A49*'Verwerking Bouwdelen'!BB33</f>
        <v>0</v>
      </c>
      <c r="W49" s="125">
        <f>$A49*'Verwerking Bouwdelen'!BC33</f>
        <v>0</v>
      </c>
      <c r="X49" s="125">
        <f>$A49*'Verwerking Bouwdelen'!BD33</f>
        <v>0</v>
      </c>
      <c r="Y49" s="125">
        <f>$A49*'Verwerking Bouwdelen'!BE33</f>
        <v>0</v>
      </c>
      <c r="Z49" s="195">
        <f>$A49*'Verwerking Bouwdelen'!BF33</f>
        <v>0</v>
      </c>
      <c r="AB49" s="125">
        <f>IF(OR('Verwerking Bouwdelen'!C33=3,'Verwerking Bouwdelen'!C33=6),1,0)</f>
        <v>0</v>
      </c>
      <c r="AC49" s="130">
        <f>IF('Verwerking Bouwdelen'!A33=4,1,0)</f>
        <v>0</v>
      </c>
      <c r="AD49" s="208">
        <f>IF($AB49=1,$AC49*'Verwerking Bouwdelen'!DL33,$AC49*'Verwerking Bouwdelen'!T33)</f>
        <v>0</v>
      </c>
      <c r="AE49" s="208">
        <f>IF($AB49=1,$AC49*'Verwerking Bouwdelen'!DM33,$AC49*'Verwerking Bouwdelen'!U33)</f>
        <v>0</v>
      </c>
      <c r="AF49" s="208">
        <f>IF($AB49=1,$AC49*'Verwerking Bouwdelen'!DN33,$AC49*'Verwerking Bouwdelen'!V33)</f>
        <v>0</v>
      </c>
      <c r="AG49" s="208">
        <f>IF($AB49=1,$AC49*'Verwerking Bouwdelen'!DO33,$AC49*'Verwerking Bouwdelen'!W33)</f>
        <v>0</v>
      </c>
      <c r="AH49" s="208">
        <f>IF($AB49=1,$AC49*'Verwerking Bouwdelen'!DP33,$AC49*'Verwerking Bouwdelen'!X33)</f>
        <v>0</v>
      </c>
      <c r="AI49" s="208">
        <f>IF($AB49=1,$AC49*'Verwerking Bouwdelen'!DQ33,$AC49*'Verwerking Bouwdelen'!Y33)</f>
        <v>0</v>
      </c>
      <c r="AJ49" s="208">
        <f>IF($AB49=1,$AC49*'Verwerking Bouwdelen'!DR33,$AC49*'Verwerking Bouwdelen'!Z33)</f>
        <v>0</v>
      </c>
      <c r="AK49" s="208">
        <f>IF($AB49=1,$AC49*'Verwerking Bouwdelen'!DS33,$AC49*'Verwerking Bouwdelen'!AA33)</f>
        <v>0</v>
      </c>
      <c r="AL49" s="208">
        <f>IF($AB49=1,$AC49*'Verwerking Bouwdelen'!DT33,$AC49*'Verwerking Bouwdelen'!AB33)</f>
        <v>0</v>
      </c>
      <c r="AM49" s="208">
        <f>IF($AB49=1,$AC49*'Verwerking Bouwdelen'!DU33,$AC49*'Verwerking Bouwdelen'!AC33)</f>
        <v>0</v>
      </c>
      <c r="AN49" s="208">
        <f>IF($AB49=1,$AC49*'Verwerking Bouwdelen'!DV33,$AC49*'Verwerking Bouwdelen'!AD33)</f>
        <v>0</v>
      </c>
      <c r="AO49" s="208">
        <f>IF($AB49=1,$AC49*'Verwerking Bouwdelen'!DW33,$AC49*'Verwerking Bouwdelen'!AE33)</f>
        <v>0</v>
      </c>
      <c r="AP49" s="10">
        <f>IF(AD49=B49,0,'Verwerking Bouwdelen'!D33*AB49*AC49)</f>
        <v>0</v>
      </c>
      <c r="AQ49" s="10">
        <f>AB49*AC49*'Verwerking Bouwdelen'!GH33</f>
        <v>0</v>
      </c>
      <c r="AR49" s="10"/>
      <c r="AS49" s="248"/>
      <c r="AT49" s="125">
        <f>IF('Verwerking Bouwdelen'!C33=4,1,0)</f>
        <v>0</v>
      </c>
      <c r="AU49" s="130">
        <f>IF('Verwerking Bouwdelen'!A33=4,1,0)</f>
        <v>0</v>
      </c>
      <c r="AV49" s="208">
        <f>IF($AT49=1,$AU49*'Verwerking Bouwdelen'!DL33,$AU49*'Verwerking Bouwdelen'!T33)</f>
        <v>0</v>
      </c>
      <c r="AW49" s="208">
        <f>IF($AT49=1,$AU49*'Verwerking Bouwdelen'!DM33,$AU49*'Verwerking Bouwdelen'!U33)</f>
        <v>0</v>
      </c>
      <c r="AX49" s="208">
        <f>IF($AT49=1,$AU49*'Verwerking Bouwdelen'!DN33,$AU49*'Verwerking Bouwdelen'!V33)</f>
        <v>0</v>
      </c>
      <c r="AY49" s="208">
        <f>IF($AT49=1,$AU49*'Verwerking Bouwdelen'!DO33,$AU49*'Verwerking Bouwdelen'!W33)</f>
        <v>0</v>
      </c>
      <c r="AZ49" s="208">
        <f>IF($AT49=1,$AU49*'Verwerking Bouwdelen'!DP33,$AU49*'Verwerking Bouwdelen'!X33)</f>
        <v>0</v>
      </c>
      <c r="BA49" s="208">
        <f>IF($AT49=1,$AU49*'Verwerking Bouwdelen'!DQ33,$AU49*'Verwerking Bouwdelen'!Y33)</f>
        <v>0</v>
      </c>
      <c r="BB49" s="208">
        <f>IF($AT49=1,$AU49*'Verwerking Bouwdelen'!DR33,$AU49*'Verwerking Bouwdelen'!Z33)</f>
        <v>0</v>
      </c>
      <c r="BC49" s="208">
        <f>IF($AT49=1,$AU49*'Verwerking Bouwdelen'!DS33,$AU49*'Verwerking Bouwdelen'!AA33)</f>
        <v>0</v>
      </c>
      <c r="BD49" s="208">
        <f>IF($AT49=1,$AU49*'Verwerking Bouwdelen'!DT33,$AU49*'Verwerking Bouwdelen'!AB33)</f>
        <v>0</v>
      </c>
      <c r="BE49" s="208">
        <f>IF($AT49=1,$AU49*'Verwerking Bouwdelen'!DU33,$AU49*'Verwerking Bouwdelen'!AC33)</f>
        <v>0</v>
      </c>
      <c r="BF49" s="208">
        <f>IF($AT49=1,$AU49*'Verwerking Bouwdelen'!DV33,$AU49*'Verwerking Bouwdelen'!AD33)</f>
        <v>0</v>
      </c>
      <c r="BG49" s="208">
        <f>IF($AT49=1,$AU49*'Verwerking Bouwdelen'!DW33,$AU49*'Verwerking Bouwdelen'!AE33)</f>
        <v>0</v>
      </c>
      <c r="BH49" s="10">
        <f>IF(AV49=B49,0,'Verwerking Bouwdelen'!D33*AT49*AU49)</f>
        <v>0</v>
      </c>
      <c r="BI49" s="10">
        <f>AT49*AU49*'Verwerking Bouwdelen'!GH33</f>
        <v>0</v>
      </c>
      <c r="BJ49" s="10"/>
      <c r="BK49" s="10"/>
      <c r="BM49" s="125">
        <f>IF('Verwerking Bouwdelen'!C33=5,1,0)</f>
        <v>0</v>
      </c>
      <c r="BN49" s="130">
        <f>IF('Verwerking Bouwdelen'!A33=4,1,0)</f>
        <v>0</v>
      </c>
      <c r="BO49" s="208">
        <f>IF($BM49=1,$BN49*'Verwerking Bouwdelen'!DL33,$BN49*'Verwerking Bouwdelen'!T33)</f>
        <v>0</v>
      </c>
      <c r="BP49" s="208">
        <f>IF($BM49=1,$BN49*'Verwerking Bouwdelen'!DM33,$BN49*'Verwerking Bouwdelen'!U33)</f>
        <v>0</v>
      </c>
      <c r="BQ49" s="208">
        <f>IF($BM49=1,$BN49*'Verwerking Bouwdelen'!DN33,$BN49*'Verwerking Bouwdelen'!V33)</f>
        <v>0</v>
      </c>
      <c r="BR49" s="208">
        <f>IF($BM49=1,$BN49*'Verwerking Bouwdelen'!DO33,$BN49*'Verwerking Bouwdelen'!W33)</f>
        <v>0</v>
      </c>
      <c r="BS49" s="208">
        <f>IF($BM49=1,$BN49*'Verwerking Bouwdelen'!DP33,$BN49*'Verwerking Bouwdelen'!X33)</f>
        <v>0</v>
      </c>
      <c r="BT49" s="208">
        <f>IF($BM49=1,$BN49*'Verwerking Bouwdelen'!DQ33,$BN49*'Verwerking Bouwdelen'!Y33)</f>
        <v>0</v>
      </c>
      <c r="BU49" s="208">
        <f>IF($BM49=1,$BN49*'Verwerking Bouwdelen'!DR33,$BN49*'Verwerking Bouwdelen'!Z33)</f>
        <v>0</v>
      </c>
      <c r="BV49" s="208">
        <f>IF($BM49=1,$BN49*'Verwerking Bouwdelen'!DS33,$BN49*'Verwerking Bouwdelen'!AA33)</f>
        <v>0</v>
      </c>
      <c r="BW49" s="208">
        <f>IF($BM49=1,$BN49*'Verwerking Bouwdelen'!DT33,$BN49*'Verwerking Bouwdelen'!AB33)</f>
        <v>0</v>
      </c>
      <c r="BX49" s="208">
        <f>IF($BM49=1,$BN49*'Verwerking Bouwdelen'!DU33,$BN49*'Verwerking Bouwdelen'!AC33)</f>
        <v>0</v>
      </c>
      <c r="BY49" s="208">
        <f>IF($BM49=1,$BN49*'Verwerking Bouwdelen'!DV33,$BN49*'Verwerking Bouwdelen'!AD33)</f>
        <v>0</v>
      </c>
      <c r="BZ49" s="208">
        <f>IF($BM49=1,$BN49*'Verwerking Bouwdelen'!DW33,$BN49*'Verwerking Bouwdelen'!AE33)</f>
        <v>0</v>
      </c>
      <c r="CA49" s="10">
        <f>IF(BO49=$B49,0,'Verwerking Bouwdelen'!$D33*BM49*BN49)</f>
        <v>0</v>
      </c>
      <c r="CB49" s="10">
        <f>BM49*BN49*'Verwerking Bouwdelen'!GH33</f>
        <v>0</v>
      </c>
      <c r="CC49" s="10"/>
      <c r="CD49" s="248"/>
      <c r="CE49" s="125">
        <f>IF('Verwerking Bouwdelen'!C33=2,1,0)</f>
        <v>0</v>
      </c>
      <c r="CF49" s="130">
        <f>IF('Verwerking Bouwdelen'!A33=4,1,0)</f>
        <v>0</v>
      </c>
      <c r="CG49" s="208">
        <f>IF($CE49=1,$CF49*'Verwerking Bouwdelen'!DL33,$CF49*'Verwerking Bouwdelen'!T33)</f>
        <v>0</v>
      </c>
      <c r="CH49" s="208">
        <f>IF($CE49=1,$CF49*'Verwerking Bouwdelen'!DM33,$CF49*'Verwerking Bouwdelen'!U33)</f>
        <v>0</v>
      </c>
      <c r="CI49" s="208">
        <f>IF($CE49=1,$CF49*'Verwerking Bouwdelen'!DN33,$CF49*'Verwerking Bouwdelen'!V33)</f>
        <v>0</v>
      </c>
      <c r="CJ49" s="208">
        <f>IF($CE49=1,$CF49*'Verwerking Bouwdelen'!DO33,$CF49*'Verwerking Bouwdelen'!W33)</f>
        <v>0</v>
      </c>
      <c r="CK49" s="208">
        <f>IF($CE49=1,$CF49*'Verwerking Bouwdelen'!DP33,$CF49*'Verwerking Bouwdelen'!X33)</f>
        <v>0</v>
      </c>
      <c r="CL49" s="208">
        <f>IF($CE49=1,$CF49*'Verwerking Bouwdelen'!DQ33,$CF49*'Verwerking Bouwdelen'!Y33)</f>
        <v>0</v>
      </c>
      <c r="CM49" s="208">
        <f>IF($CE49=1,$CF49*'Verwerking Bouwdelen'!DR33,$CF49*'Verwerking Bouwdelen'!Z33)</f>
        <v>0</v>
      </c>
      <c r="CN49" s="208">
        <f>IF($CE49=1,$CF49*'Verwerking Bouwdelen'!DS33,$CF49*'Verwerking Bouwdelen'!AA33)</f>
        <v>0</v>
      </c>
      <c r="CO49" s="208">
        <f>IF($CE49=1,$CF49*'Verwerking Bouwdelen'!DT33,$CF49*'Verwerking Bouwdelen'!AB33)</f>
        <v>0</v>
      </c>
      <c r="CP49" s="208">
        <f>IF($CE49=1,$CF49*'Verwerking Bouwdelen'!DU33,$CF49*'Verwerking Bouwdelen'!AC33)</f>
        <v>0</v>
      </c>
      <c r="CQ49" s="208">
        <f>IF($CE49=1,$CF49*'Verwerking Bouwdelen'!DV33,$CF49*'Verwerking Bouwdelen'!AD33)</f>
        <v>0</v>
      </c>
      <c r="CR49" s="208">
        <f>IF($CE49=1,$CF49*'Verwerking Bouwdelen'!DW33,$CF49*'Verwerking Bouwdelen'!AE33)</f>
        <v>0</v>
      </c>
      <c r="CS49" s="10">
        <f>IF(CG49=$B49,0,('Verwerking Bouwdelen'!$D33-'Verwerking Bouwdelen'!G33)*CE49*CF49)</f>
        <v>0</v>
      </c>
      <c r="CT49" s="260">
        <f>CE49*CF49*'Verwerking Bouwdelen'!GH33</f>
        <v>0</v>
      </c>
      <c r="CU49" s="261">
        <f>CE49*CF49*'Verwerking Bouwdelen'!GI33</f>
        <v>0</v>
      </c>
      <c r="CW49" s="209">
        <f>$AC49*'Verwerking Bouwdelen'!EE33</f>
        <v>0</v>
      </c>
      <c r="CX49" s="209">
        <f>$AC49*'Verwerking Bouwdelen'!EF33</f>
        <v>0</v>
      </c>
      <c r="CY49" s="209">
        <f>$AC49*'Verwerking Bouwdelen'!EG33</f>
        <v>0</v>
      </c>
      <c r="CZ49" s="209">
        <f>$AC49*'Verwerking Bouwdelen'!EH33</f>
        <v>0</v>
      </c>
      <c r="DA49" s="209">
        <f>$AC49*'Verwerking Bouwdelen'!EI33</f>
        <v>0</v>
      </c>
      <c r="DB49" s="209">
        <f>$AC49*'Verwerking Bouwdelen'!EJ33</f>
        <v>0</v>
      </c>
      <c r="DC49" s="209">
        <f>$AC49*'Verwerking Bouwdelen'!EK33</f>
        <v>0</v>
      </c>
      <c r="DD49" s="209">
        <f>$AC49*'Verwerking Bouwdelen'!EL33</f>
        <v>0</v>
      </c>
      <c r="DE49" s="209">
        <f>$AC49*'Verwerking Bouwdelen'!EM33</f>
        <v>0</v>
      </c>
      <c r="DF49" s="209">
        <f>$AC49*'Verwerking Bouwdelen'!EN33</f>
        <v>0</v>
      </c>
      <c r="DG49" s="209">
        <f>$AC49*'Verwerking Bouwdelen'!EO33</f>
        <v>0</v>
      </c>
      <c r="DH49" s="209">
        <f>$AC49*'Verwerking Bouwdelen'!EP33</f>
        <v>0</v>
      </c>
      <c r="DI49" s="10">
        <f>IF(CW49=$O49,0,'Verwerking Bouwdelen'!G33)</f>
        <v>0</v>
      </c>
      <c r="DJ49" s="259">
        <f>'Verwerking Bouwdelen'!GK33*CF49</f>
        <v>0</v>
      </c>
      <c r="DK49" s="259">
        <f>'Verwerking Bouwdelen'!GL33*CF49</f>
        <v>0</v>
      </c>
      <c r="DL49" s="125"/>
      <c r="GM49" s="89">
        <f t="shared" si="13"/>
        <v>0</v>
      </c>
      <c r="GN49" s="89">
        <f t="shared" si="14"/>
        <v>0</v>
      </c>
      <c r="GO49" s="208">
        <f>IF($GN49=1,$GN49*$GM49*'Verwerking Bouwdelen'!DL33,$GN49*$GM49*'Verwerking Bouwdelen'!T33)</f>
        <v>0</v>
      </c>
      <c r="GP49" s="208">
        <f>IF($GN49=1,$GN49*$GM49*'Verwerking Bouwdelen'!DM33,$GN49*$GM49*'Verwerking Bouwdelen'!U33)</f>
        <v>0</v>
      </c>
      <c r="GQ49" s="208">
        <f>IF($GN49=1,$GN49*$GM49*'Verwerking Bouwdelen'!DN33,$GN49*$GM49*'Verwerking Bouwdelen'!V33)</f>
        <v>0</v>
      </c>
      <c r="GR49" s="208">
        <f>IF($GN49=1,$GN49*$GM49*'Verwerking Bouwdelen'!DO33,$GN49*$GM49*'Verwerking Bouwdelen'!W33)</f>
        <v>0</v>
      </c>
      <c r="GS49" s="208">
        <f>IF($GN49=1,$GN49*$GM49*'Verwerking Bouwdelen'!DP33,$GN49*$GM49*'Verwerking Bouwdelen'!X33)</f>
        <v>0</v>
      </c>
      <c r="GT49" s="208">
        <f>IF($GN49=1,$GN49*$GM49*'Verwerking Bouwdelen'!DQ33,$GN49*$GM49*'Verwerking Bouwdelen'!Y33)</f>
        <v>0</v>
      </c>
      <c r="GU49" s="208">
        <f>IF($GN49=1,$GN49*$GM49*'Verwerking Bouwdelen'!DR33,$GN49*$GM49*'Verwerking Bouwdelen'!Z33)</f>
        <v>0</v>
      </c>
      <c r="GV49" s="208">
        <f>IF($GN49=1,$GN49*$GM49*'Verwerking Bouwdelen'!DS33,$GN49*$GM49*'Verwerking Bouwdelen'!AA33)</f>
        <v>0</v>
      </c>
      <c r="GW49" s="208">
        <f>IF($GN49=1,$GN49*$GM49*'Verwerking Bouwdelen'!DT33,$GN49*$GM49*'Verwerking Bouwdelen'!AB33)</f>
        <v>0</v>
      </c>
      <c r="GX49" s="208">
        <f>IF($GN49=1,$GN49*$GM49*'Verwerking Bouwdelen'!DU33,$GN49*$GM49*'Verwerking Bouwdelen'!AC33)</f>
        <v>0</v>
      </c>
      <c r="GY49" s="208">
        <f>IF($GN49=1,$GN49*$GM49*'Verwerking Bouwdelen'!DV33,$GN49*$GM49*'Verwerking Bouwdelen'!AD33)</f>
        <v>0</v>
      </c>
      <c r="GZ49" s="208">
        <f>IF($GN49=1,$GN49*$GM49*'Verwerking Bouwdelen'!DW33,$GN49*$GM49*'Verwerking Bouwdelen'!AE33)</f>
        <v>0</v>
      </c>
      <c r="HB49" s="89">
        <f t="shared" si="16"/>
        <v>0</v>
      </c>
      <c r="HC49" s="89">
        <f t="shared" si="17"/>
        <v>0</v>
      </c>
      <c r="HD49" s="89">
        <f t="shared" si="18"/>
        <v>0</v>
      </c>
      <c r="HE49" s="89">
        <f t="shared" si="19"/>
        <v>0</v>
      </c>
      <c r="HF49" s="89">
        <f t="shared" si="19"/>
        <v>0</v>
      </c>
      <c r="HG49" s="89">
        <f t="shared" si="19"/>
        <v>0</v>
      </c>
      <c r="HH49" s="89">
        <f t="shared" si="19"/>
        <v>0</v>
      </c>
      <c r="HI49" s="89">
        <f t="shared" si="19"/>
        <v>0</v>
      </c>
      <c r="HJ49" s="89">
        <f t="shared" si="19"/>
        <v>0</v>
      </c>
      <c r="HK49" s="89">
        <f t="shared" si="19"/>
        <v>0</v>
      </c>
      <c r="HL49" s="89">
        <f t="shared" si="19"/>
        <v>0</v>
      </c>
      <c r="HM49" s="89">
        <f t="shared" si="19"/>
        <v>0</v>
      </c>
    </row>
    <row r="50" spans="1:221" x14ac:dyDescent="0.2">
      <c r="A50" s="130">
        <f>IF('Verwerking Bouwdelen'!A34=4,1,0)</f>
        <v>0</v>
      </c>
      <c r="B50" s="208">
        <f>$A50*'Verwerking Bouwdelen'!T34</f>
        <v>0</v>
      </c>
      <c r="C50" s="208">
        <f>$A50*'Verwerking Bouwdelen'!U34</f>
        <v>0</v>
      </c>
      <c r="D50" s="208">
        <f>$A50*'Verwerking Bouwdelen'!V34</f>
        <v>0</v>
      </c>
      <c r="E50" s="208">
        <f>$A50*'Verwerking Bouwdelen'!W34</f>
        <v>0</v>
      </c>
      <c r="F50" s="208">
        <f>$A50*'Verwerking Bouwdelen'!X34</f>
        <v>0</v>
      </c>
      <c r="G50" s="208">
        <f>$A50*'Verwerking Bouwdelen'!Y34</f>
        <v>0</v>
      </c>
      <c r="H50" s="208">
        <f>$A50*'Verwerking Bouwdelen'!Z34</f>
        <v>0</v>
      </c>
      <c r="I50" s="208">
        <f>$A50*'Verwerking Bouwdelen'!AA34</f>
        <v>0</v>
      </c>
      <c r="J50" s="208">
        <f>$A50*'Verwerking Bouwdelen'!AB34</f>
        <v>0</v>
      </c>
      <c r="K50" s="208">
        <f>$A50*'Verwerking Bouwdelen'!AC34</f>
        <v>0</v>
      </c>
      <c r="L50" s="208">
        <f>$A50*'Verwerking Bouwdelen'!AD34</f>
        <v>0</v>
      </c>
      <c r="M50" s="208">
        <f>$A50*'Verwerking Bouwdelen'!AE34</f>
        <v>0</v>
      </c>
      <c r="O50" s="114">
        <f>$A50*'Verwerking Bouwdelen'!AU34</f>
        <v>0</v>
      </c>
      <c r="P50" s="125">
        <f>$A50*'Verwerking Bouwdelen'!AV34</f>
        <v>0</v>
      </c>
      <c r="Q50" s="125">
        <f>$A50*'Verwerking Bouwdelen'!AW34</f>
        <v>0</v>
      </c>
      <c r="R50" s="125">
        <f>$A50*'Verwerking Bouwdelen'!AX34</f>
        <v>0</v>
      </c>
      <c r="S50" s="125">
        <f>$A50*'Verwerking Bouwdelen'!AY34</f>
        <v>0</v>
      </c>
      <c r="T50" s="125">
        <f>$A50*'Verwerking Bouwdelen'!AZ34</f>
        <v>0</v>
      </c>
      <c r="U50" s="125">
        <f>$A50*'Verwerking Bouwdelen'!BA34</f>
        <v>0</v>
      </c>
      <c r="V50" s="125">
        <f>$A50*'Verwerking Bouwdelen'!BB34</f>
        <v>0</v>
      </c>
      <c r="W50" s="125">
        <f>$A50*'Verwerking Bouwdelen'!BC34</f>
        <v>0</v>
      </c>
      <c r="X50" s="125">
        <f>$A50*'Verwerking Bouwdelen'!BD34</f>
        <v>0</v>
      </c>
      <c r="Y50" s="125">
        <f>$A50*'Verwerking Bouwdelen'!BE34</f>
        <v>0</v>
      </c>
      <c r="Z50" s="195">
        <f>$A50*'Verwerking Bouwdelen'!BF34</f>
        <v>0</v>
      </c>
      <c r="AB50" s="125">
        <f>IF(OR('Verwerking Bouwdelen'!C34=3,'Verwerking Bouwdelen'!C34=6),1,0)</f>
        <v>0</v>
      </c>
      <c r="AC50" s="130">
        <f>IF('Verwerking Bouwdelen'!A34=4,1,0)</f>
        <v>0</v>
      </c>
      <c r="AD50" s="208">
        <f>IF($AB50=1,$AC50*'Verwerking Bouwdelen'!DL34,$AC50*'Verwerking Bouwdelen'!T34)</f>
        <v>0</v>
      </c>
      <c r="AE50" s="208">
        <f>IF($AB50=1,$AC50*'Verwerking Bouwdelen'!DM34,$AC50*'Verwerking Bouwdelen'!U34)</f>
        <v>0</v>
      </c>
      <c r="AF50" s="208">
        <f>IF($AB50=1,$AC50*'Verwerking Bouwdelen'!DN34,$AC50*'Verwerking Bouwdelen'!V34)</f>
        <v>0</v>
      </c>
      <c r="AG50" s="208">
        <f>IF($AB50=1,$AC50*'Verwerking Bouwdelen'!DO34,$AC50*'Verwerking Bouwdelen'!W34)</f>
        <v>0</v>
      </c>
      <c r="AH50" s="208">
        <f>IF($AB50=1,$AC50*'Verwerking Bouwdelen'!DP34,$AC50*'Verwerking Bouwdelen'!X34)</f>
        <v>0</v>
      </c>
      <c r="AI50" s="208">
        <f>IF($AB50=1,$AC50*'Verwerking Bouwdelen'!DQ34,$AC50*'Verwerking Bouwdelen'!Y34)</f>
        <v>0</v>
      </c>
      <c r="AJ50" s="208">
        <f>IF($AB50=1,$AC50*'Verwerking Bouwdelen'!DR34,$AC50*'Verwerking Bouwdelen'!Z34)</f>
        <v>0</v>
      </c>
      <c r="AK50" s="208">
        <f>IF($AB50=1,$AC50*'Verwerking Bouwdelen'!DS34,$AC50*'Verwerking Bouwdelen'!AA34)</f>
        <v>0</v>
      </c>
      <c r="AL50" s="208">
        <f>IF($AB50=1,$AC50*'Verwerking Bouwdelen'!DT34,$AC50*'Verwerking Bouwdelen'!AB34)</f>
        <v>0</v>
      </c>
      <c r="AM50" s="208">
        <f>IF($AB50=1,$AC50*'Verwerking Bouwdelen'!DU34,$AC50*'Verwerking Bouwdelen'!AC34)</f>
        <v>0</v>
      </c>
      <c r="AN50" s="208">
        <f>IF($AB50=1,$AC50*'Verwerking Bouwdelen'!DV34,$AC50*'Verwerking Bouwdelen'!AD34)</f>
        <v>0</v>
      </c>
      <c r="AO50" s="208">
        <f>IF($AB50=1,$AC50*'Verwerking Bouwdelen'!DW34,$AC50*'Verwerking Bouwdelen'!AE34)</f>
        <v>0</v>
      </c>
      <c r="AP50" s="10">
        <f>IF(AD50=B50,0,'Verwerking Bouwdelen'!D34*AB50*AC50)</f>
        <v>0</v>
      </c>
      <c r="AQ50" s="10">
        <f>AB50*AC50*'Verwerking Bouwdelen'!GH34</f>
        <v>0</v>
      </c>
      <c r="AR50" s="10"/>
      <c r="AS50" s="248"/>
      <c r="AT50" s="125">
        <f>IF('Verwerking Bouwdelen'!C34=4,1,0)</f>
        <v>0</v>
      </c>
      <c r="AU50" s="130">
        <f>IF('Verwerking Bouwdelen'!A34=4,1,0)</f>
        <v>0</v>
      </c>
      <c r="AV50" s="208">
        <f>IF($AT50=1,$AU50*'Verwerking Bouwdelen'!DL34,$AU50*'Verwerking Bouwdelen'!T34)</f>
        <v>0</v>
      </c>
      <c r="AW50" s="208">
        <f>IF($AT50=1,$AU50*'Verwerking Bouwdelen'!DM34,$AU50*'Verwerking Bouwdelen'!U34)</f>
        <v>0</v>
      </c>
      <c r="AX50" s="208">
        <f>IF($AT50=1,$AU50*'Verwerking Bouwdelen'!DN34,$AU50*'Verwerking Bouwdelen'!V34)</f>
        <v>0</v>
      </c>
      <c r="AY50" s="208">
        <f>IF($AT50=1,$AU50*'Verwerking Bouwdelen'!DO34,$AU50*'Verwerking Bouwdelen'!W34)</f>
        <v>0</v>
      </c>
      <c r="AZ50" s="208">
        <f>IF($AT50=1,$AU50*'Verwerking Bouwdelen'!DP34,$AU50*'Verwerking Bouwdelen'!X34)</f>
        <v>0</v>
      </c>
      <c r="BA50" s="208">
        <f>IF($AT50=1,$AU50*'Verwerking Bouwdelen'!DQ34,$AU50*'Verwerking Bouwdelen'!Y34)</f>
        <v>0</v>
      </c>
      <c r="BB50" s="208">
        <f>IF($AT50=1,$AU50*'Verwerking Bouwdelen'!DR34,$AU50*'Verwerking Bouwdelen'!Z34)</f>
        <v>0</v>
      </c>
      <c r="BC50" s="208">
        <f>IF($AT50=1,$AU50*'Verwerking Bouwdelen'!DS34,$AU50*'Verwerking Bouwdelen'!AA34)</f>
        <v>0</v>
      </c>
      <c r="BD50" s="208">
        <f>IF($AT50=1,$AU50*'Verwerking Bouwdelen'!DT34,$AU50*'Verwerking Bouwdelen'!AB34)</f>
        <v>0</v>
      </c>
      <c r="BE50" s="208">
        <f>IF($AT50=1,$AU50*'Verwerking Bouwdelen'!DU34,$AU50*'Verwerking Bouwdelen'!AC34)</f>
        <v>0</v>
      </c>
      <c r="BF50" s="208">
        <f>IF($AT50=1,$AU50*'Verwerking Bouwdelen'!DV34,$AU50*'Verwerking Bouwdelen'!AD34)</f>
        <v>0</v>
      </c>
      <c r="BG50" s="208">
        <f>IF($AT50=1,$AU50*'Verwerking Bouwdelen'!DW34,$AU50*'Verwerking Bouwdelen'!AE34)</f>
        <v>0</v>
      </c>
      <c r="BH50" s="10">
        <f>IF(AV50=B50,0,'Verwerking Bouwdelen'!D34*AT50*AU50)</f>
        <v>0</v>
      </c>
      <c r="BI50" s="10">
        <f>AT50*AU50*'Verwerking Bouwdelen'!GH34</f>
        <v>0</v>
      </c>
      <c r="BJ50" s="10"/>
      <c r="BK50" s="10"/>
      <c r="BM50" s="125">
        <f>IF('Verwerking Bouwdelen'!C34=5,1,0)</f>
        <v>0</v>
      </c>
      <c r="BN50" s="130">
        <f>IF('Verwerking Bouwdelen'!A34=4,1,0)</f>
        <v>0</v>
      </c>
      <c r="BO50" s="208">
        <f>IF($BM50=1,$BN50*'Verwerking Bouwdelen'!DL34,$BN50*'Verwerking Bouwdelen'!T34)</f>
        <v>0</v>
      </c>
      <c r="BP50" s="208">
        <f>IF($BM50=1,$BN50*'Verwerking Bouwdelen'!DM34,$BN50*'Verwerking Bouwdelen'!U34)</f>
        <v>0</v>
      </c>
      <c r="BQ50" s="208">
        <f>IF($BM50=1,$BN50*'Verwerking Bouwdelen'!DN34,$BN50*'Verwerking Bouwdelen'!V34)</f>
        <v>0</v>
      </c>
      <c r="BR50" s="208">
        <f>IF($BM50=1,$BN50*'Verwerking Bouwdelen'!DO34,$BN50*'Verwerking Bouwdelen'!W34)</f>
        <v>0</v>
      </c>
      <c r="BS50" s="208">
        <f>IF($BM50=1,$BN50*'Verwerking Bouwdelen'!DP34,$BN50*'Verwerking Bouwdelen'!X34)</f>
        <v>0</v>
      </c>
      <c r="BT50" s="208">
        <f>IF($BM50=1,$BN50*'Verwerking Bouwdelen'!DQ34,$BN50*'Verwerking Bouwdelen'!Y34)</f>
        <v>0</v>
      </c>
      <c r="BU50" s="208">
        <f>IF($BM50=1,$BN50*'Verwerking Bouwdelen'!DR34,$BN50*'Verwerking Bouwdelen'!Z34)</f>
        <v>0</v>
      </c>
      <c r="BV50" s="208">
        <f>IF($BM50=1,$BN50*'Verwerking Bouwdelen'!DS34,$BN50*'Verwerking Bouwdelen'!AA34)</f>
        <v>0</v>
      </c>
      <c r="BW50" s="208">
        <f>IF($BM50=1,$BN50*'Verwerking Bouwdelen'!DT34,$BN50*'Verwerking Bouwdelen'!AB34)</f>
        <v>0</v>
      </c>
      <c r="BX50" s="208">
        <f>IF($BM50=1,$BN50*'Verwerking Bouwdelen'!DU34,$BN50*'Verwerking Bouwdelen'!AC34)</f>
        <v>0</v>
      </c>
      <c r="BY50" s="208">
        <f>IF($BM50=1,$BN50*'Verwerking Bouwdelen'!DV34,$BN50*'Verwerking Bouwdelen'!AD34)</f>
        <v>0</v>
      </c>
      <c r="BZ50" s="208">
        <f>IF($BM50=1,$BN50*'Verwerking Bouwdelen'!DW34,$BN50*'Verwerking Bouwdelen'!AE34)</f>
        <v>0</v>
      </c>
      <c r="CA50" s="10">
        <f>IF(BO50=$B50,0,'Verwerking Bouwdelen'!$D34*BM50*BN50)</f>
        <v>0</v>
      </c>
      <c r="CB50" s="10">
        <f>BM50*BN50*'Verwerking Bouwdelen'!GH34</f>
        <v>0</v>
      </c>
      <c r="CC50" s="10"/>
      <c r="CD50" s="248"/>
      <c r="CE50" s="125">
        <f>IF('Verwerking Bouwdelen'!C34=2,1,0)</f>
        <v>0</v>
      </c>
      <c r="CF50" s="130">
        <f>IF('Verwerking Bouwdelen'!A34=4,1,0)</f>
        <v>0</v>
      </c>
      <c r="CG50" s="208">
        <f>IF($CE50=1,$CF50*'Verwerking Bouwdelen'!DL34,$CF50*'Verwerking Bouwdelen'!T34)</f>
        <v>0</v>
      </c>
      <c r="CH50" s="208">
        <f>IF($CE50=1,$CF50*'Verwerking Bouwdelen'!DM34,$CF50*'Verwerking Bouwdelen'!U34)</f>
        <v>0</v>
      </c>
      <c r="CI50" s="208">
        <f>IF($CE50=1,$CF50*'Verwerking Bouwdelen'!DN34,$CF50*'Verwerking Bouwdelen'!V34)</f>
        <v>0</v>
      </c>
      <c r="CJ50" s="208">
        <f>IF($CE50=1,$CF50*'Verwerking Bouwdelen'!DO34,$CF50*'Verwerking Bouwdelen'!W34)</f>
        <v>0</v>
      </c>
      <c r="CK50" s="208">
        <f>IF($CE50=1,$CF50*'Verwerking Bouwdelen'!DP34,$CF50*'Verwerking Bouwdelen'!X34)</f>
        <v>0</v>
      </c>
      <c r="CL50" s="208">
        <f>IF($CE50=1,$CF50*'Verwerking Bouwdelen'!DQ34,$CF50*'Verwerking Bouwdelen'!Y34)</f>
        <v>0</v>
      </c>
      <c r="CM50" s="208">
        <f>IF($CE50=1,$CF50*'Verwerking Bouwdelen'!DR34,$CF50*'Verwerking Bouwdelen'!Z34)</f>
        <v>0</v>
      </c>
      <c r="CN50" s="208">
        <f>IF($CE50=1,$CF50*'Verwerking Bouwdelen'!DS34,$CF50*'Verwerking Bouwdelen'!AA34)</f>
        <v>0</v>
      </c>
      <c r="CO50" s="208">
        <f>IF($CE50=1,$CF50*'Verwerking Bouwdelen'!DT34,$CF50*'Verwerking Bouwdelen'!AB34)</f>
        <v>0</v>
      </c>
      <c r="CP50" s="208">
        <f>IF($CE50=1,$CF50*'Verwerking Bouwdelen'!DU34,$CF50*'Verwerking Bouwdelen'!AC34)</f>
        <v>0</v>
      </c>
      <c r="CQ50" s="208">
        <f>IF($CE50=1,$CF50*'Verwerking Bouwdelen'!DV34,$CF50*'Verwerking Bouwdelen'!AD34)</f>
        <v>0</v>
      </c>
      <c r="CR50" s="208">
        <f>IF($CE50=1,$CF50*'Verwerking Bouwdelen'!DW34,$CF50*'Verwerking Bouwdelen'!AE34)</f>
        <v>0</v>
      </c>
      <c r="CS50" s="10">
        <f>IF(CG50=$B50,0,('Verwerking Bouwdelen'!$D34-'Verwerking Bouwdelen'!G34)*CE50*CF50)</f>
        <v>0</v>
      </c>
      <c r="CT50" s="260">
        <f>CE50*CF50*'Verwerking Bouwdelen'!GH34</f>
        <v>0</v>
      </c>
      <c r="CU50" s="261">
        <f>CE50*CF50*'Verwerking Bouwdelen'!GI34</f>
        <v>0</v>
      </c>
      <c r="CW50" s="209">
        <f>$AC50*'Verwerking Bouwdelen'!EE34</f>
        <v>0</v>
      </c>
      <c r="CX50" s="209">
        <f>$AC50*'Verwerking Bouwdelen'!EF34</f>
        <v>0</v>
      </c>
      <c r="CY50" s="209">
        <f>$AC50*'Verwerking Bouwdelen'!EG34</f>
        <v>0</v>
      </c>
      <c r="CZ50" s="209">
        <f>$AC50*'Verwerking Bouwdelen'!EH34</f>
        <v>0</v>
      </c>
      <c r="DA50" s="209">
        <f>$AC50*'Verwerking Bouwdelen'!EI34</f>
        <v>0</v>
      </c>
      <c r="DB50" s="209">
        <f>$AC50*'Verwerking Bouwdelen'!EJ34</f>
        <v>0</v>
      </c>
      <c r="DC50" s="209">
        <f>$AC50*'Verwerking Bouwdelen'!EK34</f>
        <v>0</v>
      </c>
      <c r="DD50" s="209">
        <f>$AC50*'Verwerking Bouwdelen'!EL34</f>
        <v>0</v>
      </c>
      <c r="DE50" s="209">
        <f>$AC50*'Verwerking Bouwdelen'!EM34</f>
        <v>0</v>
      </c>
      <c r="DF50" s="209">
        <f>$AC50*'Verwerking Bouwdelen'!EN34</f>
        <v>0</v>
      </c>
      <c r="DG50" s="209">
        <f>$AC50*'Verwerking Bouwdelen'!EO34</f>
        <v>0</v>
      </c>
      <c r="DH50" s="209">
        <f>$AC50*'Verwerking Bouwdelen'!EP34</f>
        <v>0</v>
      </c>
      <c r="DI50" s="10">
        <f>IF(CW50=$O50,0,'Verwerking Bouwdelen'!G34)</f>
        <v>0</v>
      </c>
      <c r="DJ50" s="259">
        <f>'Verwerking Bouwdelen'!GK34*CF50</f>
        <v>0</v>
      </c>
      <c r="DK50" s="259">
        <f>'Verwerking Bouwdelen'!GL34*CF50</f>
        <v>0</v>
      </c>
      <c r="DL50" s="125"/>
      <c r="GM50" s="89">
        <f t="shared" si="13"/>
        <v>0</v>
      </c>
      <c r="GN50" s="89">
        <f t="shared" si="14"/>
        <v>0</v>
      </c>
      <c r="GO50" s="208">
        <f>IF($GN50=1,$GN50*$GM50*'Verwerking Bouwdelen'!DL34,$GN50*$GM50*'Verwerking Bouwdelen'!T34)</f>
        <v>0</v>
      </c>
      <c r="GP50" s="208">
        <f>IF($GN50=1,$GN50*$GM50*'Verwerking Bouwdelen'!DM34,$GN50*$GM50*'Verwerking Bouwdelen'!U34)</f>
        <v>0</v>
      </c>
      <c r="GQ50" s="208">
        <f>IF($GN50=1,$GN50*$GM50*'Verwerking Bouwdelen'!DN34,$GN50*$GM50*'Verwerking Bouwdelen'!V34)</f>
        <v>0</v>
      </c>
      <c r="GR50" s="208">
        <f>IF($GN50=1,$GN50*$GM50*'Verwerking Bouwdelen'!DO34,$GN50*$GM50*'Verwerking Bouwdelen'!W34)</f>
        <v>0</v>
      </c>
      <c r="GS50" s="208">
        <f>IF($GN50=1,$GN50*$GM50*'Verwerking Bouwdelen'!DP34,$GN50*$GM50*'Verwerking Bouwdelen'!X34)</f>
        <v>0</v>
      </c>
      <c r="GT50" s="208">
        <f>IF($GN50=1,$GN50*$GM50*'Verwerking Bouwdelen'!DQ34,$GN50*$GM50*'Verwerking Bouwdelen'!Y34)</f>
        <v>0</v>
      </c>
      <c r="GU50" s="208">
        <f>IF($GN50=1,$GN50*$GM50*'Verwerking Bouwdelen'!DR34,$GN50*$GM50*'Verwerking Bouwdelen'!Z34)</f>
        <v>0</v>
      </c>
      <c r="GV50" s="208">
        <f>IF($GN50=1,$GN50*$GM50*'Verwerking Bouwdelen'!DS34,$GN50*$GM50*'Verwerking Bouwdelen'!AA34)</f>
        <v>0</v>
      </c>
      <c r="GW50" s="208">
        <f>IF($GN50=1,$GN50*$GM50*'Verwerking Bouwdelen'!DT34,$GN50*$GM50*'Verwerking Bouwdelen'!AB34)</f>
        <v>0</v>
      </c>
      <c r="GX50" s="208">
        <f>IF($GN50=1,$GN50*$GM50*'Verwerking Bouwdelen'!DU34,$GN50*$GM50*'Verwerking Bouwdelen'!AC34)</f>
        <v>0</v>
      </c>
      <c r="GY50" s="208">
        <f>IF($GN50=1,$GN50*$GM50*'Verwerking Bouwdelen'!DV34,$GN50*$GM50*'Verwerking Bouwdelen'!AD34)</f>
        <v>0</v>
      </c>
      <c r="GZ50" s="208">
        <f>IF($GN50=1,$GN50*$GM50*'Verwerking Bouwdelen'!DW34,$GN50*$GM50*'Verwerking Bouwdelen'!AE34)</f>
        <v>0</v>
      </c>
      <c r="HB50" s="89">
        <f t="shared" si="16"/>
        <v>0</v>
      </c>
      <c r="HC50" s="89">
        <f t="shared" si="17"/>
        <v>0</v>
      </c>
      <c r="HD50" s="89">
        <f t="shared" si="18"/>
        <v>0</v>
      </c>
      <c r="HE50" s="89">
        <f t="shared" si="19"/>
        <v>0</v>
      </c>
      <c r="HF50" s="89">
        <f t="shared" si="19"/>
        <v>0</v>
      </c>
      <c r="HG50" s="89">
        <f t="shared" si="19"/>
        <v>0</v>
      </c>
      <c r="HH50" s="89">
        <f t="shared" si="19"/>
        <v>0</v>
      </c>
      <c r="HI50" s="89">
        <f t="shared" si="19"/>
        <v>0</v>
      </c>
      <c r="HJ50" s="89">
        <f t="shared" si="19"/>
        <v>0</v>
      </c>
      <c r="HK50" s="89">
        <f t="shared" si="19"/>
        <v>0</v>
      </c>
      <c r="HL50" s="89">
        <f t="shared" si="19"/>
        <v>0</v>
      </c>
      <c r="HM50" s="89">
        <f t="shared" si="19"/>
        <v>0</v>
      </c>
    </row>
    <row r="51" spans="1:221" x14ac:dyDescent="0.2">
      <c r="A51" s="130">
        <f>IF('Verwerking Bouwdelen'!A35=4,1,0)</f>
        <v>0</v>
      </c>
      <c r="B51" s="208">
        <f>$A51*'Verwerking Bouwdelen'!T35</f>
        <v>0</v>
      </c>
      <c r="C51" s="208">
        <f>$A51*'Verwerking Bouwdelen'!U35</f>
        <v>0</v>
      </c>
      <c r="D51" s="208">
        <f>$A51*'Verwerking Bouwdelen'!V35</f>
        <v>0</v>
      </c>
      <c r="E51" s="208">
        <f>$A51*'Verwerking Bouwdelen'!W35</f>
        <v>0</v>
      </c>
      <c r="F51" s="208">
        <f>$A51*'Verwerking Bouwdelen'!X35</f>
        <v>0</v>
      </c>
      <c r="G51" s="208">
        <f>$A51*'Verwerking Bouwdelen'!Y35</f>
        <v>0</v>
      </c>
      <c r="H51" s="208">
        <f>$A51*'Verwerking Bouwdelen'!Z35</f>
        <v>0</v>
      </c>
      <c r="I51" s="208">
        <f>$A51*'Verwerking Bouwdelen'!AA35</f>
        <v>0</v>
      </c>
      <c r="J51" s="208">
        <f>$A51*'Verwerking Bouwdelen'!AB35</f>
        <v>0</v>
      </c>
      <c r="K51" s="208">
        <f>$A51*'Verwerking Bouwdelen'!AC35</f>
        <v>0</v>
      </c>
      <c r="L51" s="208">
        <f>$A51*'Verwerking Bouwdelen'!AD35</f>
        <v>0</v>
      </c>
      <c r="M51" s="208">
        <f>$A51*'Verwerking Bouwdelen'!AE35</f>
        <v>0</v>
      </c>
      <c r="O51" s="114">
        <f>$A51*'Verwerking Bouwdelen'!AU35</f>
        <v>0</v>
      </c>
      <c r="P51" s="125">
        <f>$A51*'Verwerking Bouwdelen'!AV35</f>
        <v>0</v>
      </c>
      <c r="Q51" s="125">
        <f>$A51*'Verwerking Bouwdelen'!AW35</f>
        <v>0</v>
      </c>
      <c r="R51" s="125">
        <f>$A51*'Verwerking Bouwdelen'!AX35</f>
        <v>0</v>
      </c>
      <c r="S51" s="125">
        <f>$A51*'Verwerking Bouwdelen'!AY35</f>
        <v>0</v>
      </c>
      <c r="T51" s="125">
        <f>$A51*'Verwerking Bouwdelen'!AZ35</f>
        <v>0</v>
      </c>
      <c r="U51" s="125">
        <f>$A51*'Verwerking Bouwdelen'!BA35</f>
        <v>0</v>
      </c>
      <c r="V51" s="125">
        <f>$A51*'Verwerking Bouwdelen'!BB35</f>
        <v>0</v>
      </c>
      <c r="W51" s="125">
        <f>$A51*'Verwerking Bouwdelen'!BC35</f>
        <v>0</v>
      </c>
      <c r="X51" s="125">
        <f>$A51*'Verwerking Bouwdelen'!BD35</f>
        <v>0</v>
      </c>
      <c r="Y51" s="125">
        <f>$A51*'Verwerking Bouwdelen'!BE35</f>
        <v>0</v>
      </c>
      <c r="Z51" s="195">
        <f>$A51*'Verwerking Bouwdelen'!BF35</f>
        <v>0</v>
      </c>
      <c r="AB51" s="125">
        <f>IF(OR('Verwerking Bouwdelen'!C35=3,'Verwerking Bouwdelen'!C35=6),1,0)</f>
        <v>0</v>
      </c>
      <c r="AC51" s="130">
        <f>IF('Verwerking Bouwdelen'!A35=4,1,0)</f>
        <v>0</v>
      </c>
      <c r="AD51" s="208">
        <f>IF($AB51=1,$AC51*'Verwerking Bouwdelen'!DL35,$AC51*'Verwerking Bouwdelen'!T35)</f>
        <v>0</v>
      </c>
      <c r="AE51" s="208">
        <f>IF($AB51=1,$AC51*'Verwerking Bouwdelen'!DM35,$AC51*'Verwerking Bouwdelen'!U35)</f>
        <v>0</v>
      </c>
      <c r="AF51" s="208">
        <f>IF($AB51=1,$AC51*'Verwerking Bouwdelen'!DN35,$AC51*'Verwerking Bouwdelen'!V35)</f>
        <v>0</v>
      </c>
      <c r="AG51" s="208">
        <f>IF($AB51=1,$AC51*'Verwerking Bouwdelen'!DO35,$AC51*'Verwerking Bouwdelen'!W35)</f>
        <v>0</v>
      </c>
      <c r="AH51" s="208">
        <f>IF($AB51=1,$AC51*'Verwerking Bouwdelen'!DP35,$AC51*'Verwerking Bouwdelen'!X35)</f>
        <v>0</v>
      </c>
      <c r="AI51" s="208">
        <f>IF($AB51=1,$AC51*'Verwerking Bouwdelen'!DQ35,$AC51*'Verwerking Bouwdelen'!Y35)</f>
        <v>0</v>
      </c>
      <c r="AJ51" s="208">
        <f>IF($AB51=1,$AC51*'Verwerking Bouwdelen'!DR35,$AC51*'Verwerking Bouwdelen'!Z35)</f>
        <v>0</v>
      </c>
      <c r="AK51" s="208">
        <f>IF($AB51=1,$AC51*'Verwerking Bouwdelen'!DS35,$AC51*'Verwerking Bouwdelen'!AA35)</f>
        <v>0</v>
      </c>
      <c r="AL51" s="208">
        <f>IF($AB51=1,$AC51*'Verwerking Bouwdelen'!DT35,$AC51*'Verwerking Bouwdelen'!AB35)</f>
        <v>0</v>
      </c>
      <c r="AM51" s="208">
        <f>IF($AB51=1,$AC51*'Verwerking Bouwdelen'!DU35,$AC51*'Verwerking Bouwdelen'!AC35)</f>
        <v>0</v>
      </c>
      <c r="AN51" s="208">
        <f>IF($AB51=1,$AC51*'Verwerking Bouwdelen'!DV35,$AC51*'Verwerking Bouwdelen'!AD35)</f>
        <v>0</v>
      </c>
      <c r="AO51" s="208">
        <f>IF($AB51=1,$AC51*'Verwerking Bouwdelen'!DW35,$AC51*'Verwerking Bouwdelen'!AE35)</f>
        <v>0</v>
      </c>
      <c r="AP51" s="10">
        <f>IF(AD51=B51,0,'Verwerking Bouwdelen'!D35*AB51*AC51)</f>
        <v>0</v>
      </c>
      <c r="AQ51" s="10">
        <f>AB51*AC51*'Verwerking Bouwdelen'!GH35</f>
        <v>0</v>
      </c>
      <c r="AR51" s="10"/>
      <c r="AS51" s="248"/>
      <c r="AT51" s="125">
        <f>IF('Verwerking Bouwdelen'!C35=4,1,0)</f>
        <v>0</v>
      </c>
      <c r="AU51" s="130">
        <f>IF('Verwerking Bouwdelen'!A35=4,1,0)</f>
        <v>0</v>
      </c>
      <c r="AV51" s="208">
        <f>IF($AT51=1,$AU51*'Verwerking Bouwdelen'!DL35,$AU51*'Verwerking Bouwdelen'!T35)</f>
        <v>0</v>
      </c>
      <c r="AW51" s="208">
        <f>IF($AT51=1,$AU51*'Verwerking Bouwdelen'!DM35,$AU51*'Verwerking Bouwdelen'!U35)</f>
        <v>0</v>
      </c>
      <c r="AX51" s="208">
        <f>IF($AT51=1,$AU51*'Verwerking Bouwdelen'!DN35,$AU51*'Verwerking Bouwdelen'!V35)</f>
        <v>0</v>
      </c>
      <c r="AY51" s="208">
        <f>IF($AT51=1,$AU51*'Verwerking Bouwdelen'!DO35,$AU51*'Verwerking Bouwdelen'!W35)</f>
        <v>0</v>
      </c>
      <c r="AZ51" s="208">
        <f>IF($AT51=1,$AU51*'Verwerking Bouwdelen'!DP35,$AU51*'Verwerking Bouwdelen'!X35)</f>
        <v>0</v>
      </c>
      <c r="BA51" s="208">
        <f>IF($AT51=1,$AU51*'Verwerking Bouwdelen'!DQ35,$AU51*'Verwerking Bouwdelen'!Y35)</f>
        <v>0</v>
      </c>
      <c r="BB51" s="208">
        <f>IF($AT51=1,$AU51*'Verwerking Bouwdelen'!DR35,$AU51*'Verwerking Bouwdelen'!Z35)</f>
        <v>0</v>
      </c>
      <c r="BC51" s="208">
        <f>IF($AT51=1,$AU51*'Verwerking Bouwdelen'!DS35,$AU51*'Verwerking Bouwdelen'!AA35)</f>
        <v>0</v>
      </c>
      <c r="BD51" s="208">
        <f>IF($AT51=1,$AU51*'Verwerking Bouwdelen'!DT35,$AU51*'Verwerking Bouwdelen'!AB35)</f>
        <v>0</v>
      </c>
      <c r="BE51" s="208">
        <f>IF($AT51=1,$AU51*'Verwerking Bouwdelen'!DU35,$AU51*'Verwerking Bouwdelen'!AC35)</f>
        <v>0</v>
      </c>
      <c r="BF51" s="208">
        <f>IF($AT51=1,$AU51*'Verwerking Bouwdelen'!DV35,$AU51*'Verwerking Bouwdelen'!AD35)</f>
        <v>0</v>
      </c>
      <c r="BG51" s="208">
        <f>IF($AT51=1,$AU51*'Verwerking Bouwdelen'!DW35,$AU51*'Verwerking Bouwdelen'!AE35)</f>
        <v>0</v>
      </c>
      <c r="BH51" s="10">
        <f>IF(AV51=B51,0,'Verwerking Bouwdelen'!D35*AT51*AU51)</f>
        <v>0</v>
      </c>
      <c r="BI51" s="10">
        <f>AT51*AU51*'Verwerking Bouwdelen'!GH35</f>
        <v>0</v>
      </c>
      <c r="BJ51" s="10"/>
      <c r="BK51" s="10"/>
      <c r="BM51" s="125">
        <f>IF('Verwerking Bouwdelen'!C35=5,1,0)</f>
        <v>0</v>
      </c>
      <c r="BN51" s="130">
        <f>IF('Verwerking Bouwdelen'!A35=4,1,0)</f>
        <v>0</v>
      </c>
      <c r="BO51" s="208">
        <f>IF($BM51=1,$BN51*'Verwerking Bouwdelen'!DL35,$BN51*'Verwerking Bouwdelen'!T35)</f>
        <v>0</v>
      </c>
      <c r="BP51" s="208">
        <f>IF($BM51=1,$BN51*'Verwerking Bouwdelen'!DM35,$BN51*'Verwerking Bouwdelen'!U35)</f>
        <v>0</v>
      </c>
      <c r="BQ51" s="208">
        <f>IF($BM51=1,$BN51*'Verwerking Bouwdelen'!DN35,$BN51*'Verwerking Bouwdelen'!V35)</f>
        <v>0</v>
      </c>
      <c r="BR51" s="208">
        <f>IF($BM51=1,$BN51*'Verwerking Bouwdelen'!DO35,$BN51*'Verwerking Bouwdelen'!W35)</f>
        <v>0</v>
      </c>
      <c r="BS51" s="208">
        <f>IF($BM51=1,$BN51*'Verwerking Bouwdelen'!DP35,$BN51*'Verwerking Bouwdelen'!X35)</f>
        <v>0</v>
      </c>
      <c r="BT51" s="208">
        <f>IF($BM51=1,$BN51*'Verwerking Bouwdelen'!DQ35,$BN51*'Verwerking Bouwdelen'!Y35)</f>
        <v>0</v>
      </c>
      <c r="BU51" s="208">
        <f>IF($BM51=1,$BN51*'Verwerking Bouwdelen'!DR35,$BN51*'Verwerking Bouwdelen'!Z35)</f>
        <v>0</v>
      </c>
      <c r="BV51" s="208">
        <f>IF($BM51=1,$BN51*'Verwerking Bouwdelen'!DS35,$BN51*'Verwerking Bouwdelen'!AA35)</f>
        <v>0</v>
      </c>
      <c r="BW51" s="208">
        <f>IF($BM51=1,$BN51*'Verwerking Bouwdelen'!DT35,$BN51*'Verwerking Bouwdelen'!AB35)</f>
        <v>0</v>
      </c>
      <c r="BX51" s="208">
        <f>IF($BM51=1,$BN51*'Verwerking Bouwdelen'!DU35,$BN51*'Verwerking Bouwdelen'!AC35)</f>
        <v>0</v>
      </c>
      <c r="BY51" s="208">
        <f>IF($BM51=1,$BN51*'Verwerking Bouwdelen'!DV35,$BN51*'Verwerking Bouwdelen'!AD35)</f>
        <v>0</v>
      </c>
      <c r="BZ51" s="208">
        <f>IF($BM51=1,$BN51*'Verwerking Bouwdelen'!DW35,$BN51*'Verwerking Bouwdelen'!AE35)</f>
        <v>0</v>
      </c>
      <c r="CA51" s="10">
        <f>IF(BO51=$B51,0,'Verwerking Bouwdelen'!$D35*BM51*BN51)</f>
        <v>0</v>
      </c>
      <c r="CB51" s="10">
        <f>BM51*BN51*'Verwerking Bouwdelen'!GH35</f>
        <v>0</v>
      </c>
      <c r="CC51" s="10"/>
      <c r="CD51" s="248"/>
      <c r="CE51" s="125">
        <f>IF('Verwerking Bouwdelen'!C35=2,1,0)</f>
        <v>0</v>
      </c>
      <c r="CF51" s="130">
        <f>IF('Verwerking Bouwdelen'!A35=4,1,0)</f>
        <v>0</v>
      </c>
      <c r="CG51" s="208">
        <f>IF($CE51=1,$CF51*'Verwerking Bouwdelen'!DL35,$CF51*'Verwerking Bouwdelen'!T35)</f>
        <v>0</v>
      </c>
      <c r="CH51" s="208">
        <f>IF($CE51=1,$CF51*'Verwerking Bouwdelen'!DM35,$CF51*'Verwerking Bouwdelen'!U35)</f>
        <v>0</v>
      </c>
      <c r="CI51" s="208">
        <f>IF($CE51=1,$CF51*'Verwerking Bouwdelen'!DN35,$CF51*'Verwerking Bouwdelen'!V35)</f>
        <v>0</v>
      </c>
      <c r="CJ51" s="208">
        <f>IF($CE51=1,$CF51*'Verwerking Bouwdelen'!DO35,$CF51*'Verwerking Bouwdelen'!W35)</f>
        <v>0</v>
      </c>
      <c r="CK51" s="208">
        <f>IF($CE51=1,$CF51*'Verwerking Bouwdelen'!DP35,$CF51*'Verwerking Bouwdelen'!X35)</f>
        <v>0</v>
      </c>
      <c r="CL51" s="208">
        <f>IF($CE51=1,$CF51*'Verwerking Bouwdelen'!DQ35,$CF51*'Verwerking Bouwdelen'!Y35)</f>
        <v>0</v>
      </c>
      <c r="CM51" s="208">
        <f>IF($CE51=1,$CF51*'Verwerking Bouwdelen'!DR35,$CF51*'Verwerking Bouwdelen'!Z35)</f>
        <v>0</v>
      </c>
      <c r="CN51" s="208">
        <f>IF($CE51=1,$CF51*'Verwerking Bouwdelen'!DS35,$CF51*'Verwerking Bouwdelen'!AA35)</f>
        <v>0</v>
      </c>
      <c r="CO51" s="208">
        <f>IF($CE51=1,$CF51*'Verwerking Bouwdelen'!DT35,$CF51*'Verwerking Bouwdelen'!AB35)</f>
        <v>0</v>
      </c>
      <c r="CP51" s="208">
        <f>IF($CE51=1,$CF51*'Verwerking Bouwdelen'!DU35,$CF51*'Verwerking Bouwdelen'!AC35)</f>
        <v>0</v>
      </c>
      <c r="CQ51" s="208">
        <f>IF($CE51=1,$CF51*'Verwerking Bouwdelen'!DV35,$CF51*'Verwerking Bouwdelen'!AD35)</f>
        <v>0</v>
      </c>
      <c r="CR51" s="208">
        <f>IF($CE51=1,$CF51*'Verwerking Bouwdelen'!DW35,$CF51*'Verwerking Bouwdelen'!AE35)</f>
        <v>0</v>
      </c>
      <c r="CS51" s="10">
        <f>IF(CG51=$B51,0,('Verwerking Bouwdelen'!$D35-'Verwerking Bouwdelen'!G35)*CE51*CF51)</f>
        <v>0</v>
      </c>
      <c r="CT51" s="260">
        <f>CE51*CF51*'Verwerking Bouwdelen'!GH35</f>
        <v>0</v>
      </c>
      <c r="CU51" s="261">
        <f>CE51*CF51*'Verwerking Bouwdelen'!GI35</f>
        <v>0</v>
      </c>
      <c r="CW51" s="209">
        <f>$AC51*'Verwerking Bouwdelen'!EE35</f>
        <v>0</v>
      </c>
      <c r="CX51" s="209">
        <f>$AC51*'Verwerking Bouwdelen'!EF35</f>
        <v>0</v>
      </c>
      <c r="CY51" s="209">
        <f>$AC51*'Verwerking Bouwdelen'!EG35</f>
        <v>0</v>
      </c>
      <c r="CZ51" s="209">
        <f>$AC51*'Verwerking Bouwdelen'!EH35</f>
        <v>0</v>
      </c>
      <c r="DA51" s="209">
        <f>$AC51*'Verwerking Bouwdelen'!EI35</f>
        <v>0</v>
      </c>
      <c r="DB51" s="209">
        <f>$AC51*'Verwerking Bouwdelen'!EJ35</f>
        <v>0</v>
      </c>
      <c r="DC51" s="209">
        <f>$AC51*'Verwerking Bouwdelen'!EK35</f>
        <v>0</v>
      </c>
      <c r="DD51" s="209">
        <f>$AC51*'Verwerking Bouwdelen'!EL35</f>
        <v>0</v>
      </c>
      <c r="DE51" s="209">
        <f>$AC51*'Verwerking Bouwdelen'!EM35</f>
        <v>0</v>
      </c>
      <c r="DF51" s="209">
        <f>$AC51*'Verwerking Bouwdelen'!EN35</f>
        <v>0</v>
      </c>
      <c r="DG51" s="209">
        <f>$AC51*'Verwerking Bouwdelen'!EO35</f>
        <v>0</v>
      </c>
      <c r="DH51" s="209">
        <f>$AC51*'Verwerking Bouwdelen'!EP35</f>
        <v>0</v>
      </c>
      <c r="DI51" s="10">
        <f>IF(CW51=$O51,0,'Verwerking Bouwdelen'!G35)</f>
        <v>0</v>
      </c>
      <c r="DJ51" s="259">
        <f>'Verwerking Bouwdelen'!GK35*CF51</f>
        <v>0</v>
      </c>
      <c r="DK51" s="259">
        <f>'Verwerking Bouwdelen'!GL35*CF51</f>
        <v>0</v>
      </c>
      <c r="DL51" s="125"/>
      <c r="GM51" s="89">
        <f t="shared" si="13"/>
        <v>0</v>
      </c>
      <c r="GN51" s="89">
        <f t="shared" si="14"/>
        <v>0</v>
      </c>
      <c r="GO51" s="208">
        <f>IF($GN51=1,$GN51*$GM51*'Verwerking Bouwdelen'!DL35,$GN51*$GM51*'Verwerking Bouwdelen'!T35)</f>
        <v>0</v>
      </c>
      <c r="GP51" s="208">
        <f>IF($GN51=1,$GN51*$GM51*'Verwerking Bouwdelen'!DM35,$GN51*$GM51*'Verwerking Bouwdelen'!U35)</f>
        <v>0</v>
      </c>
      <c r="GQ51" s="208">
        <f>IF($GN51=1,$GN51*$GM51*'Verwerking Bouwdelen'!DN35,$GN51*$GM51*'Verwerking Bouwdelen'!V35)</f>
        <v>0</v>
      </c>
      <c r="GR51" s="208">
        <f>IF($GN51=1,$GN51*$GM51*'Verwerking Bouwdelen'!DO35,$GN51*$GM51*'Verwerking Bouwdelen'!W35)</f>
        <v>0</v>
      </c>
      <c r="GS51" s="208">
        <f>IF($GN51=1,$GN51*$GM51*'Verwerking Bouwdelen'!DP35,$GN51*$GM51*'Verwerking Bouwdelen'!X35)</f>
        <v>0</v>
      </c>
      <c r="GT51" s="208">
        <f>IF($GN51=1,$GN51*$GM51*'Verwerking Bouwdelen'!DQ35,$GN51*$GM51*'Verwerking Bouwdelen'!Y35)</f>
        <v>0</v>
      </c>
      <c r="GU51" s="208">
        <f>IF($GN51=1,$GN51*$GM51*'Verwerking Bouwdelen'!DR35,$GN51*$GM51*'Verwerking Bouwdelen'!Z35)</f>
        <v>0</v>
      </c>
      <c r="GV51" s="208">
        <f>IF($GN51=1,$GN51*$GM51*'Verwerking Bouwdelen'!DS35,$GN51*$GM51*'Verwerking Bouwdelen'!AA35)</f>
        <v>0</v>
      </c>
      <c r="GW51" s="208">
        <f>IF($GN51=1,$GN51*$GM51*'Verwerking Bouwdelen'!DT35,$GN51*$GM51*'Verwerking Bouwdelen'!AB35)</f>
        <v>0</v>
      </c>
      <c r="GX51" s="208">
        <f>IF($GN51=1,$GN51*$GM51*'Verwerking Bouwdelen'!DU35,$GN51*$GM51*'Verwerking Bouwdelen'!AC35)</f>
        <v>0</v>
      </c>
      <c r="GY51" s="208">
        <f>IF($GN51=1,$GN51*$GM51*'Verwerking Bouwdelen'!DV35,$GN51*$GM51*'Verwerking Bouwdelen'!AD35)</f>
        <v>0</v>
      </c>
      <c r="GZ51" s="208">
        <f>IF($GN51=1,$GN51*$GM51*'Verwerking Bouwdelen'!DW35,$GN51*$GM51*'Verwerking Bouwdelen'!AE35)</f>
        <v>0</v>
      </c>
      <c r="HB51" s="89">
        <f t="shared" si="16"/>
        <v>0</v>
      </c>
      <c r="HC51" s="89">
        <f t="shared" si="17"/>
        <v>0</v>
      </c>
      <c r="HD51" s="89">
        <f t="shared" si="18"/>
        <v>0</v>
      </c>
      <c r="HE51" s="89">
        <f t="shared" si="19"/>
        <v>0</v>
      </c>
      <c r="HF51" s="89">
        <f t="shared" si="19"/>
        <v>0</v>
      </c>
      <c r="HG51" s="89">
        <f t="shared" si="19"/>
        <v>0</v>
      </c>
      <c r="HH51" s="89">
        <f t="shared" si="19"/>
        <v>0</v>
      </c>
      <c r="HI51" s="89">
        <f t="shared" si="19"/>
        <v>0</v>
      </c>
      <c r="HJ51" s="89">
        <f t="shared" si="19"/>
        <v>0</v>
      </c>
      <c r="HK51" s="89">
        <f t="shared" si="19"/>
        <v>0</v>
      </c>
      <c r="HL51" s="89">
        <f t="shared" si="19"/>
        <v>0</v>
      </c>
      <c r="HM51" s="89">
        <f t="shared" si="19"/>
        <v>0</v>
      </c>
    </row>
    <row r="52" spans="1:221" x14ac:dyDescent="0.2">
      <c r="A52" s="130">
        <f>IF('Verwerking Bouwdelen'!A36=4,1,0)</f>
        <v>0</v>
      </c>
      <c r="B52" s="208">
        <f>$A52*'Verwerking Bouwdelen'!T36</f>
        <v>0</v>
      </c>
      <c r="C52" s="208">
        <f>$A52*'Verwerking Bouwdelen'!U36</f>
        <v>0</v>
      </c>
      <c r="D52" s="208">
        <f>$A52*'Verwerking Bouwdelen'!V36</f>
        <v>0</v>
      </c>
      <c r="E52" s="208">
        <f>$A52*'Verwerking Bouwdelen'!W36</f>
        <v>0</v>
      </c>
      <c r="F52" s="208">
        <f>$A52*'Verwerking Bouwdelen'!X36</f>
        <v>0</v>
      </c>
      <c r="G52" s="208">
        <f>$A52*'Verwerking Bouwdelen'!Y36</f>
        <v>0</v>
      </c>
      <c r="H52" s="208">
        <f>$A52*'Verwerking Bouwdelen'!Z36</f>
        <v>0</v>
      </c>
      <c r="I52" s="208">
        <f>$A52*'Verwerking Bouwdelen'!AA36</f>
        <v>0</v>
      </c>
      <c r="J52" s="208">
        <f>$A52*'Verwerking Bouwdelen'!AB36</f>
        <v>0</v>
      </c>
      <c r="K52" s="208">
        <f>$A52*'Verwerking Bouwdelen'!AC36</f>
        <v>0</v>
      </c>
      <c r="L52" s="208">
        <f>$A52*'Verwerking Bouwdelen'!AD36</f>
        <v>0</v>
      </c>
      <c r="M52" s="208">
        <f>$A52*'Verwerking Bouwdelen'!AE36</f>
        <v>0</v>
      </c>
      <c r="O52" s="114">
        <f>$A52*'Verwerking Bouwdelen'!AU36</f>
        <v>0</v>
      </c>
      <c r="P52" s="125">
        <f>$A52*'Verwerking Bouwdelen'!AV36</f>
        <v>0</v>
      </c>
      <c r="Q52" s="125">
        <f>$A52*'Verwerking Bouwdelen'!AW36</f>
        <v>0</v>
      </c>
      <c r="R52" s="125">
        <f>$A52*'Verwerking Bouwdelen'!AX36</f>
        <v>0</v>
      </c>
      <c r="S52" s="125">
        <f>$A52*'Verwerking Bouwdelen'!AY36</f>
        <v>0</v>
      </c>
      <c r="T52" s="125">
        <f>$A52*'Verwerking Bouwdelen'!AZ36</f>
        <v>0</v>
      </c>
      <c r="U52" s="125">
        <f>$A52*'Verwerking Bouwdelen'!BA36</f>
        <v>0</v>
      </c>
      <c r="V52" s="125">
        <f>$A52*'Verwerking Bouwdelen'!BB36</f>
        <v>0</v>
      </c>
      <c r="W52" s="125">
        <f>$A52*'Verwerking Bouwdelen'!BC36</f>
        <v>0</v>
      </c>
      <c r="X52" s="125">
        <f>$A52*'Verwerking Bouwdelen'!BD36</f>
        <v>0</v>
      </c>
      <c r="Y52" s="125">
        <f>$A52*'Verwerking Bouwdelen'!BE36</f>
        <v>0</v>
      </c>
      <c r="Z52" s="195">
        <f>$A52*'Verwerking Bouwdelen'!BF36</f>
        <v>0</v>
      </c>
      <c r="AB52" s="125">
        <f>IF(OR('Verwerking Bouwdelen'!C36=3,'Verwerking Bouwdelen'!C36=6),1,0)</f>
        <v>0</v>
      </c>
      <c r="AC52" s="130">
        <f>IF('Verwerking Bouwdelen'!A36=4,1,0)</f>
        <v>0</v>
      </c>
      <c r="AD52" s="208">
        <f>IF($AB52=1,$AC52*'Verwerking Bouwdelen'!DL36,$AC52*'Verwerking Bouwdelen'!T36)</f>
        <v>0</v>
      </c>
      <c r="AE52" s="208">
        <f>IF($AB52=1,$AC52*'Verwerking Bouwdelen'!DM36,$AC52*'Verwerking Bouwdelen'!U36)</f>
        <v>0</v>
      </c>
      <c r="AF52" s="208">
        <f>IF($AB52=1,$AC52*'Verwerking Bouwdelen'!DN36,$AC52*'Verwerking Bouwdelen'!V36)</f>
        <v>0</v>
      </c>
      <c r="AG52" s="208">
        <f>IF($AB52=1,$AC52*'Verwerking Bouwdelen'!DO36,$AC52*'Verwerking Bouwdelen'!W36)</f>
        <v>0</v>
      </c>
      <c r="AH52" s="208">
        <f>IF($AB52=1,$AC52*'Verwerking Bouwdelen'!DP36,$AC52*'Verwerking Bouwdelen'!X36)</f>
        <v>0</v>
      </c>
      <c r="AI52" s="208">
        <f>IF($AB52=1,$AC52*'Verwerking Bouwdelen'!DQ36,$AC52*'Verwerking Bouwdelen'!Y36)</f>
        <v>0</v>
      </c>
      <c r="AJ52" s="208">
        <f>IF($AB52=1,$AC52*'Verwerking Bouwdelen'!DR36,$AC52*'Verwerking Bouwdelen'!Z36)</f>
        <v>0</v>
      </c>
      <c r="AK52" s="208">
        <f>IF($AB52=1,$AC52*'Verwerking Bouwdelen'!DS36,$AC52*'Verwerking Bouwdelen'!AA36)</f>
        <v>0</v>
      </c>
      <c r="AL52" s="208">
        <f>IF($AB52=1,$AC52*'Verwerking Bouwdelen'!DT36,$AC52*'Verwerking Bouwdelen'!AB36)</f>
        <v>0</v>
      </c>
      <c r="AM52" s="208">
        <f>IF($AB52=1,$AC52*'Verwerking Bouwdelen'!DU36,$AC52*'Verwerking Bouwdelen'!AC36)</f>
        <v>0</v>
      </c>
      <c r="AN52" s="208">
        <f>IF($AB52=1,$AC52*'Verwerking Bouwdelen'!DV36,$AC52*'Verwerking Bouwdelen'!AD36)</f>
        <v>0</v>
      </c>
      <c r="AO52" s="208">
        <f>IF($AB52=1,$AC52*'Verwerking Bouwdelen'!DW36,$AC52*'Verwerking Bouwdelen'!AE36)</f>
        <v>0</v>
      </c>
      <c r="AP52" s="10">
        <f>IF(AD52=B52,0,'Verwerking Bouwdelen'!D36*AB52*AC52)</f>
        <v>0</v>
      </c>
      <c r="AQ52" s="10">
        <f>AB52*AC52*'Verwerking Bouwdelen'!GH36</f>
        <v>0</v>
      </c>
      <c r="AR52" s="10"/>
      <c r="AS52" s="248"/>
      <c r="AT52" s="125">
        <f>IF('Verwerking Bouwdelen'!C36=4,1,0)</f>
        <v>0</v>
      </c>
      <c r="AU52" s="130">
        <f>IF('Verwerking Bouwdelen'!A36=4,1,0)</f>
        <v>0</v>
      </c>
      <c r="AV52" s="208">
        <f>IF($AT52=1,$AU52*'Verwerking Bouwdelen'!DL36,$AU52*'Verwerking Bouwdelen'!T36)</f>
        <v>0</v>
      </c>
      <c r="AW52" s="208">
        <f>IF($AT52=1,$AU52*'Verwerking Bouwdelen'!DM36,$AU52*'Verwerking Bouwdelen'!U36)</f>
        <v>0</v>
      </c>
      <c r="AX52" s="208">
        <f>IF($AT52=1,$AU52*'Verwerking Bouwdelen'!DN36,$AU52*'Verwerking Bouwdelen'!V36)</f>
        <v>0</v>
      </c>
      <c r="AY52" s="208">
        <f>IF($AT52=1,$AU52*'Verwerking Bouwdelen'!DO36,$AU52*'Verwerking Bouwdelen'!W36)</f>
        <v>0</v>
      </c>
      <c r="AZ52" s="208">
        <f>IF($AT52=1,$AU52*'Verwerking Bouwdelen'!DP36,$AU52*'Verwerking Bouwdelen'!X36)</f>
        <v>0</v>
      </c>
      <c r="BA52" s="208">
        <f>IF($AT52=1,$AU52*'Verwerking Bouwdelen'!DQ36,$AU52*'Verwerking Bouwdelen'!Y36)</f>
        <v>0</v>
      </c>
      <c r="BB52" s="208">
        <f>IF($AT52=1,$AU52*'Verwerking Bouwdelen'!DR36,$AU52*'Verwerking Bouwdelen'!Z36)</f>
        <v>0</v>
      </c>
      <c r="BC52" s="208">
        <f>IF($AT52=1,$AU52*'Verwerking Bouwdelen'!DS36,$AU52*'Verwerking Bouwdelen'!AA36)</f>
        <v>0</v>
      </c>
      <c r="BD52" s="208">
        <f>IF($AT52=1,$AU52*'Verwerking Bouwdelen'!DT36,$AU52*'Verwerking Bouwdelen'!AB36)</f>
        <v>0</v>
      </c>
      <c r="BE52" s="208">
        <f>IF($AT52=1,$AU52*'Verwerking Bouwdelen'!DU36,$AU52*'Verwerking Bouwdelen'!AC36)</f>
        <v>0</v>
      </c>
      <c r="BF52" s="208">
        <f>IF($AT52=1,$AU52*'Verwerking Bouwdelen'!DV36,$AU52*'Verwerking Bouwdelen'!AD36)</f>
        <v>0</v>
      </c>
      <c r="BG52" s="208">
        <f>IF($AT52=1,$AU52*'Verwerking Bouwdelen'!DW36,$AU52*'Verwerking Bouwdelen'!AE36)</f>
        <v>0</v>
      </c>
      <c r="BH52" s="10">
        <f>IF(AV52=B52,0,'Verwerking Bouwdelen'!D36*AT52*AU52)</f>
        <v>0</v>
      </c>
      <c r="BI52" s="10">
        <f>AT52*AU52*'Verwerking Bouwdelen'!GH36</f>
        <v>0</v>
      </c>
      <c r="BJ52" s="10"/>
      <c r="BK52" s="10"/>
      <c r="BM52" s="125">
        <f>IF('Verwerking Bouwdelen'!C36=5,1,0)</f>
        <v>0</v>
      </c>
      <c r="BN52" s="130">
        <f>IF('Verwerking Bouwdelen'!A36=4,1,0)</f>
        <v>0</v>
      </c>
      <c r="BO52" s="208">
        <f>IF($BM52=1,$BN52*'Verwerking Bouwdelen'!DL36,$BN52*'Verwerking Bouwdelen'!T36)</f>
        <v>0</v>
      </c>
      <c r="BP52" s="208">
        <f>IF($BM52=1,$BN52*'Verwerking Bouwdelen'!DM36,$BN52*'Verwerking Bouwdelen'!U36)</f>
        <v>0</v>
      </c>
      <c r="BQ52" s="208">
        <f>IF($BM52=1,$BN52*'Verwerking Bouwdelen'!DN36,$BN52*'Verwerking Bouwdelen'!V36)</f>
        <v>0</v>
      </c>
      <c r="BR52" s="208">
        <f>IF($BM52=1,$BN52*'Verwerking Bouwdelen'!DO36,$BN52*'Verwerking Bouwdelen'!W36)</f>
        <v>0</v>
      </c>
      <c r="BS52" s="208">
        <f>IF($BM52=1,$BN52*'Verwerking Bouwdelen'!DP36,$BN52*'Verwerking Bouwdelen'!X36)</f>
        <v>0</v>
      </c>
      <c r="BT52" s="208">
        <f>IF($BM52=1,$BN52*'Verwerking Bouwdelen'!DQ36,$BN52*'Verwerking Bouwdelen'!Y36)</f>
        <v>0</v>
      </c>
      <c r="BU52" s="208">
        <f>IF($BM52=1,$BN52*'Verwerking Bouwdelen'!DR36,$BN52*'Verwerking Bouwdelen'!Z36)</f>
        <v>0</v>
      </c>
      <c r="BV52" s="208">
        <f>IF($BM52=1,$BN52*'Verwerking Bouwdelen'!DS36,$BN52*'Verwerking Bouwdelen'!AA36)</f>
        <v>0</v>
      </c>
      <c r="BW52" s="208">
        <f>IF($BM52=1,$BN52*'Verwerking Bouwdelen'!DT36,$BN52*'Verwerking Bouwdelen'!AB36)</f>
        <v>0</v>
      </c>
      <c r="BX52" s="208">
        <f>IF($BM52=1,$BN52*'Verwerking Bouwdelen'!DU36,$BN52*'Verwerking Bouwdelen'!AC36)</f>
        <v>0</v>
      </c>
      <c r="BY52" s="208">
        <f>IF($BM52=1,$BN52*'Verwerking Bouwdelen'!DV36,$BN52*'Verwerking Bouwdelen'!AD36)</f>
        <v>0</v>
      </c>
      <c r="BZ52" s="208">
        <f>IF($BM52=1,$BN52*'Verwerking Bouwdelen'!DW36,$BN52*'Verwerking Bouwdelen'!AE36)</f>
        <v>0</v>
      </c>
      <c r="CA52" s="10">
        <f>IF(BO52=$B52,0,'Verwerking Bouwdelen'!$D36*BM52*BN52)</f>
        <v>0</v>
      </c>
      <c r="CB52" s="10">
        <f>BM52*BN52*'Verwerking Bouwdelen'!GH36</f>
        <v>0</v>
      </c>
      <c r="CC52" s="10"/>
      <c r="CD52" s="248"/>
      <c r="CE52" s="125">
        <f>IF('Verwerking Bouwdelen'!C36=2,1,0)</f>
        <v>0</v>
      </c>
      <c r="CF52" s="130">
        <f>IF('Verwerking Bouwdelen'!A36=4,1,0)</f>
        <v>0</v>
      </c>
      <c r="CG52" s="208">
        <f>IF($CE52=1,$CF52*'Verwerking Bouwdelen'!DL36,$CF52*'Verwerking Bouwdelen'!T36)</f>
        <v>0</v>
      </c>
      <c r="CH52" s="208">
        <f>IF($CE52=1,$CF52*'Verwerking Bouwdelen'!DM36,$CF52*'Verwerking Bouwdelen'!U36)</f>
        <v>0</v>
      </c>
      <c r="CI52" s="208">
        <f>IF($CE52=1,$CF52*'Verwerking Bouwdelen'!DN36,$CF52*'Verwerking Bouwdelen'!V36)</f>
        <v>0</v>
      </c>
      <c r="CJ52" s="208">
        <f>IF($CE52=1,$CF52*'Verwerking Bouwdelen'!DO36,$CF52*'Verwerking Bouwdelen'!W36)</f>
        <v>0</v>
      </c>
      <c r="CK52" s="208">
        <f>IF($CE52=1,$CF52*'Verwerking Bouwdelen'!DP36,$CF52*'Verwerking Bouwdelen'!X36)</f>
        <v>0</v>
      </c>
      <c r="CL52" s="208">
        <f>IF($CE52=1,$CF52*'Verwerking Bouwdelen'!DQ36,$CF52*'Verwerking Bouwdelen'!Y36)</f>
        <v>0</v>
      </c>
      <c r="CM52" s="208">
        <f>IF($CE52=1,$CF52*'Verwerking Bouwdelen'!DR36,$CF52*'Verwerking Bouwdelen'!Z36)</f>
        <v>0</v>
      </c>
      <c r="CN52" s="208">
        <f>IF($CE52=1,$CF52*'Verwerking Bouwdelen'!DS36,$CF52*'Verwerking Bouwdelen'!AA36)</f>
        <v>0</v>
      </c>
      <c r="CO52" s="208">
        <f>IF($CE52=1,$CF52*'Verwerking Bouwdelen'!DT36,$CF52*'Verwerking Bouwdelen'!AB36)</f>
        <v>0</v>
      </c>
      <c r="CP52" s="208">
        <f>IF($CE52=1,$CF52*'Verwerking Bouwdelen'!DU36,$CF52*'Verwerking Bouwdelen'!AC36)</f>
        <v>0</v>
      </c>
      <c r="CQ52" s="208">
        <f>IF($CE52=1,$CF52*'Verwerking Bouwdelen'!DV36,$CF52*'Verwerking Bouwdelen'!AD36)</f>
        <v>0</v>
      </c>
      <c r="CR52" s="208">
        <f>IF($CE52=1,$CF52*'Verwerking Bouwdelen'!DW36,$CF52*'Verwerking Bouwdelen'!AE36)</f>
        <v>0</v>
      </c>
      <c r="CS52" s="10">
        <f>IF(CG52=$B52,0,('Verwerking Bouwdelen'!$D36-'Verwerking Bouwdelen'!G36)*CE52*CF52)</f>
        <v>0</v>
      </c>
      <c r="CT52" s="260">
        <f>CE52*CF52*'Verwerking Bouwdelen'!GH36</f>
        <v>0</v>
      </c>
      <c r="CU52" s="261">
        <f>CE52*CF52*'Verwerking Bouwdelen'!GI36</f>
        <v>0</v>
      </c>
      <c r="CW52" s="209">
        <f>$AC52*'Verwerking Bouwdelen'!EE36</f>
        <v>0</v>
      </c>
      <c r="CX52" s="209">
        <f>$AC52*'Verwerking Bouwdelen'!EF36</f>
        <v>0</v>
      </c>
      <c r="CY52" s="209">
        <f>$AC52*'Verwerking Bouwdelen'!EG36</f>
        <v>0</v>
      </c>
      <c r="CZ52" s="209">
        <f>$AC52*'Verwerking Bouwdelen'!EH36</f>
        <v>0</v>
      </c>
      <c r="DA52" s="209">
        <f>$AC52*'Verwerking Bouwdelen'!EI36</f>
        <v>0</v>
      </c>
      <c r="DB52" s="209">
        <f>$AC52*'Verwerking Bouwdelen'!EJ36</f>
        <v>0</v>
      </c>
      <c r="DC52" s="209">
        <f>$AC52*'Verwerking Bouwdelen'!EK36</f>
        <v>0</v>
      </c>
      <c r="DD52" s="209">
        <f>$AC52*'Verwerking Bouwdelen'!EL36</f>
        <v>0</v>
      </c>
      <c r="DE52" s="209">
        <f>$AC52*'Verwerking Bouwdelen'!EM36</f>
        <v>0</v>
      </c>
      <c r="DF52" s="209">
        <f>$AC52*'Verwerking Bouwdelen'!EN36</f>
        <v>0</v>
      </c>
      <c r="DG52" s="209">
        <f>$AC52*'Verwerking Bouwdelen'!EO36</f>
        <v>0</v>
      </c>
      <c r="DH52" s="209">
        <f>$AC52*'Verwerking Bouwdelen'!EP36</f>
        <v>0</v>
      </c>
      <c r="DI52" s="10">
        <f>IF(CW52=$O52,0,'Verwerking Bouwdelen'!G36)</f>
        <v>0</v>
      </c>
      <c r="DJ52" s="259">
        <f>'Verwerking Bouwdelen'!GK36*CF52</f>
        <v>0</v>
      </c>
      <c r="DK52" s="259">
        <f>'Verwerking Bouwdelen'!GL36*CF52</f>
        <v>0</v>
      </c>
      <c r="DL52" s="125"/>
      <c r="GM52" s="89">
        <f t="shared" si="13"/>
        <v>0</v>
      </c>
      <c r="GN52" s="89">
        <f t="shared" si="14"/>
        <v>0</v>
      </c>
      <c r="GO52" s="208">
        <f>IF($GN52=1,$GN52*$GM52*'Verwerking Bouwdelen'!DL36,$GN52*$GM52*'Verwerking Bouwdelen'!T36)</f>
        <v>0</v>
      </c>
      <c r="GP52" s="208">
        <f>IF($GN52=1,$GN52*$GM52*'Verwerking Bouwdelen'!DM36,$GN52*$GM52*'Verwerking Bouwdelen'!U36)</f>
        <v>0</v>
      </c>
      <c r="GQ52" s="208">
        <f>IF($GN52=1,$GN52*$GM52*'Verwerking Bouwdelen'!DN36,$GN52*$GM52*'Verwerking Bouwdelen'!V36)</f>
        <v>0</v>
      </c>
      <c r="GR52" s="208">
        <f>IF($GN52=1,$GN52*$GM52*'Verwerking Bouwdelen'!DO36,$GN52*$GM52*'Verwerking Bouwdelen'!W36)</f>
        <v>0</v>
      </c>
      <c r="GS52" s="208">
        <f>IF($GN52=1,$GN52*$GM52*'Verwerking Bouwdelen'!DP36,$GN52*$GM52*'Verwerking Bouwdelen'!X36)</f>
        <v>0</v>
      </c>
      <c r="GT52" s="208">
        <f>IF($GN52=1,$GN52*$GM52*'Verwerking Bouwdelen'!DQ36,$GN52*$GM52*'Verwerking Bouwdelen'!Y36)</f>
        <v>0</v>
      </c>
      <c r="GU52" s="208">
        <f>IF($GN52=1,$GN52*$GM52*'Verwerking Bouwdelen'!DR36,$GN52*$GM52*'Verwerking Bouwdelen'!Z36)</f>
        <v>0</v>
      </c>
      <c r="GV52" s="208">
        <f>IF($GN52=1,$GN52*$GM52*'Verwerking Bouwdelen'!DS36,$GN52*$GM52*'Verwerking Bouwdelen'!AA36)</f>
        <v>0</v>
      </c>
      <c r="GW52" s="208">
        <f>IF($GN52=1,$GN52*$GM52*'Verwerking Bouwdelen'!DT36,$GN52*$GM52*'Verwerking Bouwdelen'!AB36)</f>
        <v>0</v>
      </c>
      <c r="GX52" s="208">
        <f>IF($GN52=1,$GN52*$GM52*'Verwerking Bouwdelen'!DU36,$GN52*$GM52*'Verwerking Bouwdelen'!AC36)</f>
        <v>0</v>
      </c>
      <c r="GY52" s="208">
        <f>IF($GN52=1,$GN52*$GM52*'Verwerking Bouwdelen'!DV36,$GN52*$GM52*'Verwerking Bouwdelen'!AD36)</f>
        <v>0</v>
      </c>
      <c r="GZ52" s="208">
        <f>IF($GN52=1,$GN52*$GM52*'Verwerking Bouwdelen'!DW36,$GN52*$GM52*'Verwerking Bouwdelen'!AE36)</f>
        <v>0</v>
      </c>
      <c r="HB52" s="89">
        <f t="shared" si="16"/>
        <v>0</v>
      </c>
      <c r="HC52" s="89">
        <f t="shared" si="17"/>
        <v>0</v>
      </c>
      <c r="HD52" s="89">
        <f t="shared" si="18"/>
        <v>0</v>
      </c>
      <c r="HE52" s="89">
        <f t="shared" si="19"/>
        <v>0</v>
      </c>
      <c r="HF52" s="89">
        <f t="shared" si="19"/>
        <v>0</v>
      </c>
      <c r="HG52" s="89">
        <f t="shared" si="19"/>
        <v>0</v>
      </c>
      <c r="HH52" s="89">
        <f t="shared" si="19"/>
        <v>0</v>
      </c>
      <c r="HI52" s="89">
        <f t="shared" si="19"/>
        <v>0</v>
      </c>
      <c r="HJ52" s="89">
        <f t="shared" si="19"/>
        <v>0</v>
      </c>
      <c r="HK52" s="89">
        <f t="shared" si="19"/>
        <v>0</v>
      </c>
      <c r="HL52" s="89">
        <f t="shared" si="19"/>
        <v>0</v>
      </c>
      <c r="HM52" s="89">
        <f t="shared" si="19"/>
        <v>0</v>
      </c>
    </row>
    <row r="53" spans="1:221" x14ac:dyDescent="0.2">
      <c r="A53" s="130">
        <f>IF('Verwerking Bouwdelen'!A37=4,1,0)</f>
        <v>0</v>
      </c>
      <c r="B53" s="208">
        <f>$A53*'Verwerking Bouwdelen'!T37</f>
        <v>0</v>
      </c>
      <c r="C53" s="208">
        <f>$A53*'Verwerking Bouwdelen'!U37</f>
        <v>0</v>
      </c>
      <c r="D53" s="208">
        <f>$A53*'Verwerking Bouwdelen'!V37</f>
        <v>0</v>
      </c>
      <c r="E53" s="208">
        <f>$A53*'Verwerking Bouwdelen'!W37</f>
        <v>0</v>
      </c>
      <c r="F53" s="208">
        <f>$A53*'Verwerking Bouwdelen'!X37</f>
        <v>0</v>
      </c>
      <c r="G53" s="208">
        <f>$A53*'Verwerking Bouwdelen'!Y37</f>
        <v>0</v>
      </c>
      <c r="H53" s="208">
        <f>$A53*'Verwerking Bouwdelen'!Z37</f>
        <v>0</v>
      </c>
      <c r="I53" s="208">
        <f>$A53*'Verwerking Bouwdelen'!AA37</f>
        <v>0</v>
      </c>
      <c r="J53" s="208">
        <f>$A53*'Verwerking Bouwdelen'!AB37</f>
        <v>0</v>
      </c>
      <c r="K53" s="208">
        <f>$A53*'Verwerking Bouwdelen'!AC37</f>
        <v>0</v>
      </c>
      <c r="L53" s="208">
        <f>$A53*'Verwerking Bouwdelen'!AD37</f>
        <v>0</v>
      </c>
      <c r="M53" s="208">
        <f>$A53*'Verwerking Bouwdelen'!AE37</f>
        <v>0</v>
      </c>
      <c r="O53" s="114">
        <f>$A53*'Verwerking Bouwdelen'!AU37</f>
        <v>0</v>
      </c>
      <c r="P53" s="125">
        <f>$A53*'Verwerking Bouwdelen'!AV37</f>
        <v>0</v>
      </c>
      <c r="Q53" s="125">
        <f>$A53*'Verwerking Bouwdelen'!AW37</f>
        <v>0</v>
      </c>
      <c r="R53" s="125">
        <f>$A53*'Verwerking Bouwdelen'!AX37</f>
        <v>0</v>
      </c>
      <c r="S53" s="125">
        <f>$A53*'Verwerking Bouwdelen'!AY37</f>
        <v>0</v>
      </c>
      <c r="T53" s="125">
        <f>$A53*'Verwerking Bouwdelen'!AZ37</f>
        <v>0</v>
      </c>
      <c r="U53" s="125">
        <f>$A53*'Verwerking Bouwdelen'!BA37</f>
        <v>0</v>
      </c>
      <c r="V53" s="125">
        <f>$A53*'Verwerking Bouwdelen'!BB37</f>
        <v>0</v>
      </c>
      <c r="W53" s="125">
        <f>$A53*'Verwerking Bouwdelen'!BC37</f>
        <v>0</v>
      </c>
      <c r="X53" s="125">
        <f>$A53*'Verwerking Bouwdelen'!BD37</f>
        <v>0</v>
      </c>
      <c r="Y53" s="125">
        <f>$A53*'Verwerking Bouwdelen'!BE37</f>
        <v>0</v>
      </c>
      <c r="Z53" s="195">
        <f>$A53*'Verwerking Bouwdelen'!BF37</f>
        <v>0</v>
      </c>
      <c r="AB53" s="125">
        <f>IF(OR('Verwerking Bouwdelen'!C37=3,'Verwerking Bouwdelen'!C37=6),1,0)</f>
        <v>0</v>
      </c>
      <c r="AC53" s="130">
        <f>IF('Verwerking Bouwdelen'!A37=4,1,0)</f>
        <v>0</v>
      </c>
      <c r="AD53" s="208">
        <f>IF($AB53=1,$AC53*'Verwerking Bouwdelen'!DL37,$AC53*'Verwerking Bouwdelen'!T37)</f>
        <v>0</v>
      </c>
      <c r="AE53" s="208">
        <f>IF($AB53=1,$AC53*'Verwerking Bouwdelen'!DM37,$AC53*'Verwerking Bouwdelen'!U37)</f>
        <v>0</v>
      </c>
      <c r="AF53" s="208">
        <f>IF($AB53=1,$AC53*'Verwerking Bouwdelen'!DN37,$AC53*'Verwerking Bouwdelen'!V37)</f>
        <v>0</v>
      </c>
      <c r="AG53" s="208">
        <f>IF($AB53=1,$AC53*'Verwerking Bouwdelen'!DO37,$AC53*'Verwerking Bouwdelen'!W37)</f>
        <v>0</v>
      </c>
      <c r="AH53" s="208">
        <f>IF($AB53=1,$AC53*'Verwerking Bouwdelen'!DP37,$AC53*'Verwerking Bouwdelen'!X37)</f>
        <v>0</v>
      </c>
      <c r="AI53" s="208">
        <f>IF($AB53=1,$AC53*'Verwerking Bouwdelen'!DQ37,$AC53*'Verwerking Bouwdelen'!Y37)</f>
        <v>0</v>
      </c>
      <c r="AJ53" s="208">
        <f>IF($AB53=1,$AC53*'Verwerking Bouwdelen'!DR37,$AC53*'Verwerking Bouwdelen'!Z37)</f>
        <v>0</v>
      </c>
      <c r="AK53" s="208">
        <f>IF($AB53=1,$AC53*'Verwerking Bouwdelen'!DS37,$AC53*'Verwerking Bouwdelen'!AA37)</f>
        <v>0</v>
      </c>
      <c r="AL53" s="208">
        <f>IF($AB53=1,$AC53*'Verwerking Bouwdelen'!DT37,$AC53*'Verwerking Bouwdelen'!AB37)</f>
        <v>0</v>
      </c>
      <c r="AM53" s="208">
        <f>IF($AB53=1,$AC53*'Verwerking Bouwdelen'!DU37,$AC53*'Verwerking Bouwdelen'!AC37)</f>
        <v>0</v>
      </c>
      <c r="AN53" s="208">
        <f>IF($AB53=1,$AC53*'Verwerking Bouwdelen'!DV37,$AC53*'Verwerking Bouwdelen'!AD37)</f>
        <v>0</v>
      </c>
      <c r="AO53" s="208">
        <f>IF($AB53=1,$AC53*'Verwerking Bouwdelen'!DW37,$AC53*'Verwerking Bouwdelen'!AE37)</f>
        <v>0</v>
      </c>
      <c r="AP53" s="10">
        <f>IF(AD53=B53,0,'Verwerking Bouwdelen'!D37*AB53*AC53)</f>
        <v>0</v>
      </c>
      <c r="AQ53" s="10">
        <f>AB53*AC53*'Verwerking Bouwdelen'!GH37</f>
        <v>0</v>
      </c>
      <c r="AR53" s="10"/>
      <c r="AS53" s="248"/>
      <c r="AT53" s="125">
        <f>IF('Verwerking Bouwdelen'!C37=4,1,0)</f>
        <v>0</v>
      </c>
      <c r="AU53" s="130">
        <f>IF('Verwerking Bouwdelen'!A37=4,1,0)</f>
        <v>0</v>
      </c>
      <c r="AV53" s="208">
        <f>IF($AT53=1,$AU53*'Verwerking Bouwdelen'!DL37,$AU53*'Verwerking Bouwdelen'!T37)</f>
        <v>0</v>
      </c>
      <c r="AW53" s="208">
        <f>IF($AT53=1,$AU53*'Verwerking Bouwdelen'!DM37,$AU53*'Verwerking Bouwdelen'!U37)</f>
        <v>0</v>
      </c>
      <c r="AX53" s="208">
        <f>IF($AT53=1,$AU53*'Verwerking Bouwdelen'!DN37,$AU53*'Verwerking Bouwdelen'!V37)</f>
        <v>0</v>
      </c>
      <c r="AY53" s="208">
        <f>IF($AT53=1,$AU53*'Verwerking Bouwdelen'!DO37,$AU53*'Verwerking Bouwdelen'!W37)</f>
        <v>0</v>
      </c>
      <c r="AZ53" s="208">
        <f>IF($AT53=1,$AU53*'Verwerking Bouwdelen'!DP37,$AU53*'Verwerking Bouwdelen'!X37)</f>
        <v>0</v>
      </c>
      <c r="BA53" s="208">
        <f>IF($AT53=1,$AU53*'Verwerking Bouwdelen'!DQ37,$AU53*'Verwerking Bouwdelen'!Y37)</f>
        <v>0</v>
      </c>
      <c r="BB53" s="208">
        <f>IF($AT53=1,$AU53*'Verwerking Bouwdelen'!DR37,$AU53*'Verwerking Bouwdelen'!Z37)</f>
        <v>0</v>
      </c>
      <c r="BC53" s="208">
        <f>IF($AT53=1,$AU53*'Verwerking Bouwdelen'!DS37,$AU53*'Verwerking Bouwdelen'!AA37)</f>
        <v>0</v>
      </c>
      <c r="BD53" s="208">
        <f>IF($AT53=1,$AU53*'Verwerking Bouwdelen'!DT37,$AU53*'Verwerking Bouwdelen'!AB37)</f>
        <v>0</v>
      </c>
      <c r="BE53" s="208">
        <f>IF($AT53=1,$AU53*'Verwerking Bouwdelen'!DU37,$AU53*'Verwerking Bouwdelen'!AC37)</f>
        <v>0</v>
      </c>
      <c r="BF53" s="208">
        <f>IF($AT53=1,$AU53*'Verwerking Bouwdelen'!DV37,$AU53*'Verwerking Bouwdelen'!AD37)</f>
        <v>0</v>
      </c>
      <c r="BG53" s="208">
        <f>IF($AT53=1,$AU53*'Verwerking Bouwdelen'!DW37,$AU53*'Verwerking Bouwdelen'!AE37)</f>
        <v>0</v>
      </c>
      <c r="BH53" s="10">
        <f>IF(AV53=B53,0,'Verwerking Bouwdelen'!D37*AT53*AU53)</f>
        <v>0</v>
      </c>
      <c r="BI53" s="10">
        <f>AT53*AU53*'Verwerking Bouwdelen'!GH37</f>
        <v>0</v>
      </c>
      <c r="BJ53" s="10"/>
      <c r="BK53" s="10"/>
      <c r="BM53" s="125">
        <f>IF('Verwerking Bouwdelen'!C37=5,1,0)</f>
        <v>0</v>
      </c>
      <c r="BN53" s="130">
        <f>IF('Verwerking Bouwdelen'!A37=4,1,0)</f>
        <v>0</v>
      </c>
      <c r="BO53" s="208">
        <f>IF($BM53=1,$BN53*'Verwerking Bouwdelen'!DL37,$BN53*'Verwerking Bouwdelen'!T37)</f>
        <v>0</v>
      </c>
      <c r="BP53" s="208">
        <f>IF($BM53=1,$BN53*'Verwerking Bouwdelen'!DM37,$BN53*'Verwerking Bouwdelen'!U37)</f>
        <v>0</v>
      </c>
      <c r="BQ53" s="208">
        <f>IF($BM53=1,$BN53*'Verwerking Bouwdelen'!DN37,$BN53*'Verwerking Bouwdelen'!V37)</f>
        <v>0</v>
      </c>
      <c r="BR53" s="208">
        <f>IF($BM53=1,$BN53*'Verwerking Bouwdelen'!DO37,$BN53*'Verwerking Bouwdelen'!W37)</f>
        <v>0</v>
      </c>
      <c r="BS53" s="208">
        <f>IF($BM53=1,$BN53*'Verwerking Bouwdelen'!DP37,$BN53*'Verwerking Bouwdelen'!X37)</f>
        <v>0</v>
      </c>
      <c r="BT53" s="208">
        <f>IF($BM53=1,$BN53*'Verwerking Bouwdelen'!DQ37,$BN53*'Verwerking Bouwdelen'!Y37)</f>
        <v>0</v>
      </c>
      <c r="BU53" s="208">
        <f>IF($BM53=1,$BN53*'Verwerking Bouwdelen'!DR37,$BN53*'Verwerking Bouwdelen'!Z37)</f>
        <v>0</v>
      </c>
      <c r="BV53" s="208">
        <f>IF($BM53=1,$BN53*'Verwerking Bouwdelen'!DS37,$BN53*'Verwerking Bouwdelen'!AA37)</f>
        <v>0</v>
      </c>
      <c r="BW53" s="208">
        <f>IF($BM53=1,$BN53*'Verwerking Bouwdelen'!DT37,$BN53*'Verwerking Bouwdelen'!AB37)</f>
        <v>0</v>
      </c>
      <c r="BX53" s="208">
        <f>IF($BM53=1,$BN53*'Verwerking Bouwdelen'!DU37,$BN53*'Verwerking Bouwdelen'!AC37)</f>
        <v>0</v>
      </c>
      <c r="BY53" s="208">
        <f>IF($BM53=1,$BN53*'Verwerking Bouwdelen'!DV37,$BN53*'Verwerking Bouwdelen'!AD37)</f>
        <v>0</v>
      </c>
      <c r="BZ53" s="208">
        <f>IF($BM53=1,$BN53*'Verwerking Bouwdelen'!DW37,$BN53*'Verwerking Bouwdelen'!AE37)</f>
        <v>0</v>
      </c>
      <c r="CA53" s="10">
        <f>IF(BO53=$B53,0,'Verwerking Bouwdelen'!$D37*BM53*BN53)</f>
        <v>0</v>
      </c>
      <c r="CB53" s="10">
        <f>BM53*BN53*'Verwerking Bouwdelen'!GH37</f>
        <v>0</v>
      </c>
      <c r="CC53" s="10"/>
      <c r="CD53" s="248"/>
      <c r="CE53" s="125">
        <f>IF('Verwerking Bouwdelen'!C37=2,1,0)</f>
        <v>0</v>
      </c>
      <c r="CF53" s="130">
        <f>IF('Verwerking Bouwdelen'!A37=4,1,0)</f>
        <v>0</v>
      </c>
      <c r="CG53" s="208">
        <f>IF($CE53=1,$CF53*'Verwerking Bouwdelen'!DL37,$CF53*'Verwerking Bouwdelen'!T37)</f>
        <v>0</v>
      </c>
      <c r="CH53" s="208">
        <f>IF($CE53=1,$CF53*'Verwerking Bouwdelen'!DM37,$CF53*'Verwerking Bouwdelen'!U37)</f>
        <v>0</v>
      </c>
      <c r="CI53" s="208">
        <f>IF($CE53=1,$CF53*'Verwerking Bouwdelen'!DN37,$CF53*'Verwerking Bouwdelen'!V37)</f>
        <v>0</v>
      </c>
      <c r="CJ53" s="208">
        <f>IF($CE53=1,$CF53*'Verwerking Bouwdelen'!DO37,$CF53*'Verwerking Bouwdelen'!W37)</f>
        <v>0</v>
      </c>
      <c r="CK53" s="208">
        <f>IF($CE53=1,$CF53*'Verwerking Bouwdelen'!DP37,$CF53*'Verwerking Bouwdelen'!X37)</f>
        <v>0</v>
      </c>
      <c r="CL53" s="208">
        <f>IF($CE53=1,$CF53*'Verwerking Bouwdelen'!DQ37,$CF53*'Verwerking Bouwdelen'!Y37)</f>
        <v>0</v>
      </c>
      <c r="CM53" s="208">
        <f>IF($CE53=1,$CF53*'Verwerking Bouwdelen'!DR37,$CF53*'Verwerking Bouwdelen'!Z37)</f>
        <v>0</v>
      </c>
      <c r="CN53" s="208">
        <f>IF($CE53=1,$CF53*'Verwerking Bouwdelen'!DS37,$CF53*'Verwerking Bouwdelen'!AA37)</f>
        <v>0</v>
      </c>
      <c r="CO53" s="208">
        <f>IF($CE53=1,$CF53*'Verwerking Bouwdelen'!DT37,$CF53*'Verwerking Bouwdelen'!AB37)</f>
        <v>0</v>
      </c>
      <c r="CP53" s="208">
        <f>IF($CE53=1,$CF53*'Verwerking Bouwdelen'!DU37,$CF53*'Verwerking Bouwdelen'!AC37)</f>
        <v>0</v>
      </c>
      <c r="CQ53" s="208">
        <f>IF($CE53=1,$CF53*'Verwerking Bouwdelen'!DV37,$CF53*'Verwerking Bouwdelen'!AD37)</f>
        <v>0</v>
      </c>
      <c r="CR53" s="208">
        <f>IF($CE53=1,$CF53*'Verwerking Bouwdelen'!DW37,$CF53*'Verwerking Bouwdelen'!AE37)</f>
        <v>0</v>
      </c>
      <c r="CS53" s="10">
        <f>IF(CG53=$B53,0,('Verwerking Bouwdelen'!$D37-'Verwerking Bouwdelen'!G37)*CE53*CF53)</f>
        <v>0</v>
      </c>
      <c r="CT53" s="260">
        <f>CE53*CF53*'Verwerking Bouwdelen'!GH37</f>
        <v>0</v>
      </c>
      <c r="CU53" s="261">
        <f>CE53*CF53*'Verwerking Bouwdelen'!GI37</f>
        <v>0</v>
      </c>
      <c r="CW53" s="209">
        <f>$AC53*'Verwerking Bouwdelen'!EE37</f>
        <v>0</v>
      </c>
      <c r="CX53" s="209">
        <f>$AC53*'Verwerking Bouwdelen'!EF37</f>
        <v>0</v>
      </c>
      <c r="CY53" s="209">
        <f>$AC53*'Verwerking Bouwdelen'!EG37</f>
        <v>0</v>
      </c>
      <c r="CZ53" s="209">
        <f>$AC53*'Verwerking Bouwdelen'!EH37</f>
        <v>0</v>
      </c>
      <c r="DA53" s="209">
        <f>$AC53*'Verwerking Bouwdelen'!EI37</f>
        <v>0</v>
      </c>
      <c r="DB53" s="209">
        <f>$AC53*'Verwerking Bouwdelen'!EJ37</f>
        <v>0</v>
      </c>
      <c r="DC53" s="209">
        <f>$AC53*'Verwerking Bouwdelen'!EK37</f>
        <v>0</v>
      </c>
      <c r="DD53" s="209">
        <f>$AC53*'Verwerking Bouwdelen'!EL37</f>
        <v>0</v>
      </c>
      <c r="DE53" s="209">
        <f>$AC53*'Verwerking Bouwdelen'!EM37</f>
        <v>0</v>
      </c>
      <c r="DF53" s="209">
        <f>$AC53*'Verwerking Bouwdelen'!EN37</f>
        <v>0</v>
      </c>
      <c r="DG53" s="209">
        <f>$AC53*'Verwerking Bouwdelen'!EO37</f>
        <v>0</v>
      </c>
      <c r="DH53" s="209">
        <f>$AC53*'Verwerking Bouwdelen'!EP37</f>
        <v>0</v>
      </c>
      <c r="DI53" s="10">
        <f>IF(CW53=$O53,0,'Verwerking Bouwdelen'!G37)</f>
        <v>0</v>
      </c>
      <c r="DJ53" s="259">
        <f>'Verwerking Bouwdelen'!GK37*CF53</f>
        <v>0</v>
      </c>
      <c r="DK53" s="259">
        <f>'Verwerking Bouwdelen'!GL37*CF53</f>
        <v>0</v>
      </c>
      <c r="DL53" s="125"/>
      <c r="GM53" s="89">
        <f t="shared" si="13"/>
        <v>0</v>
      </c>
      <c r="GN53" s="89">
        <f t="shared" si="14"/>
        <v>0</v>
      </c>
      <c r="GO53" s="208">
        <f>IF($GN53=1,$GN53*$GM53*'Verwerking Bouwdelen'!DL37,$GN53*$GM53*'Verwerking Bouwdelen'!T37)</f>
        <v>0</v>
      </c>
      <c r="GP53" s="208">
        <f>IF($GN53=1,$GN53*$GM53*'Verwerking Bouwdelen'!DM37,$GN53*$GM53*'Verwerking Bouwdelen'!U37)</f>
        <v>0</v>
      </c>
      <c r="GQ53" s="208">
        <f>IF($GN53=1,$GN53*$GM53*'Verwerking Bouwdelen'!DN37,$GN53*$GM53*'Verwerking Bouwdelen'!V37)</f>
        <v>0</v>
      </c>
      <c r="GR53" s="208">
        <f>IF($GN53=1,$GN53*$GM53*'Verwerking Bouwdelen'!DO37,$GN53*$GM53*'Verwerking Bouwdelen'!W37)</f>
        <v>0</v>
      </c>
      <c r="GS53" s="208">
        <f>IF($GN53=1,$GN53*$GM53*'Verwerking Bouwdelen'!DP37,$GN53*$GM53*'Verwerking Bouwdelen'!X37)</f>
        <v>0</v>
      </c>
      <c r="GT53" s="208">
        <f>IF($GN53=1,$GN53*$GM53*'Verwerking Bouwdelen'!DQ37,$GN53*$GM53*'Verwerking Bouwdelen'!Y37)</f>
        <v>0</v>
      </c>
      <c r="GU53" s="208">
        <f>IF($GN53=1,$GN53*$GM53*'Verwerking Bouwdelen'!DR37,$GN53*$GM53*'Verwerking Bouwdelen'!Z37)</f>
        <v>0</v>
      </c>
      <c r="GV53" s="208">
        <f>IF($GN53=1,$GN53*$GM53*'Verwerking Bouwdelen'!DS37,$GN53*$GM53*'Verwerking Bouwdelen'!AA37)</f>
        <v>0</v>
      </c>
      <c r="GW53" s="208">
        <f>IF($GN53=1,$GN53*$GM53*'Verwerking Bouwdelen'!DT37,$GN53*$GM53*'Verwerking Bouwdelen'!AB37)</f>
        <v>0</v>
      </c>
      <c r="GX53" s="208">
        <f>IF($GN53=1,$GN53*$GM53*'Verwerking Bouwdelen'!DU37,$GN53*$GM53*'Verwerking Bouwdelen'!AC37)</f>
        <v>0</v>
      </c>
      <c r="GY53" s="208">
        <f>IF($GN53=1,$GN53*$GM53*'Verwerking Bouwdelen'!DV37,$GN53*$GM53*'Verwerking Bouwdelen'!AD37)</f>
        <v>0</v>
      </c>
      <c r="GZ53" s="208">
        <f>IF($GN53=1,$GN53*$GM53*'Verwerking Bouwdelen'!DW37,$GN53*$GM53*'Verwerking Bouwdelen'!AE37)</f>
        <v>0</v>
      </c>
      <c r="HB53" s="89">
        <f t="shared" si="16"/>
        <v>0</v>
      </c>
      <c r="HC53" s="89">
        <f t="shared" si="17"/>
        <v>0</v>
      </c>
      <c r="HD53" s="89">
        <f t="shared" si="18"/>
        <v>0</v>
      </c>
      <c r="HE53" s="89">
        <f t="shared" si="19"/>
        <v>0</v>
      </c>
      <c r="HF53" s="89">
        <f t="shared" si="19"/>
        <v>0</v>
      </c>
      <c r="HG53" s="89">
        <f t="shared" si="19"/>
        <v>0</v>
      </c>
      <c r="HH53" s="89">
        <f t="shared" si="19"/>
        <v>0</v>
      </c>
      <c r="HI53" s="89">
        <f t="shared" si="19"/>
        <v>0</v>
      </c>
      <c r="HJ53" s="89">
        <f t="shared" si="19"/>
        <v>0</v>
      </c>
      <c r="HK53" s="89">
        <f t="shared" si="19"/>
        <v>0</v>
      </c>
      <c r="HL53" s="89">
        <f t="shared" si="19"/>
        <v>0</v>
      </c>
      <c r="HM53" s="89">
        <f t="shared" si="19"/>
        <v>0</v>
      </c>
    </row>
    <row r="54" spans="1:221" x14ac:dyDescent="0.2">
      <c r="A54" s="130">
        <f>IF('Verwerking Bouwdelen'!A38=4,1,0)</f>
        <v>0</v>
      </c>
      <c r="B54" s="208">
        <f>$A54*'Verwerking Bouwdelen'!T38</f>
        <v>0</v>
      </c>
      <c r="C54" s="208">
        <f>$A54*'Verwerking Bouwdelen'!U38</f>
        <v>0</v>
      </c>
      <c r="D54" s="208">
        <f>$A54*'Verwerking Bouwdelen'!V38</f>
        <v>0</v>
      </c>
      <c r="E54" s="208">
        <f>$A54*'Verwerking Bouwdelen'!W38</f>
        <v>0</v>
      </c>
      <c r="F54" s="208">
        <f>$A54*'Verwerking Bouwdelen'!X38</f>
        <v>0</v>
      </c>
      <c r="G54" s="208">
        <f>$A54*'Verwerking Bouwdelen'!Y38</f>
        <v>0</v>
      </c>
      <c r="H54" s="208">
        <f>$A54*'Verwerking Bouwdelen'!Z38</f>
        <v>0</v>
      </c>
      <c r="I54" s="208">
        <f>$A54*'Verwerking Bouwdelen'!AA38</f>
        <v>0</v>
      </c>
      <c r="J54" s="208">
        <f>$A54*'Verwerking Bouwdelen'!AB38</f>
        <v>0</v>
      </c>
      <c r="K54" s="208">
        <f>$A54*'Verwerking Bouwdelen'!AC38</f>
        <v>0</v>
      </c>
      <c r="L54" s="208">
        <f>$A54*'Verwerking Bouwdelen'!AD38</f>
        <v>0</v>
      </c>
      <c r="M54" s="208">
        <f>$A54*'Verwerking Bouwdelen'!AE38</f>
        <v>0</v>
      </c>
      <c r="O54" s="114">
        <f>$A54*'Verwerking Bouwdelen'!AU38</f>
        <v>0</v>
      </c>
      <c r="P54" s="125">
        <f>$A54*'Verwerking Bouwdelen'!AV38</f>
        <v>0</v>
      </c>
      <c r="Q54" s="125">
        <f>$A54*'Verwerking Bouwdelen'!AW38</f>
        <v>0</v>
      </c>
      <c r="R54" s="125">
        <f>$A54*'Verwerking Bouwdelen'!AX38</f>
        <v>0</v>
      </c>
      <c r="S54" s="125">
        <f>$A54*'Verwerking Bouwdelen'!AY38</f>
        <v>0</v>
      </c>
      <c r="T54" s="125">
        <f>$A54*'Verwerking Bouwdelen'!AZ38</f>
        <v>0</v>
      </c>
      <c r="U54" s="125">
        <f>$A54*'Verwerking Bouwdelen'!BA38</f>
        <v>0</v>
      </c>
      <c r="V54" s="125">
        <f>$A54*'Verwerking Bouwdelen'!BB38</f>
        <v>0</v>
      </c>
      <c r="W54" s="125">
        <f>$A54*'Verwerking Bouwdelen'!BC38</f>
        <v>0</v>
      </c>
      <c r="X54" s="125">
        <f>$A54*'Verwerking Bouwdelen'!BD38</f>
        <v>0</v>
      </c>
      <c r="Y54" s="125">
        <f>$A54*'Verwerking Bouwdelen'!BE38</f>
        <v>0</v>
      </c>
      <c r="Z54" s="195">
        <f>$A54*'Verwerking Bouwdelen'!BF38</f>
        <v>0</v>
      </c>
      <c r="AB54" s="125">
        <f>IF(OR('Verwerking Bouwdelen'!C38=3,'Verwerking Bouwdelen'!C38=6),1,0)</f>
        <v>0</v>
      </c>
      <c r="AC54" s="130">
        <f>IF('Verwerking Bouwdelen'!A38=4,1,0)</f>
        <v>0</v>
      </c>
      <c r="AD54" s="208">
        <f>IF($AB54=1,$AC54*'Verwerking Bouwdelen'!DL38,$AC54*'Verwerking Bouwdelen'!T38)</f>
        <v>0</v>
      </c>
      <c r="AE54" s="208">
        <f>IF($AB54=1,$AC54*'Verwerking Bouwdelen'!DM38,$AC54*'Verwerking Bouwdelen'!U38)</f>
        <v>0</v>
      </c>
      <c r="AF54" s="208">
        <f>IF($AB54=1,$AC54*'Verwerking Bouwdelen'!DN38,$AC54*'Verwerking Bouwdelen'!V38)</f>
        <v>0</v>
      </c>
      <c r="AG54" s="208">
        <f>IF($AB54=1,$AC54*'Verwerking Bouwdelen'!DO38,$AC54*'Verwerking Bouwdelen'!W38)</f>
        <v>0</v>
      </c>
      <c r="AH54" s="208">
        <f>IF($AB54=1,$AC54*'Verwerking Bouwdelen'!DP38,$AC54*'Verwerking Bouwdelen'!X38)</f>
        <v>0</v>
      </c>
      <c r="AI54" s="208">
        <f>IF($AB54=1,$AC54*'Verwerking Bouwdelen'!DQ38,$AC54*'Verwerking Bouwdelen'!Y38)</f>
        <v>0</v>
      </c>
      <c r="AJ54" s="208">
        <f>IF($AB54=1,$AC54*'Verwerking Bouwdelen'!DR38,$AC54*'Verwerking Bouwdelen'!Z38)</f>
        <v>0</v>
      </c>
      <c r="AK54" s="208">
        <f>IF($AB54=1,$AC54*'Verwerking Bouwdelen'!DS38,$AC54*'Verwerking Bouwdelen'!AA38)</f>
        <v>0</v>
      </c>
      <c r="AL54" s="208">
        <f>IF($AB54=1,$AC54*'Verwerking Bouwdelen'!DT38,$AC54*'Verwerking Bouwdelen'!AB38)</f>
        <v>0</v>
      </c>
      <c r="AM54" s="208">
        <f>IF($AB54=1,$AC54*'Verwerking Bouwdelen'!DU38,$AC54*'Verwerking Bouwdelen'!AC38)</f>
        <v>0</v>
      </c>
      <c r="AN54" s="208">
        <f>IF($AB54=1,$AC54*'Verwerking Bouwdelen'!DV38,$AC54*'Verwerking Bouwdelen'!AD38)</f>
        <v>0</v>
      </c>
      <c r="AO54" s="208">
        <f>IF($AB54=1,$AC54*'Verwerking Bouwdelen'!DW38,$AC54*'Verwerking Bouwdelen'!AE38)</f>
        <v>0</v>
      </c>
      <c r="AP54" s="10">
        <f>IF(AD54=B54,0,'Verwerking Bouwdelen'!D38*AB54*AC54)</f>
        <v>0</v>
      </c>
      <c r="AQ54" s="10">
        <f>AB54*AC54*'Verwerking Bouwdelen'!GH38</f>
        <v>0</v>
      </c>
      <c r="AR54" s="10"/>
      <c r="AS54" s="248"/>
      <c r="AT54" s="125">
        <f>IF('Verwerking Bouwdelen'!C38=4,1,0)</f>
        <v>0</v>
      </c>
      <c r="AU54" s="130">
        <f>IF('Verwerking Bouwdelen'!A38=4,1,0)</f>
        <v>0</v>
      </c>
      <c r="AV54" s="208">
        <f>IF($AT54=1,$AU54*'Verwerking Bouwdelen'!DL38,$AU54*'Verwerking Bouwdelen'!T38)</f>
        <v>0</v>
      </c>
      <c r="AW54" s="208">
        <f>IF($AT54=1,$AU54*'Verwerking Bouwdelen'!DM38,$AU54*'Verwerking Bouwdelen'!U38)</f>
        <v>0</v>
      </c>
      <c r="AX54" s="208">
        <f>IF($AT54=1,$AU54*'Verwerking Bouwdelen'!DN38,$AU54*'Verwerking Bouwdelen'!V38)</f>
        <v>0</v>
      </c>
      <c r="AY54" s="208">
        <f>IF($AT54=1,$AU54*'Verwerking Bouwdelen'!DO38,$AU54*'Verwerking Bouwdelen'!W38)</f>
        <v>0</v>
      </c>
      <c r="AZ54" s="208">
        <f>IF($AT54=1,$AU54*'Verwerking Bouwdelen'!DP38,$AU54*'Verwerking Bouwdelen'!X38)</f>
        <v>0</v>
      </c>
      <c r="BA54" s="208">
        <f>IF($AT54=1,$AU54*'Verwerking Bouwdelen'!DQ38,$AU54*'Verwerking Bouwdelen'!Y38)</f>
        <v>0</v>
      </c>
      <c r="BB54" s="208">
        <f>IF($AT54=1,$AU54*'Verwerking Bouwdelen'!DR38,$AU54*'Verwerking Bouwdelen'!Z38)</f>
        <v>0</v>
      </c>
      <c r="BC54" s="208">
        <f>IF($AT54=1,$AU54*'Verwerking Bouwdelen'!DS38,$AU54*'Verwerking Bouwdelen'!AA38)</f>
        <v>0</v>
      </c>
      <c r="BD54" s="208">
        <f>IF($AT54=1,$AU54*'Verwerking Bouwdelen'!DT38,$AU54*'Verwerking Bouwdelen'!AB38)</f>
        <v>0</v>
      </c>
      <c r="BE54" s="208">
        <f>IF($AT54=1,$AU54*'Verwerking Bouwdelen'!DU38,$AU54*'Verwerking Bouwdelen'!AC38)</f>
        <v>0</v>
      </c>
      <c r="BF54" s="208">
        <f>IF($AT54=1,$AU54*'Verwerking Bouwdelen'!DV38,$AU54*'Verwerking Bouwdelen'!AD38)</f>
        <v>0</v>
      </c>
      <c r="BG54" s="208">
        <f>IF($AT54=1,$AU54*'Verwerking Bouwdelen'!DW38,$AU54*'Verwerking Bouwdelen'!AE38)</f>
        <v>0</v>
      </c>
      <c r="BH54" s="10">
        <f>IF(AV54=B54,0,'Verwerking Bouwdelen'!D38*AT54*AU54)</f>
        <v>0</v>
      </c>
      <c r="BI54" s="10">
        <f>AT54*AU54*'Verwerking Bouwdelen'!GH38</f>
        <v>0</v>
      </c>
      <c r="BJ54" s="10"/>
      <c r="BK54" s="10"/>
      <c r="BM54" s="125">
        <f>IF('Verwerking Bouwdelen'!C38=5,1,0)</f>
        <v>0</v>
      </c>
      <c r="BN54" s="130">
        <f>IF('Verwerking Bouwdelen'!A38=4,1,0)</f>
        <v>0</v>
      </c>
      <c r="BO54" s="208">
        <f>IF($BM54=1,$BN54*'Verwerking Bouwdelen'!DL38,$BN54*'Verwerking Bouwdelen'!T38)</f>
        <v>0</v>
      </c>
      <c r="BP54" s="208">
        <f>IF($BM54=1,$BN54*'Verwerking Bouwdelen'!DM38,$BN54*'Verwerking Bouwdelen'!U38)</f>
        <v>0</v>
      </c>
      <c r="BQ54" s="208">
        <f>IF($BM54=1,$BN54*'Verwerking Bouwdelen'!DN38,$BN54*'Verwerking Bouwdelen'!V38)</f>
        <v>0</v>
      </c>
      <c r="BR54" s="208">
        <f>IF($BM54=1,$BN54*'Verwerking Bouwdelen'!DO38,$BN54*'Verwerking Bouwdelen'!W38)</f>
        <v>0</v>
      </c>
      <c r="BS54" s="208">
        <f>IF($BM54=1,$BN54*'Verwerking Bouwdelen'!DP38,$BN54*'Verwerking Bouwdelen'!X38)</f>
        <v>0</v>
      </c>
      <c r="BT54" s="208">
        <f>IF($BM54=1,$BN54*'Verwerking Bouwdelen'!DQ38,$BN54*'Verwerking Bouwdelen'!Y38)</f>
        <v>0</v>
      </c>
      <c r="BU54" s="208">
        <f>IF($BM54=1,$BN54*'Verwerking Bouwdelen'!DR38,$BN54*'Verwerking Bouwdelen'!Z38)</f>
        <v>0</v>
      </c>
      <c r="BV54" s="208">
        <f>IF($BM54=1,$BN54*'Verwerking Bouwdelen'!DS38,$BN54*'Verwerking Bouwdelen'!AA38)</f>
        <v>0</v>
      </c>
      <c r="BW54" s="208">
        <f>IF($BM54=1,$BN54*'Verwerking Bouwdelen'!DT38,$BN54*'Verwerking Bouwdelen'!AB38)</f>
        <v>0</v>
      </c>
      <c r="BX54" s="208">
        <f>IF($BM54=1,$BN54*'Verwerking Bouwdelen'!DU38,$BN54*'Verwerking Bouwdelen'!AC38)</f>
        <v>0</v>
      </c>
      <c r="BY54" s="208">
        <f>IF($BM54=1,$BN54*'Verwerking Bouwdelen'!DV38,$BN54*'Verwerking Bouwdelen'!AD38)</f>
        <v>0</v>
      </c>
      <c r="BZ54" s="208">
        <f>IF($BM54=1,$BN54*'Verwerking Bouwdelen'!DW38,$BN54*'Verwerking Bouwdelen'!AE38)</f>
        <v>0</v>
      </c>
      <c r="CA54" s="10">
        <f>IF(BO54=$B54,0,'Verwerking Bouwdelen'!$D38*BM54*BN54)</f>
        <v>0</v>
      </c>
      <c r="CB54" s="10">
        <f>BM54*BN54*'Verwerking Bouwdelen'!GH38</f>
        <v>0</v>
      </c>
      <c r="CC54" s="10"/>
      <c r="CD54" s="248"/>
      <c r="CE54" s="125">
        <f>IF('Verwerking Bouwdelen'!C38=2,1,0)</f>
        <v>0</v>
      </c>
      <c r="CF54" s="130">
        <f>IF('Verwerking Bouwdelen'!A38=4,1,0)</f>
        <v>0</v>
      </c>
      <c r="CG54" s="208">
        <f>IF($CE54=1,$CF54*'Verwerking Bouwdelen'!DL38,$CF54*'Verwerking Bouwdelen'!T38)</f>
        <v>0</v>
      </c>
      <c r="CH54" s="208">
        <f>IF($CE54=1,$CF54*'Verwerking Bouwdelen'!DM38,$CF54*'Verwerking Bouwdelen'!U38)</f>
        <v>0</v>
      </c>
      <c r="CI54" s="208">
        <f>IF($CE54=1,$CF54*'Verwerking Bouwdelen'!DN38,$CF54*'Verwerking Bouwdelen'!V38)</f>
        <v>0</v>
      </c>
      <c r="CJ54" s="208">
        <f>IF($CE54=1,$CF54*'Verwerking Bouwdelen'!DO38,$CF54*'Verwerking Bouwdelen'!W38)</f>
        <v>0</v>
      </c>
      <c r="CK54" s="208">
        <f>IF($CE54=1,$CF54*'Verwerking Bouwdelen'!DP38,$CF54*'Verwerking Bouwdelen'!X38)</f>
        <v>0</v>
      </c>
      <c r="CL54" s="208">
        <f>IF($CE54=1,$CF54*'Verwerking Bouwdelen'!DQ38,$CF54*'Verwerking Bouwdelen'!Y38)</f>
        <v>0</v>
      </c>
      <c r="CM54" s="208">
        <f>IF($CE54=1,$CF54*'Verwerking Bouwdelen'!DR38,$CF54*'Verwerking Bouwdelen'!Z38)</f>
        <v>0</v>
      </c>
      <c r="CN54" s="208">
        <f>IF($CE54=1,$CF54*'Verwerking Bouwdelen'!DS38,$CF54*'Verwerking Bouwdelen'!AA38)</f>
        <v>0</v>
      </c>
      <c r="CO54" s="208">
        <f>IF($CE54=1,$CF54*'Verwerking Bouwdelen'!DT38,$CF54*'Verwerking Bouwdelen'!AB38)</f>
        <v>0</v>
      </c>
      <c r="CP54" s="208">
        <f>IF($CE54=1,$CF54*'Verwerking Bouwdelen'!DU38,$CF54*'Verwerking Bouwdelen'!AC38)</f>
        <v>0</v>
      </c>
      <c r="CQ54" s="208">
        <f>IF($CE54=1,$CF54*'Verwerking Bouwdelen'!DV38,$CF54*'Verwerking Bouwdelen'!AD38)</f>
        <v>0</v>
      </c>
      <c r="CR54" s="208">
        <f>IF($CE54=1,$CF54*'Verwerking Bouwdelen'!DW38,$CF54*'Verwerking Bouwdelen'!AE38)</f>
        <v>0</v>
      </c>
      <c r="CS54" s="10">
        <f>IF(CG54=$B54,0,('Verwerking Bouwdelen'!$D38-'Verwerking Bouwdelen'!G38)*CE54*CF54)</f>
        <v>0</v>
      </c>
      <c r="CT54" s="260">
        <f>CE54*CF54*'Verwerking Bouwdelen'!GH38</f>
        <v>0</v>
      </c>
      <c r="CU54" s="261">
        <f>CE54*CF54*'Verwerking Bouwdelen'!GI38</f>
        <v>0</v>
      </c>
      <c r="CW54" s="209">
        <f>$AC54*'Verwerking Bouwdelen'!EE38</f>
        <v>0</v>
      </c>
      <c r="CX54" s="209">
        <f>$AC54*'Verwerking Bouwdelen'!EF38</f>
        <v>0</v>
      </c>
      <c r="CY54" s="209">
        <f>$AC54*'Verwerking Bouwdelen'!EG38</f>
        <v>0</v>
      </c>
      <c r="CZ54" s="209">
        <f>$AC54*'Verwerking Bouwdelen'!EH38</f>
        <v>0</v>
      </c>
      <c r="DA54" s="209">
        <f>$AC54*'Verwerking Bouwdelen'!EI38</f>
        <v>0</v>
      </c>
      <c r="DB54" s="209">
        <f>$AC54*'Verwerking Bouwdelen'!EJ38</f>
        <v>0</v>
      </c>
      <c r="DC54" s="209">
        <f>$AC54*'Verwerking Bouwdelen'!EK38</f>
        <v>0</v>
      </c>
      <c r="DD54" s="209">
        <f>$AC54*'Verwerking Bouwdelen'!EL38</f>
        <v>0</v>
      </c>
      <c r="DE54" s="209">
        <f>$AC54*'Verwerking Bouwdelen'!EM38</f>
        <v>0</v>
      </c>
      <c r="DF54" s="209">
        <f>$AC54*'Verwerking Bouwdelen'!EN38</f>
        <v>0</v>
      </c>
      <c r="DG54" s="209">
        <f>$AC54*'Verwerking Bouwdelen'!EO38</f>
        <v>0</v>
      </c>
      <c r="DH54" s="209">
        <f>$AC54*'Verwerking Bouwdelen'!EP38</f>
        <v>0</v>
      </c>
      <c r="DI54" s="10">
        <f>IF(CW54=$O54,0,'Verwerking Bouwdelen'!G38)</f>
        <v>0</v>
      </c>
      <c r="DJ54" s="259">
        <f>'Verwerking Bouwdelen'!GK38*CF54</f>
        <v>0</v>
      </c>
      <c r="DK54" s="259">
        <f>'Verwerking Bouwdelen'!GL38*CF54</f>
        <v>0</v>
      </c>
      <c r="DL54" s="125"/>
      <c r="GM54" s="89">
        <f t="shared" si="13"/>
        <v>0</v>
      </c>
      <c r="GN54" s="89">
        <f t="shared" si="14"/>
        <v>0</v>
      </c>
      <c r="GO54" s="208">
        <f>IF($GN54=1,$GN54*$GM54*'Verwerking Bouwdelen'!DL38,$GN54*$GM54*'Verwerking Bouwdelen'!T38)</f>
        <v>0</v>
      </c>
      <c r="GP54" s="208">
        <f>IF($GN54=1,$GN54*$GM54*'Verwerking Bouwdelen'!DM38,$GN54*$GM54*'Verwerking Bouwdelen'!U38)</f>
        <v>0</v>
      </c>
      <c r="GQ54" s="208">
        <f>IF($GN54=1,$GN54*$GM54*'Verwerking Bouwdelen'!DN38,$GN54*$GM54*'Verwerking Bouwdelen'!V38)</f>
        <v>0</v>
      </c>
      <c r="GR54" s="208">
        <f>IF($GN54=1,$GN54*$GM54*'Verwerking Bouwdelen'!DO38,$GN54*$GM54*'Verwerking Bouwdelen'!W38)</f>
        <v>0</v>
      </c>
      <c r="GS54" s="208">
        <f>IF($GN54=1,$GN54*$GM54*'Verwerking Bouwdelen'!DP38,$GN54*$GM54*'Verwerking Bouwdelen'!X38)</f>
        <v>0</v>
      </c>
      <c r="GT54" s="208">
        <f>IF($GN54=1,$GN54*$GM54*'Verwerking Bouwdelen'!DQ38,$GN54*$GM54*'Verwerking Bouwdelen'!Y38)</f>
        <v>0</v>
      </c>
      <c r="GU54" s="208">
        <f>IF($GN54=1,$GN54*$GM54*'Verwerking Bouwdelen'!DR38,$GN54*$GM54*'Verwerking Bouwdelen'!Z38)</f>
        <v>0</v>
      </c>
      <c r="GV54" s="208">
        <f>IF($GN54=1,$GN54*$GM54*'Verwerking Bouwdelen'!DS38,$GN54*$GM54*'Verwerking Bouwdelen'!AA38)</f>
        <v>0</v>
      </c>
      <c r="GW54" s="208">
        <f>IF($GN54=1,$GN54*$GM54*'Verwerking Bouwdelen'!DT38,$GN54*$GM54*'Verwerking Bouwdelen'!AB38)</f>
        <v>0</v>
      </c>
      <c r="GX54" s="208">
        <f>IF($GN54=1,$GN54*$GM54*'Verwerking Bouwdelen'!DU38,$GN54*$GM54*'Verwerking Bouwdelen'!AC38)</f>
        <v>0</v>
      </c>
      <c r="GY54" s="208">
        <f>IF($GN54=1,$GN54*$GM54*'Verwerking Bouwdelen'!DV38,$GN54*$GM54*'Verwerking Bouwdelen'!AD38)</f>
        <v>0</v>
      </c>
      <c r="GZ54" s="208">
        <f>IF($GN54=1,$GN54*$GM54*'Verwerking Bouwdelen'!DW38,$GN54*$GM54*'Verwerking Bouwdelen'!AE38)</f>
        <v>0</v>
      </c>
      <c r="HB54" s="89">
        <f t="shared" si="16"/>
        <v>0</v>
      </c>
      <c r="HC54" s="89">
        <f t="shared" si="17"/>
        <v>0</v>
      </c>
      <c r="HD54" s="89">
        <f t="shared" si="18"/>
        <v>0</v>
      </c>
      <c r="HE54" s="89">
        <f t="shared" si="19"/>
        <v>0</v>
      </c>
      <c r="HF54" s="89">
        <f t="shared" si="19"/>
        <v>0</v>
      </c>
      <c r="HG54" s="89">
        <f t="shared" si="19"/>
        <v>0</v>
      </c>
      <c r="HH54" s="89">
        <f t="shared" si="19"/>
        <v>0</v>
      </c>
      <c r="HI54" s="89">
        <f t="shared" si="19"/>
        <v>0</v>
      </c>
      <c r="HJ54" s="89">
        <f t="shared" si="19"/>
        <v>0</v>
      </c>
      <c r="HK54" s="89">
        <f t="shared" si="19"/>
        <v>0</v>
      </c>
      <c r="HL54" s="89">
        <f t="shared" si="19"/>
        <v>0</v>
      </c>
      <c r="HM54" s="89">
        <f t="shared" si="19"/>
        <v>0</v>
      </c>
    </row>
    <row r="55" spans="1:221" x14ac:dyDescent="0.2">
      <c r="A55" s="130">
        <f>IF('Verwerking Bouwdelen'!A39=4,1,0)</f>
        <v>0</v>
      </c>
      <c r="B55" s="208">
        <f>$A55*'Verwerking Bouwdelen'!T39</f>
        <v>0</v>
      </c>
      <c r="C55" s="208">
        <f>$A55*'Verwerking Bouwdelen'!U39</f>
        <v>0</v>
      </c>
      <c r="D55" s="208">
        <f>$A55*'Verwerking Bouwdelen'!V39</f>
        <v>0</v>
      </c>
      <c r="E55" s="208">
        <f>$A55*'Verwerking Bouwdelen'!W39</f>
        <v>0</v>
      </c>
      <c r="F55" s="208">
        <f>$A55*'Verwerking Bouwdelen'!X39</f>
        <v>0</v>
      </c>
      <c r="G55" s="208">
        <f>$A55*'Verwerking Bouwdelen'!Y39</f>
        <v>0</v>
      </c>
      <c r="H55" s="208">
        <f>$A55*'Verwerking Bouwdelen'!Z39</f>
        <v>0</v>
      </c>
      <c r="I55" s="208">
        <f>$A55*'Verwerking Bouwdelen'!AA39</f>
        <v>0</v>
      </c>
      <c r="J55" s="208">
        <f>$A55*'Verwerking Bouwdelen'!AB39</f>
        <v>0</v>
      </c>
      <c r="K55" s="208">
        <f>$A55*'Verwerking Bouwdelen'!AC39</f>
        <v>0</v>
      </c>
      <c r="L55" s="208">
        <f>$A55*'Verwerking Bouwdelen'!AD39</f>
        <v>0</v>
      </c>
      <c r="M55" s="208">
        <f>$A55*'Verwerking Bouwdelen'!AE39</f>
        <v>0</v>
      </c>
      <c r="O55" s="114">
        <f>$A55*'Verwerking Bouwdelen'!AU39</f>
        <v>0</v>
      </c>
      <c r="P55" s="125">
        <f>$A55*'Verwerking Bouwdelen'!AV39</f>
        <v>0</v>
      </c>
      <c r="Q55" s="125">
        <f>$A55*'Verwerking Bouwdelen'!AW39</f>
        <v>0</v>
      </c>
      <c r="R55" s="125">
        <f>$A55*'Verwerking Bouwdelen'!AX39</f>
        <v>0</v>
      </c>
      <c r="S55" s="125">
        <f>$A55*'Verwerking Bouwdelen'!AY39</f>
        <v>0</v>
      </c>
      <c r="T55" s="125">
        <f>$A55*'Verwerking Bouwdelen'!AZ39</f>
        <v>0</v>
      </c>
      <c r="U55" s="125">
        <f>$A55*'Verwerking Bouwdelen'!BA39</f>
        <v>0</v>
      </c>
      <c r="V55" s="125">
        <f>$A55*'Verwerking Bouwdelen'!BB39</f>
        <v>0</v>
      </c>
      <c r="W55" s="125">
        <f>$A55*'Verwerking Bouwdelen'!BC39</f>
        <v>0</v>
      </c>
      <c r="X55" s="125">
        <f>$A55*'Verwerking Bouwdelen'!BD39</f>
        <v>0</v>
      </c>
      <c r="Y55" s="125">
        <f>$A55*'Verwerking Bouwdelen'!BE39</f>
        <v>0</v>
      </c>
      <c r="Z55" s="195">
        <f>$A55*'Verwerking Bouwdelen'!BF39</f>
        <v>0</v>
      </c>
      <c r="AB55" s="125">
        <f>IF(OR('Verwerking Bouwdelen'!C39=3,'Verwerking Bouwdelen'!C39=6),1,0)</f>
        <v>0</v>
      </c>
      <c r="AC55" s="130">
        <f>IF('Verwerking Bouwdelen'!A39=4,1,0)</f>
        <v>0</v>
      </c>
      <c r="AD55" s="208">
        <f>IF($AB55=1,$AC55*'Verwerking Bouwdelen'!DL39,$AC55*'Verwerking Bouwdelen'!T39)</f>
        <v>0</v>
      </c>
      <c r="AE55" s="208">
        <f>IF($AB55=1,$AC55*'Verwerking Bouwdelen'!DM39,$AC55*'Verwerking Bouwdelen'!U39)</f>
        <v>0</v>
      </c>
      <c r="AF55" s="208">
        <f>IF($AB55=1,$AC55*'Verwerking Bouwdelen'!DN39,$AC55*'Verwerking Bouwdelen'!V39)</f>
        <v>0</v>
      </c>
      <c r="AG55" s="208">
        <f>IF($AB55=1,$AC55*'Verwerking Bouwdelen'!DO39,$AC55*'Verwerking Bouwdelen'!W39)</f>
        <v>0</v>
      </c>
      <c r="AH55" s="208">
        <f>IF($AB55=1,$AC55*'Verwerking Bouwdelen'!DP39,$AC55*'Verwerking Bouwdelen'!X39)</f>
        <v>0</v>
      </c>
      <c r="AI55" s="208">
        <f>IF($AB55=1,$AC55*'Verwerking Bouwdelen'!DQ39,$AC55*'Verwerking Bouwdelen'!Y39)</f>
        <v>0</v>
      </c>
      <c r="AJ55" s="208">
        <f>IF($AB55=1,$AC55*'Verwerking Bouwdelen'!DR39,$AC55*'Verwerking Bouwdelen'!Z39)</f>
        <v>0</v>
      </c>
      <c r="AK55" s="208">
        <f>IF($AB55=1,$AC55*'Verwerking Bouwdelen'!DS39,$AC55*'Verwerking Bouwdelen'!AA39)</f>
        <v>0</v>
      </c>
      <c r="AL55" s="208">
        <f>IF($AB55=1,$AC55*'Verwerking Bouwdelen'!DT39,$AC55*'Verwerking Bouwdelen'!AB39)</f>
        <v>0</v>
      </c>
      <c r="AM55" s="208">
        <f>IF($AB55=1,$AC55*'Verwerking Bouwdelen'!DU39,$AC55*'Verwerking Bouwdelen'!AC39)</f>
        <v>0</v>
      </c>
      <c r="AN55" s="208">
        <f>IF($AB55=1,$AC55*'Verwerking Bouwdelen'!DV39,$AC55*'Verwerking Bouwdelen'!AD39)</f>
        <v>0</v>
      </c>
      <c r="AO55" s="208">
        <f>IF($AB55=1,$AC55*'Verwerking Bouwdelen'!DW39,$AC55*'Verwerking Bouwdelen'!AE39)</f>
        <v>0</v>
      </c>
      <c r="AP55" s="10">
        <f>IF(AD55=B55,0,'Verwerking Bouwdelen'!D39*AB55*AC55)</f>
        <v>0</v>
      </c>
      <c r="AQ55" s="10">
        <f>AB55*AC55*'Verwerking Bouwdelen'!GH39</f>
        <v>0</v>
      </c>
      <c r="AR55" s="10"/>
      <c r="AS55" s="248"/>
      <c r="AT55" s="125">
        <f>IF('Verwerking Bouwdelen'!C39=4,1,0)</f>
        <v>0</v>
      </c>
      <c r="AU55" s="130">
        <f>IF('Verwerking Bouwdelen'!A39=4,1,0)</f>
        <v>0</v>
      </c>
      <c r="AV55" s="208">
        <f>IF($AT55=1,$AU55*'Verwerking Bouwdelen'!DL39,$AU55*'Verwerking Bouwdelen'!T39)</f>
        <v>0</v>
      </c>
      <c r="AW55" s="208">
        <f>IF($AT55=1,$AU55*'Verwerking Bouwdelen'!DM39,$AU55*'Verwerking Bouwdelen'!U39)</f>
        <v>0</v>
      </c>
      <c r="AX55" s="208">
        <f>IF($AT55=1,$AU55*'Verwerking Bouwdelen'!DN39,$AU55*'Verwerking Bouwdelen'!V39)</f>
        <v>0</v>
      </c>
      <c r="AY55" s="208">
        <f>IF($AT55=1,$AU55*'Verwerking Bouwdelen'!DO39,$AU55*'Verwerking Bouwdelen'!W39)</f>
        <v>0</v>
      </c>
      <c r="AZ55" s="208">
        <f>IF($AT55=1,$AU55*'Verwerking Bouwdelen'!DP39,$AU55*'Verwerking Bouwdelen'!X39)</f>
        <v>0</v>
      </c>
      <c r="BA55" s="208">
        <f>IF($AT55=1,$AU55*'Verwerking Bouwdelen'!DQ39,$AU55*'Verwerking Bouwdelen'!Y39)</f>
        <v>0</v>
      </c>
      <c r="BB55" s="208">
        <f>IF($AT55=1,$AU55*'Verwerking Bouwdelen'!DR39,$AU55*'Verwerking Bouwdelen'!Z39)</f>
        <v>0</v>
      </c>
      <c r="BC55" s="208">
        <f>IF($AT55=1,$AU55*'Verwerking Bouwdelen'!DS39,$AU55*'Verwerking Bouwdelen'!AA39)</f>
        <v>0</v>
      </c>
      <c r="BD55" s="208">
        <f>IF($AT55=1,$AU55*'Verwerking Bouwdelen'!DT39,$AU55*'Verwerking Bouwdelen'!AB39)</f>
        <v>0</v>
      </c>
      <c r="BE55" s="208">
        <f>IF($AT55=1,$AU55*'Verwerking Bouwdelen'!DU39,$AU55*'Verwerking Bouwdelen'!AC39)</f>
        <v>0</v>
      </c>
      <c r="BF55" s="208">
        <f>IF($AT55=1,$AU55*'Verwerking Bouwdelen'!DV39,$AU55*'Verwerking Bouwdelen'!AD39)</f>
        <v>0</v>
      </c>
      <c r="BG55" s="208">
        <f>IF($AT55=1,$AU55*'Verwerking Bouwdelen'!DW39,$AU55*'Verwerking Bouwdelen'!AE39)</f>
        <v>0</v>
      </c>
      <c r="BH55" s="10">
        <f>IF(AV55=B55,0,'Verwerking Bouwdelen'!D39*AT55*AU55)</f>
        <v>0</v>
      </c>
      <c r="BI55" s="10">
        <f>AT55*AU55*'Verwerking Bouwdelen'!GH39</f>
        <v>0</v>
      </c>
      <c r="BJ55" s="10"/>
      <c r="BK55" s="10"/>
      <c r="BM55" s="125">
        <f>IF('Verwerking Bouwdelen'!C39=5,1,0)</f>
        <v>0</v>
      </c>
      <c r="BN55" s="130">
        <f>IF('Verwerking Bouwdelen'!A39=4,1,0)</f>
        <v>0</v>
      </c>
      <c r="BO55" s="208">
        <f>IF($BM55=1,$BN55*'Verwerking Bouwdelen'!DL39,$BN55*'Verwerking Bouwdelen'!T39)</f>
        <v>0</v>
      </c>
      <c r="BP55" s="208">
        <f>IF($BM55=1,$BN55*'Verwerking Bouwdelen'!DM39,$BN55*'Verwerking Bouwdelen'!U39)</f>
        <v>0</v>
      </c>
      <c r="BQ55" s="208">
        <f>IF($BM55=1,$BN55*'Verwerking Bouwdelen'!DN39,$BN55*'Verwerking Bouwdelen'!V39)</f>
        <v>0</v>
      </c>
      <c r="BR55" s="208">
        <f>IF($BM55=1,$BN55*'Verwerking Bouwdelen'!DO39,$BN55*'Verwerking Bouwdelen'!W39)</f>
        <v>0</v>
      </c>
      <c r="BS55" s="208">
        <f>IF($BM55=1,$BN55*'Verwerking Bouwdelen'!DP39,$BN55*'Verwerking Bouwdelen'!X39)</f>
        <v>0</v>
      </c>
      <c r="BT55" s="208">
        <f>IF($BM55=1,$BN55*'Verwerking Bouwdelen'!DQ39,$BN55*'Verwerking Bouwdelen'!Y39)</f>
        <v>0</v>
      </c>
      <c r="BU55" s="208">
        <f>IF($BM55=1,$BN55*'Verwerking Bouwdelen'!DR39,$BN55*'Verwerking Bouwdelen'!Z39)</f>
        <v>0</v>
      </c>
      <c r="BV55" s="208">
        <f>IF($BM55=1,$BN55*'Verwerking Bouwdelen'!DS39,$BN55*'Verwerking Bouwdelen'!AA39)</f>
        <v>0</v>
      </c>
      <c r="BW55" s="208">
        <f>IF($BM55=1,$BN55*'Verwerking Bouwdelen'!DT39,$BN55*'Verwerking Bouwdelen'!AB39)</f>
        <v>0</v>
      </c>
      <c r="BX55" s="208">
        <f>IF($BM55=1,$BN55*'Verwerking Bouwdelen'!DU39,$BN55*'Verwerking Bouwdelen'!AC39)</f>
        <v>0</v>
      </c>
      <c r="BY55" s="208">
        <f>IF($BM55=1,$BN55*'Verwerking Bouwdelen'!DV39,$BN55*'Verwerking Bouwdelen'!AD39)</f>
        <v>0</v>
      </c>
      <c r="BZ55" s="208">
        <f>IF($BM55=1,$BN55*'Verwerking Bouwdelen'!DW39,$BN55*'Verwerking Bouwdelen'!AE39)</f>
        <v>0</v>
      </c>
      <c r="CA55" s="10">
        <f>IF(BO55=$B55,0,'Verwerking Bouwdelen'!$D39*BM55*BN55)</f>
        <v>0</v>
      </c>
      <c r="CB55" s="10">
        <f>BM55*BN55*'Verwerking Bouwdelen'!GH39</f>
        <v>0</v>
      </c>
      <c r="CC55" s="10"/>
      <c r="CD55" s="248"/>
      <c r="CE55" s="125">
        <f>IF('Verwerking Bouwdelen'!C39=2,1,0)</f>
        <v>0</v>
      </c>
      <c r="CF55" s="130">
        <f>IF('Verwerking Bouwdelen'!A39=4,1,0)</f>
        <v>0</v>
      </c>
      <c r="CG55" s="208">
        <f>IF($CE55=1,$CF55*'Verwerking Bouwdelen'!DL39,$CF55*'Verwerking Bouwdelen'!T39)</f>
        <v>0</v>
      </c>
      <c r="CH55" s="208">
        <f>IF($CE55=1,$CF55*'Verwerking Bouwdelen'!DM39,$CF55*'Verwerking Bouwdelen'!U39)</f>
        <v>0</v>
      </c>
      <c r="CI55" s="208">
        <f>IF($CE55=1,$CF55*'Verwerking Bouwdelen'!DN39,$CF55*'Verwerking Bouwdelen'!V39)</f>
        <v>0</v>
      </c>
      <c r="CJ55" s="208">
        <f>IF($CE55=1,$CF55*'Verwerking Bouwdelen'!DO39,$CF55*'Verwerking Bouwdelen'!W39)</f>
        <v>0</v>
      </c>
      <c r="CK55" s="208">
        <f>IF($CE55=1,$CF55*'Verwerking Bouwdelen'!DP39,$CF55*'Verwerking Bouwdelen'!X39)</f>
        <v>0</v>
      </c>
      <c r="CL55" s="208">
        <f>IF($CE55=1,$CF55*'Verwerking Bouwdelen'!DQ39,$CF55*'Verwerking Bouwdelen'!Y39)</f>
        <v>0</v>
      </c>
      <c r="CM55" s="208">
        <f>IF($CE55=1,$CF55*'Verwerking Bouwdelen'!DR39,$CF55*'Verwerking Bouwdelen'!Z39)</f>
        <v>0</v>
      </c>
      <c r="CN55" s="208">
        <f>IF($CE55=1,$CF55*'Verwerking Bouwdelen'!DS39,$CF55*'Verwerking Bouwdelen'!AA39)</f>
        <v>0</v>
      </c>
      <c r="CO55" s="208">
        <f>IF($CE55=1,$CF55*'Verwerking Bouwdelen'!DT39,$CF55*'Verwerking Bouwdelen'!AB39)</f>
        <v>0</v>
      </c>
      <c r="CP55" s="208">
        <f>IF($CE55=1,$CF55*'Verwerking Bouwdelen'!DU39,$CF55*'Verwerking Bouwdelen'!AC39)</f>
        <v>0</v>
      </c>
      <c r="CQ55" s="208">
        <f>IF($CE55=1,$CF55*'Verwerking Bouwdelen'!DV39,$CF55*'Verwerking Bouwdelen'!AD39)</f>
        <v>0</v>
      </c>
      <c r="CR55" s="208">
        <f>IF($CE55=1,$CF55*'Verwerking Bouwdelen'!DW39,$CF55*'Verwerking Bouwdelen'!AE39)</f>
        <v>0</v>
      </c>
      <c r="CS55" s="10">
        <f>IF(CG55=$B55,0,('Verwerking Bouwdelen'!$D39-'Verwerking Bouwdelen'!G39)*CE55*CF55)</f>
        <v>0</v>
      </c>
      <c r="CT55" s="260">
        <f>CE55*CF55*'Verwerking Bouwdelen'!GH39</f>
        <v>0</v>
      </c>
      <c r="CU55" s="261">
        <f>CE55*CF55*'Verwerking Bouwdelen'!GI39</f>
        <v>0</v>
      </c>
      <c r="CW55" s="209">
        <f>$AC55*'Verwerking Bouwdelen'!EE39</f>
        <v>0</v>
      </c>
      <c r="CX55" s="209">
        <f>$AC55*'Verwerking Bouwdelen'!EF39</f>
        <v>0</v>
      </c>
      <c r="CY55" s="209">
        <f>$AC55*'Verwerking Bouwdelen'!EG39</f>
        <v>0</v>
      </c>
      <c r="CZ55" s="209">
        <f>$AC55*'Verwerking Bouwdelen'!EH39</f>
        <v>0</v>
      </c>
      <c r="DA55" s="209">
        <f>$AC55*'Verwerking Bouwdelen'!EI39</f>
        <v>0</v>
      </c>
      <c r="DB55" s="209">
        <f>$AC55*'Verwerking Bouwdelen'!EJ39</f>
        <v>0</v>
      </c>
      <c r="DC55" s="209">
        <f>$AC55*'Verwerking Bouwdelen'!EK39</f>
        <v>0</v>
      </c>
      <c r="DD55" s="209">
        <f>$AC55*'Verwerking Bouwdelen'!EL39</f>
        <v>0</v>
      </c>
      <c r="DE55" s="209">
        <f>$AC55*'Verwerking Bouwdelen'!EM39</f>
        <v>0</v>
      </c>
      <c r="DF55" s="209">
        <f>$AC55*'Verwerking Bouwdelen'!EN39</f>
        <v>0</v>
      </c>
      <c r="DG55" s="209">
        <f>$AC55*'Verwerking Bouwdelen'!EO39</f>
        <v>0</v>
      </c>
      <c r="DH55" s="209">
        <f>$AC55*'Verwerking Bouwdelen'!EP39</f>
        <v>0</v>
      </c>
      <c r="DI55" s="10">
        <f>IF(CW55=$O55,0,'Verwerking Bouwdelen'!G39)</f>
        <v>0</v>
      </c>
      <c r="DJ55" s="259">
        <f>'Verwerking Bouwdelen'!GK39*CF55</f>
        <v>0</v>
      </c>
      <c r="DK55" s="259">
        <f>'Verwerking Bouwdelen'!GL39*CF55</f>
        <v>0</v>
      </c>
      <c r="DL55" s="125"/>
      <c r="GM55" s="89">
        <f t="shared" si="13"/>
        <v>0</v>
      </c>
      <c r="GN55" s="89">
        <f t="shared" si="14"/>
        <v>0</v>
      </c>
      <c r="GO55" s="208">
        <f>IF($GN55=1,$GN55*$GM55*'Verwerking Bouwdelen'!DL39,$GN55*$GM55*'Verwerking Bouwdelen'!T39)</f>
        <v>0</v>
      </c>
      <c r="GP55" s="208">
        <f>IF($GN55=1,$GN55*$GM55*'Verwerking Bouwdelen'!DM39,$GN55*$GM55*'Verwerking Bouwdelen'!U39)</f>
        <v>0</v>
      </c>
      <c r="GQ55" s="208">
        <f>IF($GN55=1,$GN55*$GM55*'Verwerking Bouwdelen'!DN39,$GN55*$GM55*'Verwerking Bouwdelen'!V39)</f>
        <v>0</v>
      </c>
      <c r="GR55" s="208">
        <f>IF($GN55=1,$GN55*$GM55*'Verwerking Bouwdelen'!DO39,$GN55*$GM55*'Verwerking Bouwdelen'!W39)</f>
        <v>0</v>
      </c>
      <c r="GS55" s="208">
        <f>IF($GN55=1,$GN55*$GM55*'Verwerking Bouwdelen'!DP39,$GN55*$GM55*'Verwerking Bouwdelen'!X39)</f>
        <v>0</v>
      </c>
      <c r="GT55" s="208">
        <f>IF($GN55=1,$GN55*$GM55*'Verwerking Bouwdelen'!DQ39,$GN55*$GM55*'Verwerking Bouwdelen'!Y39)</f>
        <v>0</v>
      </c>
      <c r="GU55" s="208">
        <f>IF($GN55=1,$GN55*$GM55*'Verwerking Bouwdelen'!DR39,$GN55*$GM55*'Verwerking Bouwdelen'!Z39)</f>
        <v>0</v>
      </c>
      <c r="GV55" s="208">
        <f>IF($GN55=1,$GN55*$GM55*'Verwerking Bouwdelen'!DS39,$GN55*$GM55*'Verwerking Bouwdelen'!AA39)</f>
        <v>0</v>
      </c>
      <c r="GW55" s="208">
        <f>IF($GN55=1,$GN55*$GM55*'Verwerking Bouwdelen'!DT39,$GN55*$GM55*'Verwerking Bouwdelen'!AB39)</f>
        <v>0</v>
      </c>
      <c r="GX55" s="208">
        <f>IF($GN55=1,$GN55*$GM55*'Verwerking Bouwdelen'!DU39,$GN55*$GM55*'Verwerking Bouwdelen'!AC39)</f>
        <v>0</v>
      </c>
      <c r="GY55" s="208">
        <f>IF($GN55=1,$GN55*$GM55*'Verwerking Bouwdelen'!DV39,$GN55*$GM55*'Verwerking Bouwdelen'!AD39)</f>
        <v>0</v>
      </c>
      <c r="GZ55" s="208">
        <f>IF($GN55=1,$GN55*$GM55*'Verwerking Bouwdelen'!DW39,$GN55*$GM55*'Verwerking Bouwdelen'!AE39)</f>
        <v>0</v>
      </c>
      <c r="HB55" s="89">
        <f t="shared" si="16"/>
        <v>0</v>
      </c>
      <c r="HC55" s="89">
        <f t="shared" si="17"/>
        <v>0</v>
      </c>
      <c r="HD55" s="89">
        <f t="shared" si="18"/>
        <v>0</v>
      </c>
      <c r="HE55" s="89">
        <f t="shared" si="19"/>
        <v>0</v>
      </c>
      <c r="HF55" s="89">
        <f t="shared" si="19"/>
        <v>0</v>
      </c>
      <c r="HG55" s="89">
        <f t="shared" si="19"/>
        <v>0</v>
      </c>
      <c r="HH55" s="89">
        <f t="shared" si="19"/>
        <v>0</v>
      </c>
      <c r="HI55" s="89">
        <f t="shared" si="19"/>
        <v>0</v>
      </c>
      <c r="HJ55" s="89">
        <f t="shared" si="19"/>
        <v>0</v>
      </c>
      <c r="HK55" s="89">
        <f t="shared" si="19"/>
        <v>0</v>
      </c>
      <c r="HL55" s="89">
        <f t="shared" si="19"/>
        <v>0</v>
      </c>
      <c r="HM55" s="89">
        <f t="shared" si="19"/>
        <v>0</v>
      </c>
    </row>
    <row r="56" spans="1:221" x14ac:dyDescent="0.2">
      <c r="A56" s="130">
        <f>IF('Verwerking Bouwdelen'!A40=4,1,0)</f>
        <v>0</v>
      </c>
      <c r="B56" s="208">
        <f>$A56*'Verwerking Bouwdelen'!T40</f>
        <v>0</v>
      </c>
      <c r="C56" s="208">
        <f>$A56*'Verwerking Bouwdelen'!U40</f>
        <v>0</v>
      </c>
      <c r="D56" s="208">
        <f>$A56*'Verwerking Bouwdelen'!V40</f>
        <v>0</v>
      </c>
      <c r="E56" s="208">
        <f>$A56*'Verwerking Bouwdelen'!W40</f>
        <v>0</v>
      </c>
      <c r="F56" s="208">
        <f>$A56*'Verwerking Bouwdelen'!X40</f>
        <v>0</v>
      </c>
      <c r="G56" s="208">
        <f>$A56*'Verwerking Bouwdelen'!Y40</f>
        <v>0</v>
      </c>
      <c r="H56" s="208">
        <f>$A56*'Verwerking Bouwdelen'!Z40</f>
        <v>0</v>
      </c>
      <c r="I56" s="208">
        <f>$A56*'Verwerking Bouwdelen'!AA40</f>
        <v>0</v>
      </c>
      <c r="J56" s="208">
        <f>$A56*'Verwerking Bouwdelen'!AB40</f>
        <v>0</v>
      </c>
      <c r="K56" s="208">
        <f>$A56*'Verwerking Bouwdelen'!AC40</f>
        <v>0</v>
      </c>
      <c r="L56" s="208">
        <f>$A56*'Verwerking Bouwdelen'!AD40</f>
        <v>0</v>
      </c>
      <c r="M56" s="208">
        <f>$A56*'Verwerking Bouwdelen'!AE40</f>
        <v>0</v>
      </c>
      <c r="O56" s="114">
        <f>$A56*'Verwerking Bouwdelen'!AU40</f>
        <v>0</v>
      </c>
      <c r="P56" s="125">
        <f>$A56*'Verwerking Bouwdelen'!AV40</f>
        <v>0</v>
      </c>
      <c r="Q56" s="125">
        <f>$A56*'Verwerking Bouwdelen'!AW40</f>
        <v>0</v>
      </c>
      <c r="R56" s="125">
        <f>$A56*'Verwerking Bouwdelen'!AX40</f>
        <v>0</v>
      </c>
      <c r="S56" s="125">
        <f>$A56*'Verwerking Bouwdelen'!AY40</f>
        <v>0</v>
      </c>
      <c r="T56" s="125">
        <f>$A56*'Verwerking Bouwdelen'!AZ40</f>
        <v>0</v>
      </c>
      <c r="U56" s="125">
        <f>$A56*'Verwerking Bouwdelen'!BA40</f>
        <v>0</v>
      </c>
      <c r="V56" s="125">
        <f>$A56*'Verwerking Bouwdelen'!BB40</f>
        <v>0</v>
      </c>
      <c r="W56" s="125">
        <f>$A56*'Verwerking Bouwdelen'!BC40</f>
        <v>0</v>
      </c>
      <c r="X56" s="125">
        <f>$A56*'Verwerking Bouwdelen'!BD40</f>
        <v>0</v>
      </c>
      <c r="Y56" s="125">
        <f>$A56*'Verwerking Bouwdelen'!BE40</f>
        <v>0</v>
      </c>
      <c r="Z56" s="195">
        <f>$A56*'Verwerking Bouwdelen'!BF40</f>
        <v>0</v>
      </c>
      <c r="AB56" s="125">
        <f>IF(OR('Verwerking Bouwdelen'!C40=3,'Verwerking Bouwdelen'!C40=6),1,0)</f>
        <v>0</v>
      </c>
      <c r="AC56" s="130">
        <f>IF('Verwerking Bouwdelen'!A40=4,1,0)</f>
        <v>0</v>
      </c>
      <c r="AD56" s="208">
        <f>IF($AB56=1,$AC56*'Verwerking Bouwdelen'!DL40,$AC56*'Verwerking Bouwdelen'!T40)</f>
        <v>0</v>
      </c>
      <c r="AE56" s="208">
        <f>IF($AB56=1,$AC56*'Verwerking Bouwdelen'!DM40,$AC56*'Verwerking Bouwdelen'!U40)</f>
        <v>0</v>
      </c>
      <c r="AF56" s="208">
        <f>IF($AB56=1,$AC56*'Verwerking Bouwdelen'!DN40,$AC56*'Verwerking Bouwdelen'!V40)</f>
        <v>0</v>
      </c>
      <c r="AG56" s="208">
        <f>IF($AB56=1,$AC56*'Verwerking Bouwdelen'!DO40,$AC56*'Verwerking Bouwdelen'!W40)</f>
        <v>0</v>
      </c>
      <c r="AH56" s="208">
        <f>IF($AB56=1,$AC56*'Verwerking Bouwdelen'!DP40,$AC56*'Verwerking Bouwdelen'!X40)</f>
        <v>0</v>
      </c>
      <c r="AI56" s="208">
        <f>IF($AB56=1,$AC56*'Verwerking Bouwdelen'!DQ40,$AC56*'Verwerking Bouwdelen'!Y40)</f>
        <v>0</v>
      </c>
      <c r="AJ56" s="208">
        <f>IF($AB56=1,$AC56*'Verwerking Bouwdelen'!DR40,$AC56*'Verwerking Bouwdelen'!Z40)</f>
        <v>0</v>
      </c>
      <c r="AK56" s="208">
        <f>IF($AB56=1,$AC56*'Verwerking Bouwdelen'!DS40,$AC56*'Verwerking Bouwdelen'!AA40)</f>
        <v>0</v>
      </c>
      <c r="AL56" s="208">
        <f>IF($AB56=1,$AC56*'Verwerking Bouwdelen'!DT40,$AC56*'Verwerking Bouwdelen'!AB40)</f>
        <v>0</v>
      </c>
      <c r="AM56" s="208">
        <f>IF($AB56=1,$AC56*'Verwerking Bouwdelen'!DU40,$AC56*'Verwerking Bouwdelen'!AC40)</f>
        <v>0</v>
      </c>
      <c r="AN56" s="208">
        <f>IF($AB56=1,$AC56*'Verwerking Bouwdelen'!DV40,$AC56*'Verwerking Bouwdelen'!AD40)</f>
        <v>0</v>
      </c>
      <c r="AO56" s="208">
        <f>IF($AB56=1,$AC56*'Verwerking Bouwdelen'!DW40,$AC56*'Verwerking Bouwdelen'!AE40)</f>
        <v>0</v>
      </c>
      <c r="AP56" s="10">
        <f>IF(AD56=B56,0,'Verwerking Bouwdelen'!D40*AB56*AC56)</f>
        <v>0</v>
      </c>
      <c r="AQ56" s="10">
        <f>AB56*AC56*'Verwerking Bouwdelen'!GH40</f>
        <v>0</v>
      </c>
      <c r="AR56" s="10"/>
      <c r="AS56" s="248"/>
      <c r="AT56" s="125">
        <f>IF('Verwerking Bouwdelen'!C40=4,1,0)</f>
        <v>0</v>
      </c>
      <c r="AU56" s="130">
        <f>IF('Verwerking Bouwdelen'!A40=4,1,0)</f>
        <v>0</v>
      </c>
      <c r="AV56" s="208">
        <f>IF($AT56=1,$AU56*'Verwerking Bouwdelen'!DL40,$AU56*'Verwerking Bouwdelen'!T40)</f>
        <v>0</v>
      </c>
      <c r="AW56" s="208">
        <f>IF($AT56=1,$AU56*'Verwerking Bouwdelen'!DM40,$AU56*'Verwerking Bouwdelen'!U40)</f>
        <v>0</v>
      </c>
      <c r="AX56" s="208">
        <f>IF($AT56=1,$AU56*'Verwerking Bouwdelen'!DN40,$AU56*'Verwerking Bouwdelen'!V40)</f>
        <v>0</v>
      </c>
      <c r="AY56" s="208">
        <f>IF($AT56=1,$AU56*'Verwerking Bouwdelen'!DO40,$AU56*'Verwerking Bouwdelen'!W40)</f>
        <v>0</v>
      </c>
      <c r="AZ56" s="208">
        <f>IF($AT56=1,$AU56*'Verwerking Bouwdelen'!DP40,$AU56*'Verwerking Bouwdelen'!X40)</f>
        <v>0</v>
      </c>
      <c r="BA56" s="208">
        <f>IF($AT56=1,$AU56*'Verwerking Bouwdelen'!DQ40,$AU56*'Verwerking Bouwdelen'!Y40)</f>
        <v>0</v>
      </c>
      <c r="BB56" s="208">
        <f>IF($AT56=1,$AU56*'Verwerking Bouwdelen'!DR40,$AU56*'Verwerking Bouwdelen'!Z40)</f>
        <v>0</v>
      </c>
      <c r="BC56" s="208">
        <f>IF($AT56=1,$AU56*'Verwerking Bouwdelen'!DS40,$AU56*'Verwerking Bouwdelen'!AA40)</f>
        <v>0</v>
      </c>
      <c r="BD56" s="208">
        <f>IF($AT56=1,$AU56*'Verwerking Bouwdelen'!DT40,$AU56*'Verwerking Bouwdelen'!AB40)</f>
        <v>0</v>
      </c>
      <c r="BE56" s="208">
        <f>IF($AT56=1,$AU56*'Verwerking Bouwdelen'!DU40,$AU56*'Verwerking Bouwdelen'!AC40)</f>
        <v>0</v>
      </c>
      <c r="BF56" s="208">
        <f>IF($AT56=1,$AU56*'Verwerking Bouwdelen'!DV40,$AU56*'Verwerking Bouwdelen'!AD40)</f>
        <v>0</v>
      </c>
      <c r="BG56" s="208">
        <f>IF($AT56=1,$AU56*'Verwerking Bouwdelen'!DW40,$AU56*'Verwerking Bouwdelen'!AE40)</f>
        <v>0</v>
      </c>
      <c r="BH56" s="10">
        <f>IF(AV56=B56,0,'Verwerking Bouwdelen'!D40*AT56*AU56)</f>
        <v>0</v>
      </c>
      <c r="BI56" s="10">
        <f>AT56*AU56*'Verwerking Bouwdelen'!GH40</f>
        <v>0</v>
      </c>
      <c r="BJ56" s="10"/>
      <c r="BK56" s="10"/>
      <c r="BM56" s="125">
        <f>IF('Verwerking Bouwdelen'!C40=5,1,0)</f>
        <v>0</v>
      </c>
      <c r="BN56" s="130">
        <f>IF('Verwerking Bouwdelen'!A40=4,1,0)</f>
        <v>0</v>
      </c>
      <c r="BO56" s="208">
        <f>IF($BM56=1,$BN56*'Verwerking Bouwdelen'!DL40,$BN56*'Verwerking Bouwdelen'!T40)</f>
        <v>0</v>
      </c>
      <c r="BP56" s="208">
        <f>IF($BM56=1,$BN56*'Verwerking Bouwdelen'!DM40,$BN56*'Verwerking Bouwdelen'!U40)</f>
        <v>0</v>
      </c>
      <c r="BQ56" s="208">
        <f>IF($BM56=1,$BN56*'Verwerking Bouwdelen'!DN40,$BN56*'Verwerking Bouwdelen'!V40)</f>
        <v>0</v>
      </c>
      <c r="BR56" s="208">
        <f>IF($BM56=1,$BN56*'Verwerking Bouwdelen'!DO40,$BN56*'Verwerking Bouwdelen'!W40)</f>
        <v>0</v>
      </c>
      <c r="BS56" s="208">
        <f>IF($BM56=1,$BN56*'Verwerking Bouwdelen'!DP40,$BN56*'Verwerking Bouwdelen'!X40)</f>
        <v>0</v>
      </c>
      <c r="BT56" s="208">
        <f>IF($BM56=1,$BN56*'Verwerking Bouwdelen'!DQ40,$BN56*'Verwerking Bouwdelen'!Y40)</f>
        <v>0</v>
      </c>
      <c r="BU56" s="208">
        <f>IF($BM56=1,$BN56*'Verwerking Bouwdelen'!DR40,$BN56*'Verwerking Bouwdelen'!Z40)</f>
        <v>0</v>
      </c>
      <c r="BV56" s="208">
        <f>IF($BM56=1,$BN56*'Verwerking Bouwdelen'!DS40,$BN56*'Verwerking Bouwdelen'!AA40)</f>
        <v>0</v>
      </c>
      <c r="BW56" s="208">
        <f>IF($BM56=1,$BN56*'Verwerking Bouwdelen'!DT40,$BN56*'Verwerking Bouwdelen'!AB40)</f>
        <v>0</v>
      </c>
      <c r="BX56" s="208">
        <f>IF($BM56=1,$BN56*'Verwerking Bouwdelen'!DU40,$BN56*'Verwerking Bouwdelen'!AC40)</f>
        <v>0</v>
      </c>
      <c r="BY56" s="208">
        <f>IF($BM56=1,$BN56*'Verwerking Bouwdelen'!DV40,$BN56*'Verwerking Bouwdelen'!AD40)</f>
        <v>0</v>
      </c>
      <c r="BZ56" s="208">
        <f>IF($BM56=1,$BN56*'Verwerking Bouwdelen'!DW40,$BN56*'Verwerking Bouwdelen'!AE40)</f>
        <v>0</v>
      </c>
      <c r="CA56" s="10">
        <f>IF(BO56=$B56,0,'Verwerking Bouwdelen'!$D40*BM56*BN56)</f>
        <v>0</v>
      </c>
      <c r="CB56" s="10">
        <f>BM56*BN56*'Verwerking Bouwdelen'!GH40</f>
        <v>0</v>
      </c>
      <c r="CC56" s="10"/>
      <c r="CD56" s="248"/>
      <c r="CE56" s="125">
        <f>IF('Verwerking Bouwdelen'!C40=2,1,0)</f>
        <v>0</v>
      </c>
      <c r="CF56" s="130">
        <f>IF('Verwerking Bouwdelen'!A40=4,1,0)</f>
        <v>0</v>
      </c>
      <c r="CG56" s="208">
        <f>IF($CE56=1,$CF56*'Verwerking Bouwdelen'!DL40,$CF56*'Verwerking Bouwdelen'!T40)</f>
        <v>0</v>
      </c>
      <c r="CH56" s="208">
        <f>IF($CE56=1,$CF56*'Verwerking Bouwdelen'!DM40,$CF56*'Verwerking Bouwdelen'!U40)</f>
        <v>0</v>
      </c>
      <c r="CI56" s="208">
        <f>IF($CE56=1,$CF56*'Verwerking Bouwdelen'!DN40,$CF56*'Verwerking Bouwdelen'!V40)</f>
        <v>0</v>
      </c>
      <c r="CJ56" s="208">
        <f>IF($CE56=1,$CF56*'Verwerking Bouwdelen'!DO40,$CF56*'Verwerking Bouwdelen'!W40)</f>
        <v>0</v>
      </c>
      <c r="CK56" s="208">
        <f>IF($CE56=1,$CF56*'Verwerking Bouwdelen'!DP40,$CF56*'Verwerking Bouwdelen'!X40)</f>
        <v>0</v>
      </c>
      <c r="CL56" s="208">
        <f>IF($CE56=1,$CF56*'Verwerking Bouwdelen'!DQ40,$CF56*'Verwerking Bouwdelen'!Y40)</f>
        <v>0</v>
      </c>
      <c r="CM56" s="208">
        <f>IF($CE56=1,$CF56*'Verwerking Bouwdelen'!DR40,$CF56*'Verwerking Bouwdelen'!Z40)</f>
        <v>0</v>
      </c>
      <c r="CN56" s="208">
        <f>IF($CE56=1,$CF56*'Verwerking Bouwdelen'!DS40,$CF56*'Verwerking Bouwdelen'!AA40)</f>
        <v>0</v>
      </c>
      <c r="CO56" s="208">
        <f>IF($CE56=1,$CF56*'Verwerking Bouwdelen'!DT40,$CF56*'Verwerking Bouwdelen'!AB40)</f>
        <v>0</v>
      </c>
      <c r="CP56" s="208">
        <f>IF($CE56=1,$CF56*'Verwerking Bouwdelen'!DU40,$CF56*'Verwerking Bouwdelen'!AC40)</f>
        <v>0</v>
      </c>
      <c r="CQ56" s="208">
        <f>IF($CE56=1,$CF56*'Verwerking Bouwdelen'!DV40,$CF56*'Verwerking Bouwdelen'!AD40)</f>
        <v>0</v>
      </c>
      <c r="CR56" s="208">
        <f>IF($CE56=1,$CF56*'Verwerking Bouwdelen'!DW40,$CF56*'Verwerking Bouwdelen'!AE40)</f>
        <v>0</v>
      </c>
      <c r="CS56" s="10">
        <f>IF(CG56=$B56,0,('Verwerking Bouwdelen'!$D40-'Verwerking Bouwdelen'!G40)*CE56*CF56)</f>
        <v>0</v>
      </c>
      <c r="CT56" s="260">
        <f>CE56*CF56*'Verwerking Bouwdelen'!GH40</f>
        <v>0</v>
      </c>
      <c r="CU56" s="261">
        <f>CE56*CF56*'Verwerking Bouwdelen'!GI40</f>
        <v>0</v>
      </c>
      <c r="CW56" s="209">
        <f>$AC56*'Verwerking Bouwdelen'!EE40</f>
        <v>0</v>
      </c>
      <c r="CX56" s="209">
        <f>$AC56*'Verwerking Bouwdelen'!EF40</f>
        <v>0</v>
      </c>
      <c r="CY56" s="209">
        <f>$AC56*'Verwerking Bouwdelen'!EG40</f>
        <v>0</v>
      </c>
      <c r="CZ56" s="209">
        <f>$AC56*'Verwerking Bouwdelen'!EH40</f>
        <v>0</v>
      </c>
      <c r="DA56" s="209">
        <f>$AC56*'Verwerking Bouwdelen'!EI40</f>
        <v>0</v>
      </c>
      <c r="DB56" s="209">
        <f>$AC56*'Verwerking Bouwdelen'!EJ40</f>
        <v>0</v>
      </c>
      <c r="DC56" s="209">
        <f>$AC56*'Verwerking Bouwdelen'!EK40</f>
        <v>0</v>
      </c>
      <c r="DD56" s="209">
        <f>$AC56*'Verwerking Bouwdelen'!EL40</f>
        <v>0</v>
      </c>
      <c r="DE56" s="209">
        <f>$AC56*'Verwerking Bouwdelen'!EM40</f>
        <v>0</v>
      </c>
      <c r="DF56" s="209">
        <f>$AC56*'Verwerking Bouwdelen'!EN40</f>
        <v>0</v>
      </c>
      <c r="DG56" s="209">
        <f>$AC56*'Verwerking Bouwdelen'!EO40</f>
        <v>0</v>
      </c>
      <c r="DH56" s="209">
        <f>$AC56*'Verwerking Bouwdelen'!EP40</f>
        <v>0</v>
      </c>
      <c r="DI56" s="10">
        <f>IF(CW56=$O56,0,'Verwerking Bouwdelen'!G40)</f>
        <v>0</v>
      </c>
      <c r="DJ56" s="259">
        <f>'Verwerking Bouwdelen'!GK40*CF56</f>
        <v>0</v>
      </c>
      <c r="DK56" s="259">
        <f>'Verwerking Bouwdelen'!GL40*CF56</f>
        <v>0</v>
      </c>
      <c r="DL56" s="125"/>
      <c r="GM56" s="89">
        <f t="shared" si="13"/>
        <v>0</v>
      </c>
      <c r="GN56" s="89">
        <f t="shared" si="14"/>
        <v>0</v>
      </c>
      <c r="GO56" s="208">
        <f>IF($GN56=1,$GN56*$GM56*'Verwerking Bouwdelen'!DL40,$GN56*$GM56*'Verwerking Bouwdelen'!T40)</f>
        <v>0</v>
      </c>
      <c r="GP56" s="208">
        <f>IF($GN56=1,$GN56*$GM56*'Verwerking Bouwdelen'!DM40,$GN56*$GM56*'Verwerking Bouwdelen'!U40)</f>
        <v>0</v>
      </c>
      <c r="GQ56" s="208">
        <f>IF($GN56=1,$GN56*$GM56*'Verwerking Bouwdelen'!DN40,$GN56*$GM56*'Verwerking Bouwdelen'!V40)</f>
        <v>0</v>
      </c>
      <c r="GR56" s="208">
        <f>IF($GN56=1,$GN56*$GM56*'Verwerking Bouwdelen'!DO40,$GN56*$GM56*'Verwerking Bouwdelen'!W40)</f>
        <v>0</v>
      </c>
      <c r="GS56" s="208">
        <f>IF($GN56=1,$GN56*$GM56*'Verwerking Bouwdelen'!DP40,$GN56*$GM56*'Verwerking Bouwdelen'!X40)</f>
        <v>0</v>
      </c>
      <c r="GT56" s="208">
        <f>IF($GN56=1,$GN56*$GM56*'Verwerking Bouwdelen'!DQ40,$GN56*$GM56*'Verwerking Bouwdelen'!Y40)</f>
        <v>0</v>
      </c>
      <c r="GU56" s="208">
        <f>IF($GN56=1,$GN56*$GM56*'Verwerking Bouwdelen'!DR40,$GN56*$GM56*'Verwerking Bouwdelen'!Z40)</f>
        <v>0</v>
      </c>
      <c r="GV56" s="208">
        <f>IF($GN56=1,$GN56*$GM56*'Verwerking Bouwdelen'!DS40,$GN56*$GM56*'Verwerking Bouwdelen'!AA40)</f>
        <v>0</v>
      </c>
      <c r="GW56" s="208">
        <f>IF($GN56=1,$GN56*$GM56*'Verwerking Bouwdelen'!DT40,$GN56*$GM56*'Verwerking Bouwdelen'!AB40)</f>
        <v>0</v>
      </c>
      <c r="GX56" s="208">
        <f>IF($GN56=1,$GN56*$GM56*'Verwerking Bouwdelen'!DU40,$GN56*$GM56*'Verwerking Bouwdelen'!AC40)</f>
        <v>0</v>
      </c>
      <c r="GY56" s="208">
        <f>IF($GN56=1,$GN56*$GM56*'Verwerking Bouwdelen'!DV40,$GN56*$GM56*'Verwerking Bouwdelen'!AD40)</f>
        <v>0</v>
      </c>
      <c r="GZ56" s="208">
        <f>IF($GN56=1,$GN56*$GM56*'Verwerking Bouwdelen'!DW40,$GN56*$GM56*'Verwerking Bouwdelen'!AE40)</f>
        <v>0</v>
      </c>
      <c r="HB56" s="89">
        <f t="shared" si="16"/>
        <v>0</v>
      </c>
      <c r="HC56" s="89">
        <f t="shared" si="17"/>
        <v>0</v>
      </c>
      <c r="HD56" s="89">
        <f t="shared" si="18"/>
        <v>0</v>
      </c>
      <c r="HE56" s="89">
        <f t="shared" si="19"/>
        <v>0</v>
      </c>
      <c r="HF56" s="89">
        <f t="shared" si="19"/>
        <v>0</v>
      </c>
      <c r="HG56" s="89">
        <f t="shared" si="19"/>
        <v>0</v>
      </c>
      <c r="HH56" s="89">
        <f t="shared" si="19"/>
        <v>0</v>
      </c>
      <c r="HI56" s="89">
        <f t="shared" si="19"/>
        <v>0</v>
      </c>
      <c r="HJ56" s="89">
        <f t="shared" si="19"/>
        <v>0</v>
      </c>
      <c r="HK56" s="89">
        <f t="shared" si="19"/>
        <v>0</v>
      </c>
      <c r="HL56" s="89">
        <f t="shared" si="19"/>
        <v>0</v>
      </c>
      <c r="HM56" s="89">
        <f t="shared" si="19"/>
        <v>0</v>
      </c>
    </row>
    <row r="57" spans="1:221" x14ac:dyDescent="0.2">
      <c r="A57" s="130">
        <f>IF('Verwerking Bouwdelen'!A41=4,1,0)</f>
        <v>0</v>
      </c>
      <c r="B57" s="208">
        <f>$A57*'Verwerking Bouwdelen'!T41</f>
        <v>0</v>
      </c>
      <c r="C57" s="208">
        <f>$A57*'Verwerking Bouwdelen'!U41</f>
        <v>0</v>
      </c>
      <c r="D57" s="208">
        <f>$A57*'Verwerking Bouwdelen'!V41</f>
        <v>0</v>
      </c>
      <c r="E57" s="208">
        <f>$A57*'Verwerking Bouwdelen'!W41</f>
        <v>0</v>
      </c>
      <c r="F57" s="208">
        <f>$A57*'Verwerking Bouwdelen'!X41</f>
        <v>0</v>
      </c>
      <c r="G57" s="208">
        <f>$A57*'Verwerking Bouwdelen'!Y41</f>
        <v>0</v>
      </c>
      <c r="H57" s="208">
        <f>$A57*'Verwerking Bouwdelen'!Z41</f>
        <v>0</v>
      </c>
      <c r="I57" s="208">
        <f>$A57*'Verwerking Bouwdelen'!AA41</f>
        <v>0</v>
      </c>
      <c r="J57" s="208">
        <f>$A57*'Verwerking Bouwdelen'!AB41</f>
        <v>0</v>
      </c>
      <c r="K57" s="208">
        <f>$A57*'Verwerking Bouwdelen'!AC41</f>
        <v>0</v>
      </c>
      <c r="L57" s="208">
        <f>$A57*'Verwerking Bouwdelen'!AD41</f>
        <v>0</v>
      </c>
      <c r="M57" s="208">
        <f>$A57*'Verwerking Bouwdelen'!AE41</f>
        <v>0</v>
      </c>
      <c r="O57" s="114">
        <f>$A57*'Verwerking Bouwdelen'!AU41</f>
        <v>0</v>
      </c>
      <c r="P57" s="125">
        <f>$A57*'Verwerking Bouwdelen'!AV41</f>
        <v>0</v>
      </c>
      <c r="Q57" s="125">
        <f>$A57*'Verwerking Bouwdelen'!AW41</f>
        <v>0</v>
      </c>
      <c r="R57" s="125">
        <f>$A57*'Verwerking Bouwdelen'!AX41</f>
        <v>0</v>
      </c>
      <c r="S57" s="125">
        <f>$A57*'Verwerking Bouwdelen'!AY41</f>
        <v>0</v>
      </c>
      <c r="T57" s="125">
        <f>$A57*'Verwerking Bouwdelen'!AZ41</f>
        <v>0</v>
      </c>
      <c r="U57" s="125">
        <f>$A57*'Verwerking Bouwdelen'!BA41</f>
        <v>0</v>
      </c>
      <c r="V57" s="125">
        <f>$A57*'Verwerking Bouwdelen'!BB41</f>
        <v>0</v>
      </c>
      <c r="W57" s="125">
        <f>$A57*'Verwerking Bouwdelen'!BC41</f>
        <v>0</v>
      </c>
      <c r="X57" s="125">
        <f>$A57*'Verwerking Bouwdelen'!BD41</f>
        <v>0</v>
      </c>
      <c r="Y57" s="125">
        <f>$A57*'Verwerking Bouwdelen'!BE41</f>
        <v>0</v>
      </c>
      <c r="Z57" s="195">
        <f>$A57*'Verwerking Bouwdelen'!BF41</f>
        <v>0</v>
      </c>
      <c r="AB57" s="125">
        <f>IF(OR('Verwerking Bouwdelen'!C41=3,'Verwerking Bouwdelen'!C41=6),1,0)</f>
        <v>0</v>
      </c>
      <c r="AC57" s="130">
        <f>IF('Verwerking Bouwdelen'!A41=4,1,0)</f>
        <v>0</v>
      </c>
      <c r="AD57" s="208">
        <f>IF($AB57=1,$AC57*'Verwerking Bouwdelen'!DL41,$AC57*'Verwerking Bouwdelen'!T41)</f>
        <v>0</v>
      </c>
      <c r="AE57" s="208">
        <f>IF($AB57=1,$AC57*'Verwerking Bouwdelen'!DM41,$AC57*'Verwerking Bouwdelen'!U41)</f>
        <v>0</v>
      </c>
      <c r="AF57" s="208">
        <f>IF($AB57=1,$AC57*'Verwerking Bouwdelen'!DN41,$AC57*'Verwerking Bouwdelen'!V41)</f>
        <v>0</v>
      </c>
      <c r="AG57" s="208">
        <f>IF($AB57=1,$AC57*'Verwerking Bouwdelen'!DO41,$AC57*'Verwerking Bouwdelen'!W41)</f>
        <v>0</v>
      </c>
      <c r="AH57" s="208">
        <f>IF($AB57=1,$AC57*'Verwerking Bouwdelen'!DP41,$AC57*'Verwerking Bouwdelen'!X41)</f>
        <v>0</v>
      </c>
      <c r="AI57" s="208">
        <f>IF($AB57=1,$AC57*'Verwerking Bouwdelen'!DQ41,$AC57*'Verwerking Bouwdelen'!Y41)</f>
        <v>0</v>
      </c>
      <c r="AJ57" s="208">
        <f>IF($AB57=1,$AC57*'Verwerking Bouwdelen'!DR41,$AC57*'Verwerking Bouwdelen'!Z41)</f>
        <v>0</v>
      </c>
      <c r="AK57" s="208">
        <f>IF($AB57=1,$AC57*'Verwerking Bouwdelen'!DS41,$AC57*'Verwerking Bouwdelen'!AA41)</f>
        <v>0</v>
      </c>
      <c r="AL57" s="208">
        <f>IF($AB57=1,$AC57*'Verwerking Bouwdelen'!DT41,$AC57*'Verwerking Bouwdelen'!AB41)</f>
        <v>0</v>
      </c>
      <c r="AM57" s="208">
        <f>IF($AB57=1,$AC57*'Verwerking Bouwdelen'!DU41,$AC57*'Verwerking Bouwdelen'!AC41)</f>
        <v>0</v>
      </c>
      <c r="AN57" s="208">
        <f>IF($AB57=1,$AC57*'Verwerking Bouwdelen'!DV41,$AC57*'Verwerking Bouwdelen'!AD41)</f>
        <v>0</v>
      </c>
      <c r="AO57" s="208">
        <f>IF($AB57=1,$AC57*'Verwerking Bouwdelen'!DW41,$AC57*'Verwerking Bouwdelen'!AE41)</f>
        <v>0</v>
      </c>
      <c r="AP57" s="10">
        <f>IF(AD57=B57,0,'Verwerking Bouwdelen'!D41*AB57*AC57)</f>
        <v>0</v>
      </c>
      <c r="AQ57" s="10">
        <f>AB57*AC57*'Verwerking Bouwdelen'!GH41</f>
        <v>0</v>
      </c>
      <c r="AR57" s="10"/>
      <c r="AS57" s="248"/>
      <c r="AT57" s="125">
        <f>IF('Verwerking Bouwdelen'!C41=4,1,0)</f>
        <v>0</v>
      </c>
      <c r="AU57" s="130">
        <f>IF('Verwerking Bouwdelen'!A41=4,1,0)</f>
        <v>0</v>
      </c>
      <c r="AV57" s="208">
        <f>IF($AT57=1,$AU57*'Verwerking Bouwdelen'!DL41,$AU57*'Verwerking Bouwdelen'!T41)</f>
        <v>0</v>
      </c>
      <c r="AW57" s="208">
        <f>IF($AT57=1,$AU57*'Verwerking Bouwdelen'!DM41,$AU57*'Verwerking Bouwdelen'!U41)</f>
        <v>0</v>
      </c>
      <c r="AX57" s="208">
        <f>IF($AT57=1,$AU57*'Verwerking Bouwdelen'!DN41,$AU57*'Verwerking Bouwdelen'!V41)</f>
        <v>0</v>
      </c>
      <c r="AY57" s="208">
        <f>IF($AT57=1,$AU57*'Verwerking Bouwdelen'!DO41,$AU57*'Verwerking Bouwdelen'!W41)</f>
        <v>0</v>
      </c>
      <c r="AZ57" s="208">
        <f>IF($AT57=1,$AU57*'Verwerking Bouwdelen'!DP41,$AU57*'Verwerking Bouwdelen'!X41)</f>
        <v>0</v>
      </c>
      <c r="BA57" s="208">
        <f>IF($AT57=1,$AU57*'Verwerking Bouwdelen'!DQ41,$AU57*'Verwerking Bouwdelen'!Y41)</f>
        <v>0</v>
      </c>
      <c r="BB57" s="208">
        <f>IF($AT57=1,$AU57*'Verwerking Bouwdelen'!DR41,$AU57*'Verwerking Bouwdelen'!Z41)</f>
        <v>0</v>
      </c>
      <c r="BC57" s="208">
        <f>IF($AT57=1,$AU57*'Verwerking Bouwdelen'!DS41,$AU57*'Verwerking Bouwdelen'!AA41)</f>
        <v>0</v>
      </c>
      <c r="BD57" s="208">
        <f>IF($AT57=1,$AU57*'Verwerking Bouwdelen'!DT41,$AU57*'Verwerking Bouwdelen'!AB41)</f>
        <v>0</v>
      </c>
      <c r="BE57" s="208">
        <f>IF($AT57=1,$AU57*'Verwerking Bouwdelen'!DU41,$AU57*'Verwerking Bouwdelen'!AC41)</f>
        <v>0</v>
      </c>
      <c r="BF57" s="208">
        <f>IF($AT57=1,$AU57*'Verwerking Bouwdelen'!DV41,$AU57*'Verwerking Bouwdelen'!AD41)</f>
        <v>0</v>
      </c>
      <c r="BG57" s="208">
        <f>IF($AT57=1,$AU57*'Verwerking Bouwdelen'!DW41,$AU57*'Verwerking Bouwdelen'!AE41)</f>
        <v>0</v>
      </c>
      <c r="BH57" s="10">
        <f>IF(AV57=B57,0,'Verwerking Bouwdelen'!D41*AT57*AU57)</f>
        <v>0</v>
      </c>
      <c r="BI57" s="10">
        <f>AT57*AU57*'Verwerking Bouwdelen'!GH41</f>
        <v>0</v>
      </c>
      <c r="BJ57" s="10"/>
      <c r="BK57" s="10"/>
      <c r="BM57" s="125">
        <f>IF('Verwerking Bouwdelen'!C41=5,1,0)</f>
        <v>0</v>
      </c>
      <c r="BN57" s="130">
        <f>IF('Verwerking Bouwdelen'!A41=4,1,0)</f>
        <v>0</v>
      </c>
      <c r="BO57" s="208">
        <f>IF($BM57=1,$BN57*'Verwerking Bouwdelen'!DL41,$BN57*'Verwerking Bouwdelen'!T41)</f>
        <v>0</v>
      </c>
      <c r="BP57" s="208">
        <f>IF($BM57=1,$BN57*'Verwerking Bouwdelen'!DM41,$BN57*'Verwerking Bouwdelen'!U41)</f>
        <v>0</v>
      </c>
      <c r="BQ57" s="208">
        <f>IF($BM57=1,$BN57*'Verwerking Bouwdelen'!DN41,$BN57*'Verwerking Bouwdelen'!V41)</f>
        <v>0</v>
      </c>
      <c r="BR57" s="208">
        <f>IF($BM57=1,$BN57*'Verwerking Bouwdelen'!DO41,$BN57*'Verwerking Bouwdelen'!W41)</f>
        <v>0</v>
      </c>
      <c r="BS57" s="208">
        <f>IF($BM57=1,$BN57*'Verwerking Bouwdelen'!DP41,$BN57*'Verwerking Bouwdelen'!X41)</f>
        <v>0</v>
      </c>
      <c r="BT57" s="208">
        <f>IF($BM57=1,$BN57*'Verwerking Bouwdelen'!DQ41,$BN57*'Verwerking Bouwdelen'!Y41)</f>
        <v>0</v>
      </c>
      <c r="BU57" s="208">
        <f>IF($BM57=1,$BN57*'Verwerking Bouwdelen'!DR41,$BN57*'Verwerking Bouwdelen'!Z41)</f>
        <v>0</v>
      </c>
      <c r="BV57" s="208">
        <f>IF($BM57=1,$BN57*'Verwerking Bouwdelen'!DS41,$BN57*'Verwerking Bouwdelen'!AA41)</f>
        <v>0</v>
      </c>
      <c r="BW57" s="208">
        <f>IF($BM57=1,$BN57*'Verwerking Bouwdelen'!DT41,$BN57*'Verwerking Bouwdelen'!AB41)</f>
        <v>0</v>
      </c>
      <c r="BX57" s="208">
        <f>IF($BM57=1,$BN57*'Verwerking Bouwdelen'!DU41,$BN57*'Verwerking Bouwdelen'!AC41)</f>
        <v>0</v>
      </c>
      <c r="BY57" s="208">
        <f>IF($BM57=1,$BN57*'Verwerking Bouwdelen'!DV41,$BN57*'Verwerking Bouwdelen'!AD41)</f>
        <v>0</v>
      </c>
      <c r="BZ57" s="208">
        <f>IF($BM57=1,$BN57*'Verwerking Bouwdelen'!DW41,$BN57*'Verwerking Bouwdelen'!AE41)</f>
        <v>0</v>
      </c>
      <c r="CA57" s="10">
        <f>IF(BO57=$B57,0,'Verwerking Bouwdelen'!$D41*BM57*BN57)</f>
        <v>0</v>
      </c>
      <c r="CB57" s="10">
        <f>BM57*BN57*'Verwerking Bouwdelen'!GH41</f>
        <v>0</v>
      </c>
      <c r="CC57" s="10"/>
      <c r="CD57" s="248"/>
      <c r="CE57" s="125">
        <f>IF('Verwerking Bouwdelen'!C41=2,1,0)</f>
        <v>0</v>
      </c>
      <c r="CF57" s="130">
        <f>IF('Verwerking Bouwdelen'!A41=4,1,0)</f>
        <v>0</v>
      </c>
      <c r="CG57" s="208">
        <f>IF($CE57=1,$CF57*'Verwerking Bouwdelen'!DL41,$CF57*'Verwerking Bouwdelen'!T41)</f>
        <v>0</v>
      </c>
      <c r="CH57" s="208">
        <f>IF($CE57=1,$CF57*'Verwerking Bouwdelen'!DM41,$CF57*'Verwerking Bouwdelen'!U41)</f>
        <v>0</v>
      </c>
      <c r="CI57" s="208">
        <f>IF($CE57=1,$CF57*'Verwerking Bouwdelen'!DN41,$CF57*'Verwerking Bouwdelen'!V41)</f>
        <v>0</v>
      </c>
      <c r="CJ57" s="208">
        <f>IF($CE57=1,$CF57*'Verwerking Bouwdelen'!DO41,$CF57*'Verwerking Bouwdelen'!W41)</f>
        <v>0</v>
      </c>
      <c r="CK57" s="208">
        <f>IF($CE57=1,$CF57*'Verwerking Bouwdelen'!DP41,$CF57*'Verwerking Bouwdelen'!X41)</f>
        <v>0</v>
      </c>
      <c r="CL57" s="208">
        <f>IF($CE57=1,$CF57*'Verwerking Bouwdelen'!DQ41,$CF57*'Verwerking Bouwdelen'!Y41)</f>
        <v>0</v>
      </c>
      <c r="CM57" s="208">
        <f>IF($CE57=1,$CF57*'Verwerking Bouwdelen'!DR41,$CF57*'Verwerking Bouwdelen'!Z41)</f>
        <v>0</v>
      </c>
      <c r="CN57" s="208">
        <f>IF($CE57=1,$CF57*'Verwerking Bouwdelen'!DS41,$CF57*'Verwerking Bouwdelen'!AA41)</f>
        <v>0</v>
      </c>
      <c r="CO57" s="208">
        <f>IF($CE57=1,$CF57*'Verwerking Bouwdelen'!DT41,$CF57*'Verwerking Bouwdelen'!AB41)</f>
        <v>0</v>
      </c>
      <c r="CP57" s="208">
        <f>IF($CE57=1,$CF57*'Verwerking Bouwdelen'!DU41,$CF57*'Verwerking Bouwdelen'!AC41)</f>
        <v>0</v>
      </c>
      <c r="CQ57" s="208">
        <f>IF($CE57=1,$CF57*'Verwerking Bouwdelen'!DV41,$CF57*'Verwerking Bouwdelen'!AD41)</f>
        <v>0</v>
      </c>
      <c r="CR57" s="208">
        <f>IF($CE57=1,$CF57*'Verwerking Bouwdelen'!DW41,$CF57*'Verwerking Bouwdelen'!AE41)</f>
        <v>0</v>
      </c>
      <c r="CS57" s="10">
        <f>IF(CG57=$B57,0,('Verwerking Bouwdelen'!$D41-'Verwerking Bouwdelen'!G41)*CE57*CF57)</f>
        <v>0</v>
      </c>
      <c r="CT57" s="260">
        <f>CE57*CF57*'Verwerking Bouwdelen'!GH41</f>
        <v>0</v>
      </c>
      <c r="CU57" s="261">
        <f>CE57*CF57*'Verwerking Bouwdelen'!GI41</f>
        <v>0</v>
      </c>
      <c r="CW57" s="209">
        <f>$AC57*'Verwerking Bouwdelen'!EE41</f>
        <v>0</v>
      </c>
      <c r="CX57" s="209">
        <f>$AC57*'Verwerking Bouwdelen'!EF41</f>
        <v>0</v>
      </c>
      <c r="CY57" s="209">
        <f>$AC57*'Verwerking Bouwdelen'!EG41</f>
        <v>0</v>
      </c>
      <c r="CZ57" s="209">
        <f>$AC57*'Verwerking Bouwdelen'!EH41</f>
        <v>0</v>
      </c>
      <c r="DA57" s="209">
        <f>$AC57*'Verwerking Bouwdelen'!EI41</f>
        <v>0</v>
      </c>
      <c r="DB57" s="209">
        <f>$AC57*'Verwerking Bouwdelen'!EJ41</f>
        <v>0</v>
      </c>
      <c r="DC57" s="209">
        <f>$AC57*'Verwerking Bouwdelen'!EK41</f>
        <v>0</v>
      </c>
      <c r="DD57" s="209">
        <f>$AC57*'Verwerking Bouwdelen'!EL41</f>
        <v>0</v>
      </c>
      <c r="DE57" s="209">
        <f>$AC57*'Verwerking Bouwdelen'!EM41</f>
        <v>0</v>
      </c>
      <c r="DF57" s="209">
        <f>$AC57*'Verwerking Bouwdelen'!EN41</f>
        <v>0</v>
      </c>
      <c r="DG57" s="209">
        <f>$AC57*'Verwerking Bouwdelen'!EO41</f>
        <v>0</v>
      </c>
      <c r="DH57" s="209">
        <f>$AC57*'Verwerking Bouwdelen'!EP41</f>
        <v>0</v>
      </c>
      <c r="DI57" s="10">
        <f>IF(CW57=$O57,0,'Verwerking Bouwdelen'!G41)</f>
        <v>0</v>
      </c>
      <c r="DJ57" s="259">
        <f>'Verwerking Bouwdelen'!GK41*CF57</f>
        <v>0</v>
      </c>
      <c r="DK57" s="259">
        <f>'Verwerking Bouwdelen'!GL41*CF57</f>
        <v>0</v>
      </c>
      <c r="DL57" s="125"/>
      <c r="GM57" s="89">
        <f t="shared" si="13"/>
        <v>0</v>
      </c>
      <c r="GN57" s="89">
        <f t="shared" si="14"/>
        <v>0</v>
      </c>
      <c r="GO57" s="208">
        <f>IF($GN57=1,$GN57*$GM57*'Verwerking Bouwdelen'!DL41,$GN57*$GM57*'Verwerking Bouwdelen'!T41)</f>
        <v>0</v>
      </c>
      <c r="GP57" s="208">
        <f>IF($GN57=1,$GN57*$GM57*'Verwerking Bouwdelen'!DM41,$GN57*$GM57*'Verwerking Bouwdelen'!U41)</f>
        <v>0</v>
      </c>
      <c r="GQ57" s="208">
        <f>IF($GN57=1,$GN57*$GM57*'Verwerking Bouwdelen'!DN41,$GN57*$GM57*'Verwerking Bouwdelen'!V41)</f>
        <v>0</v>
      </c>
      <c r="GR57" s="208">
        <f>IF($GN57=1,$GN57*$GM57*'Verwerking Bouwdelen'!DO41,$GN57*$GM57*'Verwerking Bouwdelen'!W41)</f>
        <v>0</v>
      </c>
      <c r="GS57" s="208">
        <f>IF($GN57=1,$GN57*$GM57*'Verwerking Bouwdelen'!DP41,$GN57*$GM57*'Verwerking Bouwdelen'!X41)</f>
        <v>0</v>
      </c>
      <c r="GT57" s="208">
        <f>IF($GN57=1,$GN57*$GM57*'Verwerking Bouwdelen'!DQ41,$GN57*$GM57*'Verwerking Bouwdelen'!Y41)</f>
        <v>0</v>
      </c>
      <c r="GU57" s="208">
        <f>IF($GN57=1,$GN57*$GM57*'Verwerking Bouwdelen'!DR41,$GN57*$GM57*'Verwerking Bouwdelen'!Z41)</f>
        <v>0</v>
      </c>
      <c r="GV57" s="208">
        <f>IF($GN57=1,$GN57*$GM57*'Verwerking Bouwdelen'!DS41,$GN57*$GM57*'Verwerking Bouwdelen'!AA41)</f>
        <v>0</v>
      </c>
      <c r="GW57" s="208">
        <f>IF($GN57=1,$GN57*$GM57*'Verwerking Bouwdelen'!DT41,$GN57*$GM57*'Verwerking Bouwdelen'!AB41)</f>
        <v>0</v>
      </c>
      <c r="GX57" s="208">
        <f>IF($GN57=1,$GN57*$GM57*'Verwerking Bouwdelen'!DU41,$GN57*$GM57*'Verwerking Bouwdelen'!AC41)</f>
        <v>0</v>
      </c>
      <c r="GY57" s="208">
        <f>IF($GN57=1,$GN57*$GM57*'Verwerking Bouwdelen'!DV41,$GN57*$GM57*'Verwerking Bouwdelen'!AD41)</f>
        <v>0</v>
      </c>
      <c r="GZ57" s="208">
        <f>IF($GN57=1,$GN57*$GM57*'Verwerking Bouwdelen'!DW41,$GN57*$GM57*'Verwerking Bouwdelen'!AE41)</f>
        <v>0</v>
      </c>
      <c r="HB57" s="89">
        <f t="shared" si="16"/>
        <v>0</v>
      </c>
      <c r="HC57" s="89">
        <f t="shared" si="17"/>
        <v>0</v>
      </c>
      <c r="HD57" s="89">
        <f t="shared" si="18"/>
        <v>0</v>
      </c>
      <c r="HE57" s="89">
        <f t="shared" si="19"/>
        <v>0</v>
      </c>
      <c r="HF57" s="89">
        <f t="shared" si="19"/>
        <v>0</v>
      </c>
      <c r="HG57" s="89">
        <f t="shared" si="19"/>
        <v>0</v>
      </c>
      <c r="HH57" s="89">
        <f t="shared" si="19"/>
        <v>0</v>
      </c>
      <c r="HI57" s="89">
        <f t="shared" si="19"/>
        <v>0</v>
      </c>
      <c r="HJ57" s="89">
        <f t="shared" si="19"/>
        <v>0</v>
      </c>
      <c r="HK57" s="89">
        <f t="shared" si="19"/>
        <v>0</v>
      </c>
      <c r="HL57" s="89">
        <f t="shared" si="19"/>
        <v>0</v>
      </c>
      <c r="HM57" s="89">
        <f t="shared" si="19"/>
        <v>0</v>
      </c>
    </row>
    <row r="58" spans="1:221" x14ac:dyDescent="0.2">
      <c r="A58" s="130">
        <f>IF('Verwerking Bouwdelen'!A42=4,1,0)</f>
        <v>0</v>
      </c>
      <c r="B58" s="208">
        <f>$A58*'Verwerking Bouwdelen'!T42</f>
        <v>0</v>
      </c>
      <c r="C58" s="208">
        <f>$A58*'Verwerking Bouwdelen'!U42</f>
        <v>0</v>
      </c>
      <c r="D58" s="208">
        <f>$A58*'Verwerking Bouwdelen'!V42</f>
        <v>0</v>
      </c>
      <c r="E58" s="208">
        <f>$A58*'Verwerking Bouwdelen'!W42</f>
        <v>0</v>
      </c>
      <c r="F58" s="208">
        <f>$A58*'Verwerking Bouwdelen'!X42</f>
        <v>0</v>
      </c>
      <c r="G58" s="208">
        <f>$A58*'Verwerking Bouwdelen'!Y42</f>
        <v>0</v>
      </c>
      <c r="H58" s="208">
        <f>$A58*'Verwerking Bouwdelen'!Z42</f>
        <v>0</v>
      </c>
      <c r="I58" s="208">
        <f>$A58*'Verwerking Bouwdelen'!AA42</f>
        <v>0</v>
      </c>
      <c r="J58" s="208">
        <f>$A58*'Verwerking Bouwdelen'!AB42</f>
        <v>0</v>
      </c>
      <c r="K58" s="208">
        <f>$A58*'Verwerking Bouwdelen'!AC42</f>
        <v>0</v>
      </c>
      <c r="L58" s="208">
        <f>$A58*'Verwerking Bouwdelen'!AD42</f>
        <v>0</v>
      </c>
      <c r="M58" s="208">
        <f>$A58*'Verwerking Bouwdelen'!AE42</f>
        <v>0</v>
      </c>
      <c r="O58" s="114">
        <f>$A58*'Verwerking Bouwdelen'!AU42</f>
        <v>0</v>
      </c>
      <c r="P58" s="125">
        <f>$A58*'Verwerking Bouwdelen'!AV42</f>
        <v>0</v>
      </c>
      <c r="Q58" s="125">
        <f>$A58*'Verwerking Bouwdelen'!AW42</f>
        <v>0</v>
      </c>
      <c r="R58" s="125">
        <f>$A58*'Verwerking Bouwdelen'!AX42</f>
        <v>0</v>
      </c>
      <c r="S58" s="125">
        <f>$A58*'Verwerking Bouwdelen'!AY42</f>
        <v>0</v>
      </c>
      <c r="T58" s="125">
        <f>$A58*'Verwerking Bouwdelen'!AZ42</f>
        <v>0</v>
      </c>
      <c r="U58" s="125">
        <f>$A58*'Verwerking Bouwdelen'!BA42</f>
        <v>0</v>
      </c>
      <c r="V58" s="125">
        <f>$A58*'Verwerking Bouwdelen'!BB42</f>
        <v>0</v>
      </c>
      <c r="W58" s="125">
        <f>$A58*'Verwerking Bouwdelen'!BC42</f>
        <v>0</v>
      </c>
      <c r="X58" s="125">
        <f>$A58*'Verwerking Bouwdelen'!BD42</f>
        <v>0</v>
      </c>
      <c r="Y58" s="125">
        <f>$A58*'Verwerking Bouwdelen'!BE42</f>
        <v>0</v>
      </c>
      <c r="Z58" s="195">
        <f>$A58*'Verwerking Bouwdelen'!BF42</f>
        <v>0</v>
      </c>
      <c r="AB58" s="125">
        <f>IF(OR('Verwerking Bouwdelen'!C42=3,'Verwerking Bouwdelen'!C42=6),1,0)</f>
        <v>0</v>
      </c>
      <c r="AC58" s="130">
        <f>IF('Verwerking Bouwdelen'!A42=4,1,0)</f>
        <v>0</v>
      </c>
      <c r="AD58" s="208">
        <f>IF($AB58=1,$AC58*'Verwerking Bouwdelen'!DL42,$AC58*'Verwerking Bouwdelen'!T42)</f>
        <v>0</v>
      </c>
      <c r="AE58" s="208">
        <f>IF($AB58=1,$AC58*'Verwerking Bouwdelen'!DM42,$AC58*'Verwerking Bouwdelen'!U42)</f>
        <v>0</v>
      </c>
      <c r="AF58" s="208">
        <f>IF($AB58=1,$AC58*'Verwerking Bouwdelen'!DN42,$AC58*'Verwerking Bouwdelen'!V42)</f>
        <v>0</v>
      </c>
      <c r="AG58" s="208">
        <f>IF($AB58=1,$AC58*'Verwerking Bouwdelen'!DO42,$AC58*'Verwerking Bouwdelen'!W42)</f>
        <v>0</v>
      </c>
      <c r="AH58" s="208">
        <f>IF($AB58=1,$AC58*'Verwerking Bouwdelen'!DP42,$AC58*'Verwerking Bouwdelen'!X42)</f>
        <v>0</v>
      </c>
      <c r="AI58" s="208">
        <f>IF($AB58=1,$AC58*'Verwerking Bouwdelen'!DQ42,$AC58*'Verwerking Bouwdelen'!Y42)</f>
        <v>0</v>
      </c>
      <c r="AJ58" s="208">
        <f>IF($AB58=1,$AC58*'Verwerking Bouwdelen'!DR42,$AC58*'Verwerking Bouwdelen'!Z42)</f>
        <v>0</v>
      </c>
      <c r="AK58" s="208">
        <f>IF($AB58=1,$AC58*'Verwerking Bouwdelen'!DS42,$AC58*'Verwerking Bouwdelen'!AA42)</f>
        <v>0</v>
      </c>
      <c r="AL58" s="208">
        <f>IF($AB58=1,$AC58*'Verwerking Bouwdelen'!DT42,$AC58*'Verwerking Bouwdelen'!AB42)</f>
        <v>0</v>
      </c>
      <c r="AM58" s="208">
        <f>IF($AB58=1,$AC58*'Verwerking Bouwdelen'!DU42,$AC58*'Verwerking Bouwdelen'!AC42)</f>
        <v>0</v>
      </c>
      <c r="AN58" s="208">
        <f>IF($AB58=1,$AC58*'Verwerking Bouwdelen'!DV42,$AC58*'Verwerking Bouwdelen'!AD42)</f>
        <v>0</v>
      </c>
      <c r="AO58" s="208">
        <f>IF($AB58=1,$AC58*'Verwerking Bouwdelen'!DW42,$AC58*'Verwerking Bouwdelen'!AE42)</f>
        <v>0</v>
      </c>
      <c r="AP58" s="10">
        <f>IF(AD58=B58,0,'Verwerking Bouwdelen'!D42*AB58*AC58)</f>
        <v>0</v>
      </c>
      <c r="AQ58" s="10">
        <f>AB58*AC58*'Verwerking Bouwdelen'!GH42</f>
        <v>0</v>
      </c>
      <c r="AR58" s="10"/>
      <c r="AS58" s="248"/>
      <c r="AT58" s="125">
        <f>IF('Verwerking Bouwdelen'!C42=4,1,0)</f>
        <v>0</v>
      </c>
      <c r="AU58" s="130">
        <f>IF('Verwerking Bouwdelen'!A42=4,1,0)</f>
        <v>0</v>
      </c>
      <c r="AV58" s="208">
        <f>IF($AT58=1,$AU58*'Verwerking Bouwdelen'!DL42,$AU58*'Verwerking Bouwdelen'!T42)</f>
        <v>0</v>
      </c>
      <c r="AW58" s="208">
        <f>IF($AT58=1,$AU58*'Verwerking Bouwdelen'!DM42,$AU58*'Verwerking Bouwdelen'!U42)</f>
        <v>0</v>
      </c>
      <c r="AX58" s="208">
        <f>IF($AT58=1,$AU58*'Verwerking Bouwdelen'!DN42,$AU58*'Verwerking Bouwdelen'!V42)</f>
        <v>0</v>
      </c>
      <c r="AY58" s="208">
        <f>IF($AT58=1,$AU58*'Verwerking Bouwdelen'!DO42,$AU58*'Verwerking Bouwdelen'!W42)</f>
        <v>0</v>
      </c>
      <c r="AZ58" s="208">
        <f>IF($AT58=1,$AU58*'Verwerking Bouwdelen'!DP42,$AU58*'Verwerking Bouwdelen'!X42)</f>
        <v>0</v>
      </c>
      <c r="BA58" s="208">
        <f>IF($AT58=1,$AU58*'Verwerking Bouwdelen'!DQ42,$AU58*'Verwerking Bouwdelen'!Y42)</f>
        <v>0</v>
      </c>
      <c r="BB58" s="208">
        <f>IF($AT58=1,$AU58*'Verwerking Bouwdelen'!DR42,$AU58*'Verwerking Bouwdelen'!Z42)</f>
        <v>0</v>
      </c>
      <c r="BC58" s="208">
        <f>IF($AT58=1,$AU58*'Verwerking Bouwdelen'!DS42,$AU58*'Verwerking Bouwdelen'!AA42)</f>
        <v>0</v>
      </c>
      <c r="BD58" s="208">
        <f>IF($AT58=1,$AU58*'Verwerking Bouwdelen'!DT42,$AU58*'Verwerking Bouwdelen'!AB42)</f>
        <v>0</v>
      </c>
      <c r="BE58" s="208">
        <f>IF($AT58=1,$AU58*'Verwerking Bouwdelen'!DU42,$AU58*'Verwerking Bouwdelen'!AC42)</f>
        <v>0</v>
      </c>
      <c r="BF58" s="208">
        <f>IF($AT58=1,$AU58*'Verwerking Bouwdelen'!DV42,$AU58*'Verwerking Bouwdelen'!AD42)</f>
        <v>0</v>
      </c>
      <c r="BG58" s="208">
        <f>IF($AT58=1,$AU58*'Verwerking Bouwdelen'!DW42,$AU58*'Verwerking Bouwdelen'!AE42)</f>
        <v>0</v>
      </c>
      <c r="BH58" s="10">
        <f>IF(AV58=B58,0,'Verwerking Bouwdelen'!D42*AT58*AU58)</f>
        <v>0</v>
      </c>
      <c r="BI58" s="10">
        <f>AT58*AU58*'Verwerking Bouwdelen'!GH42</f>
        <v>0</v>
      </c>
      <c r="BJ58" s="10"/>
      <c r="BK58" s="10"/>
      <c r="BM58" s="125">
        <f>IF('Verwerking Bouwdelen'!C42=5,1,0)</f>
        <v>0</v>
      </c>
      <c r="BN58" s="130">
        <f>IF('Verwerking Bouwdelen'!A42=4,1,0)</f>
        <v>0</v>
      </c>
      <c r="BO58" s="208">
        <f>IF($BM58=1,$BN58*'Verwerking Bouwdelen'!DL42,$BN58*'Verwerking Bouwdelen'!T42)</f>
        <v>0</v>
      </c>
      <c r="BP58" s="208">
        <f>IF($BM58=1,$BN58*'Verwerking Bouwdelen'!DM42,$BN58*'Verwerking Bouwdelen'!U42)</f>
        <v>0</v>
      </c>
      <c r="BQ58" s="208">
        <f>IF($BM58=1,$BN58*'Verwerking Bouwdelen'!DN42,$BN58*'Verwerking Bouwdelen'!V42)</f>
        <v>0</v>
      </c>
      <c r="BR58" s="208">
        <f>IF($BM58=1,$BN58*'Verwerking Bouwdelen'!DO42,$BN58*'Verwerking Bouwdelen'!W42)</f>
        <v>0</v>
      </c>
      <c r="BS58" s="208">
        <f>IF($BM58=1,$BN58*'Verwerking Bouwdelen'!DP42,$BN58*'Verwerking Bouwdelen'!X42)</f>
        <v>0</v>
      </c>
      <c r="BT58" s="208">
        <f>IF($BM58=1,$BN58*'Verwerking Bouwdelen'!DQ42,$BN58*'Verwerking Bouwdelen'!Y42)</f>
        <v>0</v>
      </c>
      <c r="BU58" s="208">
        <f>IF($BM58=1,$BN58*'Verwerking Bouwdelen'!DR42,$BN58*'Verwerking Bouwdelen'!Z42)</f>
        <v>0</v>
      </c>
      <c r="BV58" s="208">
        <f>IF($BM58=1,$BN58*'Verwerking Bouwdelen'!DS42,$BN58*'Verwerking Bouwdelen'!AA42)</f>
        <v>0</v>
      </c>
      <c r="BW58" s="208">
        <f>IF($BM58=1,$BN58*'Verwerking Bouwdelen'!DT42,$BN58*'Verwerking Bouwdelen'!AB42)</f>
        <v>0</v>
      </c>
      <c r="BX58" s="208">
        <f>IF($BM58=1,$BN58*'Verwerking Bouwdelen'!DU42,$BN58*'Verwerking Bouwdelen'!AC42)</f>
        <v>0</v>
      </c>
      <c r="BY58" s="208">
        <f>IF($BM58=1,$BN58*'Verwerking Bouwdelen'!DV42,$BN58*'Verwerking Bouwdelen'!AD42)</f>
        <v>0</v>
      </c>
      <c r="BZ58" s="208">
        <f>IF($BM58=1,$BN58*'Verwerking Bouwdelen'!DW42,$BN58*'Verwerking Bouwdelen'!AE42)</f>
        <v>0</v>
      </c>
      <c r="CA58" s="10">
        <f>IF(BO58=$B58,0,'Verwerking Bouwdelen'!$D42*BM58*BN58)</f>
        <v>0</v>
      </c>
      <c r="CB58" s="10">
        <f>BM58*BN58*'Verwerking Bouwdelen'!GH42</f>
        <v>0</v>
      </c>
      <c r="CC58" s="10"/>
      <c r="CD58" s="248"/>
      <c r="CE58" s="125">
        <f>IF('Verwerking Bouwdelen'!C42=2,1,0)</f>
        <v>0</v>
      </c>
      <c r="CF58" s="130">
        <f>IF('Verwerking Bouwdelen'!A42=4,1,0)</f>
        <v>0</v>
      </c>
      <c r="CG58" s="208">
        <f>IF($CE58=1,$CF58*'Verwerking Bouwdelen'!DL42,$CF58*'Verwerking Bouwdelen'!T42)</f>
        <v>0</v>
      </c>
      <c r="CH58" s="208">
        <f>IF($CE58=1,$CF58*'Verwerking Bouwdelen'!DM42,$CF58*'Verwerking Bouwdelen'!U42)</f>
        <v>0</v>
      </c>
      <c r="CI58" s="208">
        <f>IF($CE58=1,$CF58*'Verwerking Bouwdelen'!DN42,$CF58*'Verwerking Bouwdelen'!V42)</f>
        <v>0</v>
      </c>
      <c r="CJ58" s="208">
        <f>IF($CE58=1,$CF58*'Verwerking Bouwdelen'!DO42,$CF58*'Verwerking Bouwdelen'!W42)</f>
        <v>0</v>
      </c>
      <c r="CK58" s="208">
        <f>IF($CE58=1,$CF58*'Verwerking Bouwdelen'!DP42,$CF58*'Verwerking Bouwdelen'!X42)</f>
        <v>0</v>
      </c>
      <c r="CL58" s="208">
        <f>IF($CE58=1,$CF58*'Verwerking Bouwdelen'!DQ42,$CF58*'Verwerking Bouwdelen'!Y42)</f>
        <v>0</v>
      </c>
      <c r="CM58" s="208">
        <f>IF($CE58=1,$CF58*'Verwerking Bouwdelen'!DR42,$CF58*'Verwerking Bouwdelen'!Z42)</f>
        <v>0</v>
      </c>
      <c r="CN58" s="208">
        <f>IF($CE58=1,$CF58*'Verwerking Bouwdelen'!DS42,$CF58*'Verwerking Bouwdelen'!AA42)</f>
        <v>0</v>
      </c>
      <c r="CO58" s="208">
        <f>IF($CE58=1,$CF58*'Verwerking Bouwdelen'!DT42,$CF58*'Verwerking Bouwdelen'!AB42)</f>
        <v>0</v>
      </c>
      <c r="CP58" s="208">
        <f>IF($CE58=1,$CF58*'Verwerking Bouwdelen'!DU42,$CF58*'Verwerking Bouwdelen'!AC42)</f>
        <v>0</v>
      </c>
      <c r="CQ58" s="208">
        <f>IF($CE58=1,$CF58*'Verwerking Bouwdelen'!DV42,$CF58*'Verwerking Bouwdelen'!AD42)</f>
        <v>0</v>
      </c>
      <c r="CR58" s="208">
        <f>IF($CE58=1,$CF58*'Verwerking Bouwdelen'!DW42,$CF58*'Verwerking Bouwdelen'!AE42)</f>
        <v>0</v>
      </c>
      <c r="CS58" s="10">
        <f>IF(CG58=$B58,0,('Verwerking Bouwdelen'!$D42-'Verwerking Bouwdelen'!G42)*CE58*CF58)</f>
        <v>0</v>
      </c>
      <c r="CT58" s="260">
        <f>CE58*CF58*'Verwerking Bouwdelen'!GH42</f>
        <v>0</v>
      </c>
      <c r="CU58" s="261">
        <f>CE58*CF58*'Verwerking Bouwdelen'!GI42</f>
        <v>0</v>
      </c>
      <c r="CW58" s="209">
        <f>$AC58*'Verwerking Bouwdelen'!EE42</f>
        <v>0</v>
      </c>
      <c r="CX58" s="209">
        <f>$AC58*'Verwerking Bouwdelen'!EF42</f>
        <v>0</v>
      </c>
      <c r="CY58" s="209">
        <f>$AC58*'Verwerking Bouwdelen'!EG42</f>
        <v>0</v>
      </c>
      <c r="CZ58" s="209">
        <f>$AC58*'Verwerking Bouwdelen'!EH42</f>
        <v>0</v>
      </c>
      <c r="DA58" s="209">
        <f>$AC58*'Verwerking Bouwdelen'!EI42</f>
        <v>0</v>
      </c>
      <c r="DB58" s="209">
        <f>$AC58*'Verwerking Bouwdelen'!EJ42</f>
        <v>0</v>
      </c>
      <c r="DC58" s="209">
        <f>$AC58*'Verwerking Bouwdelen'!EK42</f>
        <v>0</v>
      </c>
      <c r="DD58" s="209">
        <f>$AC58*'Verwerking Bouwdelen'!EL42</f>
        <v>0</v>
      </c>
      <c r="DE58" s="209">
        <f>$AC58*'Verwerking Bouwdelen'!EM42</f>
        <v>0</v>
      </c>
      <c r="DF58" s="209">
        <f>$AC58*'Verwerking Bouwdelen'!EN42</f>
        <v>0</v>
      </c>
      <c r="DG58" s="209">
        <f>$AC58*'Verwerking Bouwdelen'!EO42</f>
        <v>0</v>
      </c>
      <c r="DH58" s="209">
        <f>$AC58*'Verwerking Bouwdelen'!EP42</f>
        <v>0</v>
      </c>
      <c r="DI58" s="10">
        <f>IF(CW58=$O58,0,'Verwerking Bouwdelen'!G42)</f>
        <v>0</v>
      </c>
      <c r="DJ58" s="259">
        <f>'Verwerking Bouwdelen'!GK42*CF58</f>
        <v>0</v>
      </c>
      <c r="DK58" s="259">
        <f>'Verwerking Bouwdelen'!GL42*CF58</f>
        <v>0</v>
      </c>
      <c r="DL58" s="125"/>
      <c r="GM58" s="89">
        <f t="shared" si="13"/>
        <v>0</v>
      </c>
      <c r="GN58" s="89">
        <f t="shared" si="14"/>
        <v>0</v>
      </c>
      <c r="GO58" s="208">
        <f>IF($GN58=1,$GN58*$GM58*'Verwerking Bouwdelen'!DL42,$GN58*$GM58*'Verwerking Bouwdelen'!T42)</f>
        <v>0</v>
      </c>
      <c r="GP58" s="208">
        <f>IF($GN58=1,$GN58*$GM58*'Verwerking Bouwdelen'!DM42,$GN58*$GM58*'Verwerking Bouwdelen'!U42)</f>
        <v>0</v>
      </c>
      <c r="GQ58" s="208">
        <f>IF($GN58=1,$GN58*$GM58*'Verwerking Bouwdelen'!DN42,$GN58*$GM58*'Verwerking Bouwdelen'!V42)</f>
        <v>0</v>
      </c>
      <c r="GR58" s="208">
        <f>IF($GN58=1,$GN58*$GM58*'Verwerking Bouwdelen'!DO42,$GN58*$GM58*'Verwerking Bouwdelen'!W42)</f>
        <v>0</v>
      </c>
      <c r="GS58" s="208">
        <f>IF($GN58=1,$GN58*$GM58*'Verwerking Bouwdelen'!DP42,$GN58*$GM58*'Verwerking Bouwdelen'!X42)</f>
        <v>0</v>
      </c>
      <c r="GT58" s="208">
        <f>IF($GN58=1,$GN58*$GM58*'Verwerking Bouwdelen'!DQ42,$GN58*$GM58*'Verwerking Bouwdelen'!Y42)</f>
        <v>0</v>
      </c>
      <c r="GU58" s="208">
        <f>IF($GN58=1,$GN58*$GM58*'Verwerking Bouwdelen'!DR42,$GN58*$GM58*'Verwerking Bouwdelen'!Z42)</f>
        <v>0</v>
      </c>
      <c r="GV58" s="208">
        <f>IF($GN58=1,$GN58*$GM58*'Verwerking Bouwdelen'!DS42,$GN58*$GM58*'Verwerking Bouwdelen'!AA42)</f>
        <v>0</v>
      </c>
      <c r="GW58" s="208">
        <f>IF($GN58=1,$GN58*$GM58*'Verwerking Bouwdelen'!DT42,$GN58*$GM58*'Verwerking Bouwdelen'!AB42)</f>
        <v>0</v>
      </c>
      <c r="GX58" s="208">
        <f>IF($GN58=1,$GN58*$GM58*'Verwerking Bouwdelen'!DU42,$GN58*$GM58*'Verwerking Bouwdelen'!AC42)</f>
        <v>0</v>
      </c>
      <c r="GY58" s="208">
        <f>IF($GN58=1,$GN58*$GM58*'Verwerking Bouwdelen'!DV42,$GN58*$GM58*'Verwerking Bouwdelen'!AD42)</f>
        <v>0</v>
      </c>
      <c r="GZ58" s="208">
        <f>IF($GN58=1,$GN58*$GM58*'Verwerking Bouwdelen'!DW42,$GN58*$GM58*'Verwerking Bouwdelen'!AE42)</f>
        <v>0</v>
      </c>
      <c r="HB58" s="89">
        <f t="shared" si="16"/>
        <v>0</v>
      </c>
      <c r="HC58" s="89">
        <f t="shared" si="17"/>
        <v>0</v>
      </c>
      <c r="HD58" s="89">
        <f t="shared" si="18"/>
        <v>0</v>
      </c>
      <c r="HE58" s="89">
        <f t="shared" si="19"/>
        <v>0</v>
      </c>
      <c r="HF58" s="89">
        <f t="shared" si="19"/>
        <v>0</v>
      </c>
      <c r="HG58" s="89">
        <f t="shared" si="19"/>
        <v>0</v>
      </c>
      <c r="HH58" s="89">
        <f t="shared" si="19"/>
        <v>0</v>
      </c>
      <c r="HI58" s="89">
        <f t="shared" si="19"/>
        <v>0</v>
      </c>
      <c r="HJ58" s="89">
        <f t="shared" si="19"/>
        <v>0</v>
      </c>
      <c r="HK58" s="89">
        <f t="shared" si="19"/>
        <v>0</v>
      </c>
      <c r="HL58" s="89">
        <f t="shared" si="19"/>
        <v>0</v>
      </c>
      <c r="HM58" s="89">
        <f t="shared" si="19"/>
        <v>0</v>
      </c>
    </row>
    <row r="59" spans="1:221" x14ac:dyDescent="0.2">
      <c r="A59" s="130">
        <f>IF('Verwerking Bouwdelen'!A43=4,1,0)</f>
        <v>0</v>
      </c>
      <c r="B59" s="208">
        <f>$A59*'Verwerking Bouwdelen'!T43</f>
        <v>0</v>
      </c>
      <c r="C59" s="208">
        <f>$A59*'Verwerking Bouwdelen'!U43</f>
        <v>0</v>
      </c>
      <c r="D59" s="208">
        <f>$A59*'Verwerking Bouwdelen'!V43</f>
        <v>0</v>
      </c>
      <c r="E59" s="208">
        <f>$A59*'Verwerking Bouwdelen'!W43</f>
        <v>0</v>
      </c>
      <c r="F59" s="208">
        <f>$A59*'Verwerking Bouwdelen'!X43</f>
        <v>0</v>
      </c>
      <c r="G59" s="208">
        <f>$A59*'Verwerking Bouwdelen'!Y43</f>
        <v>0</v>
      </c>
      <c r="H59" s="208">
        <f>$A59*'Verwerking Bouwdelen'!Z43</f>
        <v>0</v>
      </c>
      <c r="I59" s="208">
        <f>$A59*'Verwerking Bouwdelen'!AA43</f>
        <v>0</v>
      </c>
      <c r="J59" s="208">
        <f>$A59*'Verwerking Bouwdelen'!AB43</f>
        <v>0</v>
      </c>
      <c r="K59" s="208">
        <f>$A59*'Verwerking Bouwdelen'!AC43</f>
        <v>0</v>
      </c>
      <c r="L59" s="208">
        <f>$A59*'Verwerking Bouwdelen'!AD43</f>
        <v>0</v>
      </c>
      <c r="M59" s="208">
        <f>$A59*'Verwerking Bouwdelen'!AE43</f>
        <v>0</v>
      </c>
      <c r="O59" s="114">
        <f>$A59*'Verwerking Bouwdelen'!AU43</f>
        <v>0</v>
      </c>
      <c r="P59" s="125">
        <f>$A59*'Verwerking Bouwdelen'!AV43</f>
        <v>0</v>
      </c>
      <c r="Q59" s="125">
        <f>$A59*'Verwerking Bouwdelen'!AW43</f>
        <v>0</v>
      </c>
      <c r="R59" s="125">
        <f>$A59*'Verwerking Bouwdelen'!AX43</f>
        <v>0</v>
      </c>
      <c r="S59" s="125">
        <f>$A59*'Verwerking Bouwdelen'!AY43</f>
        <v>0</v>
      </c>
      <c r="T59" s="125">
        <f>$A59*'Verwerking Bouwdelen'!AZ43</f>
        <v>0</v>
      </c>
      <c r="U59" s="125">
        <f>$A59*'Verwerking Bouwdelen'!BA43</f>
        <v>0</v>
      </c>
      <c r="V59" s="125">
        <f>$A59*'Verwerking Bouwdelen'!BB43</f>
        <v>0</v>
      </c>
      <c r="W59" s="125">
        <f>$A59*'Verwerking Bouwdelen'!BC43</f>
        <v>0</v>
      </c>
      <c r="X59" s="125">
        <f>$A59*'Verwerking Bouwdelen'!BD43</f>
        <v>0</v>
      </c>
      <c r="Y59" s="125">
        <f>$A59*'Verwerking Bouwdelen'!BE43</f>
        <v>0</v>
      </c>
      <c r="Z59" s="195">
        <f>$A59*'Verwerking Bouwdelen'!BF43</f>
        <v>0</v>
      </c>
      <c r="AB59" s="125">
        <f>IF(OR('Verwerking Bouwdelen'!C43=3,'Verwerking Bouwdelen'!C43=6),1,0)</f>
        <v>0</v>
      </c>
      <c r="AC59" s="130">
        <f>IF('Verwerking Bouwdelen'!A43=4,1,0)</f>
        <v>0</v>
      </c>
      <c r="AD59" s="208">
        <f>IF($AB59=1,$AC59*'Verwerking Bouwdelen'!DL43,$AC59*'Verwerking Bouwdelen'!T43)</f>
        <v>0</v>
      </c>
      <c r="AE59" s="208">
        <f>IF($AB59=1,$AC59*'Verwerking Bouwdelen'!DM43,$AC59*'Verwerking Bouwdelen'!U43)</f>
        <v>0</v>
      </c>
      <c r="AF59" s="208">
        <f>IF($AB59=1,$AC59*'Verwerking Bouwdelen'!DN43,$AC59*'Verwerking Bouwdelen'!V43)</f>
        <v>0</v>
      </c>
      <c r="AG59" s="208">
        <f>IF($AB59=1,$AC59*'Verwerking Bouwdelen'!DO43,$AC59*'Verwerking Bouwdelen'!W43)</f>
        <v>0</v>
      </c>
      <c r="AH59" s="208">
        <f>IF($AB59=1,$AC59*'Verwerking Bouwdelen'!DP43,$AC59*'Verwerking Bouwdelen'!X43)</f>
        <v>0</v>
      </c>
      <c r="AI59" s="208">
        <f>IF($AB59=1,$AC59*'Verwerking Bouwdelen'!DQ43,$AC59*'Verwerking Bouwdelen'!Y43)</f>
        <v>0</v>
      </c>
      <c r="AJ59" s="208">
        <f>IF($AB59=1,$AC59*'Verwerking Bouwdelen'!DR43,$AC59*'Verwerking Bouwdelen'!Z43)</f>
        <v>0</v>
      </c>
      <c r="AK59" s="208">
        <f>IF($AB59=1,$AC59*'Verwerking Bouwdelen'!DS43,$AC59*'Verwerking Bouwdelen'!AA43)</f>
        <v>0</v>
      </c>
      <c r="AL59" s="208">
        <f>IF($AB59=1,$AC59*'Verwerking Bouwdelen'!DT43,$AC59*'Verwerking Bouwdelen'!AB43)</f>
        <v>0</v>
      </c>
      <c r="AM59" s="208">
        <f>IF($AB59=1,$AC59*'Verwerking Bouwdelen'!DU43,$AC59*'Verwerking Bouwdelen'!AC43)</f>
        <v>0</v>
      </c>
      <c r="AN59" s="208">
        <f>IF($AB59=1,$AC59*'Verwerking Bouwdelen'!DV43,$AC59*'Verwerking Bouwdelen'!AD43)</f>
        <v>0</v>
      </c>
      <c r="AO59" s="208">
        <f>IF($AB59=1,$AC59*'Verwerking Bouwdelen'!DW43,$AC59*'Verwerking Bouwdelen'!AE43)</f>
        <v>0</v>
      </c>
      <c r="AP59" s="10">
        <f>IF(AD59=B59,0,'Verwerking Bouwdelen'!D43*AB59*AC59)</f>
        <v>0</v>
      </c>
      <c r="AQ59" s="10">
        <f>AB59*AC59*'Verwerking Bouwdelen'!GH43</f>
        <v>0</v>
      </c>
      <c r="AR59" s="10"/>
      <c r="AS59" s="248"/>
      <c r="AT59" s="125">
        <f>IF('Verwerking Bouwdelen'!C43=4,1,0)</f>
        <v>0</v>
      </c>
      <c r="AU59" s="130">
        <f>IF('Verwerking Bouwdelen'!A43=4,1,0)</f>
        <v>0</v>
      </c>
      <c r="AV59" s="208">
        <f>IF($AT59=1,$AU59*'Verwerking Bouwdelen'!DL43,$AU59*'Verwerking Bouwdelen'!T43)</f>
        <v>0</v>
      </c>
      <c r="AW59" s="208">
        <f>IF($AT59=1,$AU59*'Verwerking Bouwdelen'!DM43,$AU59*'Verwerking Bouwdelen'!U43)</f>
        <v>0</v>
      </c>
      <c r="AX59" s="208">
        <f>IF($AT59=1,$AU59*'Verwerking Bouwdelen'!DN43,$AU59*'Verwerking Bouwdelen'!V43)</f>
        <v>0</v>
      </c>
      <c r="AY59" s="208">
        <f>IF($AT59=1,$AU59*'Verwerking Bouwdelen'!DO43,$AU59*'Verwerking Bouwdelen'!W43)</f>
        <v>0</v>
      </c>
      <c r="AZ59" s="208">
        <f>IF($AT59=1,$AU59*'Verwerking Bouwdelen'!DP43,$AU59*'Verwerking Bouwdelen'!X43)</f>
        <v>0</v>
      </c>
      <c r="BA59" s="208">
        <f>IF($AT59=1,$AU59*'Verwerking Bouwdelen'!DQ43,$AU59*'Verwerking Bouwdelen'!Y43)</f>
        <v>0</v>
      </c>
      <c r="BB59" s="208">
        <f>IF($AT59=1,$AU59*'Verwerking Bouwdelen'!DR43,$AU59*'Verwerking Bouwdelen'!Z43)</f>
        <v>0</v>
      </c>
      <c r="BC59" s="208">
        <f>IF($AT59=1,$AU59*'Verwerking Bouwdelen'!DS43,$AU59*'Verwerking Bouwdelen'!AA43)</f>
        <v>0</v>
      </c>
      <c r="BD59" s="208">
        <f>IF($AT59=1,$AU59*'Verwerking Bouwdelen'!DT43,$AU59*'Verwerking Bouwdelen'!AB43)</f>
        <v>0</v>
      </c>
      <c r="BE59" s="208">
        <f>IF($AT59=1,$AU59*'Verwerking Bouwdelen'!DU43,$AU59*'Verwerking Bouwdelen'!AC43)</f>
        <v>0</v>
      </c>
      <c r="BF59" s="208">
        <f>IF($AT59=1,$AU59*'Verwerking Bouwdelen'!DV43,$AU59*'Verwerking Bouwdelen'!AD43)</f>
        <v>0</v>
      </c>
      <c r="BG59" s="208">
        <f>IF($AT59=1,$AU59*'Verwerking Bouwdelen'!DW43,$AU59*'Verwerking Bouwdelen'!AE43)</f>
        <v>0</v>
      </c>
      <c r="BH59" s="10">
        <f>IF(AV59=B59,0,'Verwerking Bouwdelen'!D43*AT59*AU59)</f>
        <v>0</v>
      </c>
      <c r="BI59" s="10">
        <f>AT59*AU59*'Verwerking Bouwdelen'!GH43</f>
        <v>0</v>
      </c>
      <c r="BJ59" s="10"/>
      <c r="BK59" s="10"/>
      <c r="BM59" s="125">
        <f>IF('Verwerking Bouwdelen'!C43=5,1,0)</f>
        <v>0</v>
      </c>
      <c r="BN59" s="130">
        <f>IF('Verwerking Bouwdelen'!A43=4,1,0)</f>
        <v>0</v>
      </c>
      <c r="BO59" s="208">
        <f>IF($BM59=1,$BN59*'Verwerking Bouwdelen'!DL43,$BN59*'Verwerking Bouwdelen'!T43)</f>
        <v>0</v>
      </c>
      <c r="BP59" s="208">
        <f>IF($BM59=1,$BN59*'Verwerking Bouwdelen'!DM43,$BN59*'Verwerking Bouwdelen'!U43)</f>
        <v>0</v>
      </c>
      <c r="BQ59" s="208">
        <f>IF($BM59=1,$BN59*'Verwerking Bouwdelen'!DN43,$BN59*'Verwerking Bouwdelen'!V43)</f>
        <v>0</v>
      </c>
      <c r="BR59" s="208">
        <f>IF($BM59=1,$BN59*'Verwerking Bouwdelen'!DO43,$BN59*'Verwerking Bouwdelen'!W43)</f>
        <v>0</v>
      </c>
      <c r="BS59" s="208">
        <f>IF($BM59=1,$BN59*'Verwerking Bouwdelen'!DP43,$BN59*'Verwerking Bouwdelen'!X43)</f>
        <v>0</v>
      </c>
      <c r="BT59" s="208">
        <f>IF($BM59=1,$BN59*'Verwerking Bouwdelen'!DQ43,$BN59*'Verwerking Bouwdelen'!Y43)</f>
        <v>0</v>
      </c>
      <c r="BU59" s="208">
        <f>IF($BM59=1,$BN59*'Verwerking Bouwdelen'!DR43,$BN59*'Verwerking Bouwdelen'!Z43)</f>
        <v>0</v>
      </c>
      <c r="BV59" s="208">
        <f>IF($BM59=1,$BN59*'Verwerking Bouwdelen'!DS43,$BN59*'Verwerking Bouwdelen'!AA43)</f>
        <v>0</v>
      </c>
      <c r="BW59" s="208">
        <f>IF($BM59=1,$BN59*'Verwerking Bouwdelen'!DT43,$BN59*'Verwerking Bouwdelen'!AB43)</f>
        <v>0</v>
      </c>
      <c r="BX59" s="208">
        <f>IF($BM59=1,$BN59*'Verwerking Bouwdelen'!DU43,$BN59*'Verwerking Bouwdelen'!AC43)</f>
        <v>0</v>
      </c>
      <c r="BY59" s="208">
        <f>IF($BM59=1,$BN59*'Verwerking Bouwdelen'!DV43,$BN59*'Verwerking Bouwdelen'!AD43)</f>
        <v>0</v>
      </c>
      <c r="BZ59" s="208">
        <f>IF($BM59=1,$BN59*'Verwerking Bouwdelen'!DW43,$BN59*'Verwerking Bouwdelen'!AE43)</f>
        <v>0</v>
      </c>
      <c r="CA59" s="10">
        <f>IF(BO59=$B59,0,'Verwerking Bouwdelen'!$D43*BM59*BN59)</f>
        <v>0</v>
      </c>
      <c r="CB59" s="10">
        <f>BM59*BN59*'Verwerking Bouwdelen'!GH43</f>
        <v>0</v>
      </c>
      <c r="CC59" s="10"/>
      <c r="CD59" s="248"/>
      <c r="CE59" s="125">
        <f>IF('Verwerking Bouwdelen'!C43=2,1,0)</f>
        <v>0</v>
      </c>
      <c r="CF59" s="130">
        <f>IF('Verwerking Bouwdelen'!A43=4,1,0)</f>
        <v>0</v>
      </c>
      <c r="CG59" s="208">
        <f>IF($CE59=1,$CF59*'Verwerking Bouwdelen'!DL43,$CF59*'Verwerking Bouwdelen'!T43)</f>
        <v>0</v>
      </c>
      <c r="CH59" s="208">
        <f>IF($CE59=1,$CF59*'Verwerking Bouwdelen'!DM43,$CF59*'Verwerking Bouwdelen'!U43)</f>
        <v>0</v>
      </c>
      <c r="CI59" s="208">
        <f>IF($CE59=1,$CF59*'Verwerking Bouwdelen'!DN43,$CF59*'Verwerking Bouwdelen'!V43)</f>
        <v>0</v>
      </c>
      <c r="CJ59" s="208">
        <f>IF($CE59=1,$CF59*'Verwerking Bouwdelen'!DO43,$CF59*'Verwerking Bouwdelen'!W43)</f>
        <v>0</v>
      </c>
      <c r="CK59" s="208">
        <f>IF($CE59=1,$CF59*'Verwerking Bouwdelen'!DP43,$CF59*'Verwerking Bouwdelen'!X43)</f>
        <v>0</v>
      </c>
      <c r="CL59" s="208">
        <f>IF($CE59=1,$CF59*'Verwerking Bouwdelen'!DQ43,$CF59*'Verwerking Bouwdelen'!Y43)</f>
        <v>0</v>
      </c>
      <c r="CM59" s="208">
        <f>IF($CE59=1,$CF59*'Verwerking Bouwdelen'!DR43,$CF59*'Verwerking Bouwdelen'!Z43)</f>
        <v>0</v>
      </c>
      <c r="CN59" s="208">
        <f>IF($CE59=1,$CF59*'Verwerking Bouwdelen'!DS43,$CF59*'Verwerking Bouwdelen'!AA43)</f>
        <v>0</v>
      </c>
      <c r="CO59" s="208">
        <f>IF($CE59=1,$CF59*'Verwerking Bouwdelen'!DT43,$CF59*'Verwerking Bouwdelen'!AB43)</f>
        <v>0</v>
      </c>
      <c r="CP59" s="208">
        <f>IF($CE59=1,$CF59*'Verwerking Bouwdelen'!DU43,$CF59*'Verwerking Bouwdelen'!AC43)</f>
        <v>0</v>
      </c>
      <c r="CQ59" s="208">
        <f>IF($CE59=1,$CF59*'Verwerking Bouwdelen'!DV43,$CF59*'Verwerking Bouwdelen'!AD43)</f>
        <v>0</v>
      </c>
      <c r="CR59" s="208">
        <f>IF($CE59=1,$CF59*'Verwerking Bouwdelen'!DW43,$CF59*'Verwerking Bouwdelen'!AE43)</f>
        <v>0</v>
      </c>
      <c r="CS59" s="10">
        <f>IF(CG59=$B59,0,('Verwerking Bouwdelen'!$D43-'Verwerking Bouwdelen'!G43)*CE59*CF59)</f>
        <v>0</v>
      </c>
      <c r="CT59" s="260">
        <f>CE59*CF59*'Verwerking Bouwdelen'!GH43</f>
        <v>0</v>
      </c>
      <c r="CU59" s="261">
        <f>CE59*CF59*'Verwerking Bouwdelen'!GI43</f>
        <v>0</v>
      </c>
      <c r="CW59" s="209">
        <f>$AC59*'Verwerking Bouwdelen'!EE43</f>
        <v>0</v>
      </c>
      <c r="CX59" s="209">
        <f>$AC59*'Verwerking Bouwdelen'!EF43</f>
        <v>0</v>
      </c>
      <c r="CY59" s="209">
        <f>$AC59*'Verwerking Bouwdelen'!EG43</f>
        <v>0</v>
      </c>
      <c r="CZ59" s="209">
        <f>$AC59*'Verwerking Bouwdelen'!EH43</f>
        <v>0</v>
      </c>
      <c r="DA59" s="209">
        <f>$AC59*'Verwerking Bouwdelen'!EI43</f>
        <v>0</v>
      </c>
      <c r="DB59" s="209">
        <f>$AC59*'Verwerking Bouwdelen'!EJ43</f>
        <v>0</v>
      </c>
      <c r="DC59" s="209">
        <f>$AC59*'Verwerking Bouwdelen'!EK43</f>
        <v>0</v>
      </c>
      <c r="DD59" s="209">
        <f>$AC59*'Verwerking Bouwdelen'!EL43</f>
        <v>0</v>
      </c>
      <c r="DE59" s="209">
        <f>$AC59*'Verwerking Bouwdelen'!EM43</f>
        <v>0</v>
      </c>
      <c r="DF59" s="209">
        <f>$AC59*'Verwerking Bouwdelen'!EN43</f>
        <v>0</v>
      </c>
      <c r="DG59" s="209">
        <f>$AC59*'Verwerking Bouwdelen'!EO43</f>
        <v>0</v>
      </c>
      <c r="DH59" s="209">
        <f>$AC59*'Verwerking Bouwdelen'!EP43</f>
        <v>0</v>
      </c>
      <c r="DI59" s="10">
        <f>IF(CW59=$O59,0,'Verwerking Bouwdelen'!G43)</f>
        <v>0</v>
      </c>
      <c r="DJ59" s="259">
        <f>'Verwerking Bouwdelen'!GK43*CF59</f>
        <v>0</v>
      </c>
      <c r="DK59" s="259">
        <f>'Verwerking Bouwdelen'!GL43*CF59</f>
        <v>0</v>
      </c>
      <c r="DL59" s="125"/>
      <c r="GM59" s="89">
        <f t="shared" si="13"/>
        <v>0</v>
      </c>
      <c r="GN59" s="89">
        <f t="shared" si="14"/>
        <v>0</v>
      </c>
      <c r="GO59" s="208">
        <f>IF($GN59=1,$GN59*$GM59*'Verwerking Bouwdelen'!DL43,$GN59*$GM59*'Verwerking Bouwdelen'!T43)</f>
        <v>0</v>
      </c>
      <c r="GP59" s="208">
        <f>IF($GN59=1,$GN59*$GM59*'Verwerking Bouwdelen'!DM43,$GN59*$GM59*'Verwerking Bouwdelen'!U43)</f>
        <v>0</v>
      </c>
      <c r="GQ59" s="208">
        <f>IF($GN59=1,$GN59*$GM59*'Verwerking Bouwdelen'!DN43,$GN59*$GM59*'Verwerking Bouwdelen'!V43)</f>
        <v>0</v>
      </c>
      <c r="GR59" s="208">
        <f>IF($GN59=1,$GN59*$GM59*'Verwerking Bouwdelen'!DO43,$GN59*$GM59*'Verwerking Bouwdelen'!W43)</f>
        <v>0</v>
      </c>
      <c r="GS59" s="208">
        <f>IF($GN59=1,$GN59*$GM59*'Verwerking Bouwdelen'!DP43,$GN59*$GM59*'Verwerking Bouwdelen'!X43)</f>
        <v>0</v>
      </c>
      <c r="GT59" s="208">
        <f>IF($GN59=1,$GN59*$GM59*'Verwerking Bouwdelen'!DQ43,$GN59*$GM59*'Verwerking Bouwdelen'!Y43)</f>
        <v>0</v>
      </c>
      <c r="GU59" s="208">
        <f>IF($GN59=1,$GN59*$GM59*'Verwerking Bouwdelen'!DR43,$GN59*$GM59*'Verwerking Bouwdelen'!Z43)</f>
        <v>0</v>
      </c>
      <c r="GV59" s="208">
        <f>IF($GN59=1,$GN59*$GM59*'Verwerking Bouwdelen'!DS43,$GN59*$GM59*'Verwerking Bouwdelen'!AA43)</f>
        <v>0</v>
      </c>
      <c r="GW59" s="208">
        <f>IF($GN59=1,$GN59*$GM59*'Verwerking Bouwdelen'!DT43,$GN59*$GM59*'Verwerking Bouwdelen'!AB43)</f>
        <v>0</v>
      </c>
      <c r="GX59" s="208">
        <f>IF($GN59=1,$GN59*$GM59*'Verwerking Bouwdelen'!DU43,$GN59*$GM59*'Verwerking Bouwdelen'!AC43)</f>
        <v>0</v>
      </c>
      <c r="GY59" s="208">
        <f>IF($GN59=1,$GN59*$GM59*'Verwerking Bouwdelen'!DV43,$GN59*$GM59*'Verwerking Bouwdelen'!AD43)</f>
        <v>0</v>
      </c>
      <c r="GZ59" s="208">
        <f>IF($GN59=1,$GN59*$GM59*'Verwerking Bouwdelen'!DW43,$GN59*$GM59*'Verwerking Bouwdelen'!AE43)</f>
        <v>0</v>
      </c>
      <c r="HB59" s="89">
        <f t="shared" si="16"/>
        <v>0</v>
      </c>
      <c r="HC59" s="89">
        <f t="shared" si="17"/>
        <v>0</v>
      </c>
      <c r="HD59" s="89">
        <f t="shared" si="18"/>
        <v>0</v>
      </c>
      <c r="HE59" s="89">
        <f t="shared" si="19"/>
        <v>0</v>
      </c>
      <c r="HF59" s="89">
        <f t="shared" si="19"/>
        <v>0</v>
      </c>
      <c r="HG59" s="89">
        <f t="shared" si="19"/>
        <v>0</v>
      </c>
      <c r="HH59" s="89">
        <f t="shared" si="19"/>
        <v>0</v>
      </c>
      <c r="HI59" s="89">
        <f t="shared" si="19"/>
        <v>0</v>
      </c>
      <c r="HJ59" s="89">
        <f t="shared" si="19"/>
        <v>0</v>
      </c>
      <c r="HK59" s="89">
        <f t="shared" si="19"/>
        <v>0</v>
      </c>
      <c r="HL59" s="89">
        <f t="shared" si="19"/>
        <v>0</v>
      </c>
      <c r="HM59" s="89">
        <f t="shared" si="19"/>
        <v>0</v>
      </c>
    </row>
    <row r="60" spans="1:221" x14ac:dyDescent="0.2">
      <c r="A60" s="130">
        <f>IF('Verwerking Bouwdelen'!A44=4,1,0)</f>
        <v>0</v>
      </c>
      <c r="B60" s="208">
        <f>$A60*'Verwerking Bouwdelen'!T44</f>
        <v>0</v>
      </c>
      <c r="C60" s="208">
        <f>$A60*'Verwerking Bouwdelen'!U44</f>
        <v>0</v>
      </c>
      <c r="D60" s="208">
        <f>$A60*'Verwerking Bouwdelen'!V44</f>
        <v>0</v>
      </c>
      <c r="E60" s="208">
        <f>$A60*'Verwerking Bouwdelen'!W44</f>
        <v>0</v>
      </c>
      <c r="F60" s="208">
        <f>$A60*'Verwerking Bouwdelen'!X44</f>
        <v>0</v>
      </c>
      <c r="G60" s="208">
        <f>$A60*'Verwerking Bouwdelen'!Y44</f>
        <v>0</v>
      </c>
      <c r="H60" s="208">
        <f>$A60*'Verwerking Bouwdelen'!Z44</f>
        <v>0</v>
      </c>
      <c r="I60" s="208">
        <f>$A60*'Verwerking Bouwdelen'!AA44</f>
        <v>0</v>
      </c>
      <c r="J60" s="208">
        <f>$A60*'Verwerking Bouwdelen'!AB44</f>
        <v>0</v>
      </c>
      <c r="K60" s="208">
        <f>$A60*'Verwerking Bouwdelen'!AC44</f>
        <v>0</v>
      </c>
      <c r="L60" s="208">
        <f>$A60*'Verwerking Bouwdelen'!AD44</f>
        <v>0</v>
      </c>
      <c r="M60" s="208">
        <f>$A60*'Verwerking Bouwdelen'!AE44</f>
        <v>0</v>
      </c>
      <c r="O60" s="212">
        <f>$A60*'Verwerking Bouwdelen'!AU44</f>
        <v>0</v>
      </c>
      <c r="P60" s="213">
        <f>$A60*'Verwerking Bouwdelen'!AV44</f>
        <v>0</v>
      </c>
      <c r="Q60" s="213">
        <f>$A60*'Verwerking Bouwdelen'!AW44</f>
        <v>0</v>
      </c>
      <c r="R60" s="213">
        <f>$A60*'Verwerking Bouwdelen'!AX44</f>
        <v>0</v>
      </c>
      <c r="S60" s="213">
        <f>$A60*'Verwerking Bouwdelen'!AY44</f>
        <v>0</v>
      </c>
      <c r="T60" s="213">
        <f>$A60*'Verwerking Bouwdelen'!AZ44</f>
        <v>0</v>
      </c>
      <c r="U60" s="213">
        <f>$A60*'Verwerking Bouwdelen'!BA44</f>
        <v>0</v>
      </c>
      <c r="V60" s="213">
        <f>$A60*'Verwerking Bouwdelen'!BB44</f>
        <v>0</v>
      </c>
      <c r="W60" s="213">
        <f>$A60*'Verwerking Bouwdelen'!BC44</f>
        <v>0</v>
      </c>
      <c r="X60" s="213">
        <f>$A60*'Verwerking Bouwdelen'!BD44</f>
        <v>0</v>
      </c>
      <c r="Y60" s="213">
        <f>$A60*'Verwerking Bouwdelen'!BE44</f>
        <v>0</v>
      </c>
      <c r="Z60" s="214">
        <f>$A60*'Verwerking Bouwdelen'!BF44</f>
        <v>0</v>
      </c>
      <c r="AB60" s="125">
        <f>IF(OR('Verwerking Bouwdelen'!C44=3,'Verwerking Bouwdelen'!C44=6),1,0)</f>
        <v>0</v>
      </c>
      <c r="AC60" s="130">
        <f>IF('Verwerking Bouwdelen'!A44=4,1,0)</f>
        <v>0</v>
      </c>
      <c r="AD60" s="208">
        <f>IF($AB60=1,$AC60*'Verwerking Bouwdelen'!DL44,$AC60*'Verwerking Bouwdelen'!T44)</f>
        <v>0</v>
      </c>
      <c r="AE60" s="208">
        <f>IF($AB60=1,$AC60*'Verwerking Bouwdelen'!DM44,$AC60*'Verwerking Bouwdelen'!U44)</f>
        <v>0</v>
      </c>
      <c r="AF60" s="208">
        <f>IF($AB60=1,$AC60*'Verwerking Bouwdelen'!DN44,$AC60*'Verwerking Bouwdelen'!V44)</f>
        <v>0</v>
      </c>
      <c r="AG60" s="208">
        <f>IF($AB60=1,$AC60*'Verwerking Bouwdelen'!DO44,$AC60*'Verwerking Bouwdelen'!W44)</f>
        <v>0</v>
      </c>
      <c r="AH60" s="208">
        <f>IF($AB60=1,$AC60*'Verwerking Bouwdelen'!DP44,$AC60*'Verwerking Bouwdelen'!X44)</f>
        <v>0</v>
      </c>
      <c r="AI60" s="208">
        <f>IF($AB60=1,$AC60*'Verwerking Bouwdelen'!DQ44,$AC60*'Verwerking Bouwdelen'!Y44)</f>
        <v>0</v>
      </c>
      <c r="AJ60" s="208">
        <f>IF($AB60=1,$AC60*'Verwerking Bouwdelen'!DR44,$AC60*'Verwerking Bouwdelen'!Z44)</f>
        <v>0</v>
      </c>
      <c r="AK60" s="208">
        <f>IF($AB60=1,$AC60*'Verwerking Bouwdelen'!DS44,$AC60*'Verwerking Bouwdelen'!AA44)</f>
        <v>0</v>
      </c>
      <c r="AL60" s="208">
        <f>IF($AB60=1,$AC60*'Verwerking Bouwdelen'!DT44,$AC60*'Verwerking Bouwdelen'!AB44)</f>
        <v>0</v>
      </c>
      <c r="AM60" s="208">
        <f>IF($AB60=1,$AC60*'Verwerking Bouwdelen'!DU44,$AC60*'Verwerking Bouwdelen'!AC44)</f>
        <v>0</v>
      </c>
      <c r="AN60" s="208">
        <f>IF($AB60=1,$AC60*'Verwerking Bouwdelen'!DV44,$AC60*'Verwerking Bouwdelen'!AD44)</f>
        <v>0</v>
      </c>
      <c r="AO60" s="208">
        <f>IF($AB60=1,$AC60*'Verwerking Bouwdelen'!DW44,$AC60*'Verwerking Bouwdelen'!AE44)</f>
        <v>0</v>
      </c>
      <c r="AP60" s="10">
        <f>IF(AD60=B60,0,'Verwerking Bouwdelen'!D44*AB60*AC60)</f>
        <v>0</v>
      </c>
      <c r="AQ60" s="10">
        <f>AB60*AC60*'Verwerking Bouwdelen'!GH44</f>
        <v>0</v>
      </c>
      <c r="AR60" s="10"/>
      <c r="AS60" s="248"/>
      <c r="AT60" s="125">
        <f>IF('Verwerking Bouwdelen'!C44=4,1,0)</f>
        <v>0</v>
      </c>
      <c r="AU60" s="130">
        <f>IF('Verwerking Bouwdelen'!A44=4,1,0)</f>
        <v>0</v>
      </c>
      <c r="AV60" s="208">
        <f>IF($AT60=1,$AU60*'Verwerking Bouwdelen'!DL44,$AU60*'Verwerking Bouwdelen'!T44)</f>
        <v>0</v>
      </c>
      <c r="AW60" s="208">
        <f>IF($AT60=1,$AU60*'Verwerking Bouwdelen'!DM44,$AU60*'Verwerking Bouwdelen'!U44)</f>
        <v>0</v>
      </c>
      <c r="AX60" s="208">
        <f>IF($AT60=1,$AU60*'Verwerking Bouwdelen'!DN44,$AU60*'Verwerking Bouwdelen'!V44)</f>
        <v>0</v>
      </c>
      <c r="AY60" s="208">
        <f>IF($AT60=1,$AU60*'Verwerking Bouwdelen'!DO44,$AU60*'Verwerking Bouwdelen'!W44)</f>
        <v>0</v>
      </c>
      <c r="AZ60" s="208">
        <f>IF($AT60=1,$AU60*'Verwerking Bouwdelen'!DP44,$AU60*'Verwerking Bouwdelen'!X44)</f>
        <v>0</v>
      </c>
      <c r="BA60" s="208">
        <f>IF($AT60=1,$AU60*'Verwerking Bouwdelen'!DQ44,$AU60*'Verwerking Bouwdelen'!Y44)</f>
        <v>0</v>
      </c>
      <c r="BB60" s="208">
        <f>IF($AT60=1,$AU60*'Verwerking Bouwdelen'!DR44,$AU60*'Verwerking Bouwdelen'!Z44)</f>
        <v>0</v>
      </c>
      <c r="BC60" s="208">
        <f>IF($AT60=1,$AU60*'Verwerking Bouwdelen'!DS44,$AU60*'Verwerking Bouwdelen'!AA44)</f>
        <v>0</v>
      </c>
      <c r="BD60" s="208">
        <f>IF($AT60=1,$AU60*'Verwerking Bouwdelen'!DT44,$AU60*'Verwerking Bouwdelen'!AB44)</f>
        <v>0</v>
      </c>
      <c r="BE60" s="208">
        <f>IF($AT60=1,$AU60*'Verwerking Bouwdelen'!DU44,$AU60*'Verwerking Bouwdelen'!AC44)</f>
        <v>0</v>
      </c>
      <c r="BF60" s="208">
        <f>IF($AT60=1,$AU60*'Verwerking Bouwdelen'!DV44,$AU60*'Verwerking Bouwdelen'!AD44)</f>
        <v>0</v>
      </c>
      <c r="BG60" s="208">
        <f>IF($AT60=1,$AU60*'Verwerking Bouwdelen'!DW44,$AU60*'Verwerking Bouwdelen'!AE44)</f>
        <v>0</v>
      </c>
      <c r="BH60" s="10">
        <f>IF(AV60=B60,0,'Verwerking Bouwdelen'!D44*AT60*AU60)</f>
        <v>0</v>
      </c>
      <c r="BI60" s="10">
        <f>AT60*AU60*'Verwerking Bouwdelen'!GH44</f>
        <v>0</v>
      </c>
      <c r="BJ60" s="10"/>
      <c r="BK60" s="10"/>
      <c r="BM60" s="125">
        <f>IF('Verwerking Bouwdelen'!C44=5,1,0)</f>
        <v>0</v>
      </c>
      <c r="BN60" s="130">
        <f>IF('Verwerking Bouwdelen'!A44=4,1,0)</f>
        <v>0</v>
      </c>
      <c r="BO60" s="208">
        <f>IF($BM60=1,$BN60*'Verwerking Bouwdelen'!DL44,$BN60*'Verwerking Bouwdelen'!T44)</f>
        <v>0</v>
      </c>
      <c r="BP60" s="208">
        <f>IF($BM60=1,$BN60*'Verwerking Bouwdelen'!DM44,$BN60*'Verwerking Bouwdelen'!U44)</f>
        <v>0</v>
      </c>
      <c r="BQ60" s="208">
        <f>IF($BM60=1,$BN60*'Verwerking Bouwdelen'!DN44,$BN60*'Verwerking Bouwdelen'!V44)</f>
        <v>0</v>
      </c>
      <c r="BR60" s="208">
        <f>IF($BM60=1,$BN60*'Verwerking Bouwdelen'!DO44,$BN60*'Verwerking Bouwdelen'!W44)</f>
        <v>0</v>
      </c>
      <c r="BS60" s="208">
        <f>IF($BM60=1,$BN60*'Verwerking Bouwdelen'!DP44,$BN60*'Verwerking Bouwdelen'!X44)</f>
        <v>0</v>
      </c>
      <c r="BT60" s="208">
        <f>IF($BM60=1,$BN60*'Verwerking Bouwdelen'!DQ44,$BN60*'Verwerking Bouwdelen'!Y44)</f>
        <v>0</v>
      </c>
      <c r="BU60" s="208">
        <f>IF($BM60=1,$BN60*'Verwerking Bouwdelen'!DR44,$BN60*'Verwerking Bouwdelen'!Z44)</f>
        <v>0</v>
      </c>
      <c r="BV60" s="208">
        <f>IF($BM60=1,$BN60*'Verwerking Bouwdelen'!DS44,$BN60*'Verwerking Bouwdelen'!AA44)</f>
        <v>0</v>
      </c>
      <c r="BW60" s="208">
        <f>IF($BM60=1,$BN60*'Verwerking Bouwdelen'!DT44,$BN60*'Verwerking Bouwdelen'!AB44)</f>
        <v>0</v>
      </c>
      <c r="BX60" s="208">
        <f>IF($BM60=1,$BN60*'Verwerking Bouwdelen'!DU44,$BN60*'Verwerking Bouwdelen'!AC44)</f>
        <v>0</v>
      </c>
      <c r="BY60" s="208">
        <f>IF($BM60=1,$BN60*'Verwerking Bouwdelen'!DV44,$BN60*'Verwerking Bouwdelen'!AD44)</f>
        <v>0</v>
      </c>
      <c r="BZ60" s="208">
        <f>IF($BM60=1,$BN60*'Verwerking Bouwdelen'!DW44,$BN60*'Verwerking Bouwdelen'!AE44)</f>
        <v>0</v>
      </c>
      <c r="CA60" s="10">
        <f>IF(BO60=$B60,0,'Verwerking Bouwdelen'!$D44*BM60*BN60)</f>
        <v>0</v>
      </c>
      <c r="CB60" s="10">
        <f>BM60*BN60*'Verwerking Bouwdelen'!GH44</f>
        <v>0</v>
      </c>
      <c r="CC60" s="10"/>
      <c r="CD60" s="248"/>
      <c r="CE60" s="125">
        <f>IF('Verwerking Bouwdelen'!C44=2,1,0)</f>
        <v>0</v>
      </c>
      <c r="CF60" s="130">
        <f>IF('Verwerking Bouwdelen'!A44=4,1,0)</f>
        <v>0</v>
      </c>
      <c r="CG60" s="208">
        <f>IF($CE60=1,$CF60*'Verwerking Bouwdelen'!DL44,$CF60*'Verwerking Bouwdelen'!T44)</f>
        <v>0</v>
      </c>
      <c r="CH60" s="208">
        <f>IF($CE60=1,$CF60*'Verwerking Bouwdelen'!DM44,$CF60*'Verwerking Bouwdelen'!U44)</f>
        <v>0</v>
      </c>
      <c r="CI60" s="208">
        <f>IF($CE60=1,$CF60*'Verwerking Bouwdelen'!DN44,$CF60*'Verwerking Bouwdelen'!V44)</f>
        <v>0</v>
      </c>
      <c r="CJ60" s="208">
        <f>IF($CE60=1,$CF60*'Verwerking Bouwdelen'!DO44,$CF60*'Verwerking Bouwdelen'!W44)</f>
        <v>0</v>
      </c>
      <c r="CK60" s="208">
        <f>IF($CE60=1,$CF60*'Verwerking Bouwdelen'!DP44,$CF60*'Verwerking Bouwdelen'!X44)</f>
        <v>0</v>
      </c>
      <c r="CL60" s="208">
        <f>IF($CE60=1,$CF60*'Verwerking Bouwdelen'!DQ44,$CF60*'Verwerking Bouwdelen'!Y44)</f>
        <v>0</v>
      </c>
      <c r="CM60" s="208">
        <f>IF($CE60=1,$CF60*'Verwerking Bouwdelen'!DR44,$CF60*'Verwerking Bouwdelen'!Z44)</f>
        <v>0</v>
      </c>
      <c r="CN60" s="208">
        <f>IF($CE60=1,$CF60*'Verwerking Bouwdelen'!DS44,$CF60*'Verwerking Bouwdelen'!AA44)</f>
        <v>0</v>
      </c>
      <c r="CO60" s="208">
        <f>IF($CE60=1,$CF60*'Verwerking Bouwdelen'!DT44,$CF60*'Verwerking Bouwdelen'!AB44)</f>
        <v>0</v>
      </c>
      <c r="CP60" s="208">
        <f>IF($CE60=1,$CF60*'Verwerking Bouwdelen'!DU44,$CF60*'Verwerking Bouwdelen'!AC44)</f>
        <v>0</v>
      </c>
      <c r="CQ60" s="208">
        <f>IF($CE60=1,$CF60*'Verwerking Bouwdelen'!DV44,$CF60*'Verwerking Bouwdelen'!AD44)</f>
        <v>0</v>
      </c>
      <c r="CR60" s="208">
        <f>IF($CE60=1,$CF60*'Verwerking Bouwdelen'!DW44,$CF60*'Verwerking Bouwdelen'!AE44)</f>
        <v>0</v>
      </c>
      <c r="CS60" s="10">
        <f>IF(CG60=$B60,0,('Verwerking Bouwdelen'!$D44-'Verwerking Bouwdelen'!G44)*CE60*CF60)</f>
        <v>0</v>
      </c>
      <c r="CT60" s="260">
        <f>CE60*CF60*'Verwerking Bouwdelen'!GH44</f>
        <v>0</v>
      </c>
      <c r="CU60" s="262">
        <f>CE60*CF60*'Verwerking Bouwdelen'!GI44</f>
        <v>0</v>
      </c>
      <c r="CW60" s="209">
        <f>$AC60*'Verwerking Bouwdelen'!EE44</f>
        <v>0</v>
      </c>
      <c r="CX60" s="209">
        <f>$AC60*'Verwerking Bouwdelen'!EF44</f>
        <v>0</v>
      </c>
      <c r="CY60" s="209">
        <f>$AC60*'Verwerking Bouwdelen'!EG44</f>
        <v>0</v>
      </c>
      <c r="CZ60" s="209">
        <f>$AC60*'Verwerking Bouwdelen'!EH44</f>
        <v>0</v>
      </c>
      <c r="DA60" s="209">
        <f>$AC60*'Verwerking Bouwdelen'!EI44</f>
        <v>0</v>
      </c>
      <c r="DB60" s="209">
        <f>$AC60*'Verwerking Bouwdelen'!EJ44</f>
        <v>0</v>
      </c>
      <c r="DC60" s="209">
        <f>$AC60*'Verwerking Bouwdelen'!EK44</f>
        <v>0</v>
      </c>
      <c r="DD60" s="209">
        <f>$AC60*'Verwerking Bouwdelen'!EL44</f>
        <v>0</v>
      </c>
      <c r="DE60" s="209">
        <f>$AC60*'Verwerking Bouwdelen'!EM44</f>
        <v>0</v>
      </c>
      <c r="DF60" s="209">
        <f>$AC60*'Verwerking Bouwdelen'!EN44</f>
        <v>0</v>
      </c>
      <c r="DG60" s="209">
        <f>$AC60*'Verwerking Bouwdelen'!EO44</f>
        <v>0</v>
      </c>
      <c r="DH60" s="209">
        <f>$AC60*'Verwerking Bouwdelen'!EP44</f>
        <v>0</v>
      </c>
      <c r="DI60" s="10">
        <f>IF(CW60=$O60,0,'Verwerking Bouwdelen'!G44)</f>
        <v>0</v>
      </c>
      <c r="DJ60" s="259">
        <f>'Verwerking Bouwdelen'!GK44*CF60</f>
        <v>0</v>
      </c>
      <c r="DK60" s="259">
        <f>'Verwerking Bouwdelen'!GL44*CF60</f>
        <v>0</v>
      </c>
      <c r="DL60" s="125"/>
      <c r="GM60" s="89">
        <f t="shared" si="13"/>
        <v>0</v>
      </c>
      <c r="GN60" s="89">
        <f t="shared" si="14"/>
        <v>0</v>
      </c>
      <c r="GO60" s="208">
        <f>IF($GN60=1,$GN60*$GM60*'Verwerking Bouwdelen'!DL44,$GN60*$GM60*'Verwerking Bouwdelen'!T44)</f>
        <v>0</v>
      </c>
      <c r="GP60" s="208">
        <f>IF($GN60=1,$GN60*$GM60*'Verwerking Bouwdelen'!DM44,$GN60*$GM60*'Verwerking Bouwdelen'!U44)</f>
        <v>0</v>
      </c>
      <c r="GQ60" s="208">
        <f>IF($GN60=1,$GN60*$GM60*'Verwerking Bouwdelen'!DN44,$GN60*$GM60*'Verwerking Bouwdelen'!V44)</f>
        <v>0</v>
      </c>
      <c r="GR60" s="208">
        <f>IF($GN60=1,$GN60*$GM60*'Verwerking Bouwdelen'!DO44,$GN60*$GM60*'Verwerking Bouwdelen'!W44)</f>
        <v>0</v>
      </c>
      <c r="GS60" s="208">
        <f>IF($GN60=1,$GN60*$GM60*'Verwerking Bouwdelen'!DP44,$GN60*$GM60*'Verwerking Bouwdelen'!X44)</f>
        <v>0</v>
      </c>
      <c r="GT60" s="208">
        <f>IF($GN60=1,$GN60*$GM60*'Verwerking Bouwdelen'!DQ44,$GN60*$GM60*'Verwerking Bouwdelen'!Y44)</f>
        <v>0</v>
      </c>
      <c r="GU60" s="208">
        <f>IF($GN60=1,$GN60*$GM60*'Verwerking Bouwdelen'!DR44,$GN60*$GM60*'Verwerking Bouwdelen'!Z44)</f>
        <v>0</v>
      </c>
      <c r="GV60" s="208">
        <f>IF($GN60=1,$GN60*$GM60*'Verwerking Bouwdelen'!DS44,$GN60*$GM60*'Verwerking Bouwdelen'!AA44)</f>
        <v>0</v>
      </c>
      <c r="GW60" s="208">
        <f>IF($GN60=1,$GN60*$GM60*'Verwerking Bouwdelen'!DT44,$GN60*$GM60*'Verwerking Bouwdelen'!AB44)</f>
        <v>0</v>
      </c>
      <c r="GX60" s="208">
        <f>IF($GN60=1,$GN60*$GM60*'Verwerking Bouwdelen'!DU44,$GN60*$GM60*'Verwerking Bouwdelen'!AC44)</f>
        <v>0</v>
      </c>
      <c r="GY60" s="208">
        <f>IF($GN60=1,$GN60*$GM60*'Verwerking Bouwdelen'!DV44,$GN60*$GM60*'Verwerking Bouwdelen'!AD44)</f>
        <v>0</v>
      </c>
      <c r="GZ60" s="208">
        <f>IF($GN60=1,$GN60*$GM60*'Verwerking Bouwdelen'!DW44,$GN60*$GM60*'Verwerking Bouwdelen'!AE44)</f>
        <v>0</v>
      </c>
      <c r="HB60" s="89">
        <f t="shared" si="16"/>
        <v>0</v>
      </c>
      <c r="HC60" s="89">
        <f t="shared" si="17"/>
        <v>0</v>
      </c>
      <c r="HD60" s="89">
        <f t="shared" si="18"/>
        <v>0</v>
      </c>
      <c r="HE60" s="89">
        <f t="shared" ref="HE60:HM61" si="20">CZ60</f>
        <v>0</v>
      </c>
      <c r="HF60" s="89">
        <f t="shared" si="20"/>
        <v>0</v>
      </c>
      <c r="HG60" s="89">
        <f t="shared" si="20"/>
        <v>0</v>
      </c>
      <c r="HH60" s="89">
        <f t="shared" si="20"/>
        <v>0</v>
      </c>
      <c r="HI60" s="89">
        <f t="shared" si="20"/>
        <v>0</v>
      </c>
      <c r="HJ60" s="89">
        <f t="shared" si="20"/>
        <v>0</v>
      </c>
      <c r="HK60" s="89">
        <f t="shared" si="20"/>
        <v>0</v>
      </c>
      <c r="HL60" s="89">
        <f t="shared" si="20"/>
        <v>0</v>
      </c>
      <c r="HM60" s="89">
        <f t="shared" si="20"/>
        <v>0</v>
      </c>
    </row>
    <row r="61" spans="1:221" x14ac:dyDescent="0.2">
      <c r="B61" s="207">
        <f t="shared" ref="B61:M61" si="21">SUM(B19:B60)</f>
        <v>0</v>
      </c>
      <c r="C61" s="207">
        <f t="shared" si="21"/>
        <v>0</v>
      </c>
      <c r="D61" s="207">
        <f t="shared" si="21"/>
        <v>0</v>
      </c>
      <c r="E61" s="207">
        <f t="shared" si="21"/>
        <v>0</v>
      </c>
      <c r="F61" s="207">
        <f t="shared" si="21"/>
        <v>0</v>
      </c>
      <c r="G61" s="207">
        <f t="shared" si="21"/>
        <v>0</v>
      </c>
      <c r="H61" s="207">
        <f t="shared" si="21"/>
        <v>0</v>
      </c>
      <c r="I61" s="207">
        <f t="shared" si="21"/>
        <v>0</v>
      </c>
      <c r="J61" s="207">
        <f t="shared" si="21"/>
        <v>0</v>
      </c>
      <c r="K61" s="207">
        <f t="shared" si="21"/>
        <v>0</v>
      </c>
      <c r="L61" s="207">
        <f t="shared" si="21"/>
        <v>0</v>
      </c>
      <c r="M61" s="207">
        <f t="shared" si="21"/>
        <v>0</v>
      </c>
      <c r="O61" s="215">
        <f t="shared" ref="O61:Z61" si="22">SUM(O19:O60)</f>
        <v>0</v>
      </c>
      <c r="P61" s="216">
        <f t="shared" si="22"/>
        <v>0</v>
      </c>
      <c r="Q61" s="216">
        <f t="shared" si="22"/>
        <v>0</v>
      </c>
      <c r="R61" s="216">
        <f t="shared" si="22"/>
        <v>0</v>
      </c>
      <c r="S61" s="217">
        <f t="shared" si="22"/>
        <v>0</v>
      </c>
      <c r="T61" s="217">
        <f t="shared" si="22"/>
        <v>0</v>
      </c>
      <c r="U61" s="217">
        <f t="shared" si="22"/>
        <v>0</v>
      </c>
      <c r="V61" s="217">
        <f t="shared" si="22"/>
        <v>0</v>
      </c>
      <c r="W61" s="217">
        <f t="shared" si="22"/>
        <v>0</v>
      </c>
      <c r="X61" s="217">
        <f t="shared" si="22"/>
        <v>0</v>
      </c>
      <c r="Y61" s="217">
        <f t="shared" si="22"/>
        <v>0</v>
      </c>
      <c r="Z61" s="218">
        <f t="shared" si="22"/>
        <v>0</v>
      </c>
      <c r="AD61" s="207">
        <f t="shared" ref="AD61:AO61" si="23">SUM(AD19:AD60)</f>
        <v>0</v>
      </c>
      <c r="AE61" s="207">
        <f t="shared" si="23"/>
        <v>0</v>
      </c>
      <c r="AF61" s="207">
        <f t="shared" si="23"/>
        <v>0</v>
      </c>
      <c r="AG61" s="207">
        <f t="shared" si="23"/>
        <v>0</v>
      </c>
      <c r="AH61" s="207">
        <f t="shared" si="23"/>
        <v>0</v>
      </c>
      <c r="AI61" s="207">
        <f t="shared" si="23"/>
        <v>0</v>
      </c>
      <c r="AJ61" s="207">
        <f t="shared" si="23"/>
        <v>0</v>
      </c>
      <c r="AK61" s="207">
        <f t="shared" si="23"/>
        <v>0</v>
      </c>
      <c r="AL61" s="207">
        <f t="shared" si="23"/>
        <v>0</v>
      </c>
      <c r="AM61" s="207">
        <f t="shared" si="23"/>
        <v>0</v>
      </c>
      <c r="AN61" s="207">
        <f t="shared" si="23"/>
        <v>0</v>
      </c>
      <c r="AO61" s="207">
        <f t="shared" si="23"/>
        <v>0</v>
      </c>
      <c r="AP61" s="362">
        <f>SUM(AP19:AP60)</f>
        <v>0</v>
      </c>
      <c r="AQ61" s="25">
        <f>SUM(AQ19:AQ60)</f>
        <v>0</v>
      </c>
      <c r="AR61" s="25">
        <f>0.6*AQ61</f>
        <v>0</v>
      </c>
      <c r="AS61" s="249"/>
      <c r="AV61" s="207">
        <f t="shared" ref="AV61:BG61" si="24">SUM(AV19:AV60)</f>
        <v>0</v>
      </c>
      <c r="AW61" s="207">
        <f t="shared" si="24"/>
        <v>0</v>
      </c>
      <c r="AX61" s="207">
        <f t="shared" si="24"/>
        <v>0</v>
      </c>
      <c r="AY61" s="207">
        <f t="shared" si="24"/>
        <v>0</v>
      </c>
      <c r="AZ61" s="207">
        <f t="shared" si="24"/>
        <v>0</v>
      </c>
      <c r="BA61" s="207">
        <f t="shared" si="24"/>
        <v>0</v>
      </c>
      <c r="BB61" s="207">
        <f t="shared" si="24"/>
        <v>0</v>
      </c>
      <c r="BC61" s="207">
        <f t="shared" si="24"/>
        <v>0</v>
      </c>
      <c r="BD61" s="207">
        <f t="shared" si="24"/>
        <v>0</v>
      </c>
      <c r="BE61" s="207">
        <f t="shared" si="24"/>
        <v>0</v>
      </c>
      <c r="BF61" s="207">
        <f t="shared" si="24"/>
        <v>0</v>
      </c>
      <c r="BG61" s="207">
        <f t="shared" si="24"/>
        <v>0</v>
      </c>
      <c r="BH61" s="362">
        <f>SUM(BH19:BH60)</f>
        <v>0</v>
      </c>
      <c r="BI61" s="25">
        <f>SUM(BI19:BI60)</f>
        <v>0</v>
      </c>
      <c r="BJ61" s="25">
        <f>0.6*BI61</f>
        <v>0</v>
      </c>
      <c r="BK61" s="25"/>
      <c r="BO61" s="207">
        <f t="shared" ref="BO61:BZ61" si="25">SUM(BO19:BO60)</f>
        <v>0</v>
      </c>
      <c r="BP61" s="207">
        <f t="shared" si="25"/>
        <v>0</v>
      </c>
      <c r="BQ61" s="207">
        <f t="shared" si="25"/>
        <v>0</v>
      </c>
      <c r="BR61" s="207">
        <f t="shared" si="25"/>
        <v>0</v>
      </c>
      <c r="BS61" s="207">
        <f t="shared" si="25"/>
        <v>0</v>
      </c>
      <c r="BT61" s="207">
        <f t="shared" si="25"/>
        <v>0</v>
      </c>
      <c r="BU61" s="207">
        <f t="shared" si="25"/>
        <v>0</v>
      </c>
      <c r="BV61" s="207">
        <f t="shared" si="25"/>
        <v>0</v>
      </c>
      <c r="BW61" s="207">
        <f t="shared" si="25"/>
        <v>0</v>
      </c>
      <c r="BX61" s="207">
        <f t="shared" si="25"/>
        <v>0</v>
      </c>
      <c r="BY61" s="207">
        <f t="shared" si="25"/>
        <v>0</v>
      </c>
      <c r="BZ61" s="207">
        <f t="shared" si="25"/>
        <v>0</v>
      </c>
      <c r="CA61" s="362">
        <f>SUM(CA19:CA60)</f>
        <v>0</v>
      </c>
      <c r="CB61" s="25">
        <f>SUM(CB19:CB60)</f>
        <v>0</v>
      </c>
      <c r="CC61" s="25"/>
      <c r="CD61" s="249"/>
      <c r="CG61" s="207">
        <f t="shared" ref="CG61:CR61" si="26">SUM(CG19:CG60)</f>
        <v>0</v>
      </c>
      <c r="CH61" s="207">
        <f t="shared" si="26"/>
        <v>0</v>
      </c>
      <c r="CI61" s="207">
        <f t="shared" si="26"/>
        <v>0</v>
      </c>
      <c r="CJ61" s="207">
        <f t="shared" si="26"/>
        <v>0</v>
      </c>
      <c r="CK61" s="207">
        <f t="shared" si="26"/>
        <v>0</v>
      </c>
      <c r="CL61" s="207">
        <f t="shared" si="26"/>
        <v>0</v>
      </c>
      <c r="CM61" s="207">
        <f t="shared" si="26"/>
        <v>0</v>
      </c>
      <c r="CN61" s="207">
        <f t="shared" si="26"/>
        <v>0</v>
      </c>
      <c r="CO61" s="207">
        <f t="shared" si="26"/>
        <v>0</v>
      </c>
      <c r="CP61" s="207">
        <f t="shared" si="26"/>
        <v>0</v>
      </c>
      <c r="CQ61" s="207">
        <f t="shared" si="26"/>
        <v>0</v>
      </c>
      <c r="CR61" s="207">
        <f t="shared" si="26"/>
        <v>0</v>
      </c>
      <c r="CS61" s="362">
        <f>SUM(CS19:CS60)</f>
        <v>0</v>
      </c>
      <c r="CT61" s="207">
        <f>SUM(CT19:CT60)</f>
        <v>0</v>
      </c>
      <c r="CU61" s="207">
        <f>SUM(CU19:CU60)</f>
        <v>0</v>
      </c>
      <c r="CW61" s="215">
        <f t="shared" ref="CW61:DH61" si="27">SUM(CW19:CW60)</f>
        <v>0</v>
      </c>
      <c r="CX61" s="216">
        <f t="shared" si="27"/>
        <v>0</v>
      </c>
      <c r="CY61" s="216">
        <f t="shared" si="27"/>
        <v>0</v>
      </c>
      <c r="CZ61" s="216">
        <f t="shared" si="27"/>
        <v>0</v>
      </c>
      <c r="DA61" s="217">
        <f t="shared" si="27"/>
        <v>0</v>
      </c>
      <c r="DB61" s="217">
        <f t="shared" si="27"/>
        <v>0</v>
      </c>
      <c r="DC61" s="217">
        <f t="shared" si="27"/>
        <v>0</v>
      </c>
      <c r="DD61" s="217">
        <f t="shared" si="27"/>
        <v>0</v>
      </c>
      <c r="DE61" s="217">
        <f t="shared" si="27"/>
        <v>0</v>
      </c>
      <c r="DF61" s="217">
        <f t="shared" si="27"/>
        <v>0</v>
      </c>
      <c r="DG61" s="217">
        <f t="shared" si="27"/>
        <v>0</v>
      </c>
      <c r="DH61" s="218">
        <f t="shared" si="27"/>
        <v>0</v>
      </c>
      <c r="DI61" s="246">
        <f>SUM(DI19:DI60)</f>
        <v>0</v>
      </c>
      <c r="DJ61" s="258">
        <f>SUM(DJ19:DJ60)</f>
        <v>0</v>
      </c>
      <c r="DK61" s="258">
        <f>SUM(DK19:DK60)</f>
        <v>0</v>
      </c>
      <c r="DL61" s="246"/>
      <c r="GO61" s="89">
        <f t="shared" ref="GO61:GZ61" si="28">SUM(GO19:GO60)</f>
        <v>0</v>
      </c>
      <c r="GP61" s="89">
        <f t="shared" si="28"/>
        <v>0</v>
      </c>
      <c r="GQ61" s="89">
        <f t="shared" si="28"/>
        <v>0</v>
      </c>
      <c r="GR61" s="89">
        <f t="shared" si="28"/>
        <v>0</v>
      </c>
      <c r="GS61" s="89">
        <f t="shared" si="28"/>
        <v>0</v>
      </c>
      <c r="GT61" s="89">
        <f t="shared" si="28"/>
        <v>0</v>
      </c>
      <c r="GU61" s="89">
        <f t="shared" si="28"/>
        <v>0</v>
      </c>
      <c r="GV61" s="89">
        <f t="shared" si="28"/>
        <v>0</v>
      </c>
      <c r="GW61" s="89">
        <f t="shared" si="28"/>
        <v>0</v>
      </c>
      <c r="GX61" s="89">
        <f t="shared" si="28"/>
        <v>0</v>
      </c>
      <c r="GY61" s="89">
        <f t="shared" si="28"/>
        <v>0</v>
      </c>
      <c r="GZ61" s="89">
        <f t="shared" si="28"/>
        <v>0</v>
      </c>
      <c r="HB61" s="89">
        <f t="shared" si="16"/>
        <v>0</v>
      </c>
      <c r="HC61" s="89">
        <f t="shared" si="17"/>
        <v>0</v>
      </c>
      <c r="HD61" s="89">
        <f t="shared" si="18"/>
        <v>0</v>
      </c>
      <c r="HE61" s="89">
        <f t="shared" si="20"/>
        <v>0</v>
      </c>
      <c r="HF61" s="89">
        <f t="shared" si="20"/>
        <v>0</v>
      </c>
      <c r="HG61" s="89">
        <f t="shared" si="20"/>
        <v>0</v>
      </c>
      <c r="HH61" s="89">
        <f t="shared" si="20"/>
        <v>0</v>
      </c>
      <c r="HI61" s="89">
        <f t="shared" si="20"/>
        <v>0</v>
      </c>
      <c r="HJ61" s="89">
        <f t="shared" si="20"/>
        <v>0</v>
      </c>
      <c r="HK61" s="89">
        <f t="shared" si="20"/>
        <v>0</v>
      </c>
      <c r="HL61" s="89">
        <f t="shared" si="20"/>
        <v>0</v>
      </c>
      <c r="HM61" s="89">
        <f t="shared" si="20"/>
        <v>0</v>
      </c>
    </row>
    <row r="63" spans="1:221" x14ac:dyDescent="0.2">
      <c r="A63" s="127" t="s">
        <v>895</v>
      </c>
      <c r="FV63" s="127" t="s">
        <v>895</v>
      </c>
    </row>
    <row r="64" spans="1:221" x14ac:dyDescent="0.2">
      <c r="A64" s="127"/>
      <c r="FV64" s="127"/>
      <c r="FW64" s="89" t="s">
        <v>767</v>
      </c>
      <c r="FX64" s="89" t="s">
        <v>768</v>
      </c>
      <c r="FY64" s="89" t="s">
        <v>769</v>
      </c>
    </row>
    <row r="65" spans="1:207" x14ac:dyDescent="0.2">
      <c r="A65" s="127" t="s">
        <v>508</v>
      </c>
      <c r="B65" s="89">
        <f>'Verwerken verlichting'!S29</f>
        <v>0</v>
      </c>
      <c r="FV65" s="127" t="s">
        <v>508</v>
      </c>
      <c r="FW65" s="89">
        <f>'Verwerken verlichting'!BI29</f>
        <v>0</v>
      </c>
      <c r="FX65" s="89">
        <f>'Verwerken verlichting'!AZ29</f>
        <v>0</v>
      </c>
      <c r="FY65" s="89">
        <f>'Verwerken verlichting'!AQ29</f>
        <v>0</v>
      </c>
      <c r="GM65" s="127" t="s">
        <v>508</v>
      </c>
      <c r="GN65" s="89">
        <f>'Verwerken verlichting'!BI29</f>
        <v>0</v>
      </c>
    </row>
    <row r="66" spans="1:207" x14ac:dyDescent="0.2">
      <c r="A66" s="127" t="s">
        <v>539</v>
      </c>
      <c r="B66" s="89">
        <f>'Verwerken verlichting'!W29</f>
        <v>0</v>
      </c>
      <c r="FV66" s="127" t="s">
        <v>539</v>
      </c>
      <c r="FW66" s="89">
        <f>'Verwerken verlichting'!BM19</f>
        <v>0</v>
      </c>
      <c r="FX66" s="89">
        <f>'Verwerken verlichting'!BD29</f>
        <v>0</v>
      </c>
      <c r="FY66" s="89">
        <f>'Verwerken verlichting'!AU29</f>
        <v>0</v>
      </c>
      <c r="GM66" s="127" t="s">
        <v>539</v>
      </c>
      <c r="GN66" s="89">
        <f>'Verwerken verlichting'!BM29</f>
        <v>0</v>
      </c>
    </row>
    <row r="68" spans="1:207" x14ac:dyDescent="0.2">
      <c r="A68" s="127" t="s">
        <v>898</v>
      </c>
      <c r="FV68" s="127" t="s">
        <v>898</v>
      </c>
      <c r="GM68" s="127" t="s">
        <v>898</v>
      </c>
    </row>
    <row r="70" spans="1:207" x14ac:dyDescent="0.2">
      <c r="B70" s="89" t="s">
        <v>505</v>
      </c>
      <c r="C70" s="89" t="s">
        <v>506</v>
      </c>
      <c r="D70" s="89" t="s">
        <v>507</v>
      </c>
      <c r="E70" s="89" t="s">
        <v>508</v>
      </c>
      <c r="F70" s="89" t="s">
        <v>509</v>
      </c>
      <c r="G70" s="89" t="s">
        <v>527</v>
      </c>
      <c r="FW70" s="89" t="s">
        <v>505</v>
      </c>
      <c r="FX70" s="89" t="s">
        <v>506</v>
      </c>
      <c r="FY70" s="89" t="s">
        <v>507</v>
      </c>
      <c r="FZ70" s="89" t="s">
        <v>508</v>
      </c>
      <c r="GA70" s="89" t="s">
        <v>509</v>
      </c>
      <c r="GB70" s="89" t="s">
        <v>527</v>
      </c>
      <c r="GN70" s="89" t="s">
        <v>505</v>
      </c>
      <c r="GO70" s="89" t="s">
        <v>506</v>
      </c>
      <c r="GP70" s="89" t="s">
        <v>507</v>
      </c>
      <c r="GQ70" s="89" t="s">
        <v>508</v>
      </c>
      <c r="GR70" s="89" t="s">
        <v>509</v>
      </c>
      <c r="GS70" s="89" t="s">
        <v>527</v>
      </c>
    </row>
    <row r="71" spans="1:207" x14ac:dyDescent="0.2">
      <c r="B71" s="89">
        <f>0.3*'Invoer Algemeen'!D18*2.63*'Fitten energieverbruik'!C19</f>
        <v>0</v>
      </c>
      <c r="C71" s="89">
        <f>'Fitten energieverbruik'!C18*2.63*'Invoer Algemeen'!D18</f>
        <v>0</v>
      </c>
      <c r="D71" s="89">
        <f>0.8*0.39*'Verwerken ventilatie'!D61</f>
        <v>0</v>
      </c>
      <c r="E71" s="89">
        <f>'Verwerken verlichting'!W29</f>
        <v>0</v>
      </c>
      <c r="F71" s="89">
        <v>0.8</v>
      </c>
      <c r="G71" s="89">
        <f>F71*(B71+C71+D71+E71)</f>
        <v>0</v>
      </c>
      <c r="FW71" s="89">
        <f>B71</f>
        <v>0</v>
      </c>
      <c r="FX71" s="89">
        <f>C71</f>
        <v>0</v>
      </c>
      <c r="FY71" s="89">
        <f>D71</f>
        <v>0</v>
      </c>
      <c r="FZ71" s="89">
        <f>'Verwerken verlichting'!AU29</f>
        <v>0</v>
      </c>
      <c r="GA71" s="89">
        <v>0.8</v>
      </c>
      <c r="GB71" s="89">
        <f>GA71*(FW71+FX71+FY71+FZ71)</f>
        <v>0</v>
      </c>
      <c r="GN71" s="89">
        <f>FW71</f>
        <v>0</v>
      </c>
      <c r="GO71" s="89">
        <f>FX71</f>
        <v>0</v>
      </c>
      <c r="GP71" s="89">
        <f>0.8*0.39*'Verwerken ventilatie'!AM61</f>
        <v>0</v>
      </c>
      <c r="GQ71" s="89">
        <f>'Verwerken verlichting'!BM29</f>
        <v>0</v>
      </c>
      <c r="GR71" s="89">
        <f>GA71</f>
        <v>0.8</v>
      </c>
      <c r="GS71" s="89">
        <f>GR71*(GN71+GO71+GP71+GQ71)</f>
        <v>0</v>
      </c>
    </row>
    <row r="73" spans="1:207" x14ac:dyDescent="0.2">
      <c r="A73" s="127" t="s">
        <v>899</v>
      </c>
    </row>
    <row r="75" spans="1:207" x14ac:dyDescent="0.2">
      <c r="B75" s="125" t="s">
        <v>452</v>
      </c>
      <c r="C75" s="125" t="s">
        <v>453</v>
      </c>
      <c r="D75" s="125" t="s">
        <v>398</v>
      </c>
      <c r="E75" s="125" t="s">
        <v>399</v>
      </c>
      <c r="F75" s="125" t="s">
        <v>400</v>
      </c>
      <c r="G75" s="125" t="s">
        <v>401</v>
      </c>
      <c r="H75" s="125" t="s">
        <v>402</v>
      </c>
      <c r="I75" s="125" t="s">
        <v>454</v>
      </c>
      <c r="J75" s="125" t="s">
        <v>455</v>
      </c>
      <c r="K75" s="125" t="s">
        <v>456</v>
      </c>
      <c r="L75" s="125" t="s">
        <v>457</v>
      </c>
      <c r="M75" s="125" t="s">
        <v>458</v>
      </c>
      <c r="DO75" s="125" t="s">
        <v>452</v>
      </c>
      <c r="DP75" s="125" t="s">
        <v>453</v>
      </c>
      <c r="DQ75" s="125" t="s">
        <v>398</v>
      </c>
      <c r="DR75" s="125" t="s">
        <v>399</v>
      </c>
      <c r="DS75" s="125" t="s">
        <v>400</v>
      </c>
      <c r="DT75" s="125" t="s">
        <v>401</v>
      </c>
      <c r="DU75" s="125" t="s">
        <v>402</v>
      </c>
      <c r="DV75" s="125" t="s">
        <v>454</v>
      </c>
      <c r="DW75" s="125" t="s">
        <v>455</v>
      </c>
      <c r="DX75" s="125" t="s">
        <v>456</v>
      </c>
      <c r="DY75" s="125" t="s">
        <v>457</v>
      </c>
      <c r="DZ75" s="125" t="s">
        <v>458</v>
      </c>
      <c r="EA75" s="125" t="s">
        <v>754</v>
      </c>
      <c r="EB75" s="125" t="s">
        <v>47</v>
      </c>
      <c r="EC75" s="125" t="s">
        <v>614</v>
      </c>
      <c r="GN75" s="125" t="s">
        <v>452</v>
      </c>
      <c r="GO75" s="125" t="s">
        <v>453</v>
      </c>
      <c r="GP75" s="125" t="s">
        <v>398</v>
      </c>
      <c r="GQ75" s="125" t="s">
        <v>399</v>
      </c>
      <c r="GR75" s="125" t="s">
        <v>400</v>
      </c>
      <c r="GS75" s="125" t="s">
        <v>401</v>
      </c>
      <c r="GT75" s="125" t="s">
        <v>402</v>
      </c>
      <c r="GU75" s="125" t="s">
        <v>454</v>
      </c>
      <c r="GV75" s="125" t="s">
        <v>455</v>
      </c>
      <c r="GW75" s="125" t="s">
        <v>456</v>
      </c>
      <c r="GX75" s="125" t="s">
        <v>457</v>
      </c>
      <c r="GY75" s="125" t="s">
        <v>458</v>
      </c>
    </row>
    <row r="76" spans="1:207" x14ac:dyDescent="0.2">
      <c r="A76" s="89">
        <f>IF('Verwerking Bouwdelen'!A3=4,1,0)</f>
        <v>0</v>
      </c>
      <c r="B76" s="223">
        <f>$A76*'Verwerking Bouwdelen'!CJ3</f>
        <v>0</v>
      </c>
      <c r="C76" s="224">
        <f>$A76*'Verwerking Bouwdelen'!CK3</f>
        <v>0</v>
      </c>
      <c r="D76" s="224">
        <f>$A76*'Verwerking Bouwdelen'!CL3</f>
        <v>0</v>
      </c>
      <c r="E76" s="224">
        <f>$A76*'Verwerking Bouwdelen'!CM3</f>
        <v>0</v>
      </c>
      <c r="F76" s="224">
        <f>$A76*'Verwerking Bouwdelen'!CN3</f>
        <v>0</v>
      </c>
      <c r="G76" s="224">
        <f>$A76*'Verwerking Bouwdelen'!CO3</f>
        <v>0</v>
      </c>
      <c r="H76" s="224">
        <f>$A76*'Verwerking Bouwdelen'!CP3</f>
        <v>0</v>
      </c>
      <c r="I76" s="224">
        <f>$A76*'Verwerking Bouwdelen'!CQ3</f>
        <v>0</v>
      </c>
      <c r="J76" s="224">
        <f>$A76*'Verwerking Bouwdelen'!CR3</f>
        <v>0</v>
      </c>
      <c r="K76" s="224">
        <f>$A76*'Verwerking Bouwdelen'!CS3</f>
        <v>0</v>
      </c>
      <c r="L76" s="224">
        <f>$A76*'Verwerking Bouwdelen'!CT3</f>
        <v>0</v>
      </c>
      <c r="M76" s="225">
        <f>$A76*'Verwerking Bouwdelen'!CU3</f>
        <v>0</v>
      </c>
      <c r="DN76" s="89">
        <f>IF('Verwerking Bouwdelen'!A3=4,1,0)</f>
        <v>0</v>
      </c>
      <c r="DO76" s="223">
        <f>$DN76*'Verwerking Bouwdelen'!FT3</f>
        <v>0</v>
      </c>
      <c r="DP76" s="223">
        <f>$DN76*'Verwerking Bouwdelen'!FU3</f>
        <v>0</v>
      </c>
      <c r="DQ76" s="223">
        <f>$DN76*'Verwerking Bouwdelen'!FV3</f>
        <v>0</v>
      </c>
      <c r="DR76" s="223">
        <f>$DN76*'Verwerking Bouwdelen'!FW3</f>
        <v>0</v>
      </c>
      <c r="DS76" s="223">
        <f>$DN76*'Verwerking Bouwdelen'!FX3</f>
        <v>0</v>
      </c>
      <c r="DT76" s="223">
        <f>$DN76*'Verwerking Bouwdelen'!FY3</f>
        <v>0</v>
      </c>
      <c r="DU76" s="223">
        <f>$DN76*'Verwerking Bouwdelen'!FZ3</f>
        <v>0</v>
      </c>
      <c r="DV76" s="223">
        <f>$DN76*'Verwerking Bouwdelen'!GA3</f>
        <v>0</v>
      </c>
      <c r="DW76" s="223">
        <f>$DN76*'Verwerking Bouwdelen'!GB3</f>
        <v>0</v>
      </c>
      <c r="DX76" s="223">
        <f>$DN76*'Verwerking Bouwdelen'!GC3</f>
        <v>0</v>
      </c>
      <c r="DY76" s="223">
        <f>$DN76*'Verwerking Bouwdelen'!GD3</f>
        <v>0</v>
      </c>
      <c r="DZ76" s="223">
        <f>$DN76*'Verwerking Bouwdelen'!GE3</f>
        <v>0</v>
      </c>
      <c r="EA76" s="89">
        <f>'Verwerking Bouwdelen'!GO3*DN76</f>
        <v>0</v>
      </c>
      <c r="EB76" s="125">
        <f>'Verwerking Bouwdelen'!GP3*DN76</f>
        <v>0</v>
      </c>
      <c r="EC76" s="89">
        <f>0.6*EB76</f>
        <v>0</v>
      </c>
      <c r="GN76" s="220">
        <f t="shared" ref="GN76:GN96" si="29">DO76</f>
        <v>0</v>
      </c>
      <c r="GO76" s="220">
        <f t="shared" ref="GO76:GO96" si="30">DP76</f>
        <v>0</v>
      </c>
      <c r="GP76" s="220">
        <f t="shared" ref="GP76:GP96" si="31">DQ76</f>
        <v>0</v>
      </c>
      <c r="GQ76" s="220">
        <f t="shared" ref="GQ76:GQ96" si="32">DR76</f>
        <v>0</v>
      </c>
      <c r="GR76" s="220">
        <f t="shared" ref="GR76:GR96" si="33">DS76</f>
        <v>0</v>
      </c>
      <c r="GS76" s="220">
        <f t="shared" ref="GS76:GS96" si="34">DT76</f>
        <v>0</v>
      </c>
      <c r="GT76" s="220">
        <f t="shared" ref="GT76:GT96" si="35">DU76</f>
        <v>0</v>
      </c>
      <c r="GU76" s="220">
        <f t="shared" ref="GU76:GU96" si="36">DV76</f>
        <v>0</v>
      </c>
      <c r="GV76" s="220">
        <f t="shared" ref="GV76:GV96" si="37">DW76</f>
        <v>0</v>
      </c>
      <c r="GW76" s="220">
        <f t="shared" ref="GW76:GW96" si="38">DX76</f>
        <v>0</v>
      </c>
      <c r="GX76" s="220">
        <f t="shared" ref="GX76:GX96" si="39">DY76</f>
        <v>0</v>
      </c>
      <c r="GY76" s="220">
        <f t="shared" ref="GY76:GY96" si="40">DZ76</f>
        <v>0</v>
      </c>
    </row>
    <row r="77" spans="1:207" x14ac:dyDescent="0.2">
      <c r="A77" s="89">
        <f>IF('Verwerking Bouwdelen'!A4=4,1,0)</f>
        <v>0</v>
      </c>
      <c r="B77" s="226">
        <f>$A77*'Verwerking Bouwdelen'!CJ4</f>
        <v>0</v>
      </c>
      <c r="C77" s="227">
        <f>$A77*'Verwerking Bouwdelen'!CK4</f>
        <v>0</v>
      </c>
      <c r="D77" s="227">
        <f>$A77*'Verwerking Bouwdelen'!CL4</f>
        <v>0</v>
      </c>
      <c r="E77" s="227">
        <f>$A77*'Verwerking Bouwdelen'!CM4</f>
        <v>0</v>
      </c>
      <c r="F77" s="227">
        <f>$A77*'Verwerking Bouwdelen'!CN4</f>
        <v>0</v>
      </c>
      <c r="G77" s="227">
        <f>$A77*'Verwerking Bouwdelen'!CO4</f>
        <v>0</v>
      </c>
      <c r="H77" s="227">
        <f>$A77*'Verwerking Bouwdelen'!CP4</f>
        <v>0</v>
      </c>
      <c r="I77" s="227">
        <f>$A77*'Verwerking Bouwdelen'!CQ4</f>
        <v>0</v>
      </c>
      <c r="J77" s="227">
        <f>$A77*'Verwerking Bouwdelen'!CR4</f>
        <v>0</v>
      </c>
      <c r="K77" s="227">
        <f>$A77*'Verwerking Bouwdelen'!CS4</f>
        <v>0</v>
      </c>
      <c r="L77" s="227">
        <f>$A77*'Verwerking Bouwdelen'!CT4</f>
        <v>0</v>
      </c>
      <c r="M77" s="228">
        <f>$A77*'Verwerking Bouwdelen'!CU4</f>
        <v>0</v>
      </c>
      <c r="DN77" s="89">
        <f>IF('Verwerking Bouwdelen'!A4=4,1,0)</f>
        <v>0</v>
      </c>
      <c r="DO77" s="223">
        <f>$DN77*'Verwerking Bouwdelen'!FT4</f>
        <v>0</v>
      </c>
      <c r="DP77" s="223">
        <f>$DN77*'Verwerking Bouwdelen'!FU4</f>
        <v>0</v>
      </c>
      <c r="DQ77" s="223">
        <f>$DN77*'Verwerking Bouwdelen'!FV4</f>
        <v>0</v>
      </c>
      <c r="DR77" s="223">
        <f>$DN77*'Verwerking Bouwdelen'!FW4</f>
        <v>0</v>
      </c>
      <c r="DS77" s="223">
        <f>$DN77*'Verwerking Bouwdelen'!FX4</f>
        <v>0</v>
      </c>
      <c r="DT77" s="223">
        <f>$DN77*'Verwerking Bouwdelen'!FY4</f>
        <v>0</v>
      </c>
      <c r="DU77" s="223">
        <f>$DN77*'Verwerking Bouwdelen'!FZ4</f>
        <v>0</v>
      </c>
      <c r="DV77" s="223">
        <f>$DN77*'Verwerking Bouwdelen'!GA4</f>
        <v>0</v>
      </c>
      <c r="DW77" s="223">
        <f>$DN77*'Verwerking Bouwdelen'!GB4</f>
        <v>0</v>
      </c>
      <c r="DX77" s="223">
        <f>$DN77*'Verwerking Bouwdelen'!GC4</f>
        <v>0</v>
      </c>
      <c r="DY77" s="223">
        <f>$DN77*'Verwerking Bouwdelen'!GD4</f>
        <v>0</v>
      </c>
      <c r="DZ77" s="223">
        <f>$DN77*'Verwerking Bouwdelen'!GE4</f>
        <v>0</v>
      </c>
      <c r="EA77" s="89">
        <f>'Verwerking Bouwdelen'!GO4*DN77</f>
        <v>0</v>
      </c>
      <c r="EB77" s="125">
        <f>'Verwerking Bouwdelen'!GP4*DN77</f>
        <v>0</v>
      </c>
      <c r="EC77" s="89">
        <f t="shared" ref="EC77:EC117" si="41">0.6*EB77</f>
        <v>0</v>
      </c>
      <c r="GN77" s="220">
        <f t="shared" si="29"/>
        <v>0</v>
      </c>
      <c r="GO77" s="220">
        <f t="shared" si="30"/>
        <v>0</v>
      </c>
      <c r="GP77" s="220">
        <f t="shared" si="31"/>
        <v>0</v>
      </c>
      <c r="GQ77" s="220">
        <f t="shared" si="32"/>
        <v>0</v>
      </c>
      <c r="GR77" s="220">
        <f t="shared" si="33"/>
        <v>0</v>
      </c>
      <c r="GS77" s="220">
        <f t="shared" si="34"/>
        <v>0</v>
      </c>
      <c r="GT77" s="220">
        <f t="shared" si="35"/>
        <v>0</v>
      </c>
      <c r="GU77" s="220">
        <f t="shared" si="36"/>
        <v>0</v>
      </c>
      <c r="GV77" s="220">
        <f t="shared" si="37"/>
        <v>0</v>
      </c>
      <c r="GW77" s="220">
        <f t="shared" si="38"/>
        <v>0</v>
      </c>
      <c r="GX77" s="220">
        <f t="shared" si="39"/>
        <v>0</v>
      </c>
      <c r="GY77" s="220">
        <f t="shared" si="40"/>
        <v>0</v>
      </c>
    </row>
    <row r="78" spans="1:207" x14ac:dyDescent="0.2">
      <c r="A78" s="89">
        <f>IF('Verwerking Bouwdelen'!A5=4,1,0)</f>
        <v>0</v>
      </c>
      <c r="B78" s="226">
        <f>$A78*'Verwerking Bouwdelen'!CJ5</f>
        <v>0</v>
      </c>
      <c r="C78" s="227">
        <f>$A78*'Verwerking Bouwdelen'!CK5</f>
        <v>0</v>
      </c>
      <c r="D78" s="227">
        <f>$A78*'Verwerking Bouwdelen'!CL5</f>
        <v>0</v>
      </c>
      <c r="E78" s="227">
        <f>$A78*'Verwerking Bouwdelen'!CM5</f>
        <v>0</v>
      </c>
      <c r="F78" s="227">
        <f>$A78*'Verwerking Bouwdelen'!CN5</f>
        <v>0</v>
      </c>
      <c r="G78" s="227">
        <f>$A78*'Verwerking Bouwdelen'!CO5</f>
        <v>0</v>
      </c>
      <c r="H78" s="227">
        <f>$A78*'Verwerking Bouwdelen'!CP5</f>
        <v>0</v>
      </c>
      <c r="I78" s="227">
        <f>$A78*'Verwerking Bouwdelen'!CQ5</f>
        <v>0</v>
      </c>
      <c r="J78" s="227">
        <f>$A78*'Verwerking Bouwdelen'!CR5</f>
        <v>0</v>
      </c>
      <c r="K78" s="227">
        <f>$A78*'Verwerking Bouwdelen'!CS5</f>
        <v>0</v>
      </c>
      <c r="L78" s="227">
        <f>$A78*'Verwerking Bouwdelen'!CT5</f>
        <v>0</v>
      </c>
      <c r="M78" s="228">
        <f>$A78*'Verwerking Bouwdelen'!CU5</f>
        <v>0</v>
      </c>
      <c r="DN78" s="89">
        <f>IF('Verwerking Bouwdelen'!A5=4,1,0)</f>
        <v>0</v>
      </c>
      <c r="DO78" s="223">
        <f>$DN78*'Verwerking Bouwdelen'!FT5</f>
        <v>0</v>
      </c>
      <c r="DP78" s="223">
        <f>$DN78*'Verwerking Bouwdelen'!FU5</f>
        <v>0</v>
      </c>
      <c r="DQ78" s="223">
        <f>$DN78*'Verwerking Bouwdelen'!FV5</f>
        <v>0</v>
      </c>
      <c r="DR78" s="223">
        <f>$DN78*'Verwerking Bouwdelen'!FW5</f>
        <v>0</v>
      </c>
      <c r="DS78" s="223">
        <f>$DN78*'Verwerking Bouwdelen'!FX5</f>
        <v>0</v>
      </c>
      <c r="DT78" s="223">
        <f>$DN78*'Verwerking Bouwdelen'!FY5</f>
        <v>0</v>
      </c>
      <c r="DU78" s="223">
        <f>$DN78*'Verwerking Bouwdelen'!FZ5</f>
        <v>0</v>
      </c>
      <c r="DV78" s="223">
        <f>$DN78*'Verwerking Bouwdelen'!GA5</f>
        <v>0</v>
      </c>
      <c r="DW78" s="223">
        <f>$DN78*'Verwerking Bouwdelen'!GB5</f>
        <v>0</v>
      </c>
      <c r="DX78" s="223">
        <f>$DN78*'Verwerking Bouwdelen'!GC5</f>
        <v>0</v>
      </c>
      <c r="DY78" s="223">
        <f>$DN78*'Verwerking Bouwdelen'!GD5</f>
        <v>0</v>
      </c>
      <c r="DZ78" s="223">
        <f>$DN78*'Verwerking Bouwdelen'!GE5</f>
        <v>0</v>
      </c>
      <c r="EA78" s="89">
        <f>'Verwerking Bouwdelen'!GO5*DN78</f>
        <v>0</v>
      </c>
      <c r="EB78" s="125">
        <f>'Verwerking Bouwdelen'!GP5*DN78</f>
        <v>0</v>
      </c>
      <c r="EC78" s="89">
        <f t="shared" si="41"/>
        <v>0</v>
      </c>
      <c r="GN78" s="220">
        <f t="shared" si="29"/>
        <v>0</v>
      </c>
      <c r="GO78" s="220">
        <f t="shared" si="30"/>
        <v>0</v>
      </c>
      <c r="GP78" s="220">
        <f t="shared" si="31"/>
        <v>0</v>
      </c>
      <c r="GQ78" s="220">
        <f t="shared" si="32"/>
        <v>0</v>
      </c>
      <c r="GR78" s="220">
        <f t="shared" si="33"/>
        <v>0</v>
      </c>
      <c r="GS78" s="220">
        <f t="shared" si="34"/>
        <v>0</v>
      </c>
      <c r="GT78" s="220">
        <f t="shared" si="35"/>
        <v>0</v>
      </c>
      <c r="GU78" s="220">
        <f t="shared" si="36"/>
        <v>0</v>
      </c>
      <c r="GV78" s="220">
        <f t="shared" si="37"/>
        <v>0</v>
      </c>
      <c r="GW78" s="220">
        <f t="shared" si="38"/>
        <v>0</v>
      </c>
      <c r="GX78" s="220">
        <f t="shared" si="39"/>
        <v>0</v>
      </c>
      <c r="GY78" s="220">
        <f t="shared" si="40"/>
        <v>0</v>
      </c>
    </row>
    <row r="79" spans="1:207" x14ac:dyDescent="0.2">
      <c r="A79" s="89">
        <f>IF('Verwerking Bouwdelen'!A6=4,1,0)</f>
        <v>0</v>
      </c>
      <c r="B79" s="226">
        <f>$A79*'Verwerking Bouwdelen'!CJ6</f>
        <v>0</v>
      </c>
      <c r="C79" s="227">
        <f>$A79*'Verwerking Bouwdelen'!CK6</f>
        <v>0</v>
      </c>
      <c r="D79" s="227">
        <f>$A79*'Verwerking Bouwdelen'!CL6</f>
        <v>0</v>
      </c>
      <c r="E79" s="227">
        <f>$A79*'Verwerking Bouwdelen'!CM6</f>
        <v>0</v>
      </c>
      <c r="F79" s="227">
        <f>$A79*'Verwerking Bouwdelen'!CN6</f>
        <v>0</v>
      </c>
      <c r="G79" s="227">
        <f>$A79*'Verwerking Bouwdelen'!CO6</f>
        <v>0</v>
      </c>
      <c r="H79" s="227">
        <f>$A79*'Verwerking Bouwdelen'!CP6</f>
        <v>0</v>
      </c>
      <c r="I79" s="227">
        <f>$A79*'Verwerking Bouwdelen'!CQ6</f>
        <v>0</v>
      </c>
      <c r="J79" s="227">
        <f>$A79*'Verwerking Bouwdelen'!CR6</f>
        <v>0</v>
      </c>
      <c r="K79" s="227">
        <f>$A79*'Verwerking Bouwdelen'!CS6</f>
        <v>0</v>
      </c>
      <c r="L79" s="227">
        <f>$A79*'Verwerking Bouwdelen'!CT6</f>
        <v>0</v>
      </c>
      <c r="M79" s="228">
        <f>$A79*'Verwerking Bouwdelen'!CU6</f>
        <v>0</v>
      </c>
      <c r="DN79" s="89">
        <f>IF('Verwerking Bouwdelen'!A6=4,1,0)</f>
        <v>0</v>
      </c>
      <c r="DO79" s="223">
        <f>$DN79*'Verwerking Bouwdelen'!FT6</f>
        <v>0</v>
      </c>
      <c r="DP79" s="223">
        <f>$DN79*'Verwerking Bouwdelen'!FU6</f>
        <v>0</v>
      </c>
      <c r="DQ79" s="223">
        <f>$DN79*'Verwerking Bouwdelen'!FV6</f>
        <v>0</v>
      </c>
      <c r="DR79" s="223">
        <f>$DN79*'Verwerking Bouwdelen'!FW6</f>
        <v>0</v>
      </c>
      <c r="DS79" s="223">
        <f>$DN79*'Verwerking Bouwdelen'!FX6</f>
        <v>0</v>
      </c>
      <c r="DT79" s="223">
        <f>$DN79*'Verwerking Bouwdelen'!FY6</f>
        <v>0</v>
      </c>
      <c r="DU79" s="223">
        <f>$DN79*'Verwerking Bouwdelen'!FZ6</f>
        <v>0</v>
      </c>
      <c r="DV79" s="223">
        <f>$DN79*'Verwerking Bouwdelen'!GA6</f>
        <v>0</v>
      </c>
      <c r="DW79" s="223">
        <f>$DN79*'Verwerking Bouwdelen'!GB6</f>
        <v>0</v>
      </c>
      <c r="DX79" s="223">
        <f>$DN79*'Verwerking Bouwdelen'!GC6</f>
        <v>0</v>
      </c>
      <c r="DY79" s="223">
        <f>$DN79*'Verwerking Bouwdelen'!GD6</f>
        <v>0</v>
      </c>
      <c r="DZ79" s="223">
        <f>$DN79*'Verwerking Bouwdelen'!GE6</f>
        <v>0</v>
      </c>
      <c r="EA79" s="89">
        <f>'Verwerking Bouwdelen'!GO6*DN79</f>
        <v>0</v>
      </c>
      <c r="EB79" s="125">
        <f>'Verwerking Bouwdelen'!GP6*DN79</f>
        <v>0</v>
      </c>
      <c r="EC79" s="89">
        <f t="shared" si="41"/>
        <v>0</v>
      </c>
      <c r="GN79" s="220">
        <f t="shared" si="29"/>
        <v>0</v>
      </c>
      <c r="GO79" s="220">
        <f t="shared" si="30"/>
        <v>0</v>
      </c>
      <c r="GP79" s="220">
        <f t="shared" si="31"/>
        <v>0</v>
      </c>
      <c r="GQ79" s="220">
        <f t="shared" si="32"/>
        <v>0</v>
      </c>
      <c r="GR79" s="220">
        <f t="shared" si="33"/>
        <v>0</v>
      </c>
      <c r="GS79" s="220">
        <f t="shared" si="34"/>
        <v>0</v>
      </c>
      <c r="GT79" s="220">
        <f t="shared" si="35"/>
        <v>0</v>
      </c>
      <c r="GU79" s="220">
        <f t="shared" si="36"/>
        <v>0</v>
      </c>
      <c r="GV79" s="220">
        <f t="shared" si="37"/>
        <v>0</v>
      </c>
      <c r="GW79" s="220">
        <f t="shared" si="38"/>
        <v>0</v>
      </c>
      <c r="GX79" s="220">
        <f t="shared" si="39"/>
        <v>0</v>
      </c>
      <c r="GY79" s="220">
        <f t="shared" si="40"/>
        <v>0</v>
      </c>
    </row>
    <row r="80" spans="1:207" x14ac:dyDescent="0.2">
      <c r="A80" s="89">
        <f>IF('Verwerking Bouwdelen'!A7=4,1,0)</f>
        <v>0</v>
      </c>
      <c r="B80" s="226">
        <f>$A80*'Verwerking Bouwdelen'!CJ7</f>
        <v>0</v>
      </c>
      <c r="C80" s="227">
        <f>$A80*'Verwerking Bouwdelen'!CK7</f>
        <v>0</v>
      </c>
      <c r="D80" s="227">
        <f>$A80*'Verwerking Bouwdelen'!CL7</f>
        <v>0</v>
      </c>
      <c r="E80" s="227">
        <f>$A80*'Verwerking Bouwdelen'!CM7</f>
        <v>0</v>
      </c>
      <c r="F80" s="227">
        <f>$A80*'Verwerking Bouwdelen'!CN7</f>
        <v>0</v>
      </c>
      <c r="G80" s="227">
        <f>$A80*'Verwerking Bouwdelen'!CO7</f>
        <v>0</v>
      </c>
      <c r="H80" s="227">
        <f>$A80*'Verwerking Bouwdelen'!CP7</f>
        <v>0</v>
      </c>
      <c r="I80" s="227">
        <f>$A80*'Verwerking Bouwdelen'!CQ7</f>
        <v>0</v>
      </c>
      <c r="J80" s="227">
        <f>$A80*'Verwerking Bouwdelen'!CR7</f>
        <v>0</v>
      </c>
      <c r="K80" s="227">
        <f>$A80*'Verwerking Bouwdelen'!CS7</f>
        <v>0</v>
      </c>
      <c r="L80" s="227">
        <f>$A80*'Verwerking Bouwdelen'!CT7</f>
        <v>0</v>
      </c>
      <c r="M80" s="228">
        <f>$A80*'Verwerking Bouwdelen'!CU7</f>
        <v>0</v>
      </c>
      <c r="DN80" s="89">
        <f>IF('Verwerking Bouwdelen'!A7=4,1,0)</f>
        <v>0</v>
      </c>
      <c r="DO80" s="223">
        <f>$DN80*'Verwerking Bouwdelen'!FT7</f>
        <v>0</v>
      </c>
      <c r="DP80" s="223">
        <f>$DN80*'Verwerking Bouwdelen'!FU7</f>
        <v>0</v>
      </c>
      <c r="DQ80" s="223">
        <f>$DN80*'Verwerking Bouwdelen'!FV7</f>
        <v>0</v>
      </c>
      <c r="DR80" s="223">
        <f>$DN80*'Verwerking Bouwdelen'!FW7</f>
        <v>0</v>
      </c>
      <c r="DS80" s="223">
        <f>$DN80*'Verwerking Bouwdelen'!FX7</f>
        <v>0</v>
      </c>
      <c r="DT80" s="223">
        <f>$DN80*'Verwerking Bouwdelen'!FY7</f>
        <v>0</v>
      </c>
      <c r="DU80" s="223">
        <f>$DN80*'Verwerking Bouwdelen'!FZ7</f>
        <v>0</v>
      </c>
      <c r="DV80" s="223">
        <f>$DN80*'Verwerking Bouwdelen'!GA7</f>
        <v>0</v>
      </c>
      <c r="DW80" s="223">
        <f>$DN80*'Verwerking Bouwdelen'!GB7</f>
        <v>0</v>
      </c>
      <c r="DX80" s="223">
        <f>$DN80*'Verwerking Bouwdelen'!GC7</f>
        <v>0</v>
      </c>
      <c r="DY80" s="223">
        <f>$DN80*'Verwerking Bouwdelen'!GD7</f>
        <v>0</v>
      </c>
      <c r="DZ80" s="223">
        <f>$DN80*'Verwerking Bouwdelen'!GE7</f>
        <v>0</v>
      </c>
      <c r="EA80" s="89">
        <f>'Verwerking Bouwdelen'!GO7*DN80</f>
        <v>0</v>
      </c>
      <c r="EB80" s="125">
        <f>'Verwerking Bouwdelen'!GP7*DN80</f>
        <v>0</v>
      </c>
      <c r="EC80" s="89">
        <f t="shared" si="41"/>
        <v>0</v>
      </c>
      <c r="GN80" s="220">
        <f t="shared" si="29"/>
        <v>0</v>
      </c>
      <c r="GO80" s="220">
        <f t="shared" si="30"/>
        <v>0</v>
      </c>
      <c r="GP80" s="220">
        <f t="shared" si="31"/>
        <v>0</v>
      </c>
      <c r="GQ80" s="220">
        <f t="shared" si="32"/>
        <v>0</v>
      </c>
      <c r="GR80" s="220">
        <f t="shared" si="33"/>
        <v>0</v>
      </c>
      <c r="GS80" s="220">
        <f t="shared" si="34"/>
        <v>0</v>
      </c>
      <c r="GT80" s="220">
        <f t="shared" si="35"/>
        <v>0</v>
      </c>
      <c r="GU80" s="220">
        <f t="shared" si="36"/>
        <v>0</v>
      </c>
      <c r="GV80" s="220">
        <f t="shared" si="37"/>
        <v>0</v>
      </c>
      <c r="GW80" s="220">
        <f t="shared" si="38"/>
        <v>0</v>
      </c>
      <c r="GX80" s="220">
        <f t="shared" si="39"/>
        <v>0</v>
      </c>
      <c r="GY80" s="220">
        <f t="shared" si="40"/>
        <v>0</v>
      </c>
    </row>
    <row r="81" spans="1:207" x14ac:dyDescent="0.2">
      <c r="A81" s="89">
        <f>IF('Verwerking Bouwdelen'!A8=4,1,0)</f>
        <v>0</v>
      </c>
      <c r="B81" s="226">
        <f>$A81*'Verwerking Bouwdelen'!CJ8</f>
        <v>0</v>
      </c>
      <c r="C81" s="227">
        <f>$A81*'Verwerking Bouwdelen'!CK8</f>
        <v>0</v>
      </c>
      <c r="D81" s="227">
        <f>$A81*'Verwerking Bouwdelen'!CL8</f>
        <v>0</v>
      </c>
      <c r="E81" s="227">
        <f>$A81*'Verwerking Bouwdelen'!CM8</f>
        <v>0</v>
      </c>
      <c r="F81" s="227">
        <f>$A81*'Verwerking Bouwdelen'!CN8</f>
        <v>0</v>
      </c>
      <c r="G81" s="227">
        <f>$A81*'Verwerking Bouwdelen'!CO8</f>
        <v>0</v>
      </c>
      <c r="H81" s="227">
        <f>$A81*'Verwerking Bouwdelen'!CP8</f>
        <v>0</v>
      </c>
      <c r="I81" s="227">
        <f>$A81*'Verwerking Bouwdelen'!CQ8</f>
        <v>0</v>
      </c>
      <c r="J81" s="227">
        <f>$A81*'Verwerking Bouwdelen'!CR8</f>
        <v>0</v>
      </c>
      <c r="K81" s="227">
        <f>$A81*'Verwerking Bouwdelen'!CS8</f>
        <v>0</v>
      </c>
      <c r="L81" s="227">
        <f>$A81*'Verwerking Bouwdelen'!CT8</f>
        <v>0</v>
      </c>
      <c r="M81" s="228">
        <f>$A81*'Verwerking Bouwdelen'!CU8</f>
        <v>0</v>
      </c>
      <c r="DN81" s="89">
        <f>IF('Verwerking Bouwdelen'!A8=4,1,0)</f>
        <v>0</v>
      </c>
      <c r="DO81" s="223">
        <f>$DN81*'Verwerking Bouwdelen'!FT8</f>
        <v>0</v>
      </c>
      <c r="DP81" s="223">
        <f>$DN81*'Verwerking Bouwdelen'!FU8</f>
        <v>0</v>
      </c>
      <c r="DQ81" s="223">
        <f>$DN81*'Verwerking Bouwdelen'!FV8</f>
        <v>0</v>
      </c>
      <c r="DR81" s="223">
        <f>$DN81*'Verwerking Bouwdelen'!FW8</f>
        <v>0</v>
      </c>
      <c r="DS81" s="223">
        <f>$DN81*'Verwerking Bouwdelen'!FX8</f>
        <v>0</v>
      </c>
      <c r="DT81" s="223">
        <f>$DN81*'Verwerking Bouwdelen'!FY8</f>
        <v>0</v>
      </c>
      <c r="DU81" s="223">
        <f>$DN81*'Verwerking Bouwdelen'!FZ8</f>
        <v>0</v>
      </c>
      <c r="DV81" s="223">
        <f>$DN81*'Verwerking Bouwdelen'!GA8</f>
        <v>0</v>
      </c>
      <c r="DW81" s="223">
        <f>$DN81*'Verwerking Bouwdelen'!GB8</f>
        <v>0</v>
      </c>
      <c r="DX81" s="223">
        <f>$DN81*'Verwerking Bouwdelen'!GC8</f>
        <v>0</v>
      </c>
      <c r="DY81" s="223">
        <f>$DN81*'Verwerking Bouwdelen'!GD8</f>
        <v>0</v>
      </c>
      <c r="DZ81" s="223">
        <f>$DN81*'Verwerking Bouwdelen'!GE8</f>
        <v>0</v>
      </c>
      <c r="EA81" s="89">
        <f>'Verwerking Bouwdelen'!GO8*DN81</f>
        <v>0</v>
      </c>
      <c r="EB81" s="125">
        <f>'Verwerking Bouwdelen'!GP8*DN81</f>
        <v>0</v>
      </c>
      <c r="EC81" s="89">
        <f t="shared" si="41"/>
        <v>0</v>
      </c>
      <c r="GN81" s="220">
        <f t="shared" si="29"/>
        <v>0</v>
      </c>
      <c r="GO81" s="220">
        <f t="shared" si="30"/>
        <v>0</v>
      </c>
      <c r="GP81" s="220">
        <f t="shared" si="31"/>
        <v>0</v>
      </c>
      <c r="GQ81" s="220">
        <f t="shared" si="32"/>
        <v>0</v>
      </c>
      <c r="GR81" s="220">
        <f t="shared" si="33"/>
        <v>0</v>
      </c>
      <c r="GS81" s="220">
        <f t="shared" si="34"/>
        <v>0</v>
      </c>
      <c r="GT81" s="220">
        <f t="shared" si="35"/>
        <v>0</v>
      </c>
      <c r="GU81" s="220">
        <f t="shared" si="36"/>
        <v>0</v>
      </c>
      <c r="GV81" s="220">
        <f t="shared" si="37"/>
        <v>0</v>
      </c>
      <c r="GW81" s="220">
        <f t="shared" si="38"/>
        <v>0</v>
      </c>
      <c r="GX81" s="220">
        <f t="shared" si="39"/>
        <v>0</v>
      </c>
      <c r="GY81" s="220">
        <f t="shared" si="40"/>
        <v>0</v>
      </c>
    </row>
    <row r="82" spans="1:207" x14ac:dyDescent="0.2">
      <c r="A82" s="89">
        <f>IF('Verwerking Bouwdelen'!A9=4,1,0)</f>
        <v>0</v>
      </c>
      <c r="B82" s="226">
        <f>$A82*'Verwerking Bouwdelen'!CJ9</f>
        <v>0</v>
      </c>
      <c r="C82" s="227">
        <f>$A82*'Verwerking Bouwdelen'!CK9</f>
        <v>0</v>
      </c>
      <c r="D82" s="227">
        <f>$A82*'Verwerking Bouwdelen'!CL9</f>
        <v>0</v>
      </c>
      <c r="E82" s="227">
        <f>$A82*'Verwerking Bouwdelen'!CM9</f>
        <v>0</v>
      </c>
      <c r="F82" s="227">
        <f>$A82*'Verwerking Bouwdelen'!CN9</f>
        <v>0</v>
      </c>
      <c r="G82" s="227">
        <f>$A82*'Verwerking Bouwdelen'!CO9</f>
        <v>0</v>
      </c>
      <c r="H82" s="227">
        <f>$A82*'Verwerking Bouwdelen'!CP9</f>
        <v>0</v>
      </c>
      <c r="I82" s="227">
        <f>$A82*'Verwerking Bouwdelen'!CQ9</f>
        <v>0</v>
      </c>
      <c r="J82" s="227">
        <f>$A82*'Verwerking Bouwdelen'!CR9</f>
        <v>0</v>
      </c>
      <c r="K82" s="227">
        <f>$A82*'Verwerking Bouwdelen'!CS9</f>
        <v>0</v>
      </c>
      <c r="L82" s="227">
        <f>$A82*'Verwerking Bouwdelen'!CT9</f>
        <v>0</v>
      </c>
      <c r="M82" s="228">
        <f>$A82*'Verwerking Bouwdelen'!CU9</f>
        <v>0</v>
      </c>
      <c r="DN82" s="89">
        <f>IF('Verwerking Bouwdelen'!A9=4,1,0)</f>
        <v>0</v>
      </c>
      <c r="DO82" s="223">
        <f>$DN82*'Verwerking Bouwdelen'!FT9</f>
        <v>0</v>
      </c>
      <c r="DP82" s="223">
        <f>$DN82*'Verwerking Bouwdelen'!FU9</f>
        <v>0</v>
      </c>
      <c r="DQ82" s="223">
        <f>$DN82*'Verwerking Bouwdelen'!FV9</f>
        <v>0</v>
      </c>
      <c r="DR82" s="223">
        <f>$DN82*'Verwerking Bouwdelen'!FW9</f>
        <v>0</v>
      </c>
      <c r="DS82" s="223">
        <f>$DN82*'Verwerking Bouwdelen'!FX9</f>
        <v>0</v>
      </c>
      <c r="DT82" s="223">
        <f>$DN82*'Verwerking Bouwdelen'!FY9</f>
        <v>0</v>
      </c>
      <c r="DU82" s="223">
        <f>$DN82*'Verwerking Bouwdelen'!FZ9</f>
        <v>0</v>
      </c>
      <c r="DV82" s="223">
        <f>$DN82*'Verwerking Bouwdelen'!GA9</f>
        <v>0</v>
      </c>
      <c r="DW82" s="223">
        <f>$DN82*'Verwerking Bouwdelen'!GB9</f>
        <v>0</v>
      </c>
      <c r="DX82" s="223">
        <f>$DN82*'Verwerking Bouwdelen'!GC9</f>
        <v>0</v>
      </c>
      <c r="DY82" s="223">
        <f>$DN82*'Verwerking Bouwdelen'!GD9</f>
        <v>0</v>
      </c>
      <c r="DZ82" s="223">
        <f>$DN82*'Verwerking Bouwdelen'!GE9</f>
        <v>0</v>
      </c>
      <c r="EA82" s="89">
        <f>'Verwerking Bouwdelen'!GO9*DN82</f>
        <v>0</v>
      </c>
      <c r="EB82" s="125">
        <f>'Verwerking Bouwdelen'!GP9*DN82</f>
        <v>0</v>
      </c>
      <c r="EC82" s="89">
        <f t="shared" si="41"/>
        <v>0</v>
      </c>
      <c r="GN82" s="220">
        <f t="shared" si="29"/>
        <v>0</v>
      </c>
      <c r="GO82" s="220">
        <f t="shared" si="30"/>
        <v>0</v>
      </c>
      <c r="GP82" s="220">
        <f t="shared" si="31"/>
        <v>0</v>
      </c>
      <c r="GQ82" s="220">
        <f t="shared" si="32"/>
        <v>0</v>
      </c>
      <c r="GR82" s="220">
        <f t="shared" si="33"/>
        <v>0</v>
      </c>
      <c r="GS82" s="220">
        <f t="shared" si="34"/>
        <v>0</v>
      </c>
      <c r="GT82" s="220">
        <f t="shared" si="35"/>
        <v>0</v>
      </c>
      <c r="GU82" s="220">
        <f t="shared" si="36"/>
        <v>0</v>
      </c>
      <c r="GV82" s="220">
        <f t="shared" si="37"/>
        <v>0</v>
      </c>
      <c r="GW82" s="220">
        <f t="shared" si="38"/>
        <v>0</v>
      </c>
      <c r="GX82" s="220">
        <f t="shared" si="39"/>
        <v>0</v>
      </c>
      <c r="GY82" s="220">
        <f t="shared" si="40"/>
        <v>0</v>
      </c>
    </row>
    <row r="83" spans="1:207" x14ac:dyDescent="0.2">
      <c r="A83" s="89">
        <f>IF('Verwerking Bouwdelen'!A10=4,1,0)</f>
        <v>0</v>
      </c>
      <c r="B83" s="226">
        <f>$A83*'Verwerking Bouwdelen'!CJ10</f>
        <v>0</v>
      </c>
      <c r="C83" s="227">
        <f>$A83*'Verwerking Bouwdelen'!CK10</f>
        <v>0</v>
      </c>
      <c r="D83" s="227">
        <f>$A83*'Verwerking Bouwdelen'!CL10</f>
        <v>0</v>
      </c>
      <c r="E83" s="227">
        <f>$A83*'Verwerking Bouwdelen'!CM10</f>
        <v>0</v>
      </c>
      <c r="F83" s="227">
        <f>$A83*'Verwerking Bouwdelen'!CN10</f>
        <v>0</v>
      </c>
      <c r="G83" s="227">
        <f>$A83*'Verwerking Bouwdelen'!CO10</f>
        <v>0</v>
      </c>
      <c r="H83" s="227">
        <f>$A83*'Verwerking Bouwdelen'!CP10</f>
        <v>0</v>
      </c>
      <c r="I83" s="227">
        <f>$A83*'Verwerking Bouwdelen'!CQ10</f>
        <v>0</v>
      </c>
      <c r="J83" s="227">
        <f>$A83*'Verwerking Bouwdelen'!CR10</f>
        <v>0</v>
      </c>
      <c r="K83" s="227">
        <f>$A83*'Verwerking Bouwdelen'!CS10</f>
        <v>0</v>
      </c>
      <c r="L83" s="227">
        <f>$A83*'Verwerking Bouwdelen'!CT10</f>
        <v>0</v>
      </c>
      <c r="M83" s="228">
        <f>$A83*'Verwerking Bouwdelen'!CU10</f>
        <v>0</v>
      </c>
      <c r="DN83" s="89">
        <f>IF('Verwerking Bouwdelen'!A10=4,1,0)</f>
        <v>0</v>
      </c>
      <c r="DO83" s="223">
        <f>$DN83*'Verwerking Bouwdelen'!FT10</f>
        <v>0</v>
      </c>
      <c r="DP83" s="223">
        <f>$DN83*'Verwerking Bouwdelen'!FU10</f>
        <v>0</v>
      </c>
      <c r="DQ83" s="223">
        <f>$DN83*'Verwerking Bouwdelen'!FV10</f>
        <v>0</v>
      </c>
      <c r="DR83" s="223">
        <f>$DN83*'Verwerking Bouwdelen'!FW10</f>
        <v>0</v>
      </c>
      <c r="DS83" s="223">
        <f>$DN83*'Verwerking Bouwdelen'!FX10</f>
        <v>0</v>
      </c>
      <c r="DT83" s="223">
        <f>$DN83*'Verwerking Bouwdelen'!FY10</f>
        <v>0</v>
      </c>
      <c r="DU83" s="223">
        <f>$DN83*'Verwerking Bouwdelen'!FZ10</f>
        <v>0</v>
      </c>
      <c r="DV83" s="223">
        <f>$DN83*'Verwerking Bouwdelen'!GA10</f>
        <v>0</v>
      </c>
      <c r="DW83" s="223">
        <f>$DN83*'Verwerking Bouwdelen'!GB10</f>
        <v>0</v>
      </c>
      <c r="DX83" s="223">
        <f>$DN83*'Verwerking Bouwdelen'!GC10</f>
        <v>0</v>
      </c>
      <c r="DY83" s="223">
        <f>$DN83*'Verwerking Bouwdelen'!GD10</f>
        <v>0</v>
      </c>
      <c r="DZ83" s="223">
        <f>$DN83*'Verwerking Bouwdelen'!GE10</f>
        <v>0</v>
      </c>
      <c r="EA83" s="89">
        <f>'Verwerking Bouwdelen'!GO10*DN83</f>
        <v>0</v>
      </c>
      <c r="EB83" s="125">
        <f>'Verwerking Bouwdelen'!GP10*DN83</f>
        <v>0</v>
      </c>
      <c r="EC83" s="89">
        <f t="shared" si="41"/>
        <v>0</v>
      </c>
      <c r="GN83" s="220">
        <f t="shared" si="29"/>
        <v>0</v>
      </c>
      <c r="GO83" s="220">
        <f t="shared" si="30"/>
        <v>0</v>
      </c>
      <c r="GP83" s="220">
        <f t="shared" si="31"/>
        <v>0</v>
      </c>
      <c r="GQ83" s="220">
        <f t="shared" si="32"/>
        <v>0</v>
      </c>
      <c r="GR83" s="220">
        <f t="shared" si="33"/>
        <v>0</v>
      </c>
      <c r="GS83" s="220">
        <f t="shared" si="34"/>
        <v>0</v>
      </c>
      <c r="GT83" s="220">
        <f t="shared" si="35"/>
        <v>0</v>
      </c>
      <c r="GU83" s="220">
        <f t="shared" si="36"/>
        <v>0</v>
      </c>
      <c r="GV83" s="220">
        <f t="shared" si="37"/>
        <v>0</v>
      </c>
      <c r="GW83" s="220">
        <f t="shared" si="38"/>
        <v>0</v>
      </c>
      <c r="GX83" s="220">
        <f t="shared" si="39"/>
        <v>0</v>
      </c>
      <c r="GY83" s="220">
        <f t="shared" si="40"/>
        <v>0</v>
      </c>
    </row>
    <row r="84" spans="1:207" x14ac:dyDescent="0.2">
      <c r="A84" s="89">
        <f>IF('Verwerking Bouwdelen'!A11=4,1,0)</f>
        <v>0</v>
      </c>
      <c r="B84" s="226">
        <f>$A84*'Verwerking Bouwdelen'!CJ11</f>
        <v>0</v>
      </c>
      <c r="C84" s="227">
        <f>$A84*'Verwerking Bouwdelen'!CK11</f>
        <v>0</v>
      </c>
      <c r="D84" s="227">
        <f>$A84*'Verwerking Bouwdelen'!CL11</f>
        <v>0</v>
      </c>
      <c r="E84" s="227">
        <f>$A84*'Verwerking Bouwdelen'!CM11</f>
        <v>0</v>
      </c>
      <c r="F84" s="227">
        <f>$A84*'Verwerking Bouwdelen'!CN11</f>
        <v>0</v>
      </c>
      <c r="G84" s="227">
        <f>$A84*'Verwerking Bouwdelen'!CO11</f>
        <v>0</v>
      </c>
      <c r="H84" s="227">
        <f>$A84*'Verwerking Bouwdelen'!CP11</f>
        <v>0</v>
      </c>
      <c r="I84" s="227">
        <f>$A84*'Verwerking Bouwdelen'!CQ11</f>
        <v>0</v>
      </c>
      <c r="J84" s="227">
        <f>$A84*'Verwerking Bouwdelen'!CR11</f>
        <v>0</v>
      </c>
      <c r="K84" s="227">
        <f>$A84*'Verwerking Bouwdelen'!CS11</f>
        <v>0</v>
      </c>
      <c r="L84" s="227">
        <f>$A84*'Verwerking Bouwdelen'!CT11</f>
        <v>0</v>
      </c>
      <c r="M84" s="228">
        <f>$A84*'Verwerking Bouwdelen'!CU11</f>
        <v>0</v>
      </c>
      <c r="DN84" s="89">
        <f>IF('Verwerking Bouwdelen'!A11=4,1,0)</f>
        <v>0</v>
      </c>
      <c r="DO84" s="223">
        <f>$DN84*'Verwerking Bouwdelen'!FT11</f>
        <v>0</v>
      </c>
      <c r="DP84" s="223">
        <f>$DN84*'Verwerking Bouwdelen'!FU11</f>
        <v>0</v>
      </c>
      <c r="DQ84" s="223">
        <f>$DN84*'Verwerking Bouwdelen'!FV11</f>
        <v>0</v>
      </c>
      <c r="DR84" s="223">
        <f>$DN84*'Verwerking Bouwdelen'!FW11</f>
        <v>0</v>
      </c>
      <c r="DS84" s="223">
        <f>$DN84*'Verwerking Bouwdelen'!FX11</f>
        <v>0</v>
      </c>
      <c r="DT84" s="223">
        <f>$DN84*'Verwerking Bouwdelen'!FY11</f>
        <v>0</v>
      </c>
      <c r="DU84" s="223">
        <f>$DN84*'Verwerking Bouwdelen'!FZ11</f>
        <v>0</v>
      </c>
      <c r="DV84" s="223">
        <f>$DN84*'Verwerking Bouwdelen'!GA11</f>
        <v>0</v>
      </c>
      <c r="DW84" s="223">
        <f>$DN84*'Verwerking Bouwdelen'!GB11</f>
        <v>0</v>
      </c>
      <c r="DX84" s="223">
        <f>$DN84*'Verwerking Bouwdelen'!GC11</f>
        <v>0</v>
      </c>
      <c r="DY84" s="223">
        <f>$DN84*'Verwerking Bouwdelen'!GD11</f>
        <v>0</v>
      </c>
      <c r="DZ84" s="223">
        <f>$DN84*'Verwerking Bouwdelen'!GE11</f>
        <v>0</v>
      </c>
      <c r="EA84" s="89">
        <f>'Verwerking Bouwdelen'!GO11*DN84</f>
        <v>0</v>
      </c>
      <c r="EB84" s="125">
        <f>'Verwerking Bouwdelen'!GP11*DN84</f>
        <v>0</v>
      </c>
      <c r="EC84" s="89">
        <f t="shared" si="41"/>
        <v>0</v>
      </c>
      <c r="GN84" s="220">
        <f t="shared" si="29"/>
        <v>0</v>
      </c>
      <c r="GO84" s="220">
        <f t="shared" si="30"/>
        <v>0</v>
      </c>
      <c r="GP84" s="220">
        <f t="shared" si="31"/>
        <v>0</v>
      </c>
      <c r="GQ84" s="220">
        <f t="shared" si="32"/>
        <v>0</v>
      </c>
      <c r="GR84" s="220">
        <f t="shared" si="33"/>
        <v>0</v>
      </c>
      <c r="GS84" s="220">
        <f t="shared" si="34"/>
        <v>0</v>
      </c>
      <c r="GT84" s="220">
        <f t="shared" si="35"/>
        <v>0</v>
      </c>
      <c r="GU84" s="220">
        <f t="shared" si="36"/>
        <v>0</v>
      </c>
      <c r="GV84" s="220">
        <f t="shared" si="37"/>
        <v>0</v>
      </c>
      <c r="GW84" s="220">
        <f t="shared" si="38"/>
        <v>0</v>
      </c>
      <c r="GX84" s="220">
        <f t="shared" si="39"/>
        <v>0</v>
      </c>
      <c r="GY84" s="220">
        <f t="shared" si="40"/>
        <v>0</v>
      </c>
    </row>
    <row r="85" spans="1:207" x14ac:dyDescent="0.2">
      <c r="A85" s="89">
        <f>IF('Verwerking Bouwdelen'!A12=4,1,0)</f>
        <v>0</v>
      </c>
      <c r="B85" s="226">
        <f>$A85*'Verwerking Bouwdelen'!CJ12</f>
        <v>0</v>
      </c>
      <c r="C85" s="227">
        <f>$A85*'Verwerking Bouwdelen'!CK12</f>
        <v>0</v>
      </c>
      <c r="D85" s="227">
        <f>$A85*'Verwerking Bouwdelen'!CL12</f>
        <v>0</v>
      </c>
      <c r="E85" s="227">
        <f>$A85*'Verwerking Bouwdelen'!CM12</f>
        <v>0</v>
      </c>
      <c r="F85" s="227">
        <f>$A85*'Verwerking Bouwdelen'!CN12</f>
        <v>0</v>
      </c>
      <c r="G85" s="227">
        <f>$A85*'Verwerking Bouwdelen'!CO12</f>
        <v>0</v>
      </c>
      <c r="H85" s="227">
        <f>$A85*'Verwerking Bouwdelen'!CP12</f>
        <v>0</v>
      </c>
      <c r="I85" s="227">
        <f>$A85*'Verwerking Bouwdelen'!CQ12</f>
        <v>0</v>
      </c>
      <c r="J85" s="227">
        <f>$A85*'Verwerking Bouwdelen'!CR12</f>
        <v>0</v>
      </c>
      <c r="K85" s="227">
        <f>$A85*'Verwerking Bouwdelen'!CS12</f>
        <v>0</v>
      </c>
      <c r="L85" s="227">
        <f>$A85*'Verwerking Bouwdelen'!CT12</f>
        <v>0</v>
      </c>
      <c r="M85" s="228">
        <f>$A85*'Verwerking Bouwdelen'!CU12</f>
        <v>0</v>
      </c>
      <c r="DN85" s="89">
        <f>IF('Verwerking Bouwdelen'!A12=4,1,0)</f>
        <v>0</v>
      </c>
      <c r="DO85" s="223">
        <f>$DN85*'Verwerking Bouwdelen'!FT12</f>
        <v>0</v>
      </c>
      <c r="DP85" s="223">
        <f>$DN85*'Verwerking Bouwdelen'!FU12</f>
        <v>0</v>
      </c>
      <c r="DQ85" s="223">
        <f>$DN85*'Verwerking Bouwdelen'!FV12</f>
        <v>0</v>
      </c>
      <c r="DR85" s="223">
        <f>$DN85*'Verwerking Bouwdelen'!FW12</f>
        <v>0</v>
      </c>
      <c r="DS85" s="223">
        <f>$DN85*'Verwerking Bouwdelen'!FX12</f>
        <v>0</v>
      </c>
      <c r="DT85" s="223">
        <f>$DN85*'Verwerking Bouwdelen'!FY12</f>
        <v>0</v>
      </c>
      <c r="DU85" s="223">
        <f>$DN85*'Verwerking Bouwdelen'!FZ12</f>
        <v>0</v>
      </c>
      <c r="DV85" s="223">
        <f>$DN85*'Verwerking Bouwdelen'!GA12</f>
        <v>0</v>
      </c>
      <c r="DW85" s="223">
        <f>$DN85*'Verwerking Bouwdelen'!GB12</f>
        <v>0</v>
      </c>
      <c r="DX85" s="223">
        <f>$DN85*'Verwerking Bouwdelen'!GC12</f>
        <v>0</v>
      </c>
      <c r="DY85" s="223">
        <f>$DN85*'Verwerking Bouwdelen'!GD12</f>
        <v>0</v>
      </c>
      <c r="DZ85" s="223">
        <f>$DN85*'Verwerking Bouwdelen'!GE12</f>
        <v>0</v>
      </c>
      <c r="EA85" s="89">
        <f>'Verwerking Bouwdelen'!GO12*DN85</f>
        <v>0</v>
      </c>
      <c r="EB85" s="125">
        <f>'Verwerking Bouwdelen'!GP12*DN85</f>
        <v>0</v>
      </c>
      <c r="EC85" s="89">
        <f t="shared" si="41"/>
        <v>0</v>
      </c>
      <c r="GN85" s="220">
        <f t="shared" si="29"/>
        <v>0</v>
      </c>
      <c r="GO85" s="220">
        <f t="shared" si="30"/>
        <v>0</v>
      </c>
      <c r="GP85" s="220">
        <f t="shared" si="31"/>
        <v>0</v>
      </c>
      <c r="GQ85" s="220">
        <f t="shared" si="32"/>
        <v>0</v>
      </c>
      <c r="GR85" s="220">
        <f t="shared" si="33"/>
        <v>0</v>
      </c>
      <c r="GS85" s="220">
        <f t="shared" si="34"/>
        <v>0</v>
      </c>
      <c r="GT85" s="220">
        <f t="shared" si="35"/>
        <v>0</v>
      </c>
      <c r="GU85" s="220">
        <f t="shared" si="36"/>
        <v>0</v>
      </c>
      <c r="GV85" s="220">
        <f t="shared" si="37"/>
        <v>0</v>
      </c>
      <c r="GW85" s="220">
        <f t="shared" si="38"/>
        <v>0</v>
      </c>
      <c r="GX85" s="220">
        <f t="shared" si="39"/>
        <v>0</v>
      </c>
      <c r="GY85" s="220">
        <f t="shared" si="40"/>
        <v>0</v>
      </c>
    </row>
    <row r="86" spans="1:207" x14ac:dyDescent="0.2">
      <c r="A86" s="89">
        <f>IF('Verwerking Bouwdelen'!A13=4,1,0)</f>
        <v>0</v>
      </c>
      <c r="B86" s="226">
        <f>$A86*'Verwerking Bouwdelen'!CJ13</f>
        <v>0</v>
      </c>
      <c r="C86" s="227">
        <f>$A86*'Verwerking Bouwdelen'!CK13</f>
        <v>0</v>
      </c>
      <c r="D86" s="227">
        <f>$A86*'Verwerking Bouwdelen'!CL13</f>
        <v>0</v>
      </c>
      <c r="E86" s="227">
        <f>$A86*'Verwerking Bouwdelen'!CM13</f>
        <v>0</v>
      </c>
      <c r="F86" s="227">
        <f>$A86*'Verwerking Bouwdelen'!CN13</f>
        <v>0</v>
      </c>
      <c r="G86" s="227">
        <f>$A86*'Verwerking Bouwdelen'!CO13</f>
        <v>0</v>
      </c>
      <c r="H86" s="227">
        <f>$A86*'Verwerking Bouwdelen'!CP13</f>
        <v>0</v>
      </c>
      <c r="I86" s="227">
        <f>$A86*'Verwerking Bouwdelen'!CQ13</f>
        <v>0</v>
      </c>
      <c r="J86" s="227">
        <f>$A86*'Verwerking Bouwdelen'!CR13</f>
        <v>0</v>
      </c>
      <c r="K86" s="227">
        <f>$A86*'Verwerking Bouwdelen'!CS13</f>
        <v>0</v>
      </c>
      <c r="L86" s="227">
        <f>$A86*'Verwerking Bouwdelen'!CT13</f>
        <v>0</v>
      </c>
      <c r="M86" s="228">
        <f>$A86*'Verwerking Bouwdelen'!CU13</f>
        <v>0</v>
      </c>
      <c r="DN86" s="89">
        <f>IF('Verwerking Bouwdelen'!A13=4,1,0)</f>
        <v>0</v>
      </c>
      <c r="DO86" s="223">
        <f>$DN86*'Verwerking Bouwdelen'!FT13</f>
        <v>0</v>
      </c>
      <c r="DP86" s="223">
        <f>$DN86*'Verwerking Bouwdelen'!FU13</f>
        <v>0</v>
      </c>
      <c r="DQ86" s="223">
        <f>$DN86*'Verwerking Bouwdelen'!FV13</f>
        <v>0</v>
      </c>
      <c r="DR86" s="223">
        <f>$DN86*'Verwerking Bouwdelen'!FW13</f>
        <v>0</v>
      </c>
      <c r="DS86" s="223">
        <f>$DN86*'Verwerking Bouwdelen'!FX13</f>
        <v>0</v>
      </c>
      <c r="DT86" s="223">
        <f>$DN86*'Verwerking Bouwdelen'!FY13</f>
        <v>0</v>
      </c>
      <c r="DU86" s="223">
        <f>$DN86*'Verwerking Bouwdelen'!FZ13</f>
        <v>0</v>
      </c>
      <c r="DV86" s="223">
        <f>$DN86*'Verwerking Bouwdelen'!GA13</f>
        <v>0</v>
      </c>
      <c r="DW86" s="223">
        <f>$DN86*'Verwerking Bouwdelen'!GB13</f>
        <v>0</v>
      </c>
      <c r="DX86" s="223">
        <f>$DN86*'Verwerking Bouwdelen'!GC13</f>
        <v>0</v>
      </c>
      <c r="DY86" s="223">
        <f>$DN86*'Verwerking Bouwdelen'!GD13</f>
        <v>0</v>
      </c>
      <c r="DZ86" s="223">
        <f>$DN86*'Verwerking Bouwdelen'!GE13</f>
        <v>0</v>
      </c>
      <c r="EA86" s="89">
        <f>'Verwerking Bouwdelen'!GO13*DN86</f>
        <v>0</v>
      </c>
      <c r="EB86" s="125">
        <f>'Verwerking Bouwdelen'!GP13*DN86</f>
        <v>0</v>
      </c>
      <c r="EC86" s="89">
        <f t="shared" si="41"/>
        <v>0</v>
      </c>
      <c r="GN86" s="220">
        <f t="shared" si="29"/>
        <v>0</v>
      </c>
      <c r="GO86" s="220">
        <f t="shared" si="30"/>
        <v>0</v>
      </c>
      <c r="GP86" s="220">
        <f t="shared" si="31"/>
        <v>0</v>
      </c>
      <c r="GQ86" s="220">
        <f t="shared" si="32"/>
        <v>0</v>
      </c>
      <c r="GR86" s="220">
        <f t="shared" si="33"/>
        <v>0</v>
      </c>
      <c r="GS86" s="220">
        <f t="shared" si="34"/>
        <v>0</v>
      </c>
      <c r="GT86" s="220">
        <f t="shared" si="35"/>
        <v>0</v>
      </c>
      <c r="GU86" s="220">
        <f t="shared" si="36"/>
        <v>0</v>
      </c>
      <c r="GV86" s="220">
        <f t="shared" si="37"/>
        <v>0</v>
      </c>
      <c r="GW86" s="220">
        <f t="shared" si="38"/>
        <v>0</v>
      </c>
      <c r="GX86" s="220">
        <f t="shared" si="39"/>
        <v>0</v>
      </c>
      <c r="GY86" s="220">
        <f t="shared" si="40"/>
        <v>0</v>
      </c>
    </row>
    <row r="87" spans="1:207" x14ac:dyDescent="0.2">
      <c r="A87" s="89">
        <f>IF('Verwerking Bouwdelen'!A14=4,1,0)</f>
        <v>0</v>
      </c>
      <c r="B87" s="226">
        <f>$A87*'Verwerking Bouwdelen'!CJ14</f>
        <v>0</v>
      </c>
      <c r="C87" s="227">
        <f>$A87*'Verwerking Bouwdelen'!CK14</f>
        <v>0</v>
      </c>
      <c r="D87" s="227">
        <f>$A87*'Verwerking Bouwdelen'!CL14</f>
        <v>0</v>
      </c>
      <c r="E87" s="227">
        <f>$A87*'Verwerking Bouwdelen'!CM14</f>
        <v>0</v>
      </c>
      <c r="F87" s="227">
        <f>$A87*'Verwerking Bouwdelen'!CN14</f>
        <v>0</v>
      </c>
      <c r="G87" s="227">
        <f>$A87*'Verwerking Bouwdelen'!CO14</f>
        <v>0</v>
      </c>
      <c r="H87" s="227">
        <f>$A87*'Verwerking Bouwdelen'!CP14</f>
        <v>0</v>
      </c>
      <c r="I87" s="227">
        <f>$A87*'Verwerking Bouwdelen'!CQ14</f>
        <v>0</v>
      </c>
      <c r="J87" s="227">
        <f>$A87*'Verwerking Bouwdelen'!CR14</f>
        <v>0</v>
      </c>
      <c r="K87" s="227">
        <f>$A87*'Verwerking Bouwdelen'!CS14</f>
        <v>0</v>
      </c>
      <c r="L87" s="227">
        <f>$A87*'Verwerking Bouwdelen'!CT14</f>
        <v>0</v>
      </c>
      <c r="M87" s="228">
        <f>$A87*'Verwerking Bouwdelen'!CU14</f>
        <v>0</v>
      </c>
      <c r="DN87" s="89">
        <f>IF('Verwerking Bouwdelen'!A14=4,1,0)</f>
        <v>0</v>
      </c>
      <c r="DO87" s="223">
        <f>$DN87*'Verwerking Bouwdelen'!FT14</f>
        <v>0</v>
      </c>
      <c r="DP87" s="223">
        <f>$DN87*'Verwerking Bouwdelen'!FU14</f>
        <v>0</v>
      </c>
      <c r="DQ87" s="223">
        <f>$DN87*'Verwerking Bouwdelen'!FV14</f>
        <v>0</v>
      </c>
      <c r="DR87" s="223">
        <f>$DN87*'Verwerking Bouwdelen'!FW14</f>
        <v>0</v>
      </c>
      <c r="DS87" s="223">
        <f>$DN87*'Verwerking Bouwdelen'!FX14</f>
        <v>0</v>
      </c>
      <c r="DT87" s="223">
        <f>$DN87*'Verwerking Bouwdelen'!FY14</f>
        <v>0</v>
      </c>
      <c r="DU87" s="223">
        <f>$DN87*'Verwerking Bouwdelen'!FZ14</f>
        <v>0</v>
      </c>
      <c r="DV87" s="223">
        <f>$DN87*'Verwerking Bouwdelen'!GA14</f>
        <v>0</v>
      </c>
      <c r="DW87" s="223">
        <f>$DN87*'Verwerking Bouwdelen'!GB14</f>
        <v>0</v>
      </c>
      <c r="DX87" s="223">
        <f>$DN87*'Verwerking Bouwdelen'!GC14</f>
        <v>0</v>
      </c>
      <c r="DY87" s="223">
        <f>$DN87*'Verwerking Bouwdelen'!GD14</f>
        <v>0</v>
      </c>
      <c r="DZ87" s="223">
        <f>$DN87*'Verwerking Bouwdelen'!GE14</f>
        <v>0</v>
      </c>
      <c r="EA87" s="89">
        <f>'Verwerking Bouwdelen'!GO14*DN87</f>
        <v>0</v>
      </c>
      <c r="EB87" s="125">
        <f>'Verwerking Bouwdelen'!GP14*DN87</f>
        <v>0</v>
      </c>
      <c r="EC87" s="89">
        <f t="shared" si="41"/>
        <v>0</v>
      </c>
      <c r="GN87" s="220">
        <f t="shared" si="29"/>
        <v>0</v>
      </c>
      <c r="GO87" s="220">
        <f t="shared" si="30"/>
        <v>0</v>
      </c>
      <c r="GP87" s="220">
        <f t="shared" si="31"/>
        <v>0</v>
      </c>
      <c r="GQ87" s="220">
        <f t="shared" si="32"/>
        <v>0</v>
      </c>
      <c r="GR87" s="220">
        <f t="shared" si="33"/>
        <v>0</v>
      </c>
      <c r="GS87" s="220">
        <f t="shared" si="34"/>
        <v>0</v>
      </c>
      <c r="GT87" s="220">
        <f t="shared" si="35"/>
        <v>0</v>
      </c>
      <c r="GU87" s="220">
        <f t="shared" si="36"/>
        <v>0</v>
      </c>
      <c r="GV87" s="220">
        <f t="shared" si="37"/>
        <v>0</v>
      </c>
      <c r="GW87" s="220">
        <f t="shared" si="38"/>
        <v>0</v>
      </c>
      <c r="GX87" s="220">
        <f t="shared" si="39"/>
        <v>0</v>
      </c>
      <c r="GY87" s="220">
        <f t="shared" si="40"/>
        <v>0</v>
      </c>
    </row>
    <row r="88" spans="1:207" x14ac:dyDescent="0.2">
      <c r="A88" s="89">
        <f>IF('Verwerking Bouwdelen'!A15=4,1,0)</f>
        <v>0</v>
      </c>
      <c r="B88" s="226">
        <f>$A88*'Verwerking Bouwdelen'!CJ15</f>
        <v>0</v>
      </c>
      <c r="C88" s="227">
        <f>$A88*'Verwerking Bouwdelen'!CK15</f>
        <v>0</v>
      </c>
      <c r="D88" s="227">
        <f>$A88*'Verwerking Bouwdelen'!CL15</f>
        <v>0</v>
      </c>
      <c r="E88" s="227">
        <f>$A88*'Verwerking Bouwdelen'!CM15</f>
        <v>0</v>
      </c>
      <c r="F88" s="227">
        <f>$A88*'Verwerking Bouwdelen'!CN15</f>
        <v>0</v>
      </c>
      <c r="G88" s="227">
        <f>$A88*'Verwerking Bouwdelen'!CO15</f>
        <v>0</v>
      </c>
      <c r="H88" s="227">
        <f>$A88*'Verwerking Bouwdelen'!CP15</f>
        <v>0</v>
      </c>
      <c r="I88" s="227">
        <f>$A88*'Verwerking Bouwdelen'!CQ15</f>
        <v>0</v>
      </c>
      <c r="J88" s="227">
        <f>$A88*'Verwerking Bouwdelen'!CR15</f>
        <v>0</v>
      </c>
      <c r="K88" s="227">
        <f>$A88*'Verwerking Bouwdelen'!CS15</f>
        <v>0</v>
      </c>
      <c r="L88" s="227">
        <f>$A88*'Verwerking Bouwdelen'!CT15</f>
        <v>0</v>
      </c>
      <c r="M88" s="228">
        <f>$A88*'Verwerking Bouwdelen'!CU15</f>
        <v>0</v>
      </c>
      <c r="DN88" s="89">
        <f>IF('Verwerking Bouwdelen'!A15=4,1,0)</f>
        <v>0</v>
      </c>
      <c r="DO88" s="223">
        <f>$DN88*'Verwerking Bouwdelen'!FT15</f>
        <v>0</v>
      </c>
      <c r="DP88" s="223">
        <f>$DN88*'Verwerking Bouwdelen'!FU15</f>
        <v>0</v>
      </c>
      <c r="DQ88" s="223">
        <f>$DN88*'Verwerking Bouwdelen'!FV15</f>
        <v>0</v>
      </c>
      <c r="DR88" s="223">
        <f>$DN88*'Verwerking Bouwdelen'!FW15</f>
        <v>0</v>
      </c>
      <c r="DS88" s="223">
        <f>$DN88*'Verwerking Bouwdelen'!FX15</f>
        <v>0</v>
      </c>
      <c r="DT88" s="223">
        <f>$DN88*'Verwerking Bouwdelen'!FY15</f>
        <v>0</v>
      </c>
      <c r="DU88" s="223">
        <f>$DN88*'Verwerking Bouwdelen'!FZ15</f>
        <v>0</v>
      </c>
      <c r="DV88" s="223">
        <f>$DN88*'Verwerking Bouwdelen'!GA15</f>
        <v>0</v>
      </c>
      <c r="DW88" s="223">
        <f>$DN88*'Verwerking Bouwdelen'!GB15</f>
        <v>0</v>
      </c>
      <c r="DX88" s="223">
        <f>$DN88*'Verwerking Bouwdelen'!GC15</f>
        <v>0</v>
      </c>
      <c r="DY88" s="223">
        <f>$DN88*'Verwerking Bouwdelen'!GD15</f>
        <v>0</v>
      </c>
      <c r="DZ88" s="223">
        <f>$DN88*'Verwerking Bouwdelen'!GE15</f>
        <v>0</v>
      </c>
      <c r="EA88" s="89">
        <f>'Verwerking Bouwdelen'!GO15*DN88</f>
        <v>0</v>
      </c>
      <c r="EB88" s="125">
        <f>'Verwerking Bouwdelen'!GP15*DN88</f>
        <v>0</v>
      </c>
      <c r="EC88" s="89">
        <f t="shared" si="41"/>
        <v>0</v>
      </c>
      <c r="GN88" s="220">
        <f t="shared" si="29"/>
        <v>0</v>
      </c>
      <c r="GO88" s="220">
        <f t="shared" si="30"/>
        <v>0</v>
      </c>
      <c r="GP88" s="220">
        <f t="shared" si="31"/>
        <v>0</v>
      </c>
      <c r="GQ88" s="220">
        <f t="shared" si="32"/>
        <v>0</v>
      </c>
      <c r="GR88" s="220">
        <f t="shared" si="33"/>
        <v>0</v>
      </c>
      <c r="GS88" s="220">
        <f t="shared" si="34"/>
        <v>0</v>
      </c>
      <c r="GT88" s="220">
        <f t="shared" si="35"/>
        <v>0</v>
      </c>
      <c r="GU88" s="220">
        <f t="shared" si="36"/>
        <v>0</v>
      </c>
      <c r="GV88" s="220">
        <f t="shared" si="37"/>
        <v>0</v>
      </c>
      <c r="GW88" s="220">
        <f t="shared" si="38"/>
        <v>0</v>
      </c>
      <c r="GX88" s="220">
        <f t="shared" si="39"/>
        <v>0</v>
      </c>
      <c r="GY88" s="220">
        <f t="shared" si="40"/>
        <v>0</v>
      </c>
    </row>
    <row r="89" spans="1:207" x14ac:dyDescent="0.2">
      <c r="A89" s="89">
        <f>IF('Verwerking Bouwdelen'!A16=4,1,0)</f>
        <v>0</v>
      </c>
      <c r="B89" s="226">
        <f>$A89*'Verwerking Bouwdelen'!CJ16</f>
        <v>0</v>
      </c>
      <c r="C89" s="227">
        <f>$A89*'Verwerking Bouwdelen'!CK16</f>
        <v>0</v>
      </c>
      <c r="D89" s="227">
        <f>$A89*'Verwerking Bouwdelen'!CL16</f>
        <v>0</v>
      </c>
      <c r="E89" s="227">
        <f>$A89*'Verwerking Bouwdelen'!CM16</f>
        <v>0</v>
      </c>
      <c r="F89" s="227">
        <f>$A89*'Verwerking Bouwdelen'!CN16</f>
        <v>0</v>
      </c>
      <c r="G89" s="227">
        <f>$A89*'Verwerking Bouwdelen'!CO16</f>
        <v>0</v>
      </c>
      <c r="H89" s="227">
        <f>$A89*'Verwerking Bouwdelen'!CP16</f>
        <v>0</v>
      </c>
      <c r="I89" s="227">
        <f>$A89*'Verwerking Bouwdelen'!CQ16</f>
        <v>0</v>
      </c>
      <c r="J89" s="227">
        <f>$A89*'Verwerking Bouwdelen'!CR16</f>
        <v>0</v>
      </c>
      <c r="K89" s="227">
        <f>$A89*'Verwerking Bouwdelen'!CS16</f>
        <v>0</v>
      </c>
      <c r="L89" s="227">
        <f>$A89*'Verwerking Bouwdelen'!CT16</f>
        <v>0</v>
      </c>
      <c r="M89" s="228">
        <f>$A89*'Verwerking Bouwdelen'!CU16</f>
        <v>0</v>
      </c>
      <c r="DN89" s="89">
        <f>IF('Verwerking Bouwdelen'!A16=4,1,0)</f>
        <v>0</v>
      </c>
      <c r="DO89" s="223">
        <f>$DN89*'Verwerking Bouwdelen'!FT16</f>
        <v>0</v>
      </c>
      <c r="DP89" s="223">
        <f>$DN89*'Verwerking Bouwdelen'!FU16</f>
        <v>0</v>
      </c>
      <c r="DQ89" s="223">
        <f>$DN89*'Verwerking Bouwdelen'!FV16</f>
        <v>0</v>
      </c>
      <c r="DR89" s="223">
        <f>$DN89*'Verwerking Bouwdelen'!FW16</f>
        <v>0</v>
      </c>
      <c r="DS89" s="223">
        <f>$DN89*'Verwerking Bouwdelen'!FX16</f>
        <v>0</v>
      </c>
      <c r="DT89" s="223">
        <f>$DN89*'Verwerking Bouwdelen'!FY16</f>
        <v>0</v>
      </c>
      <c r="DU89" s="223">
        <f>$DN89*'Verwerking Bouwdelen'!FZ16</f>
        <v>0</v>
      </c>
      <c r="DV89" s="223">
        <f>$DN89*'Verwerking Bouwdelen'!GA16</f>
        <v>0</v>
      </c>
      <c r="DW89" s="223">
        <f>$DN89*'Verwerking Bouwdelen'!GB16</f>
        <v>0</v>
      </c>
      <c r="DX89" s="223">
        <f>$DN89*'Verwerking Bouwdelen'!GC16</f>
        <v>0</v>
      </c>
      <c r="DY89" s="223">
        <f>$DN89*'Verwerking Bouwdelen'!GD16</f>
        <v>0</v>
      </c>
      <c r="DZ89" s="223">
        <f>$DN89*'Verwerking Bouwdelen'!GE16</f>
        <v>0</v>
      </c>
      <c r="EA89" s="89">
        <f>'Verwerking Bouwdelen'!GO16*DN89</f>
        <v>0</v>
      </c>
      <c r="EB89" s="125">
        <f>'Verwerking Bouwdelen'!GP16*DN89</f>
        <v>0</v>
      </c>
      <c r="EC89" s="89">
        <f t="shared" si="41"/>
        <v>0</v>
      </c>
      <c r="GN89" s="220">
        <f t="shared" si="29"/>
        <v>0</v>
      </c>
      <c r="GO89" s="220">
        <f t="shared" si="30"/>
        <v>0</v>
      </c>
      <c r="GP89" s="220">
        <f t="shared" si="31"/>
        <v>0</v>
      </c>
      <c r="GQ89" s="220">
        <f t="shared" si="32"/>
        <v>0</v>
      </c>
      <c r="GR89" s="220">
        <f t="shared" si="33"/>
        <v>0</v>
      </c>
      <c r="GS89" s="220">
        <f t="shared" si="34"/>
        <v>0</v>
      </c>
      <c r="GT89" s="220">
        <f t="shared" si="35"/>
        <v>0</v>
      </c>
      <c r="GU89" s="220">
        <f t="shared" si="36"/>
        <v>0</v>
      </c>
      <c r="GV89" s="220">
        <f t="shared" si="37"/>
        <v>0</v>
      </c>
      <c r="GW89" s="220">
        <f t="shared" si="38"/>
        <v>0</v>
      </c>
      <c r="GX89" s="220">
        <f t="shared" si="39"/>
        <v>0</v>
      </c>
      <c r="GY89" s="220">
        <f t="shared" si="40"/>
        <v>0</v>
      </c>
    </row>
    <row r="90" spans="1:207" x14ac:dyDescent="0.2">
      <c r="A90" s="89">
        <f>IF('Verwerking Bouwdelen'!A17=4,1,0)</f>
        <v>0</v>
      </c>
      <c r="B90" s="226">
        <f>$A90*'Verwerking Bouwdelen'!CJ17</f>
        <v>0</v>
      </c>
      <c r="C90" s="227">
        <f>$A90*'Verwerking Bouwdelen'!CK17</f>
        <v>0</v>
      </c>
      <c r="D90" s="227">
        <f>$A90*'Verwerking Bouwdelen'!CL17</f>
        <v>0</v>
      </c>
      <c r="E90" s="227">
        <f>$A90*'Verwerking Bouwdelen'!CM17</f>
        <v>0</v>
      </c>
      <c r="F90" s="227">
        <f>$A90*'Verwerking Bouwdelen'!CN17</f>
        <v>0</v>
      </c>
      <c r="G90" s="227">
        <f>$A90*'Verwerking Bouwdelen'!CO17</f>
        <v>0</v>
      </c>
      <c r="H90" s="227">
        <f>$A90*'Verwerking Bouwdelen'!CP17</f>
        <v>0</v>
      </c>
      <c r="I90" s="227">
        <f>$A90*'Verwerking Bouwdelen'!CQ17</f>
        <v>0</v>
      </c>
      <c r="J90" s="227">
        <f>$A90*'Verwerking Bouwdelen'!CR17</f>
        <v>0</v>
      </c>
      <c r="K90" s="227">
        <f>$A90*'Verwerking Bouwdelen'!CS17</f>
        <v>0</v>
      </c>
      <c r="L90" s="227">
        <f>$A90*'Verwerking Bouwdelen'!CT17</f>
        <v>0</v>
      </c>
      <c r="M90" s="228">
        <f>$A90*'Verwerking Bouwdelen'!CU17</f>
        <v>0</v>
      </c>
      <c r="DN90" s="89">
        <f>IF('Verwerking Bouwdelen'!A17=4,1,0)</f>
        <v>0</v>
      </c>
      <c r="DO90" s="223">
        <f>$DN90*'Verwerking Bouwdelen'!FT17</f>
        <v>0</v>
      </c>
      <c r="DP90" s="223">
        <f>$DN90*'Verwerking Bouwdelen'!FU17</f>
        <v>0</v>
      </c>
      <c r="DQ90" s="223">
        <f>$DN90*'Verwerking Bouwdelen'!FV17</f>
        <v>0</v>
      </c>
      <c r="DR90" s="223">
        <f>$DN90*'Verwerking Bouwdelen'!FW17</f>
        <v>0</v>
      </c>
      <c r="DS90" s="223">
        <f>$DN90*'Verwerking Bouwdelen'!FX17</f>
        <v>0</v>
      </c>
      <c r="DT90" s="223">
        <f>$DN90*'Verwerking Bouwdelen'!FY17</f>
        <v>0</v>
      </c>
      <c r="DU90" s="223">
        <f>$DN90*'Verwerking Bouwdelen'!FZ17</f>
        <v>0</v>
      </c>
      <c r="DV90" s="223">
        <f>$DN90*'Verwerking Bouwdelen'!GA17</f>
        <v>0</v>
      </c>
      <c r="DW90" s="223">
        <f>$DN90*'Verwerking Bouwdelen'!GB17</f>
        <v>0</v>
      </c>
      <c r="DX90" s="223">
        <f>$DN90*'Verwerking Bouwdelen'!GC17</f>
        <v>0</v>
      </c>
      <c r="DY90" s="223">
        <f>$DN90*'Verwerking Bouwdelen'!GD17</f>
        <v>0</v>
      </c>
      <c r="DZ90" s="223">
        <f>$DN90*'Verwerking Bouwdelen'!GE17</f>
        <v>0</v>
      </c>
      <c r="EA90" s="89">
        <f>'Verwerking Bouwdelen'!GO17*DN90</f>
        <v>0</v>
      </c>
      <c r="EB90" s="125">
        <f>'Verwerking Bouwdelen'!GP17*DN90</f>
        <v>0</v>
      </c>
      <c r="EC90" s="89">
        <f t="shared" si="41"/>
        <v>0</v>
      </c>
      <c r="GN90" s="220">
        <f t="shared" si="29"/>
        <v>0</v>
      </c>
      <c r="GO90" s="220">
        <f t="shared" si="30"/>
        <v>0</v>
      </c>
      <c r="GP90" s="220">
        <f t="shared" si="31"/>
        <v>0</v>
      </c>
      <c r="GQ90" s="220">
        <f t="shared" si="32"/>
        <v>0</v>
      </c>
      <c r="GR90" s="220">
        <f t="shared" si="33"/>
        <v>0</v>
      </c>
      <c r="GS90" s="220">
        <f t="shared" si="34"/>
        <v>0</v>
      </c>
      <c r="GT90" s="220">
        <f t="shared" si="35"/>
        <v>0</v>
      </c>
      <c r="GU90" s="220">
        <f t="shared" si="36"/>
        <v>0</v>
      </c>
      <c r="GV90" s="220">
        <f t="shared" si="37"/>
        <v>0</v>
      </c>
      <c r="GW90" s="220">
        <f t="shared" si="38"/>
        <v>0</v>
      </c>
      <c r="GX90" s="220">
        <f t="shared" si="39"/>
        <v>0</v>
      </c>
      <c r="GY90" s="220">
        <f t="shared" si="40"/>
        <v>0</v>
      </c>
    </row>
    <row r="91" spans="1:207" x14ac:dyDescent="0.2">
      <c r="A91" s="89">
        <f>IF('Verwerking Bouwdelen'!A18=4,1,0)</f>
        <v>0</v>
      </c>
      <c r="B91" s="226">
        <f>$A91*'Verwerking Bouwdelen'!CJ18</f>
        <v>0</v>
      </c>
      <c r="C91" s="227">
        <f>$A91*'Verwerking Bouwdelen'!CK18</f>
        <v>0</v>
      </c>
      <c r="D91" s="227">
        <f>$A91*'Verwerking Bouwdelen'!CL18</f>
        <v>0</v>
      </c>
      <c r="E91" s="227">
        <f>$A91*'Verwerking Bouwdelen'!CM18</f>
        <v>0</v>
      </c>
      <c r="F91" s="227">
        <f>$A91*'Verwerking Bouwdelen'!CN18</f>
        <v>0</v>
      </c>
      <c r="G91" s="227">
        <f>$A91*'Verwerking Bouwdelen'!CO18</f>
        <v>0</v>
      </c>
      <c r="H91" s="227">
        <f>$A91*'Verwerking Bouwdelen'!CP18</f>
        <v>0</v>
      </c>
      <c r="I91" s="227">
        <f>$A91*'Verwerking Bouwdelen'!CQ18</f>
        <v>0</v>
      </c>
      <c r="J91" s="227">
        <f>$A91*'Verwerking Bouwdelen'!CR18</f>
        <v>0</v>
      </c>
      <c r="K91" s="227">
        <f>$A91*'Verwerking Bouwdelen'!CS18</f>
        <v>0</v>
      </c>
      <c r="L91" s="227">
        <f>$A91*'Verwerking Bouwdelen'!CT18</f>
        <v>0</v>
      </c>
      <c r="M91" s="228">
        <f>$A91*'Verwerking Bouwdelen'!CU18</f>
        <v>0</v>
      </c>
      <c r="DN91" s="89">
        <f>IF('Verwerking Bouwdelen'!A18=4,1,0)</f>
        <v>0</v>
      </c>
      <c r="DO91" s="223">
        <f>$DN91*'Verwerking Bouwdelen'!FT18</f>
        <v>0</v>
      </c>
      <c r="DP91" s="223">
        <f>$DN91*'Verwerking Bouwdelen'!FU18</f>
        <v>0</v>
      </c>
      <c r="DQ91" s="223">
        <f>$DN91*'Verwerking Bouwdelen'!FV18</f>
        <v>0</v>
      </c>
      <c r="DR91" s="223">
        <f>$DN91*'Verwerking Bouwdelen'!FW18</f>
        <v>0</v>
      </c>
      <c r="DS91" s="223">
        <f>$DN91*'Verwerking Bouwdelen'!FX18</f>
        <v>0</v>
      </c>
      <c r="DT91" s="223">
        <f>$DN91*'Verwerking Bouwdelen'!FY18</f>
        <v>0</v>
      </c>
      <c r="DU91" s="223">
        <f>$DN91*'Verwerking Bouwdelen'!FZ18</f>
        <v>0</v>
      </c>
      <c r="DV91" s="223">
        <f>$DN91*'Verwerking Bouwdelen'!GA18</f>
        <v>0</v>
      </c>
      <c r="DW91" s="223">
        <f>$DN91*'Verwerking Bouwdelen'!GB18</f>
        <v>0</v>
      </c>
      <c r="DX91" s="223">
        <f>$DN91*'Verwerking Bouwdelen'!GC18</f>
        <v>0</v>
      </c>
      <c r="DY91" s="223">
        <f>$DN91*'Verwerking Bouwdelen'!GD18</f>
        <v>0</v>
      </c>
      <c r="DZ91" s="223">
        <f>$DN91*'Verwerking Bouwdelen'!GE18</f>
        <v>0</v>
      </c>
      <c r="EA91" s="89">
        <f>'Verwerking Bouwdelen'!GO18*DN91</f>
        <v>0</v>
      </c>
      <c r="EB91" s="125">
        <f>'Verwerking Bouwdelen'!GP18*DN91</f>
        <v>0</v>
      </c>
      <c r="EC91" s="89">
        <f t="shared" si="41"/>
        <v>0</v>
      </c>
      <c r="GN91" s="220">
        <f t="shared" si="29"/>
        <v>0</v>
      </c>
      <c r="GO91" s="220">
        <f t="shared" si="30"/>
        <v>0</v>
      </c>
      <c r="GP91" s="220">
        <f t="shared" si="31"/>
        <v>0</v>
      </c>
      <c r="GQ91" s="220">
        <f t="shared" si="32"/>
        <v>0</v>
      </c>
      <c r="GR91" s="220">
        <f t="shared" si="33"/>
        <v>0</v>
      </c>
      <c r="GS91" s="220">
        <f t="shared" si="34"/>
        <v>0</v>
      </c>
      <c r="GT91" s="220">
        <f t="shared" si="35"/>
        <v>0</v>
      </c>
      <c r="GU91" s="220">
        <f t="shared" si="36"/>
        <v>0</v>
      </c>
      <c r="GV91" s="220">
        <f t="shared" si="37"/>
        <v>0</v>
      </c>
      <c r="GW91" s="220">
        <f t="shared" si="38"/>
        <v>0</v>
      </c>
      <c r="GX91" s="220">
        <f t="shared" si="39"/>
        <v>0</v>
      </c>
      <c r="GY91" s="220">
        <f t="shared" si="40"/>
        <v>0</v>
      </c>
    </row>
    <row r="92" spans="1:207" x14ac:dyDescent="0.2">
      <c r="A92" s="89">
        <f>IF('Verwerking Bouwdelen'!A19=4,1,0)</f>
        <v>0</v>
      </c>
      <c r="B92" s="226">
        <f>$A92*'Verwerking Bouwdelen'!CJ19</f>
        <v>0</v>
      </c>
      <c r="C92" s="227">
        <f>$A92*'Verwerking Bouwdelen'!CK19</f>
        <v>0</v>
      </c>
      <c r="D92" s="227">
        <f>$A92*'Verwerking Bouwdelen'!CL19</f>
        <v>0</v>
      </c>
      <c r="E92" s="227">
        <f>$A92*'Verwerking Bouwdelen'!CM19</f>
        <v>0</v>
      </c>
      <c r="F92" s="227">
        <f>$A92*'Verwerking Bouwdelen'!CN19</f>
        <v>0</v>
      </c>
      <c r="G92" s="227">
        <f>$A92*'Verwerking Bouwdelen'!CO19</f>
        <v>0</v>
      </c>
      <c r="H92" s="227">
        <f>$A92*'Verwerking Bouwdelen'!CP19</f>
        <v>0</v>
      </c>
      <c r="I92" s="227">
        <f>$A92*'Verwerking Bouwdelen'!CQ19</f>
        <v>0</v>
      </c>
      <c r="J92" s="227">
        <f>$A92*'Verwerking Bouwdelen'!CR19</f>
        <v>0</v>
      </c>
      <c r="K92" s="227">
        <f>$A92*'Verwerking Bouwdelen'!CS19</f>
        <v>0</v>
      </c>
      <c r="L92" s="227">
        <f>$A92*'Verwerking Bouwdelen'!CT19</f>
        <v>0</v>
      </c>
      <c r="M92" s="228">
        <f>$A92*'Verwerking Bouwdelen'!CU19</f>
        <v>0</v>
      </c>
      <c r="DN92" s="89">
        <f>IF('Verwerking Bouwdelen'!A19=4,1,0)</f>
        <v>0</v>
      </c>
      <c r="DO92" s="223">
        <f>$DN92*'Verwerking Bouwdelen'!FT19</f>
        <v>0</v>
      </c>
      <c r="DP92" s="223">
        <f>$DN92*'Verwerking Bouwdelen'!FU19</f>
        <v>0</v>
      </c>
      <c r="DQ92" s="223">
        <f>$DN92*'Verwerking Bouwdelen'!FV19</f>
        <v>0</v>
      </c>
      <c r="DR92" s="223">
        <f>$DN92*'Verwerking Bouwdelen'!FW19</f>
        <v>0</v>
      </c>
      <c r="DS92" s="223">
        <f>$DN92*'Verwerking Bouwdelen'!FX19</f>
        <v>0</v>
      </c>
      <c r="DT92" s="223">
        <f>$DN92*'Verwerking Bouwdelen'!FY19</f>
        <v>0</v>
      </c>
      <c r="DU92" s="223">
        <f>$DN92*'Verwerking Bouwdelen'!FZ19</f>
        <v>0</v>
      </c>
      <c r="DV92" s="223">
        <f>$DN92*'Verwerking Bouwdelen'!GA19</f>
        <v>0</v>
      </c>
      <c r="DW92" s="223">
        <f>$DN92*'Verwerking Bouwdelen'!GB19</f>
        <v>0</v>
      </c>
      <c r="DX92" s="223">
        <f>$DN92*'Verwerking Bouwdelen'!GC19</f>
        <v>0</v>
      </c>
      <c r="DY92" s="223">
        <f>$DN92*'Verwerking Bouwdelen'!GD19</f>
        <v>0</v>
      </c>
      <c r="DZ92" s="223">
        <f>$DN92*'Verwerking Bouwdelen'!GE19</f>
        <v>0</v>
      </c>
      <c r="EA92" s="89">
        <f>'Verwerking Bouwdelen'!GO19*DN92</f>
        <v>0</v>
      </c>
      <c r="EB92" s="125">
        <f>'Verwerking Bouwdelen'!GP19*DN92</f>
        <v>0</v>
      </c>
      <c r="EC92" s="89">
        <f t="shared" si="41"/>
        <v>0</v>
      </c>
      <c r="GN92" s="220">
        <f t="shared" si="29"/>
        <v>0</v>
      </c>
      <c r="GO92" s="220">
        <f t="shared" si="30"/>
        <v>0</v>
      </c>
      <c r="GP92" s="220">
        <f t="shared" si="31"/>
        <v>0</v>
      </c>
      <c r="GQ92" s="220">
        <f t="shared" si="32"/>
        <v>0</v>
      </c>
      <c r="GR92" s="220">
        <f t="shared" si="33"/>
        <v>0</v>
      </c>
      <c r="GS92" s="220">
        <f t="shared" si="34"/>
        <v>0</v>
      </c>
      <c r="GT92" s="220">
        <f t="shared" si="35"/>
        <v>0</v>
      </c>
      <c r="GU92" s="220">
        <f t="shared" si="36"/>
        <v>0</v>
      </c>
      <c r="GV92" s="220">
        <f t="shared" si="37"/>
        <v>0</v>
      </c>
      <c r="GW92" s="220">
        <f t="shared" si="38"/>
        <v>0</v>
      </c>
      <c r="GX92" s="220">
        <f t="shared" si="39"/>
        <v>0</v>
      </c>
      <c r="GY92" s="220">
        <f t="shared" si="40"/>
        <v>0</v>
      </c>
    </row>
    <row r="93" spans="1:207" x14ac:dyDescent="0.2">
      <c r="A93" s="89">
        <f>IF('Verwerking Bouwdelen'!A20=4,1,0)</f>
        <v>0</v>
      </c>
      <c r="B93" s="226">
        <f>$A93*'Verwerking Bouwdelen'!CJ20</f>
        <v>0</v>
      </c>
      <c r="C93" s="227">
        <f>$A93*'Verwerking Bouwdelen'!CK20</f>
        <v>0</v>
      </c>
      <c r="D93" s="227">
        <f>$A93*'Verwerking Bouwdelen'!CL20</f>
        <v>0</v>
      </c>
      <c r="E93" s="227">
        <f>$A93*'Verwerking Bouwdelen'!CM20</f>
        <v>0</v>
      </c>
      <c r="F93" s="227">
        <f>$A93*'Verwerking Bouwdelen'!CN20</f>
        <v>0</v>
      </c>
      <c r="G93" s="227">
        <f>$A93*'Verwerking Bouwdelen'!CO20</f>
        <v>0</v>
      </c>
      <c r="H93" s="227">
        <f>$A93*'Verwerking Bouwdelen'!CP20</f>
        <v>0</v>
      </c>
      <c r="I93" s="227">
        <f>$A93*'Verwerking Bouwdelen'!CQ20</f>
        <v>0</v>
      </c>
      <c r="J93" s="227">
        <f>$A93*'Verwerking Bouwdelen'!CR20</f>
        <v>0</v>
      </c>
      <c r="K93" s="227">
        <f>$A93*'Verwerking Bouwdelen'!CS20</f>
        <v>0</v>
      </c>
      <c r="L93" s="227">
        <f>$A93*'Verwerking Bouwdelen'!CT20</f>
        <v>0</v>
      </c>
      <c r="M93" s="228">
        <f>$A93*'Verwerking Bouwdelen'!CU20</f>
        <v>0</v>
      </c>
      <c r="DN93" s="89">
        <f>IF('Verwerking Bouwdelen'!A20=4,1,0)</f>
        <v>0</v>
      </c>
      <c r="DO93" s="223">
        <f>$DN93*'Verwerking Bouwdelen'!FT20</f>
        <v>0</v>
      </c>
      <c r="DP93" s="223">
        <f>$DN93*'Verwerking Bouwdelen'!FU20</f>
        <v>0</v>
      </c>
      <c r="DQ93" s="223">
        <f>$DN93*'Verwerking Bouwdelen'!FV20</f>
        <v>0</v>
      </c>
      <c r="DR93" s="223">
        <f>$DN93*'Verwerking Bouwdelen'!FW20</f>
        <v>0</v>
      </c>
      <c r="DS93" s="223">
        <f>$DN93*'Verwerking Bouwdelen'!FX20</f>
        <v>0</v>
      </c>
      <c r="DT93" s="223">
        <f>$DN93*'Verwerking Bouwdelen'!FY20</f>
        <v>0</v>
      </c>
      <c r="DU93" s="223">
        <f>$DN93*'Verwerking Bouwdelen'!FZ20</f>
        <v>0</v>
      </c>
      <c r="DV93" s="223">
        <f>$DN93*'Verwerking Bouwdelen'!GA20</f>
        <v>0</v>
      </c>
      <c r="DW93" s="223">
        <f>$DN93*'Verwerking Bouwdelen'!GB20</f>
        <v>0</v>
      </c>
      <c r="DX93" s="223">
        <f>$DN93*'Verwerking Bouwdelen'!GC20</f>
        <v>0</v>
      </c>
      <c r="DY93" s="223">
        <f>$DN93*'Verwerking Bouwdelen'!GD20</f>
        <v>0</v>
      </c>
      <c r="DZ93" s="223">
        <f>$DN93*'Verwerking Bouwdelen'!GE20</f>
        <v>0</v>
      </c>
      <c r="EA93" s="89">
        <f>'Verwerking Bouwdelen'!GO20*DN93</f>
        <v>0</v>
      </c>
      <c r="EB93" s="125">
        <f>'Verwerking Bouwdelen'!GP20*DN93</f>
        <v>0</v>
      </c>
      <c r="EC93" s="89">
        <f t="shared" si="41"/>
        <v>0</v>
      </c>
      <c r="GN93" s="220">
        <f t="shared" si="29"/>
        <v>0</v>
      </c>
      <c r="GO93" s="220">
        <f t="shared" si="30"/>
        <v>0</v>
      </c>
      <c r="GP93" s="220">
        <f t="shared" si="31"/>
        <v>0</v>
      </c>
      <c r="GQ93" s="220">
        <f t="shared" si="32"/>
        <v>0</v>
      </c>
      <c r="GR93" s="220">
        <f t="shared" si="33"/>
        <v>0</v>
      </c>
      <c r="GS93" s="220">
        <f t="shared" si="34"/>
        <v>0</v>
      </c>
      <c r="GT93" s="220">
        <f t="shared" si="35"/>
        <v>0</v>
      </c>
      <c r="GU93" s="220">
        <f t="shared" si="36"/>
        <v>0</v>
      </c>
      <c r="GV93" s="220">
        <f t="shared" si="37"/>
        <v>0</v>
      </c>
      <c r="GW93" s="220">
        <f t="shared" si="38"/>
        <v>0</v>
      </c>
      <c r="GX93" s="220">
        <f t="shared" si="39"/>
        <v>0</v>
      </c>
      <c r="GY93" s="220">
        <f t="shared" si="40"/>
        <v>0</v>
      </c>
    </row>
    <row r="94" spans="1:207" x14ac:dyDescent="0.2">
      <c r="A94" s="89">
        <f>IF('Verwerking Bouwdelen'!A21=4,1,0)</f>
        <v>0</v>
      </c>
      <c r="B94" s="226">
        <f>$A94*'Verwerking Bouwdelen'!CJ21</f>
        <v>0</v>
      </c>
      <c r="C94" s="227">
        <f>$A94*'Verwerking Bouwdelen'!CK21</f>
        <v>0</v>
      </c>
      <c r="D94" s="227">
        <f>$A94*'Verwerking Bouwdelen'!CL21</f>
        <v>0</v>
      </c>
      <c r="E94" s="227">
        <f>$A94*'Verwerking Bouwdelen'!CM21</f>
        <v>0</v>
      </c>
      <c r="F94" s="227">
        <f>$A94*'Verwerking Bouwdelen'!CN21</f>
        <v>0</v>
      </c>
      <c r="G94" s="227">
        <f>$A94*'Verwerking Bouwdelen'!CO21</f>
        <v>0</v>
      </c>
      <c r="H94" s="227">
        <f>$A94*'Verwerking Bouwdelen'!CP21</f>
        <v>0</v>
      </c>
      <c r="I94" s="227">
        <f>$A94*'Verwerking Bouwdelen'!CQ21</f>
        <v>0</v>
      </c>
      <c r="J94" s="227">
        <f>$A94*'Verwerking Bouwdelen'!CR21</f>
        <v>0</v>
      </c>
      <c r="K94" s="227">
        <f>$A94*'Verwerking Bouwdelen'!CS21</f>
        <v>0</v>
      </c>
      <c r="L94" s="227">
        <f>$A94*'Verwerking Bouwdelen'!CT21</f>
        <v>0</v>
      </c>
      <c r="M94" s="228">
        <f>$A94*'Verwerking Bouwdelen'!CU21</f>
        <v>0</v>
      </c>
      <c r="DN94" s="89">
        <f>IF('Verwerking Bouwdelen'!A21=4,1,0)</f>
        <v>0</v>
      </c>
      <c r="DO94" s="223">
        <f>$DN94*'Verwerking Bouwdelen'!FT21</f>
        <v>0</v>
      </c>
      <c r="DP94" s="223">
        <f>$DN94*'Verwerking Bouwdelen'!FU21</f>
        <v>0</v>
      </c>
      <c r="DQ94" s="223">
        <f>$DN94*'Verwerking Bouwdelen'!FV21</f>
        <v>0</v>
      </c>
      <c r="DR94" s="223">
        <f>$DN94*'Verwerking Bouwdelen'!FW21</f>
        <v>0</v>
      </c>
      <c r="DS94" s="223">
        <f>$DN94*'Verwerking Bouwdelen'!FX21</f>
        <v>0</v>
      </c>
      <c r="DT94" s="223">
        <f>$DN94*'Verwerking Bouwdelen'!FY21</f>
        <v>0</v>
      </c>
      <c r="DU94" s="223">
        <f>$DN94*'Verwerking Bouwdelen'!FZ21</f>
        <v>0</v>
      </c>
      <c r="DV94" s="223">
        <f>$DN94*'Verwerking Bouwdelen'!GA21</f>
        <v>0</v>
      </c>
      <c r="DW94" s="223">
        <f>$DN94*'Verwerking Bouwdelen'!GB21</f>
        <v>0</v>
      </c>
      <c r="DX94" s="223">
        <f>$DN94*'Verwerking Bouwdelen'!GC21</f>
        <v>0</v>
      </c>
      <c r="DY94" s="223">
        <f>$DN94*'Verwerking Bouwdelen'!GD21</f>
        <v>0</v>
      </c>
      <c r="DZ94" s="223">
        <f>$DN94*'Verwerking Bouwdelen'!GE21</f>
        <v>0</v>
      </c>
      <c r="EA94" s="89">
        <f>'Verwerking Bouwdelen'!GO21*DN94</f>
        <v>0</v>
      </c>
      <c r="EB94" s="125">
        <f>'Verwerking Bouwdelen'!GP21*DN94</f>
        <v>0</v>
      </c>
      <c r="EC94" s="89">
        <f t="shared" si="41"/>
        <v>0</v>
      </c>
      <c r="GN94" s="220">
        <f t="shared" si="29"/>
        <v>0</v>
      </c>
      <c r="GO94" s="220">
        <f t="shared" si="30"/>
        <v>0</v>
      </c>
      <c r="GP94" s="220">
        <f t="shared" si="31"/>
        <v>0</v>
      </c>
      <c r="GQ94" s="220">
        <f t="shared" si="32"/>
        <v>0</v>
      </c>
      <c r="GR94" s="220">
        <f t="shared" si="33"/>
        <v>0</v>
      </c>
      <c r="GS94" s="220">
        <f t="shared" si="34"/>
        <v>0</v>
      </c>
      <c r="GT94" s="220">
        <f t="shared" si="35"/>
        <v>0</v>
      </c>
      <c r="GU94" s="220">
        <f t="shared" si="36"/>
        <v>0</v>
      </c>
      <c r="GV94" s="220">
        <f t="shared" si="37"/>
        <v>0</v>
      </c>
      <c r="GW94" s="220">
        <f t="shared" si="38"/>
        <v>0</v>
      </c>
      <c r="GX94" s="220">
        <f t="shared" si="39"/>
        <v>0</v>
      </c>
      <c r="GY94" s="220">
        <f t="shared" si="40"/>
        <v>0</v>
      </c>
    </row>
    <row r="95" spans="1:207" x14ac:dyDescent="0.2">
      <c r="A95" s="89">
        <f>IF('Verwerking Bouwdelen'!A22=4,1,0)</f>
        <v>0</v>
      </c>
      <c r="B95" s="226">
        <f>$A95*'Verwerking Bouwdelen'!CJ22</f>
        <v>0</v>
      </c>
      <c r="C95" s="227">
        <f>$A95*'Verwerking Bouwdelen'!CK22</f>
        <v>0</v>
      </c>
      <c r="D95" s="227">
        <f>$A95*'Verwerking Bouwdelen'!CL22</f>
        <v>0</v>
      </c>
      <c r="E95" s="227">
        <f>$A95*'Verwerking Bouwdelen'!CM22</f>
        <v>0</v>
      </c>
      <c r="F95" s="227">
        <f>$A95*'Verwerking Bouwdelen'!CN22</f>
        <v>0</v>
      </c>
      <c r="G95" s="227">
        <f>$A95*'Verwerking Bouwdelen'!CO22</f>
        <v>0</v>
      </c>
      <c r="H95" s="227">
        <f>$A95*'Verwerking Bouwdelen'!CP22</f>
        <v>0</v>
      </c>
      <c r="I95" s="227">
        <f>$A95*'Verwerking Bouwdelen'!CQ22</f>
        <v>0</v>
      </c>
      <c r="J95" s="227">
        <f>$A95*'Verwerking Bouwdelen'!CR22</f>
        <v>0</v>
      </c>
      <c r="K95" s="227">
        <f>$A95*'Verwerking Bouwdelen'!CS22</f>
        <v>0</v>
      </c>
      <c r="L95" s="227">
        <f>$A95*'Verwerking Bouwdelen'!CT22</f>
        <v>0</v>
      </c>
      <c r="M95" s="228">
        <f>$A95*'Verwerking Bouwdelen'!CU22</f>
        <v>0</v>
      </c>
      <c r="DN95" s="89">
        <f>IF('Verwerking Bouwdelen'!A22=4,1,0)</f>
        <v>0</v>
      </c>
      <c r="DO95" s="223">
        <f>$DN95*'Verwerking Bouwdelen'!FT22</f>
        <v>0</v>
      </c>
      <c r="DP95" s="223">
        <f>$DN95*'Verwerking Bouwdelen'!FU22</f>
        <v>0</v>
      </c>
      <c r="DQ95" s="223">
        <f>$DN95*'Verwerking Bouwdelen'!FV22</f>
        <v>0</v>
      </c>
      <c r="DR95" s="223">
        <f>$DN95*'Verwerking Bouwdelen'!FW22</f>
        <v>0</v>
      </c>
      <c r="DS95" s="223">
        <f>$DN95*'Verwerking Bouwdelen'!FX22</f>
        <v>0</v>
      </c>
      <c r="DT95" s="223">
        <f>$DN95*'Verwerking Bouwdelen'!FY22</f>
        <v>0</v>
      </c>
      <c r="DU95" s="223">
        <f>$DN95*'Verwerking Bouwdelen'!FZ22</f>
        <v>0</v>
      </c>
      <c r="DV95" s="223">
        <f>$DN95*'Verwerking Bouwdelen'!GA22</f>
        <v>0</v>
      </c>
      <c r="DW95" s="223">
        <f>$DN95*'Verwerking Bouwdelen'!GB22</f>
        <v>0</v>
      </c>
      <c r="DX95" s="223">
        <f>$DN95*'Verwerking Bouwdelen'!GC22</f>
        <v>0</v>
      </c>
      <c r="DY95" s="223">
        <f>$DN95*'Verwerking Bouwdelen'!GD22</f>
        <v>0</v>
      </c>
      <c r="DZ95" s="223">
        <f>$DN95*'Verwerking Bouwdelen'!GE22</f>
        <v>0</v>
      </c>
      <c r="EA95" s="89">
        <f>'Verwerking Bouwdelen'!GO22*DN95</f>
        <v>0</v>
      </c>
      <c r="EB95" s="125">
        <f>'Verwerking Bouwdelen'!GP22*DN95</f>
        <v>0</v>
      </c>
      <c r="EC95" s="89">
        <f t="shared" si="41"/>
        <v>0</v>
      </c>
      <c r="GN95" s="220">
        <f t="shared" si="29"/>
        <v>0</v>
      </c>
      <c r="GO95" s="220">
        <f t="shared" si="30"/>
        <v>0</v>
      </c>
      <c r="GP95" s="220">
        <f t="shared" si="31"/>
        <v>0</v>
      </c>
      <c r="GQ95" s="220">
        <f t="shared" si="32"/>
        <v>0</v>
      </c>
      <c r="GR95" s="220">
        <f t="shared" si="33"/>
        <v>0</v>
      </c>
      <c r="GS95" s="220">
        <f t="shared" si="34"/>
        <v>0</v>
      </c>
      <c r="GT95" s="220">
        <f t="shared" si="35"/>
        <v>0</v>
      </c>
      <c r="GU95" s="220">
        <f t="shared" si="36"/>
        <v>0</v>
      </c>
      <c r="GV95" s="220">
        <f t="shared" si="37"/>
        <v>0</v>
      </c>
      <c r="GW95" s="220">
        <f t="shared" si="38"/>
        <v>0</v>
      </c>
      <c r="GX95" s="220">
        <f t="shared" si="39"/>
        <v>0</v>
      </c>
      <c r="GY95" s="220">
        <f t="shared" si="40"/>
        <v>0</v>
      </c>
    </row>
    <row r="96" spans="1:207" x14ac:dyDescent="0.2">
      <c r="A96" s="89">
        <f>IF('Verwerking Bouwdelen'!A23=4,1,0)</f>
        <v>0</v>
      </c>
      <c r="B96" s="226">
        <f>$A96*'Verwerking Bouwdelen'!CJ23</f>
        <v>0</v>
      </c>
      <c r="C96" s="227">
        <f>$A96*'Verwerking Bouwdelen'!CK23</f>
        <v>0</v>
      </c>
      <c r="D96" s="227">
        <f>$A96*'Verwerking Bouwdelen'!CL23</f>
        <v>0</v>
      </c>
      <c r="E96" s="227">
        <f>$A96*'Verwerking Bouwdelen'!CM23</f>
        <v>0</v>
      </c>
      <c r="F96" s="227">
        <f>$A96*'Verwerking Bouwdelen'!CN23</f>
        <v>0</v>
      </c>
      <c r="G96" s="227">
        <f>$A96*'Verwerking Bouwdelen'!CO23</f>
        <v>0</v>
      </c>
      <c r="H96" s="227">
        <f>$A96*'Verwerking Bouwdelen'!CP23</f>
        <v>0</v>
      </c>
      <c r="I96" s="227">
        <f>$A96*'Verwerking Bouwdelen'!CQ23</f>
        <v>0</v>
      </c>
      <c r="J96" s="227">
        <f>$A96*'Verwerking Bouwdelen'!CR23</f>
        <v>0</v>
      </c>
      <c r="K96" s="227">
        <f>$A96*'Verwerking Bouwdelen'!CS23</f>
        <v>0</v>
      </c>
      <c r="L96" s="227">
        <f>$A96*'Verwerking Bouwdelen'!CT23</f>
        <v>0</v>
      </c>
      <c r="M96" s="228">
        <f>$A96*'Verwerking Bouwdelen'!CU23</f>
        <v>0</v>
      </c>
      <c r="DN96" s="89">
        <f>IF('Verwerking Bouwdelen'!A23=4,1,0)</f>
        <v>0</v>
      </c>
      <c r="DO96" s="223">
        <f>$DN96*'Verwerking Bouwdelen'!FT23</f>
        <v>0</v>
      </c>
      <c r="DP96" s="223">
        <f>$DN96*'Verwerking Bouwdelen'!FU23</f>
        <v>0</v>
      </c>
      <c r="DQ96" s="223">
        <f>$DN96*'Verwerking Bouwdelen'!FV23</f>
        <v>0</v>
      </c>
      <c r="DR96" s="223">
        <f>$DN96*'Verwerking Bouwdelen'!FW23</f>
        <v>0</v>
      </c>
      <c r="DS96" s="223">
        <f>$DN96*'Verwerking Bouwdelen'!FX23</f>
        <v>0</v>
      </c>
      <c r="DT96" s="223">
        <f>$DN96*'Verwerking Bouwdelen'!FY23</f>
        <v>0</v>
      </c>
      <c r="DU96" s="223">
        <f>$DN96*'Verwerking Bouwdelen'!FZ23</f>
        <v>0</v>
      </c>
      <c r="DV96" s="223">
        <f>$DN96*'Verwerking Bouwdelen'!GA23</f>
        <v>0</v>
      </c>
      <c r="DW96" s="223">
        <f>$DN96*'Verwerking Bouwdelen'!GB23</f>
        <v>0</v>
      </c>
      <c r="DX96" s="223">
        <f>$DN96*'Verwerking Bouwdelen'!GC23</f>
        <v>0</v>
      </c>
      <c r="DY96" s="223">
        <f>$DN96*'Verwerking Bouwdelen'!GD23</f>
        <v>0</v>
      </c>
      <c r="DZ96" s="223">
        <f>$DN96*'Verwerking Bouwdelen'!GE23</f>
        <v>0</v>
      </c>
      <c r="EA96" s="89">
        <f>'Verwerking Bouwdelen'!GO23*DN96</f>
        <v>0</v>
      </c>
      <c r="EB96" s="125">
        <f>'Verwerking Bouwdelen'!GP23*DN96</f>
        <v>0</v>
      </c>
      <c r="EC96" s="89">
        <f t="shared" si="41"/>
        <v>0</v>
      </c>
      <c r="GN96" s="220">
        <f t="shared" si="29"/>
        <v>0</v>
      </c>
      <c r="GO96" s="220">
        <f t="shared" si="30"/>
        <v>0</v>
      </c>
      <c r="GP96" s="220">
        <f t="shared" si="31"/>
        <v>0</v>
      </c>
      <c r="GQ96" s="220">
        <f t="shared" si="32"/>
        <v>0</v>
      </c>
      <c r="GR96" s="220">
        <f t="shared" si="33"/>
        <v>0</v>
      </c>
      <c r="GS96" s="220">
        <f t="shared" si="34"/>
        <v>0</v>
      </c>
      <c r="GT96" s="220">
        <f t="shared" si="35"/>
        <v>0</v>
      </c>
      <c r="GU96" s="220">
        <f t="shared" si="36"/>
        <v>0</v>
      </c>
      <c r="GV96" s="220">
        <f t="shared" si="37"/>
        <v>0</v>
      </c>
      <c r="GW96" s="220">
        <f t="shared" si="38"/>
        <v>0</v>
      </c>
      <c r="GX96" s="220">
        <f t="shared" si="39"/>
        <v>0</v>
      </c>
      <c r="GY96" s="220">
        <f t="shared" si="40"/>
        <v>0</v>
      </c>
    </row>
    <row r="97" spans="1:207" x14ac:dyDescent="0.2">
      <c r="A97" s="89">
        <f>IF('Verwerking Bouwdelen'!A24=4,1,0)</f>
        <v>0</v>
      </c>
      <c r="B97" s="226">
        <f>$A97*'Verwerking Bouwdelen'!CJ24</f>
        <v>0</v>
      </c>
      <c r="C97" s="227">
        <f>$A97*'Verwerking Bouwdelen'!CK24</f>
        <v>0</v>
      </c>
      <c r="D97" s="227">
        <f>$A97*'Verwerking Bouwdelen'!CL24</f>
        <v>0</v>
      </c>
      <c r="E97" s="227">
        <f>$A97*'Verwerking Bouwdelen'!CM24</f>
        <v>0</v>
      </c>
      <c r="F97" s="227">
        <f>$A97*'Verwerking Bouwdelen'!CN24</f>
        <v>0</v>
      </c>
      <c r="G97" s="227">
        <f>$A97*'Verwerking Bouwdelen'!CO24</f>
        <v>0</v>
      </c>
      <c r="H97" s="227">
        <f>$A97*'Verwerking Bouwdelen'!CP24</f>
        <v>0</v>
      </c>
      <c r="I97" s="227">
        <f>$A97*'Verwerking Bouwdelen'!CQ24</f>
        <v>0</v>
      </c>
      <c r="J97" s="227">
        <f>$A97*'Verwerking Bouwdelen'!CR24</f>
        <v>0</v>
      </c>
      <c r="K97" s="227">
        <f>$A97*'Verwerking Bouwdelen'!CS24</f>
        <v>0</v>
      </c>
      <c r="L97" s="227">
        <f>$A97*'Verwerking Bouwdelen'!CT24</f>
        <v>0</v>
      </c>
      <c r="M97" s="228">
        <f>$A97*'Verwerking Bouwdelen'!CU24</f>
        <v>0</v>
      </c>
      <c r="DN97" s="89">
        <f>IF('Verwerking Bouwdelen'!A24=4,1,0)</f>
        <v>0</v>
      </c>
      <c r="DO97" s="223">
        <f>$DN97*'Verwerking Bouwdelen'!FT24</f>
        <v>0</v>
      </c>
      <c r="DP97" s="223">
        <f>$DN97*'Verwerking Bouwdelen'!FU24</f>
        <v>0</v>
      </c>
      <c r="DQ97" s="223">
        <f>$DN97*'Verwerking Bouwdelen'!FV24</f>
        <v>0</v>
      </c>
      <c r="DR97" s="223">
        <f>$DN97*'Verwerking Bouwdelen'!FW24</f>
        <v>0</v>
      </c>
      <c r="DS97" s="223">
        <f>$DN97*'Verwerking Bouwdelen'!FX24</f>
        <v>0</v>
      </c>
      <c r="DT97" s="223">
        <f>$DN97*'Verwerking Bouwdelen'!FY24</f>
        <v>0</v>
      </c>
      <c r="DU97" s="223">
        <f>$DN97*'Verwerking Bouwdelen'!FZ24</f>
        <v>0</v>
      </c>
      <c r="DV97" s="223">
        <f>$DN97*'Verwerking Bouwdelen'!GA24</f>
        <v>0</v>
      </c>
      <c r="DW97" s="223">
        <f>$DN97*'Verwerking Bouwdelen'!GB24</f>
        <v>0</v>
      </c>
      <c r="DX97" s="223">
        <f>$DN97*'Verwerking Bouwdelen'!GC24</f>
        <v>0</v>
      </c>
      <c r="DY97" s="223">
        <f>$DN97*'Verwerking Bouwdelen'!GD24</f>
        <v>0</v>
      </c>
      <c r="DZ97" s="223">
        <f>$DN97*'Verwerking Bouwdelen'!GE24</f>
        <v>0</v>
      </c>
      <c r="EA97" s="89">
        <f>'Verwerking Bouwdelen'!GO24*DN97</f>
        <v>0</v>
      </c>
      <c r="EB97" s="125">
        <f>'Verwerking Bouwdelen'!GP24*DN97</f>
        <v>0</v>
      </c>
      <c r="EC97" s="89">
        <f t="shared" si="41"/>
        <v>0</v>
      </c>
      <c r="GN97" s="220">
        <f t="shared" ref="GN97:GN118" si="42">DO97</f>
        <v>0</v>
      </c>
      <c r="GO97" s="220">
        <f t="shared" ref="GO97:GO118" si="43">DP97</f>
        <v>0</v>
      </c>
      <c r="GP97" s="220">
        <f t="shared" ref="GP97:GP118" si="44">DQ97</f>
        <v>0</v>
      </c>
      <c r="GQ97" s="220">
        <f t="shared" ref="GQ97:GY116" si="45">DR97</f>
        <v>0</v>
      </c>
      <c r="GR97" s="220">
        <f t="shared" si="45"/>
        <v>0</v>
      </c>
      <c r="GS97" s="220">
        <f t="shared" si="45"/>
        <v>0</v>
      </c>
      <c r="GT97" s="220">
        <f t="shared" si="45"/>
        <v>0</v>
      </c>
      <c r="GU97" s="220">
        <f t="shared" si="45"/>
        <v>0</v>
      </c>
      <c r="GV97" s="220">
        <f t="shared" si="45"/>
        <v>0</v>
      </c>
      <c r="GW97" s="220">
        <f t="shared" si="45"/>
        <v>0</v>
      </c>
      <c r="GX97" s="220">
        <f t="shared" si="45"/>
        <v>0</v>
      </c>
      <c r="GY97" s="220">
        <f t="shared" si="45"/>
        <v>0</v>
      </c>
    </row>
    <row r="98" spans="1:207" x14ac:dyDescent="0.2">
      <c r="A98" s="89">
        <f>IF('Verwerking Bouwdelen'!A25=4,1,0)</f>
        <v>0</v>
      </c>
      <c r="B98" s="226">
        <f>$A98*'Verwerking Bouwdelen'!CJ25</f>
        <v>0</v>
      </c>
      <c r="C98" s="227">
        <f>$A98*'Verwerking Bouwdelen'!CK25</f>
        <v>0</v>
      </c>
      <c r="D98" s="227">
        <f>$A98*'Verwerking Bouwdelen'!CL25</f>
        <v>0</v>
      </c>
      <c r="E98" s="227">
        <f>$A98*'Verwerking Bouwdelen'!CM25</f>
        <v>0</v>
      </c>
      <c r="F98" s="227">
        <f>$A98*'Verwerking Bouwdelen'!CN25</f>
        <v>0</v>
      </c>
      <c r="G98" s="227">
        <f>$A98*'Verwerking Bouwdelen'!CO25</f>
        <v>0</v>
      </c>
      <c r="H98" s="227">
        <f>$A98*'Verwerking Bouwdelen'!CP25</f>
        <v>0</v>
      </c>
      <c r="I98" s="227">
        <f>$A98*'Verwerking Bouwdelen'!CQ25</f>
        <v>0</v>
      </c>
      <c r="J98" s="227">
        <f>$A98*'Verwerking Bouwdelen'!CR25</f>
        <v>0</v>
      </c>
      <c r="K98" s="227">
        <f>$A98*'Verwerking Bouwdelen'!CS25</f>
        <v>0</v>
      </c>
      <c r="L98" s="227">
        <f>$A98*'Verwerking Bouwdelen'!CT25</f>
        <v>0</v>
      </c>
      <c r="M98" s="228">
        <f>$A98*'Verwerking Bouwdelen'!CU25</f>
        <v>0</v>
      </c>
      <c r="DN98" s="89">
        <f>IF('Verwerking Bouwdelen'!A25=4,1,0)</f>
        <v>0</v>
      </c>
      <c r="DO98" s="223">
        <f>$DN98*'Verwerking Bouwdelen'!FT25</f>
        <v>0</v>
      </c>
      <c r="DP98" s="223">
        <f>$DN98*'Verwerking Bouwdelen'!FU25</f>
        <v>0</v>
      </c>
      <c r="DQ98" s="223">
        <f>$DN98*'Verwerking Bouwdelen'!FV25</f>
        <v>0</v>
      </c>
      <c r="DR98" s="223">
        <f>$DN98*'Verwerking Bouwdelen'!FW25</f>
        <v>0</v>
      </c>
      <c r="DS98" s="223">
        <f>$DN98*'Verwerking Bouwdelen'!FX25</f>
        <v>0</v>
      </c>
      <c r="DT98" s="223">
        <f>$DN98*'Verwerking Bouwdelen'!FY25</f>
        <v>0</v>
      </c>
      <c r="DU98" s="223">
        <f>$DN98*'Verwerking Bouwdelen'!FZ25</f>
        <v>0</v>
      </c>
      <c r="DV98" s="223">
        <f>$DN98*'Verwerking Bouwdelen'!GA25</f>
        <v>0</v>
      </c>
      <c r="DW98" s="223">
        <f>$DN98*'Verwerking Bouwdelen'!GB25</f>
        <v>0</v>
      </c>
      <c r="DX98" s="223">
        <f>$DN98*'Verwerking Bouwdelen'!GC25</f>
        <v>0</v>
      </c>
      <c r="DY98" s="223">
        <f>$DN98*'Verwerking Bouwdelen'!GD25</f>
        <v>0</v>
      </c>
      <c r="DZ98" s="223">
        <f>$DN98*'Verwerking Bouwdelen'!GE25</f>
        <v>0</v>
      </c>
      <c r="EA98" s="89">
        <f>'Verwerking Bouwdelen'!GO25*DN98</f>
        <v>0</v>
      </c>
      <c r="EB98" s="125">
        <f>'Verwerking Bouwdelen'!GP25*DN98</f>
        <v>0</v>
      </c>
      <c r="EC98" s="89">
        <f t="shared" si="41"/>
        <v>0</v>
      </c>
      <c r="GN98" s="220">
        <f t="shared" si="42"/>
        <v>0</v>
      </c>
      <c r="GO98" s="220">
        <f t="shared" si="43"/>
        <v>0</v>
      </c>
      <c r="GP98" s="220">
        <f t="shared" si="44"/>
        <v>0</v>
      </c>
      <c r="GQ98" s="220">
        <f t="shared" si="45"/>
        <v>0</v>
      </c>
      <c r="GR98" s="220">
        <f t="shared" si="45"/>
        <v>0</v>
      </c>
      <c r="GS98" s="220">
        <f t="shared" si="45"/>
        <v>0</v>
      </c>
      <c r="GT98" s="220">
        <f t="shared" si="45"/>
        <v>0</v>
      </c>
      <c r="GU98" s="220">
        <f t="shared" si="45"/>
        <v>0</v>
      </c>
      <c r="GV98" s="220">
        <f t="shared" si="45"/>
        <v>0</v>
      </c>
      <c r="GW98" s="220">
        <f t="shared" si="45"/>
        <v>0</v>
      </c>
      <c r="GX98" s="220">
        <f t="shared" si="45"/>
        <v>0</v>
      </c>
      <c r="GY98" s="220">
        <f t="shared" si="45"/>
        <v>0</v>
      </c>
    </row>
    <row r="99" spans="1:207" x14ac:dyDescent="0.2">
      <c r="A99" s="89">
        <f>IF('Verwerking Bouwdelen'!A26=4,1,0)</f>
        <v>0</v>
      </c>
      <c r="B99" s="226">
        <f>$A99*'Verwerking Bouwdelen'!CJ26</f>
        <v>0</v>
      </c>
      <c r="C99" s="227">
        <f>$A99*'Verwerking Bouwdelen'!CK26</f>
        <v>0</v>
      </c>
      <c r="D99" s="227">
        <f>$A99*'Verwerking Bouwdelen'!CL26</f>
        <v>0</v>
      </c>
      <c r="E99" s="227">
        <f>$A99*'Verwerking Bouwdelen'!CM26</f>
        <v>0</v>
      </c>
      <c r="F99" s="227">
        <f>$A99*'Verwerking Bouwdelen'!CN26</f>
        <v>0</v>
      </c>
      <c r="G99" s="227">
        <f>$A99*'Verwerking Bouwdelen'!CO26</f>
        <v>0</v>
      </c>
      <c r="H99" s="227">
        <f>$A99*'Verwerking Bouwdelen'!CP26</f>
        <v>0</v>
      </c>
      <c r="I99" s="227">
        <f>$A99*'Verwerking Bouwdelen'!CQ26</f>
        <v>0</v>
      </c>
      <c r="J99" s="227">
        <f>$A99*'Verwerking Bouwdelen'!CR26</f>
        <v>0</v>
      </c>
      <c r="K99" s="227">
        <f>$A99*'Verwerking Bouwdelen'!CS26</f>
        <v>0</v>
      </c>
      <c r="L99" s="227">
        <f>$A99*'Verwerking Bouwdelen'!CT26</f>
        <v>0</v>
      </c>
      <c r="M99" s="228">
        <f>$A99*'Verwerking Bouwdelen'!CU26</f>
        <v>0</v>
      </c>
      <c r="DN99" s="89">
        <f>IF('Verwerking Bouwdelen'!A26=4,1,0)</f>
        <v>0</v>
      </c>
      <c r="DO99" s="223">
        <f>$DN99*'Verwerking Bouwdelen'!FT26</f>
        <v>0</v>
      </c>
      <c r="DP99" s="223">
        <f>$DN99*'Verwerking Bouwdelen'!FU26</f>
        <v>0</v>
      </c>
      <c r="DQ99" s="223">
        <f>$DN99*'Verwerking Bouwdelen'!FV26</f>
        <v>0</v>
      </c>
      <c r="DR99" s="223">
        <f>$DN99*'Verwerking Bouwdelen'!FW26</f>
        <v>0</v>
      </c>
      <c r="DS99" s="223">
        <f>$DN99*'Verwerking Bouwdelen'!FX26</f>
        <v>0</v>
      </c>
      <c r="DT99" s="223">
        <f>$DN99*'Verwerking Bouwdelen'!FY26</f>
        <v>0</v>
      </c>
      <c r="DU99" s="223">
        <f>$DN99*'Verwerking Bouwdelen'!FZ26</f>
        <v>0</v>
      </c>
      <c r="DV99" s="223">
        <f>$DN99*'Verwerking Bouwdelen'!GA26</f>
        <v>0</v>
      </c>
      <c r="DW99" s="223">
        <f>$DN99*'Verwerking Bouwdelen'!GB26</f>
        <v>0</v>
      </c>
      <c r="DX99" s="223">
        <f>$DN99*'Verwerking Bouwdelen'!GC26</f>
        <v>0</v>
      </c>
      <c r="DY99" s="223">
        <f>$DN99*'Verwerking Bouwdelen'!GD26</f>
        <v>0</v>
      </c>
      <c r="DZ99" s="223">
        <f>$DN99*'Verwerking Bouwdelen'!GE26</f>
        <v>0</v>
      </c>
      <c r="EA99" s="89">
        <f>'Verwerking Bouwdelen'!GO26*DN99</f>
        <v>0</v>
      </c>
      <c r="EB99" s="125">
        <f>'Verwerking Bouwdelen'!GP26*DN99</f>
        <v>0</v>
      </c>
      <c r="EC99" s="89">
        <f t="shared" si="41"/>
        <v>0</v>
      </c>
      <c r="GN99" s="220">
        <f t="shared" si="42"/>
        <v>0</v>
      </c>
      <c r="GO99" s="220">
        <f t="shared" si="43"/>
        <v>0</v>
      </c>
      <c r="GP99" s="220">
        <f t="shared" si="44"/>
        <v>0</v>
      </c>
      <c r="GQ99" s="220">
        <f t="shared" si="45"/>
        <v>0</v>
      </c>
      <c r="GR99" s="220">
        <f t="shared" si="45"/>
        <v>0</v>
      </c>
      <c r="GS99" s="220">
        <f t="shared" si="45"/>
        <v>0</v>
      </c>
      <c r="GT99" s="220">
        <f t="shared" si="45"/>
        <v>0</v>
      </c>
      <c r="GU99" s="220">
        <f t="shared" si="45"/>
        <v>0</v>
      </c>
      <c r="GV99" s="220">
        <f t="shared" si="45"/>
        <v>0</v>
      </c>
      <c r="GW99" s="220">
        <f t="shared" si="45"/>
        <v>0</v>
      </c>
      <c r="GX99" s="220">
        <f t="shared" si="45"/>
        <v>0</v>
      </c>
      <c r="GY99" s="220">
        <f t="shared" si="45"/>
        <v>0</v>
      </c>
    </row>
    <row r="100" spans="1:207" x14ac:dyDescent="0.2">
      <c r="A100" s="89">
        <f>IF('Verwerking Bouwdelen'!A27=4,1,0)</f>
        <v>0</v>
      </c>
      <c r="B100" s="226">
        <f>$A100*'Verwerking Bouwdelen'!CJ27</f>
        <v>0</v>
      </c>
      <c r="C100" s="227">
        <f>$A100*'Verwerking Bouwdelen'!CK27</f>
        <v>0</v>
      </c>
      <c r="D100" s="227">
        <f>$A100*'Verwerking Bouwdelen'!CL27</f>
        <v>0</v>
      </c>
      <c r="E100" s="227">
        <f>$A100*'Verwerking Bouwdelen'!CM27</f>
        <v>0</v>
      </c>
      <c r="F100" s="227">
        <f>$A100*'Verwerking Bouwdelen'!CN27</f>
        <v>0</v>
      </c>
      <c r="G100" s="227">
        <f>$A100*'Verwerking Bouwdelen'!CO27</f>
        <v>0</v>
      </c>
      <c r="H100" s="227">
        <f>$A100*'Verwerking Bouwdelen'!CP27</f>
        <v>0</v>
      </c>
      <c r="I100" s="227">
        <f>$A100*'Verwerking Bouwdelen'!CQ27</f>
        <v>0</v>
      </c>
      <c r="J100" s="227">
        <f>$A100*'Verwerking Bouwdelen'!CR27</f>
        <v>0</v>
      </c>
      <c r="K100" s="227">
        <f>$A100*'Verwerking Bouwdelen'!CS27</f>
        <v>0</v>
      </c>
      <c r="L100" s="227">
        <f>$A100*'Verwerking Bouwdelen'!CT27</f>
        <v>0</v>
      </c>
      <c r="M100" s="228">
        <f>$A100*'Verwerking Bouwdelen'!CU27</f>
        <v>0</v>
      </c>
      <c r="DN100" s="89">
        <f>IF('Verwerking Bouwdelen'!A27=4,1,0)</f>
        <v>0</v>
      </c>
      <c r="DO100" s="223">
        <f>$DN100*'Verwerking Bouwdelen'!FT27</f>
        <v>0</v>
      </c>
      <c r="DP100" s="223">
        <f>$DN100*'Verwerking Bouwdelen'!FU27</f>
        <v>0</v>
      </c>
      <c r="DQ100" s="223">
        <f>$DN100*'Verwerking Bouwdelen'!FV27</f>
        <v>0</v>
      </c>
      <c r="DR100" s="223">
        <f>$DN100*'Verwerking Bouwdelen'!FW27</f>
        <v>0</v>
      </c>
      <c r="DS100" s="223">
        <f>$DN100*'Verwerking Bouwdelen'!FX27</f>
        <v>0</v>
      </c>
      <c r="DT100" s="223">
        <f>$DN100*'Verwerking Bouwdelen'!FY27</f>
        <v>0</v>
      </c>
      <c r="DU100" s="223">
        <f>$DN100*'Verwerking Bouwdelen'!FZ27</f>
        <v>0</v>
      </c>
      <c r="DV100" s="223">
        <f>$DN100*'Verwerking Bouwdelen'!GA27</f>
        <v>0</v>
      </c>
      <c r="DW100" s="223">
        <f>$DN100*'Verwerking Bouwdelen'!GB27</f>
        <v>0</v>
      </c>
      <c r="DX100" s="223">
        <f>$DN100*'Verwerking Bouwdelen'!GC27</f>
        <v>0</v>
      </c>
      <c r="DY100" s="223">
        <f>$DN100*'Verwerking Bouwdelen'!GD27</f>
        <v>0</v>
      </c>
      <c r="DZ100" s="223">
        <f>$DN100*'Verwerking Bouwdelen'!GE27</f>
        <v>0</v>
      </c>
      <c r="EA100" s="89">
        <f>'Verwerking Bouwdelen'!GO27*DN100</f>
        <v>0</v>
      </c>
      <c r="EB100" s="125">
        <f>'Verwerking Bouwdelen'!GP27*DN100</f>
        <v>0</v>
      </c>
      <c r="EC100" s="89">
        <f t="shared" si="41"/>
        <v>0</v>
      </c>
      <c r="GN100" s="220">
        <f t="shared" si="42"/>
        <v>0</v>
      </c>
      <c r="GO100" s="220">
        <f t="shared" si="43"/>
        <v>0</v>
      </c>
      <c r="GP100" s="220">
        <f t="shared" si="44"/>
        <v>0</v>
      </c>
      <c r="GQ100" s="220">
        <f t="shared" si="45"/>
        <v>0</v>
      </c>
      <c r="GR100" s="220">
        <f t="shared" si="45"/>
        <v>0</v>
      </c>
      <c r="GS100" s="220">
        <f t="shared" si="45"/>
        <v>0</v>
      </c>
      <c r="GT100" s="220">
        <f t="shared" si="45"/>
        <v>0</v>
      </c>
      <c r="GU100" s="220">
        <f t="shared" si="45"/>
        <v>0</v>
      </c>
      <c r="GV100" s="220">
        <f t="shared" si="45"/>
        <v>0</v>
      </c>
      <c r="GW100" s="220">
        <f t="shared" si="45"/>
        <v>0</v>
      </c>
      <c r="GX100" s="220">
        <f t="shared" si="45"/>
        <v>0</v>
      </c>
      <c r="GY100" s="220">
        <f t="shared" si="45"/>
        <v>0</v>
      </c>
    </row>
    <row r="101" spans="1:207" x14ac:dyDescent="0.2">
      <c r="A101" s="89">
        <f>IF('Verwerking Bouwdelen'!A28=4,1,0)</f>
        <v>0</v>
      </c>
      <c r="B101" s="226">
        <f>$A101*'Verwerking Bouwdelen'!CJ28</f>
        <v>0</v>
      </c>
      <c r="C101" s="227">
        <f>$A101*'Verwerking Bouwdelen'!CK28</f>
        <v>0</v>
      </c>
      <c r="D101" s="227">
        <f>$A101*'Verwerking Bouwdelen'!CL28</f>
        <v>0</v>
      </c>
      <c r="E101" s="227">
        <f>$A101*'Verwerking Bouwdelen'!CM28</f>
        <v>0</v>
      </c>
      <c r="F101" s="227">
        <f>$A101*'Verwerking Bouwdelen'!CN28</f>
        <v>0</v>
      </c>
      <c r="G101" s="227">
        <f>$A101*'Verwerking Bouwdelen'!CO28</f>
        <v>0</v>
      </c>
      <c r="H101" s="227">
        <f>$A101*'Verwerking Bouwdelen'!CP28</f>
        <v>0</v>
      </c>
      <c r="I101" s="227">
        <f>$A101*'Verwerking Bouwdelen'!CQ28</f>
        <v>0</v>
      </c>
      <c r="J101" s="227">
        <f>$A101*'Verwerking Bouwdelen'!CR28</f>
        <v>0</v>
      </c>
      <c r="K101" s="227">
        <f>$A101*'Verwerking Bouwdelen'!CS28</f>
        <v>0</v>
      </c>
      <c r="L101" s="227">
        <f>$A101*'Verwerking Bouwdelen'!CT28</f>
        <v>0</v>
      </c>
      <c r="M101" s="228">
        <f>$A101*'Verwerking Bouwdelen'!CU28</f>
        <v>0</v>
      </c>
      <c r="DN101" s="89">
        <f>IF('Verwerking Bouwdelen'!A28=4,1,0)</f>
        <v>0</v>
      </c>
      <c r="DO101" s="223">
        <f>$DN101*'Verwerking Bouwdelen'!FT28</f>
        <v>0</v>
      </c>
      <c r="DP101" s="223">
        <f>$DN101*'Verwerking Bouwdelen'!FU28</f>
        <v>0</v>
      </c>
      <c r="DQ101" s="223">
        <f>$DN101*'Verwerking Bouwdelen'!FV28</f>
        <v>0</v>
      </c>
      <c r="DR101" s="223">
        <f>$DN101*'Verwerking Bouwdelen'!FW28</f>
        <v>0</v>
      </c>
      <c r="DS101" s="223">
        <f>$DN101*'Verwerking Bouwdelen'!FX28</f>
        <v>0</v>
      </c>
      <c r="DT101" s="223">
        <f>$DN101*'Verwerking Bouwdelen'!FY28</f>
        <v>0</v>
      </c>
      <c r="DU101" s="223">
        <f>$DN101*'Verwerking Bouwdelen'!FZ28</f>
        <v>0</v>
      </c>
      <c r="DV101" s="223">
        <f>$DN101*'Verwerking Bouwdelen'!GA28</f>
        <v>0</v>
      </c>
      <c r="DW101" s="223">
        <f>$DN101*'Verwerking Bouwdelen'!GB28</f>
        <v>0</v>
      </c>
      <c r="DX101" s="223">
        <f>$DN101*'Verwerking Bouwdelen'!GC28</f>
        <v>0</v>
      </c>
      <c r="DY101" s="223">
        <f>$DN101*'Verwerking Bouwdelen'!GD28</f>
        <v>0</v>
      </c>
      <c r="DZ101" s="223">
        <f>$DN101*'Verwerking Bouwdelen'!GE28</f>
        <v>0</v>
      </c>
      <c r="EA101" s="89">
        <f>'Verwerking Bouwdelen'!GO28*DN101</f>
        <v>0</v>
      </c>
      <c r="EB101" s="125">
        <f>'Verwerking Bouwdelen'!GP28*DN101</f>
        <v>0</v>
      </c>
      <c r="EC101" s="89">
        <f t="shared" si="41"/>
        <v>0</v>
      </c>
      <c r="GN101" s="220">
        <f t="shared" si="42"/>
        <v>0</v>
      </c>
      <c r="GO101" s="220">
        <f t="shared" si="43"/>
        <v>0</v>
      </c>
      <c r="GP101" s="220">
        <f t="shared" si="44"/>
        <v>0</v>
      </c>
      <c r="GQ101" s="220">
        <f t="shared" si="45"/>
        <v>0</v>
      </c>
      <c r="GR101" s="220">
        <f t="shared" si="45"/>
        <v>0</v>
      </c>
      <c r="GS101" s="220">
        <f t="shared" si="45"/>
        <v>0</v>
      </c>
      <c r="GT101" s="220">
        <f t="shared" si="45"/>
        <v>0</v>
      </c>
      <c r="GU101" s="220">
        <f t="shared" si="45"/>
        <v>0</v>
      </c>
      <c r="GV101" s="220">
        <f t="shared" si="45"/>
        <v>0</v>
      </c>
      <c r="GW101" s="220">
        <f t="shared" si="45"/>
        <v>0</v>
      </c>
      <c r="GX101" s="220">
        <f t="shared" si="45"/>
        <v>0</v>
      </c>
      <c r="GY101" s="220">
        <f t="shared" si="45"/>
        <v>0</v>
      </c>
    </row>
    <row r="102" spans="1:207" x14ac:dyDescent="0.2">
      <c r="A102" s="89">
        <f>IF('Verwerking Bouwdelen'!A29=4,1,0)</f>
        <v>0</v>
      </c>
      <c r="B102" s="226">
        <f>$A102*'Verwerking Bouwdelen'!CJ29</f>
        <v>0</v>
      </c>
      <c r="C102" s="227">
        <f>$A102*'Verwerking Bouwdelen'!CK29</f>
        <v>0</v>
      </c>
      <c r="D102" s="227">
        <f>$A102*'Verwerking Bouwdelen'!CL29</f>
        <v>0</v>
      </c>
      <c r="E102" s="227">
        <f>$A102*'Verwerking Bouwdelen'!CM29</f>
        <v>0</v>
      </c>
      <c r="F102" s="227">
        <f>$A102*'Verwerking Bouwdelen'!CN29</f>
        <v>0</v>
      </c>
      <c r="G102" s="227">
        <f>$A102*'Verwerking Bouwdelen'!CO29</f>
        <v>0</v>
      </c>
      <c r="H102" s="227">
        <f>$A102*'Verwerking Bouwdelen'!CP29</f>
        <v>0</v>
      </c>
      <c r="I102" s="227">
        <f>$A102*'Verwerking Bouwdelen'!CQ29</f>
        <v>0</v>
      </c>
      <c r="J102" s="227">
        <f>$A102*'Verwerking Bouwdelen'!CR29</f>
        <v>0</v>
      </c>
      <c r="K102" s="227">
        <f>$A102*'Verwerking Bouwdelen'!CS29</f>
        <v>0</v>
      </c>
      <c r="L102" s="227">
        <f>$A102*'Verwerking Bouwdelen'!CT29</f>
        <v>0</v>
      </c>
      <c r="M102" s="228">
        <f>$A102*'Verwerking Bouwdelen'!CU29</f>
        <v>0</v>
      </c>
      <c r="DN102" s="89">
        <f>IF('Verwerking Bouwdelen'!A29=4,1,0)</f>
        <v>0</v>
      </c>
      <c r="DO102" s="223">
        <f>$DN102*'Verwerking Bouwdelen'!FT29</f>
        <v>0</v>
      </c>
      <c r="DP102" s="223">
        <f>$DN102*'Verwerking Bouwdelen'!FU29</f>
        <v>0</v>
      </c>
      <c r="DQ102" s="223">
        <f>$DN102*'Verwerking Bouwdelen'!FV29</f>
        <v>0</v>
      </c>
      <c r="DR102" s="223">
        <f>$DN102*'Verwerking Bouwdelen'!FW29</f>
        <v>0</v>
      </c>
      <c r="DS102" s="223">
        <f>$DN102*'Verwerking Bouwdelen'!FX29</f>
        <v>0</v>
      </c>
      <c r="DT102" s="223">
        <f>$DN102*'Verwerking Bouwdelen'!FY29</f>
        <v>0</v>
      </c>
      <c r="DU102" s="223">
        <f>$DN102*'Verwerking Bouwdelen'!FZ29</f>
        <v>0</v>
      </c>
      <c r="DV102" s="223">
        <f>$DN102*'Verwerking Bouwdelen'!GA29</f>
        <v>0</v>
      </c>
      <c r="DW102" s="223">
        <f>$DN102*'Verwerking Bouwdelen'!GB29</f>
        <v>0</v>
      </c>
      <c r="DX102" s="223">
        <f>$DN102*'Verwerking Bouwdelen'!GC29</f>
        <v>0</v>
      </c>
      <c r="DY102" s="223">
        <f>$DN102*'Verwerking Bouwdelen'!GD29</f>
        <v>0</v>
      </c>
      <c r="DZ102" s="223">
        <f>$DN102*'Verwerking Bouwdelen'!GE29</f>
        <v>0</v>
      </c>
      <c r="EA102" s="89">
        <f>'Verwerking Bouwdelen'!GO29*DN102</f>
        <v>0</v>
      </c>
      <c r="EB102" s="125">
        <f>'Verwerking Bouwdelen'!GP29*DN102</f>
        <v>0</v>
      </c>
      <c r="EC102" s="89">
        <f t="shared" si="41"/>
        <v>0</v>
      </c>
      <c r="GN102" s="220">
        <f t="shared" si="42"/>
        <v>0</v>
      </c>
      <c r="GO102" s="220">
        <f t="shared" si="43"/>
        <v>0</v>
      </c>
      <c r="GP102" s="220">
        <f t="shared" si="44"/>
        <v>0</v>
      </c>
      <c r="GQ102" s="220">
        <f t="shared" si="45"/>
        <v>0</v>
      </c>
      <c r="GR102" s="220">
        <f t="shared" si="45"/>
        <v>0</v>
      </c>
      <c r="GS102" s="220">
        <f t="shared" si="45"/>
        <v>0</v>
      </c>
      <c r="GT102" s="220">
        <f t="shared" si="45"/>
        <v>0</v>
      </c>
      <c r="GU102" s="220">
        <f t="shared" si="45"/>
        <v>0</v>
      </c>
      <c r="GV102" s="220">
        <f t="shared" si="45"/>
        <v>0</v>
      </c>
      <c r="GW102" s="220">
        <f t="shared" si="45"/>
        <v>0</v>
      </c>
      <c r="GX102" s="220">
        <f t="shared" si="45"/>
        <v>0</v>
      </c>
      <c r="GY102" s="220">
        <f t="shared" si="45"/>
        <v>0</v>
      </c>
    </row>
    <row r="103" spans="1:207" x14ac:dyDescent="0.2">
      <c r="A103" s="89">
        <f>IF('Verwerking Bouwdelen'!A30=4,1,0)</f>
        <v>0</v>
      </c>
      <c r="B103" s="226">
        <f>$A103*'Verwerking Bouwdelen'!CJ30</f>
        <v>0</v>
      </c>
      <c r="C103" s="227">
        <f>$A103*'Verwerking Bouwdelen'!CK30</f>
        <v>0</v>
      </c>
      <c r="D103" s="227">
        <f>$A103*'Verwerking Bouwdelen'!CL30</f>
        <v>0</v>
      </c>
      <c r="E103" s="227">
        <f>$A103*'Verwerking Bouwdelen'!CM30</f>
        <v>0</v>
      </c>
      <c r="F103" s="227">
        <f>$A103*'Verwerking Bouwdelen'!CN30</f>
        <v>0</v>
      </c>
      <c r="G103" s="227">
        <f>$A103*'Verwerking Bouwdelen'!CO30</f>
        <v>0</v>
      </c>
      <c r="H103" s="227">
        <f>$A103*'Verwerking Bouwdelen'!CP30</f>
        <v>0</v>
      </c>
      <c r="I103" s="227">
        <f>$A103*'Verwerking Bouwdelen'!CQ30</f>
        <v>0</v>
      </c>
      <c r="J103" s="227">
        <f>$A103*'Verwerking Bouwdelen'!CR30</f>
        <v>0</v>
      </c>
      <c r="K103" s="227">
        <f>$A103*'Verwerking Bouwdelen'!CS30</f>
        <v>0</v>
      </c>
      <c r="L103" s="227">
        <f>$A103*'Verwerking Bouwdelen'!CT30</f>
        <v>0</v>
      </c>
      <c r="M103" s="228">
        <f>$A103*'Verwerking Bouwdelen'!CU30</f>
        <v>0</v>
      </c>
      <c r="DN103" s="89">
        <f>IF('Verwerking Bouwdelen'!A30=4,1,0)</f>
        <v>0</v>
      </c>
      <c r="DO103" s="223">
        <f>$DN103*'Verwerking Bouwdelen'!FT30</f>
        <v>0</v>
      </c>
      <c r="DP103" s="223">
        <f>$DN103*'Verwerking Bouwdelen'!FU30</f>
        <v>0</v>
      </c>
      <c r="DQ103" s="223">
        <f>$DN103*'Verwerking Bouwdelen'!FV30</f>
        <v>0</v>
      </c>
      <c r="DR103" s="223">
        <f>$DN103*'Verwerking Bouwdelen'!FW30</f>
        <v>0</v>
      </c>
      <c r="DS103" s="223">
        <f>$DN103*'Verwerking Bouwdelen'!FX30</f>
        <v>0</v>
      </c>
      <c r="DT103" s="223">
        <f>$DN103*'Verwerking Bouwdelen'!FY30</f>
        <v>0</v>
      </c>
      <c r="DU103" s="223">
        <f>$DN103*'Verwerking Bouwdelen'!FZ30</f>
        <v>0</v>
      </c>
      <c r="DV103" s="223">
        <f>$DN103*'Verwerking Bouwdelen'!GA30</f>
        <v>0</v>
      </c>
      <c r="DW103" s="223">
        <f>$DN103*'Verwerking Bouwdelen'!GB30</f>
        <v>0</v>
      </c>
      <c r="DX103" s="223">
        <f>$DN103*'Verwerking Bouwdelen'!GC30</f>
        <v>0</v>
      </c>
      <c r="DY103" s="223">
        <f>$DN103*'Verwerking Bouwdelen'!GD30</f>
        <v>0</v>
      </c>
      <c r="DZ103" s="223">
        <f>$DN103*'Verwerking Bouwdelen'!GE30</f>
        <v>0</v>
      </c>
      <c r="EA103" s="89">
        <f>'Verwerking Bouwdelen'!GO30*DN103</f>
        <v>0</v>
      </c>
      <c r="EB103" s="125">
        <f>'Verwerking Bouwdelen'!GP30*DN103</f>
        <v>0</v>
      </c>
      <c r="EC103" s="89">
        <f t="shared" si="41"/>
        <v>0</v>
      </c>
      <c r="GN103" s="220">
        <f t="shared" si="42"/>
        <v>0</v>
      </c>
      <c r="GO103" s="220">
        <f t="shared" si="43"/>
        <v>0</v>
      </c>
      <c r="GP103" s="220">
        <f t="shared" si="44"/>
        <v>0</v>
      </c>
      <c r="GQ103" s="220">
        <f t="shared" si="45"/>
        <v>0</v>
      </c>
      <c r="GR103" s="220">
        <f t="shared" si="45"/>
        <v>0</v>
      </c>
      <c r="GS103" s="220">
        <f t="shared" si="45"/>
        <v>0</v>
      </c>
      <c r="GT103" s="220">
        <f t="shared" si="45"/>
        <v>0</v>
      </c>
      <c r="GU103" s="220">
        <f t="shared" si="45"/>
        <v>0</v>
      </c>
      <c r="GV103" s="220">
        <f t="shared" si="45"/>
        <v>0</v>
      </c>
      <c r="GW103" s="220">
        <f t="shared" si="45"/>
        <v>0</v>
      </c>
      <c r="GX103" s="220">
        <f t="shared" si="45"/>
        <v>0</v>
      </c>
      <c r="GY103" s="220">
        <f t="shared" si="45"/>
        <v>0</v>
      </c>
    </row>
    <row r="104" spans="1:207" x14ac:dyDescent="0.2">
      <c r="A104" s="89">
        <f>IF('Verwerking Bouwdelen'!A31=4,1,0)</f>
        <v>0</v>
      </c>
      <c r="B104" s="226">
        <f>$A104*'Verwerking Bouwdelen'!CJ31</f>
        <v>0</v>
      </c>
      <c r="C104" s="227">
        <f>$A104*'Verwerking Bouwdelen'!CK31</f>
        <v>0</v>
      </c>
      <c r="D104" s="227">
        <f>$A104*'Verwerking Bouwdelen'!CL31</f>
        <v>0</v>
      </c>
      <c r="E104" s="227">
        <f>$A104*'Verwerking Bouwdelen'!CM31</f>
        <v>0</v>
      </c>
      <c r="F104" s="227">
        <f>$A104*'Verwerking Bouwdelen'!CN31</f>
        <v>0</v>
      </c>
      <c r="G104" s="227">
        <f>$A104*'Verwerking Bouwdelen'!CO31</f>
        <v>0</v>
      </c>
      <c r="H104" s="227">
        <f>$A104*'Verwerking Bouwdelen'!CP31</f>
        <v>0</v>
      </c>
      <c r="I104" s="227">
        <f>$A104*'Verwerking Bouwdelen'!CQ31</f>
        <v>0</v>
      </c>
      <c r="J104" s="227">
        <f>$A104*'Verwerking Bouwdelen'!CR31</f>
        <v>0</v>
      </c>
      <c r="K104" s="227">
        <f>$A104*'Verwerking Bouwdelen'!CS31</f>
        <v>0</v>
      </c>
      <c r="L104" s="227">
        <f>$A104*'Verwerking Bouwdelen'!CT31</f>
        <v>0</v>
      </c>
      <c r="M104" s="228">
        <f>$A104*'Verwerking Bouwdelen'!CU31</f>
        <v>0</v>
      </c>
      <c r="DN104" s="89">
        <f>IF('Verwerking Bouwdelen'!A31=4,1,0)</f>
        <v>0</v>
      </c>
      <c r="DO104" s="223">
        <f>$DN104*'Verwerking Bouwdelen'!FT31</f>
        <v>0</v>
      </c>
      <c r="DP104" s="223">
        <f>$DN104*'Verwerking Bouwdelen'!FU31</f>
        <v>0</v>
      </c>
      <c r="DQ104" s="223">
        <f>$DN104*'Verwerking Bouwdelen'!FV31</f>
        <v>0</v>
      </c>
      <c r="DR104" s="223">
        <f>$DN104*'Verwerking Bouwdelen'!FW31</f>
        <v>0</v>
      </c>
      <c r="DS104" s="223">
        <f>$DN104*'Verwerking Bouwdelen'!FX31</f>
        <v>0</v>
      </c>
      <c r="DT104" s="223">
        <f>$DN104*'Verwerking Bouwdelen'!FY31</f>
        <v>0</v>
      </c>
      <c r="DU104" s="223">
        <f>$DN104*'Verwerking Bouwdelen'!FZ31</f>
        <v>0</v>
      </c>
      <c r="DV104" s="223">
        <f>$DN104*'Verwerking Bouwdelen'!GA31</f>
        <v>0</v>
      </c>
      <c r="DW104" s="223">
        <f>$DN104*'Verwerking Bouwdelen'!GB31</f>
        <v>0</v>
      </c>
      <c r="DX104" s="223">
        <f>$DN104*'Verwerking Bouwdelen'!GC31</f>
        <v>0</v>
      </c>
      <c r="DY104" s="223">
        <f>$DN104*'Verwerking Bouwdelen'!GD31</f>
        <v>0</v>
      </c>
      <c r="DZ104" s="223">
        <f>$DN104*'Verwerking Bouwdelen'!GE31</f>
        <v>0</v>
      </c>
      <c r="EA104" s="89">
        <f>'Verwerking Bouwdelen'!GO31*DN104</f>
        <v>0</v>
      </c>
      <c r="EB104" s="125">
        <f>'Verwerking Bouwdelen'!GP31*DN104</f>
        <v>0</v>
      </c>
      <c r="EC104" s="89">
        <f t="shared" si="41"/>
        <v>0</v>
      </c>
      <c r="GN104" s="220">
        <f t="shared" si="42"/>
        <v>0</v>
      </c>
      <c r="GO104" s="220">
        <f t="shared" si="43"/>
        <v>0</v>
      </c>
      <c r="GP104" s="220">
        <f t="shared" si="44"/>
        <v>0</v>
      </c>
      <c r="GQ104" s="220">
        <f t="shared" si="45"/>
        <v>0</v>
      </c>
      <c r="GR104" s="220">
        <f t="shared" si="45"/>
        <v>0</v>
      </c>
      <c r="GS104" s="220">
        <f t="shared" si="45"/>
        <v>0</v>
      </c>
      <c r="GT104" s="220">
        <f t="shared" si="45"/>
        <v>0</v>
      </c>
      <c r="GU104" s="220">
        <f t="shared" si="45"/>
        <v>0</v>
      </c>
      <c r="GV104" s="220">
        <f t="shared" si="45"/>
        <v>0</v>
      </c>
      <c r="GW104" s="220">
        <f t="shared" si="45"/>
        <v>0</v>
      </c>
      <c r="GX104" s="220">
        <f t="shared" si="45"/>
        <v>0</v>
      </c>
      <c r="GY104" s="220">
        <f t="shared" si="45"/>
        <v>0</v>
      </c>
    </row>
    <row r="105" spans="1:207" x14ac:dyDescent="0.2">
      <c r="A105" s="89">
        <f>IF('Verwerking Bouwdelen'!A32=4,1,0)</f>
        <v>0</v>
      </c>
      <c r="B105" s="226">
        <f>$A105*'Verwerking Bouwdelen'!CJ32</f>
        <v>0</v>
      </c>
      <c r="C105" s="227">
        <f>$A105*'Verwerking Bouwdelen'!CK32</f>
        <v>0</v>
      </c>
      <c r="D105" s="227">
        <f>$A105*'Verwerking Bouwdelen'!CL32</f>
        <v>0</v>
      </c>
      <c r="E105" s="227">
        <f>$A105*'Verwerking Bouwdelen'!CM32</f>
        <v>0</v>
      </c>
      <c r="F105" s="227">
        <f>$A105*'Verwerking Bouwdelen'!CN32</f>
        <v>0</v>
      </c>
      <c r="G105" s="227">
        <f>$A105*'Verwerking Bouwdelen'!CO32</f>
        <v>0</v>
      </c>
      <c r="H105" s="227">
        <f>$A105*'Verwerking Bouwdelen'!CP32</f>
        <v>0</v>
      </c>
      <c r="I105" s="227">
        <f>$A105*'Verwerking Bouwdelen'!CQ32</f>
        <v>0</v>
      </c>
      <c r="J105" s="227">
        <f>$A105*'Verwerking Bouwdelen'!CR32</f>
        <v>0</v>
      </c>
      <c r="K105" s="227">
        <f>$A105*'Verwerking Bouwdelen'!CS32</f>
        <v>0</v>
      </c>
      <c r="L105" s="227">
        <f>$A105*'Verwerking Bouwdelen'!CT32</f>
        <v>0</v>
      </c>
      <c r="M105" s="228">
        <f>$A105*'Verwerking Bouwdelen'!CU32</f>
        <v>0</v>
      </c>
      <c r="DN105" s="89">
        <f>IF('Verwerking Bouwdelen'!A32=4,1,0)</f>
        <v>0</v>
      </c>
      <c r="DO105" s="223">
        <f>$DN105*'Verwerking Bouwdelen'!FT32</f>
        <v>0</v>
      </c>
      <c r="DP105" s="223">
        <f>$DN105*'Verwerking Bouwdelen'!FU32</f>
        <v>0</v>
      </c>
      <c r="DQ105" s="223">
        <f>$DN105*'Verwerking Bouwdelen'!FV32</f>
        <v>0</v>
      </c>
      <c r="DR105" s="223">
        <f>$DN105*'Verwerking Bouwdelen'!FW32</f>
        <v>0</v>
      </c>
      <c r="DS105" s="223">
        <f>$DN105*'Verwerking Bouwdelen'!FX32</f>
        <v>0</v>
      </c>
      <c r="DT105" s="223">
        <f>$DN105*'Verwerking Bouwdelen'!FY32</f>
        <v>0</v>
      </c>
      <c r="DU105" s="223">
        <f>$DN105*'Verwerking Bouwdelen'!FZ32</f>
        <v>0</v>
      </c>
      <c r="DV105" s="223">
        <f>$DN105*'Verwerking Bouwdelen'!GA32</f>
        <v>0</v>
      </c>
      <c r="DW105" s="223">
        <f>$DN105*'Verwerking Bouwdelen'!GB32</f>
        <v>0</v>
      </c>
      <c r="DX105" s="223">
        <f>$DN105*'Verwerking Bouwdelen'!GC32</f>
        <v>0</v>
      </c>
      <c r="DY105" s="223">
        <f>$DN105*'Verwerking Bouwdelen'!GD32</f>
        <v>0</v>
      </c>
      <c r="DZ105" s="223">
        <f>$DN105*'Verwerking Bouwdelen'!GE32</f>
        <v>0</v>
      </c>
      <c r="EA105" s="89">
        <f>'Verwerking Bouwdelen'!GO32*DN105</f>
        <v>0</v>
      </c>
      <c r="EB105" s="125">
        <f>'Verwerking Bouwdelen'!GP32*DN105</f>
        <v>0</v>
      </c>
      <c r="EC105" s="89">
        <f t="shared" si="41"/>
        <v>0</v>
      </c>
      <c r="GN105" s="220">
        <f t="shared" si="42"/>
        <v>0</v>
      </c>
      <c r="GO105" s="220">
        <f t="shared" si="43"/>
        <v>0</v>
      </c>
      <c r="GP105" s="220">
        <f t="shared" si="44"/>
        <v>0</v>
      </c>
      <c r="GQ105" s="220">
        <f t="shared" si="45"/>
        <v>0</v>
      </c>
      <c r="GR105" s="220">
        <f t="shared" si="45"/>
        <v>0</v>
      </c>
      <c r="GS105" s="220">
        <f t="shared" si="45"/>
        <v>0</v>
      </c>
      <c r="GT105" s="220">
        <f t="shared" si="45"/>
        <v>0</v>
      </c>
      <c r="GU105" s="220">
        <f t="shared" si="45"/>
        <v>0</v>
      </c>
      <c r="GV105" s="220">
        <f t="shared" si="45"/>
        <v>0</v>
      </c>
      <c r="GW105" s="220">
        <f t="shared" si="45"/>
        <v>0</v>
      </c>
      <c r="GX105" s="220">
        <f t="shared" si="45"/>
        <v>0</v>
      </c>
      <c r="GY105" s="220">
        <f t="shared" si="45"/>
        <v>0</v>
      </c>
    </row>
    <row r="106" spans="1:207" x14ac:dyDescent="0.2">
      <c r="A106" s="89">
        <f>IF('Verwerking Bouwdelen'!A33=4,1,0)</f>
        <v>0</v>
      </c>
      <c r="B106" s="226">
        <f>$A106*'Verwerking Bouwdelen'!CJ33</f>
        <v>0</v>
      </c>
      <c r="C106" s="227">
        <f>$A106*'Verwerking Bouwdelen'!CK33</f>
        <v>0</v>
      </c>
      <c r="D106" s="227">
        <f>$A106*'Verwerking Bouwdelen'!CL33</f>
        <v>0</v>
      </c>
      <c r="E106" s="227">
        <f>$A106*'Verwerking Bouwdelen'!CM33</f>
        <v>0</v>
      </c>
      <c r="F106" s="227">
        <f>$A106*'Verwerking Bouwdelen'!CN33</f>
        <v>0</v>
      </c>
      <c r="G106" s="227">
        <f>$A106*'Verwerking Bouwdelen'!CO33</f>
        <v>0</v>
      </c>
      <c r="H106" s="227">
        <f>$A106*'Verwerking Bouwdelen'!CP33</f>
        <v>0</v>
      </c>
      <c r="I106" s="227">
        <f>$A106*'Verwerking Bouwdelen'!CQ33</f>
        <v>0</v>
      </c>
      <c r="J106" s="227">
        <f>$A106*'Verwerking Bouwdelen'!CR33</f>
        <v>0</v>
      </c>
      <c r="K106" s="227">
        <f>$A106*'Verwerking Bouwdelen'!CS33</f>
        <v>0</v>
      </c>
      <c r="L106" s="227">
        <f>$A106*'Verwerking Bouwdelen'!CT33</f>
        <v>0</v>
      </c>
      <c r="M106" s="228">
        <f>$A106*'Verwerking Bouwdelen'!CU33</f>
        <v>0</v>
      </c>
      <c r="DN106" s="89">
        <f>IF('Verwerking Bouwdelen'!A33=4,1,0)</f>
        <v>0</v>
      </c>
      <c r="DO106" s="223">
        <f>$DN106*'Verwerking Bouwdelen'!FT33</f>
        <v>0</v>
      </c>
      <c r="DP106" s="223">
        <f>$DN106*'Verwerking Bouwdelen'!FU33</f>
        <v>0</v>
      </c>
      <c r="DQ106" s="223">
        <f>$DN106*'Verwerking Bouwdelen'!FV33</f>
        <v>0</v>
      </c>
      <c r="DR106" s="223">
        <f>$DN106*'Verwerking Bouwdelen'!FW33</f>
        <v>0</v>
      </c>
      <c r="DS106" s="223">
        <f>$DN106*'Verwerking Bouwdelen'!FX33</f>
        <v>0</v>
      </c>
      <c r="DT106" s="223">
        <f>$DN106*'Verwerking Bouwdelen'!FY33</f>
        <v>0</v>
      </c>
      <c r="DU106" s="223">
        <f>$DN106*'Verwerking Bouwdelen'!FZ33</f>
        <v>0</v>
      </c>
      <c r="DV106" s="223">
        <f>$DN106*'Verwerking Bouwdelen'!GA33</f>
        <v>0</v>
      </c>
      <c r="DW106" s="223">
        <f>$DN106*'Verwerking Bouwdelen'!GB33</f>
        <v>0</v>
      </c>
      <c r="DX106" s="223">
        <f>$DN106*'Verwerking Bouwdelen'!GC33</f>
        <v>0</v>
      </c>
      <c r="DY106" s="223">
        <f>$DN106*'Verwerking Bouwdelen'!GD33</f>
        <v>0</v>
      </c>
      <c r="DZ106" s="223">
        <f>$DN106*'Verwerking Bouwdelen'!GE33</f>
        <v>0</v>
      </c>
      <c r="EA106" s="89">
        <f>'Verwerking Bouwdelen'!GO33*DN106</f>
        <v>0</v>
      </c>
      <c r="EB106" s="125">
        <f>'Verwerking Bouwdelen'!GP33*DN106</f>
        <v>0</v>
      </c>
      <c r="EC106" s="89">
        <f t="shared" si="41"/>
        <v>0</v>
      </c>
      <c r="GN106" s="220">
        <f t="shared" si="42"/>
        <v>0</v>
      </c>
      <c r="GO106" s="220">
        <f t="shared" si="43"/>
        <v>0</v>
      </c>
      <c r="GP106" s="220">
        <f t="shared" si="44"/>
        <v>0</v>
      </c>
      <c r="GQ106" s="220">
        <f t="shared" si="45"/>
        <v>0</v>
      </c>
      <c r="GR106" s="220">
        <f t="shared" si="45"/>
        <v>0</v>
      </c>
      <c r="GS106" s="220">
        <f t="shared" si="45"/>
        <v>0</v>
      </c>
      <c r="GT106" s="220">
        <f t="shared" si="45"/>
        <v>0</v>
      </c>
      <c r="GU106" s="220">
        <f t="shared" si="45"/>
        <v>0</v>
      </c>
      <c r="GV106" s="220">
        <f t="shared" si="45"/>
        <v>0</v>
      </c>
      <c r="GW106" s="220">
        <f t="shared" si="45"/>
        <v>0</v>
      </c>
      <c r="GX106" s="220">
        <f t="shared" si="45"/>
        <v>0</v>
      </c>
      <c r="GY106" s="220">
        <f t="shared" si="45"/>
        <v>0</v>
      </c>
    </row>
    <row r="107" spans="1:207" x14ac:dyDescent="0.2">
      <c r="A107" s="89">
        <f>IF('Verwerking Bouwdelen'!A34=4,1,0)</f>
        <v>0</v>
      </c>
      <c r="B107" s="226">
        <f>$A107*'Verwerking Bouwdelen'!CJ34</f>
        <v>0</v>
      </c>
      <c r="C107" s="227">
        <f>$A107*'Verwerking Bouwdelen'!CK34</f>
        <v>0</v>
      </c>
      <c r="D107" s="227">
        <f>$A107*'Verwerking Bouwdelen'!CL34</f>
        <v>0</v>
      </c>
      <c r="E107" s="227">
        <f>$A107*'Verwerking Bouwdelen'!CM34</f>
        <v>0</v>
      </c>
      <c r="F107" s="227">
        <f>$A107*'Verwerking Bouwdelen'!CN34</f>
        <v>0</v>
      </c>
      <c r="G107" s="227">
        <f>$A107*'Verwerking Bouwdelen'!CO34</f>
        <v>0</v>
      </c>
      <c r="H107" s="227">
        <f>$A107*'Verwerking Bouwdelen'!CP34</f>
        <v>0</v>
      </c>
      <c r="I107" s="227">
        <f>$A107*'Verwerking Bouwdelen'!CQ34</f>
        <v>0</v>
      </c>
      <c r="J107" s="227">
        <f>$A107*'Verwerking Bouwdelen'!CR34</f>
        <v>0</v>
      </c>
      <c r="K107" s="227">
        <f>$A107*'Verwerking Bouwdelen'!CS34</f>
        <v>0</v>
      </c>
      <c r="L107" s="227">
        <f>$A107*'Verwerking Bouwdelen'!CT34</f>
        <v>0</v>
      </c>
      <c r="M107" s="228">
        <f>$A107*'Verwerking Bouwdelen'!CU34</f>
        <v>0</v>
      </c>
      <c r="DN107" s="89">
        <f>IF('Verwerking Bouwdelen'!A34=4,1,0)</f>
        <v>0</v>
      </c>
      <c r="DO107" s="223">
        <f>$DN107*'Verwerking Bouwdelen'!FT34</f>
        <v>0</v>
      </c>
      <c r="DP107" s="223">
        <f>$DN107*'Verwerking Bouwdelen'!FU34</f>
        <v>0</v>
      </c>
      <c r="DQ107" s="223">
        <f>$DN107*'Verwerking Bouwdelen'!FV34</f>
        <v>0</v>
      </c>
      <c r="DR107" s="223">
        <f>$DN107*'Verwerking Bouwdelen'!FW34</f>
        <v>0</v>
      </c>
      <c r="DS107" s="223">
        <f>$DN107*'Verwerking Bouwdelen'!FX34</f>
        <v>0</v>
      </c>
      <c r="DT107" s="223">
        <f>$DN107*'Verwerking Bouwdelen'!FY34</f>
        <v>0</v>
      </c>
      <c r="DU107" s="223">
        <f>$DN107*'Verwerking Bouwdelen'!FZ34</f>
        <v>0</v>
      </c>
      <c r="DV107" s="223">
        <f>$DN107*'Verwerking Bouwdelen'!GA34</f>
        <v>0</v>
      </c>
      <c r="DW107" s="223">
        <f>$DN107*'Verwerking Bouwdelen'!GB34</f>
        <v>0</v>
      </c>
      <c r="DX107" s="223">
        <f>$DN107*'Verwerking Bouwdelen'!GC34</f>
        <v>0</v>
      </c>
      <c r="DY107" s="223">
        <f>$DN107*'Verwerking Bouwdelen'!GD34</f>
        <v>0</v>
      </c>
      <c r="DZ107" s="223">
        <f>$DN107*'Verwerking Bouwdelen'!GE34</f>
        <v>0</v>
      </c>
      <c r="EA107" s="89">
        <f>'Verwerking Bouwdelen'!GO34*DN107</f>
        <v>0</v>
      </c>
      <c r="EB107" s="125">
        <f>'Verwerking Bouwdelen'!GP34*DN107</f>
        <v>0</v>
      </c>
      <c r="EC107" s="89">
        <f t="shared" si="41"/>
        <v>0</v>
      </c>
      <c r="GN107" s="220">
        <f t="shared" si="42"/>
        <v>0</v>
      </c>
      <c r="GO107" s="220">
        <f t="shared" si="43"/>
        <v>0</v>
      </c>
      <c r="GP107" s="220">
        <f t="shared" si="44"/>
        <v>0</v>
      </c>
      <c r="GQ107" s="220">
        <f t="shared" si="45"/>
        <v>0</v>
      </c>
      <c r="GR107" s="220">
        <f t="shared" si="45"/>
        <v>0</v>
      </c>
      <c r="GS107" s="220">
        <f t="shared" si="45"/>
        <v>0</v>
      </c>
      <c r="GT107" s="220">
        <f t="shared" si="45"/>
        <v>0</v>
      </c>
      <c r="GU107" s="220">
        <f t="shared" si="45"/>
        <v>0</v>
      </c>
      <c r="GV107" s="220">
        <f t="shared" si="45"/>
        <v>0</v>
      </c>
      <c r="GW107" s="220">
        <f t="shared" si="45"/>
        <v>0</v>
      </c>
      <c r="GX107" s="220">
        <f t="shared" si="45"/>
        <v>0</v>
      </c>
      <c r="GY107" s="220">
        <f t="shared" si="45"/>
        <v>0</v>
      </c>
    </row>
    <row r="108" spans="1:207" x14ac:dyDescent="0.2">
      <c r="A108" s="89">
        <f>IF('Verwerking Bouwdelen'!A35=4,1,0)</f>
        <v>0</v>
      </c>
      <c r="B108" s="226">
        <f>$A108*'Verwerking Bouwdelen'!CJ35</f>
        <v>0</v>
      </c>
      <c r="C108" s="227">
        <f>$A108*'Verwerking Bouwdelen'!CK35</f>
        <v>0</v>
      </c>
      <c r="D108" s="227">
        <f>$A108*'Verwerking Bouwdelen'!CL35</f>
        <v>0</v>
      </c>
      <c r="E108" s="227">
        <f>$A108*'Verwerking Bouwdelen'!CM35</f>
        <v>0</v>
      </c>
      <c r="F108" s="227">
        <f>$A108*'Verwerking Bouwdelen'!CN35</f>
        <v>0</v>
      </c>
      <c r="G108" s="227">
        <f>$A108*'Verwerking Bouwdelen'!CO35</f>
        <v>0</v>
      </c>
      <c r="H108" s="227">
        <f>$A108*'Verwerking Bouwdelen'!CP35</f>
        <v>0</v>
      </c>
      <c r="I108" s="227">
        <f>$A108*'Verwerking Bouwdelen'!CQ35</f>
        <v>0</v>
      </c>
      <c r="J108" s="227">
        <f>$A108*'Verwerking Bouwdelen'!CR35</f>
        <v>0</v>
      </c>
      <c r="K108" s="227">
        <f>$A108*'Verwerking Bouwdelen'!CS35</f>
        <v>0</v>
      </c>
      <c r="L108" s="227">
        <f>$A108*'Verwerking Bouwdelen'!CT35</f>
        <v>0</v>
      </c>
      <c r="M108" s="228">
        <f>$A108*'Verwerking Bouwdelen'!CU35</f>
        <v>0</v>
      </c>
      <c r="DN108" s="89">
        <f>IF('Verwerking Bouwdelen'!A35=4,1,0)</f>
        <v>0</v>
      </c>
      <c r="DO108" s="223">
        <f>$DN108*'Verwerking Bouwdelen'!FT35</f>
        <v>0</v>
      </c>
      <c r="DP108" s="223">
        <f>$DN108*'Verwerking Bouwdelen'!FU35</f>
        <v>0</v>
      </c>
      <c r="DQ108" s="223">
        <f>$DN108*'Verwerking Bouwdelen'!FV35</f>
        <v>0</v>
      </c>
      <c r="DR108" s="223">
        <f>$DN108*'Verwerking Bouwdelen'!FW35</f>
        <v>0</v>
      </c>
      <c r="DS108" s="223">
        <f>$DN108*'Verwerking Bouwdelen'!FX35</f>
        <v>0</v>
      </c>
      <c r="DT108" s="223">
        <f>$DN108*'Verwerking Bouwdelen'!FY35</f>
        <v>0</v>
      </c>
      <c r="DU108" s="223">
        <f>$DN108*'Verwerking Bouwdelen'!FZ35</f>
        <v>0</v>
      </c>
      <c r="DV108" s="223">
        <f>$DN108*'Verwerking Bouwdelen'!GA35</f>
        <v>0</v>
      </c>
      <c r="DW108" s="223">
        <f>$DN108*'Verwerking Bouwdelen'!GB35</f>
        <v>0</v>
      </c>
      <c r="DX108" s="223">
        <f>$DN108*'Verwerking Bouwdelen'!GC35</f>
        <v>0</v>
      </c>
      <c r="DY108" s="223">
        <f>$DN108*'Verwerking Bouwdelen'!GD35</f>
        <v>0</v>
      </c>
      <c r="DZ108" s="223">
        <f>$DN108*'Verwerking Bouwdelen'!GE35</f>
        <v>0</v>
      </c>
      <c r="EA108" s="89">
        <f>'Verwerking Bouwdelen'!GO35*DN108</f>
        <v>0</v>
      </c>
      <c r="EB108" s="125">
        <f>'Verwerking Bouwdelen'!GP35*DN108</f>
        <v>0</v>
      </c>
      <c r="EC108" s="89">
        <f t="shared" si="41"/>
        <v>0</v>
      </c>
      <c r="GN108" s="220">
        <f t="shared" si="42"/>
        <v>0</v>
      </c>
      <c r="GO108" s="220">
        <f t="shared" si="43"/>
        <v>0</v>
      </c>
      <c r="GP108" s="220">
        <f t="shared" si="44"/>
        <v>0</v>
      </c>
      <c r="GQ108" s="220">
        <f t="shared" si="45"/>
        <v>0</v>
      </c>
      <c r="GR108" s="220">
        <f t="shared" si="45"/>
        <v>0</v>
      </c>
      <c r="GS108" s="220">
        <f t="shared" si="45"/>
        <v>0</v>
      </c>
      <c r="GT108" s="220">
        <f t="shared" si="45"/>
        <v>0</v>
      </c>
      <c r="GU108" s="220">
        <f t="shared" si="45"/>
        <v>0</v>
      </c>
      <c r="GV108" s="220">
        <f t="shared" si="45"/>
        <v>0</v>
      </c>
      <c r="GW108" s="220">
        <f t="shared" si="45"/>
        <v>0</v>
      </c>
      <c r="GX108" s="220">
        <f t="shared" si="45"/>
        <v>0</v>
      </c>
      <c r="GY108" s="220">
        <f t="shared" si="45"/>
        <v>0</v>
      </c>
    </row>
    <row r="109" spans="1:207" x14ac:dyDescent="0.2">
      <c r="A109" s="89">
        <f>IF('Verwerking Bouwdelen'!A36=4,1,0)</f>
        <v>0</v>
      </c>
      <c r="B109" s="226">
        <f>$A109*'Verwerking Bouwdelen'!CJ36</f>
        <v>0</v>
      </c>
      <c r="C109" s="227">
        <f>$A109*'Verwerking Bouwdelen'!CK36</f>
        <v>0</v>
      </c>
      <c r="D109" s="227">
        <f>$A109*'Verwerking Bouwdelen'!CL36</f>
        <v>0</v>
      </c>
      <c r="E109" s="227">
        <f>$A109*'Verwerking Bouwdelen'!CM36</f>
        <v>0</v>
      </c>
      <c r="F109" s="227">
        <f>$A109*'Verwerking Bouwdelen'!CN36</f>
        <v>0</v>
      </c>
      <c r="G109" s="227">
        <f>$A109*'Verwerking Bouwdelen'!CO36</f>
        <v>0</v>
      </c>
      <c r="H109" s="227">
        <f>$A109*'Verwerking Bouwdelen'!CP36</f>
        <v>0</v>
      </c>
      <c r="I109" s="227">
        <f>$A109*'Verwerking Bouwdelen'!CQ36</f>
        <v>0</v>
      </c>
      <c r="J109" s="227">
        <f>$A109*'Verwerking Bouwdelen'!CR36</f>
        <v>0</v>
      </c>
      <c r="K109" s="227">
        <f>$A109*'Verwerking Bouwdelen'!CS36</f>
        <v>0</v>
      </c>
      <c r="L109" s="227">
        <f>$A109*'Verwerking Bouwdelen'!CT36</f>
        <v>0</v>
      </c>
      <c r="M109" s="228">
        <f>$A109*'Verwerking Bouwdelen'!CU36</f>
        <v>0</v>
      </c>
      <c r="DN109" s="89">
        <f>IF('Verwerking Bouwdelen'!A36=4,1,0)</f>
        <v>0</v>
      </c>
      <c r="DO109" s="223">
        <f>$DN109*'Verwerking Bouwdelen'!FT36</f>
        <v>0</v>
      </c>
      <c r="DP109" s="223">
        <f>$DN109*'Verwerking Bouwdelen'!FU36</f>
        <v>0</v>
      </c>
      <c r="DQ109" s="223">
        <f>$DN109*'Verwerking Bouwdelen'!FV36</f>
        <v>0</v>
      </c>
      <c r="DR109" s="223">
        <f>$DN109*'Verwerking Bouwdelen'!FW36</f>
        <v>0</v>
      </c>
      <c r="DS109" s="223">
        <f>$DN109*'Verwerking Bouwdelen'!FX36</f>
        <v>0</v>
      </c>
      <c r="DT109" s="223">
        <f>$DN109*'Verwerking Bouwdelen'!FY36</f>
        <v>0</v>
      </c>
      <c r="DU109" s="223">
        <f>$DN109*'Verwerking Bouwdelen'!FZ36</f>
        <v>0</v>
      </c>
      <c r="DV109" s="223">
        <f>$DN109*'Verwerking Bouwdelen'!GA36</f>
        <v>0</v>
      </c>
      <c r="DW109" s="223">
        <f>$DN109*'Verwerking Bouwdelen'!GB36</f>
        <v>0</v>
      </c>
      <c r="DX109" s="223">
        <f>$DN109*'Verwerking Bouwdelen'!GC36</f>
        <v>0</v>
      </c>
      <c r="DY109" s="223">
        <f>$DN109*'Verwerking Bouwdelen'!GD36</f>
        <v>0</v>
      </c>
      <c r="DZ109" s="223">
        <f>$DN109*'Verwerking Bouwdelen'!GE36</f>
        <v>0</v>
      </c>
      <c r="EA109" s="89">
        <f>'Verwerking Bouwdelen'!GO36*DN109</f>
        <v>0</v>
      </c>
      <c r="EB109" s="125">
        <f>'Verwerking Bouwdelen'!GP36*DN109</f>
        <v>0</v>
      </c>
      <c r="EC109" s="89">
        <f t="shared" si="41"/>
        <v>0</v>
      </c>
      <c r="GN109" s="220">
        <f t="shared" si="42"/>
        <v>0</v>
      </c>
      <c r="GO109" s="220">
        <f t="shared" si="43"/>
        <v>0</v>
      </c>
      <c r="GP109" s="220">
        <f t="shared" si="44"/>
        <v>0</v>
      </c>
      <c r="GQ109" s="220">
        <f t="shared" si="45"/>
        <v>0</v>
      </c>
      <c r="GR109" s="220">
        <f t="shared" si="45"/>
        <v>0</v>
      </c>
      <c r="GS109" s="220">
        <f t="shared" si="45"/>
        <v>0</v>
      </c>
      <c r="GT109" s="220">
        <f t="shared" si="45"/>
        <v>0</v>
      </c>
      <c r="GU109" s="220">
        <f t="shared" si="45"/>
        <v>0</v>
      </c>
      <c r="GV109" s="220">
        <f t="shared" si="45"/>
        <v>0</v>
      </c>
      <c r="GW109" s="220">
        <f t="shared" si="45"/>
        <v>0</v>
      </c>
      <c r="GX109" s="220">
        <f t="shared" si="45"/>
        <v>0</v>
      </c>
      <c r="GY109" s="220">
        <f t="shared" si="45"/>
        <v>0</v>
      </c>
    </row>
    <row r="110" spans="1:207" x14ac:dyDescent="0.2">
      <c r="A110" s="89">
        <f>IF('Verwerking Bouwdelen'!A37=4,1,0)</f>
        <v>0</v>
      </c>
      <c r="B110" s="226">
        <f>$A110*'Verwerking Bouwdelen'!CJ37</f>
        <v>0</v>
      </c>
      <c r="C110" s="227">
        <f>$A110*'Verwerking Bouwdelen'!CK37</f>
        <v>0</v>
      </c>
      <c r="D110" s="227">
        <f>$A110*'Verwerking Bouwdelen'!CL37</f>
        <v>0</v>
      </c>
      <c r="E110" s="227">
        <f>$A110*'Verwerking Bouwdelen'!CM37</f>
        <v>0</v>
      </c>
      <c r="F110" s="227">
        <f>$A110*'Verwerking Bouwdelen'!CN37</f>
        <v>0</v>
      </c>
      <c r="G110" s="227">
        <f>$A110*'Verwerking Bouwdelen'!CO37</f>
        <v>0</v>
      </c>
      <c r="H110" s="227">
        <f>$A110*'Verwerking Bouwdelen'!CP37</f>
        <v>0</v>
      </c>
      <c r="I110" s="227">
        <f>$A110*'Verwerking Bouwdelen'!CQ37</f>
        <v>0</v>
      </c>
      <c r="J110" s="227">
        <f>$A110*'Verwerking Bouwdelen'!CR37</f>
        <v>0</v>
      </c>
      <c r="K110" s="227">
        <f>$A110*'Verwerking Bouwdelen'!CS37</f>
        <v>0</v>
      </c>
      <c r="L110" s="227">
        <f>$A110*'Verwerking Bouwdelen'!CT37</f>
        <v>0</v>
      </c>
      <c r="M110" s="228">
        <f>$A110*'Verwerking Bouwdelen'!CU37</f>
        <v>0</v>
      </c>
      <c r="DN110" s="89">
        <f>IF('Verwerking Bouwdelen'!A37=4,1,0)</f>
        <v>0</v>
      </c>
      <c r="DO110" s="223">
        <f>$DN110*'Verwerking Bouwdelen'!FT37</f>
        <v>0</v>
      </c>
      <c r="DP110" s="223">
        <f>$DN110*'Verwerking Bouwdelen'!FU37</f>
        <v>0</v>
      </c>
      <c r="DQ110" s="223">
        <f>$DN110*'Verwerking Bouwdelen'!FV37</f>
        <v>0</v>
      </c>
      <c r="DR110" s="223">
        <f>$DN110*'Verwerking Bouwdelen'!FW37</f>
        <v>0</v>
      </c>
      <c r="DS110" s="223">
        <f>$DN110*'Verwerking Bouwdelen'!FX37</f>
        <v>0</v>
      </c>
      <c r="DT110" s="223">
        <f>$DN110*'Verwerking Bouwdelen'!FY37</f>
        <v>0</v>
      </c>
      <c r="DU110" s="223">
        <f>$DN110*'Verwerking Bouwdelen'!FZ37</f>
        <v>0</v>
      </c>
      <c r="DV110" s="223">
        <f>$DN110*'Verwerking Bouwdelen'!GA37</f>
        <v>0</v>
      </c>
      <c r="DW110" s="223">
        <f>$DN110*'Verwerking Bouwdelen'!GB37</f>
        <v>0</v>
      </c>
      <c r="DX110" s="223">
        <f>$DN110*'Verwerking Bouwdelen'!GC37</f>
        <v>0</v>
      </c>
      <c r="DY110" s="223">
        <f>$DN110*'Verwerking Bouwdelen'!GD37</f>
        <v>0</v>
      </c>
      <c r="DZ110" s="223">
        <f>$DN110*'Verwerking Bouwdelen'!GE37</f>
        <v>0</v>
      </c>
      <c r="EA110" s="89">
        <f>'Verwerking Bouwdelen'!GO37*DN110</f>
        <v>0</v>
      </c>
      <c r="EB110" s="125">
        <f>'Verwerking Bouwdelen'!GP37*DN110</f>
        <v>0</v>
      </c>
      <c r="EC110" s="89">
        <f t="shared" si="41"/>
        <v>0</v>
      </c>
      <c r="GN110" s="220">
        <f t="shared" si="42"/>
        <v>0</v>
      </c>
      <c r="GO110" s="220">
        <f t="shared" si="43"/>
        <v>0</v>
      </c>
      <c r="GP110" s="220">
        <f t="shared" si="44"/>
        <v>0</v>
      </c>
      <c r="GQ110" s="220">
        <f t="shared" si="45"/>
        <v>0</v>
      </c>
      <c r="GR110" s="220">
        <f t="shared" si="45"/>
        <v>0</v>
      </c>
      <c r="GS110" s="220">
        <f t="shared" si="45"/>
        <v>0</v>
      </c>
      <c r="GT110" s="220">
        <f t="shared" si="45"/>
        <v>0</v>
      </c>
      <c r="GU110" s="220">
        <f t="shared" si="45"/>
        <v>0</v>
      </c>
      <c r="GV110" s="220">
        <f t="shared" si="45"/>
        <v>0</v>
      </c>
      <c r="GW110" s="220">
        <f t="shared" si="45"/>
        <v>0</v>
      </c>
      <c r="GX110" s="220">
        <f t="shared" si="45"/>
        <v>0</v>
      </c>
      <c r="GY110" s="220">
        <f t="shared" si="45"/>
        <v>0</v>
      </c>
    </row>
    <row r="111" spans="1:207" x14ac:dyDescent="0.2">
      <c r="A111" s="89">
        <f>IF('Verwerking Bouwdelen'!A38=4,1,0)</f>
        <v>0</v>
      </c>
      <c r="B111" s="226">
        <f>$A111*'Verwerking Bouwdelen'!CJ38</f>
        <v>0</v>
      </c>
      <c r="C111" s="227">
        <f>$A111*'Verwerking Bouwdelen'!CK38</f>
        <v>0</v>
      </c>
      <c r="D111" s="227">
        <f>$A111*'Verwerking Bouwdelen'!CL38</f>
        <v>0</v>
      </c>
      <c r="E111" s="227">
        <f>$A111*'Verwerking Bouwdelen'!CM38</f>
        <v>0</v>
      </c>
      <c r="F111" s="227">
        <f>$A111*'Verwerking Bouwdelen'!CN38</f>
        <v>0</v>
      </c>
      <c r="G111" s="227">
        <f>$A111*'Verwerking Bouwdelen'!CO38</f>
        <v>0</v>
      </c>
      <c r="H111" s="227">
        <f>$A111*'Verwerking Bouwdelen'!CP38</f>
        <v>0</v>
      </c>
      <c r="I111" s="227">
        <f>$A111*'Verwerking Bouwdelen'!CQ38</f>
        <v>0</v>
      </c>
      <c r="J111" s="227">
        <f>$A111*'Verwerking Bouwdelen'!CR38</f>
        <v>0</v>
      </c>
      <c r="K111" s="227">
        <f>$A111*'Verwerking Bouwdelen'!CS38</f>
        <v>0</v>
      </c>
      <c r="L111" s="227">
        <f>$A111*'Verwerking Bouwdelen'!CT38</f>
        <v>0</v>
      </c>
      <c r="M111" s="228">
        <f>$A111*'Verwerking Bouwdelen'!CU38</f>
        <v>0</v>
      </c>
      <c r="DN111" s="89">
        <f>IF('Verwerking Bouwdelen'!A38=4,1,0)</f>
        <v>0</v>
      </c>
      <c r="DO111" s="223">
        <f>$DN111*'Verwerking Bouwdelen'!FT38</f>
        <v>0</v>
      </c>
      <c r="DP111" s="223">
        <f>$DN111*'Verwerking Bouwdelen'!FU38</f>
        <v>0</v>
      </c>
      <c r="DQ111" s="223">
        <f>$DN111*'Verwerking Bouwdelen'!FV38</f>
        <v>0</v>
      </c>
      <c r="DR111" s="223">
        <f>$DN111*'Verwerking Bouwdelen'!FW38</f>
        <v>0</v>
      </c>
      <c r="DS111" s="223">
        <f>$DN111*'Verwerking Bouwdelen'!FX38</f>
        <v>0</v>
      </c>
      <c r="DT111" s="223">
        <f>$DN111*'Verwerking Bouwdelen'!FY38</f>
        <v>0</v>
      </c>
      <c r="DU111" s="223">
        <f>$DN111*'Verwerking Bouwdelen'!FZ38</f>
        <v>0</v>
      </c>
      <c r="DV111" s="223">
        <f>$DN111*'Verwerking Bouwdelen'!GA38</f>
        <v>0</v>
      </c>
      <c r="DW111" s="223">
        <f>$DN111*'Verwerking Bouwdelen'!GB38</f>
        <v>0</v>
      </c>
      <c r="DX111" s="223">
        <f>$DN111*'Verwerking Bouwdelen'!GC38</f>
        <v>0</v>
      </c>
      <c r="DY111" s="223">
        <f>$DN111*'Verwerking Bouwdelen'!GD38</f>
        <v>0</v>
      </c>
      <c r="DZ111" s="223">
        <f>$DN111*'Verwerking Bouwdelen'!GE38</f>
        <v>0</v>
      </c>
      <c r="EA111" s="89">
        <f>'Verwerking Bouwdelen'!GO38*DN111</f>
        <v>0</v>
      </c>
      <c r="EB111" s="125">
        <f>'Verwerking Bouwdelen'!GP38*DN111</f>
        <v>0</v>
      </c>
      <c r="EC111" s="89">
        <f t="shared" si="41"/>
        <v>0</v>
      </c>
      <c r="GN111" s="220">
        <f t="shared" si="42"/>
        <v>0</v>
      </c>
      <c r="GO111" s="220">
        <f t="shared" si="43"/>
        <v>0</v>
      </c>
      <c r="GP111" s="220">
        <f t="shared" si="44"/>
        <v>0</v>
      </c>
      <c r="GQ111" s="220">
        <f t="shared" si="45"/>
        <v>0</v>
      </c>
      <c r="GR111" s="220">
        <f t="shared" si="45"/>
        <v>0</v>
      </c>
      <c r="GS111" s="220">
        <f t="shared" si="45"/>
        <v>0</v>
      </c>
      <c r="GT111" s="220">
        <f t="shared" si="45"/>
        <v>0</v>
      </c>
      <c r="GU111" s="220">
        <f t="shared" si="45"/>
        <v>0</v>
      </c>
      <c r="GV111" s="220">
        <f t="shared" si="45"/>
        <v>0</v>
      </c>
      <c r="GW111" s="220">
        <f t="shared" si="45"/>
        <v>0</v>
      </c>
      <c r="GX111" s="220">
        <f t="shared" si="45"/>
        <v>0</v>
      </c>
      <c r="GY111" s="220">
        <f t="shared" si="45"/>
        <v>0</v>
      </c>
    </row>
    <row r="112" spans="1:207" x14ac:dyDescent="0.2">
      <c r="A112" s="89">
        <f>IF('Verwerking Bouwdelen'!A39=4,1,0)</f>
        <v>0</v>
      </c>
      <c r="B112" s="226">
        <f>$A112*'Verwerking Bouwdelen'!CJ39</f>
        <v>0</v>
      </c>
      <c r="C112" s="227">
        <f>$A112*'Verwerking Bouwdelen'!CK39</f>
        <v>0</v>
      </c>
      <c r="D112" s="227">
        <f>$A112*'Verwerking Bouwdelen'!CL39</f>
        <v>0</v>
      </c>
      <c r="E112" s="227">
        <f>$A112*'Verwerking Bouwdelen'!CM39</f>
        <v>0</v>
      </c>
      <c r="F112" s="227">
        <f>$A112*'Verwerking Bouwdelen'!CN39</f>
        <v>0</v>
      </c>
      <c r="G112" s="227">
        <f>$A112*'Verwerking Bouwdelen'!CO39</f>
        <v>0</v>
      </c>
      <c r="H112" s="227">
        <f>$A112*'Verwerking Bouwdelen'!CP39</f>
        <v>0</v>
      </c>
      <c r="I112" s="227">
        <f>$A112*'Verwerking Bouwdelen'!CQ39</f>
        <v>0</v>
      </c>
      <c r="J112" s="227">
        <f>$A112*'Verwerking Bouwdelen'!CR39</f>
        <v>0</v>
      </c>
      <c r="K112" s="227">
        <f>$A112*'Verwerking Bouwdelen'!CS39</f>
        <v>0</v>
      </c>
      <c r="L112" s="227">
        <f>$A112*'Verwerking Bouwdelen'!CT39</f>
        <v>0</v>
      </c>
      <c r="M112" s="228">
        <f>$A112*'Verwerking Bouwdelen'!CU39</f>
        <v>0</v>
      </c>
      <c r="DN112" s="89">
        <f>IF('Verwerking Bouwdelen'!A39=4,1,0)</f>
        <v>0</v>
      </c>
      <c r="DO112" s="223">
        <f>$DN112*'Verwerking Bouwdelen'!FT39</f>
        <v>0</v>
      </c>
      <c r="DP112" s="223">
        <f>$DN112*'Verwerking Bouwdelen'!FU39</f>
        <v>0</v>
      </c>
      <c r="DQ112" s="223">
        <f>$DN112*'Verwerking Bouwdelen'!FV39</f>
        <v>0</v>
      </c>
      <c r="DR112" s="223">
        <f>$DN112*'Verwerking Bouwdelen'!FW39</f>
        <v>0</v>
      </c>
      <c r="DS112" s="223">
        <f>$DN112*'Verwerking Bouwdelen'!FX39</f>
        <v>0</v>
      </c>
      <c r="DT112" s="223">
        <f>$DN112*'Verwerking Bouwdelen'!FY39</f>
        <v>0</v>
      </c>
      <c r="DU112" s="223">
        <f>$DN112*'Verwerking Bouwdelen'!FZ39</f>
        <v>0</v>
      </c>
      <c r="DV112" s="223">
        <f>$DN112*'Verwerking Bouwdelen'!GA39</f>
        <v>0</v>
      </c>
      <c r="DW112" s="223">
        <f>$DN112*'Verwerking Bouwdelen'!GB39</f>
        <v>0</v>
      </c>
      <c r="DX112" s="223">
        <f>$DN112*'Verwerking Bouwdelen'!GC39</f>
        <v>0</v>
      </c>
      <c r="DY112" s="223">
        <f>$DN112*'Verwerking Bouwdelen'!GD39</f>
        <v>0</v>
      </c>
      <c r="DZ112" s="223">
        <f>$DN112*'Verwerking Bouwdelen'!GE39</f>
        <v>0</v>
      </c>
      <c r="EA112" s="89">
        <f>'Verwerking Bouwdelen'!GO39*DN112</f>
        <v>0</v>
      </c>
      <c r="EB112" s="125">
        <f>'Verwerking Bouwdelen'!GP39*DN112</f>
        <v>0</v>
      </c>
      <c r="EC112" s="89">
        <f t="shared" si="41"/>
        <v>0</v>
      </c>
      <c r="GN112" s="220">
        <f t="shared" si="42"/>
        <v>0</v>
      </c>
      <c r="GO112" s="220">
        <f t="shared" si="43"/>
        <v>0</v>
      </c>
      <c r="GP112" s="220">
        <f t="shared" si="44"/>
        <v>0</v>
      </c>
      <c r="GQ112" s="220">
        <f t="shared" si="45"/>
        <v>0</v>
      </c>
      <c r="GR112" s="220">
        <f t="shared" si="45"/>
        <v>0</v>
      </c>
      <c r="GS112" s="220">
        <f t="shared" si="45"/>
        <v>0</v>
      </c>
      <c r="GT112" s="220">
        <f t="shared" si="45"/>
        <v>0</v>
      </c>
      <c r="GU112" s="220">
        <f t="shared" si="45"/>
        <v>0</v>
      </c>
      <c r="GV112" s="220">
        <f t="shared" si="45"/>
        <v>0</v>
      </c>
      <c r="GW112" s="220">
        <f t="shared" si="45"/>
        <v>0</v>
      </c>
      <c r="GX112" s="220">
        <f t="shared" si="45"/>
        <v>0</v>
      </c>
      <c r="GY112" s="220">
        <f t="shared" si="45"/>
        <v>0</v>
      </c>
    </row>
    <row r="113" spans="1:208" x14ac:dyDescent="0.2">
      <c r="A113" s="89">
        <f>IF('Verwerking Bouwdelen'!A40=4,1,0)</f>
        <v>0</v>
      </c>
      <c r="B113" s="226">
        <f>$A113*'Verwerking Bouwdelen'!CJ40</f>
        <v>0</v>
      </c>
      <c r="C113" s="227">
        <f>$A113*'Verwerking Bouwdelen'!CK40</f>
        <v>0</v>
      </c>
      <c r="D113" s="227">
        <f>$A113*'Verwerking Bouwdelen'!CL40</f>
        <v>0</v>
      </c>
      <c r="E113" s="227">
        <f>$A113*'Verwerking Bouwdelen'!CM40</f>
        <v>0</v>
      </c>
      <c r="F113" s="227">
        <f>$A113*'Verwerking Bouwdelen'!CN40</f>
        <v>0</v>
      </c>
      <c r="G113" s="227">
        <f>$A113*'Verwerking Bouwdelen'!CO40</f>
        <v>0</v>
      </c>
      <c r="H113" s="227">
        <f>$A113*'Verwerking Bouwdelen'!CP40</f>
        <v>0</v>
      </c>
      <c r="I113" s="227">
        <f>$A113*'Verwerking Bouwdelen'!CQ40</f>
        <v>0</v>
      </c>
      <c r="J113" s="227">
        <f>$A113*'Verwerking Bouwdelen'!CR40</f>
        <v>0</v>
      </c>
      <c r="K113" s="227">
        <f>$A113*'Verwerking Bouwdelen'!CS40</f>
        <v>0</v>
      </c>
      <c r="L113" s="227">
        <f>$A113*'Verwerking Bouwdelen'!CT40</f>
        <v>0</v>
      </c>
      <c r="M113" s="228">
        <f>$A113*'Verwerking Bouwdelen'!CU40</f>
        <v>0</v>
      </c>
      <c r="DN113" s="89">
        <f>IF('Verwerking Bouwdelen'!A40=4,1,0)</f>
        <v>0</v>
      </c>
      <c r="DO113" s="223">
        <f>$DN113*'Verwerking Bouwdelen'!FT40</f>
        <v>0</v>
      </c>
      <c r="DP113" s="223">
        <f>$DN113*'Verwerking Bouwdelen'!FU40</f>
        <v>0</v>
      </c>
      <c r="DQ113" s="223">
        <f>$DN113*'Verwerking Bouwdelen'!FV40</f>
        <v>0</v>
      </c>
      <c r="DR113" s="223">
        <f>$DN113*'Verwerking Bouwdelen'!FW40</f>
        <v>0</v>
      </c>
      <c r="DS113" s="223">
        <f>$DN113*'Verwerking Bouwdelen'!FX40</f>
        <v>0</v>
      </c>
      <c r="DT113" s="223">
        <f>$DN113*'Verwerking Bouwdelen'!FY40</f>
        <v>0</v>
      </c>
      <c r="DU113" s="223">
        <f>$DN113*'Verwerking Bouwdelen'!FZ40</f>
        <v>0</v>
      </c>
      <c r="DV113" s="223">
        <f>$DN113*'Verwerking Bouwdelen'!GA40</f>
        <v>0</v>
      </c>
      <c r="DW113" s="223">
        <f>$DN113*'Verwerking Bouwdelen'!GB40</f>
        <v>0</v>
      </c>
      <c r="DX113" s="223">
        <f>$DN113*'Verwerking Bouwdelen'!GC40</f>
        <v>0</v>
      </c>
      <c r="DY113" s="223">
        <f>$DN113*'Verwerking Bouwdelen'!GD40</f>
        <v>0</v>
      </c>
      <c r="DZ113" s="223">
        <f>$DN113*'Verwerking Bouwdelen'!GE40</f>
        <v>0</v>
      </c>
      <c r="EA113" s="89">
        <f>'Verwerking Bouwdelen'!GO40*DN113</f>
        <v>0</v>
      </c>
      <c r="EB113" s="125">
        <f>'Verwerking Bouwdelen'!GP40*DN113</f>
        <v>0</v>
      </c>
      <c r="EC113" s="89">
        <f t="shared" si="41"/>
        <v>0</v>
      </c>
      <c r="GN113" s="220">
        <f t="shared" si="42"/>
        <v>0</v>
      </c>
      <c r="GO113" s="220">
        <f t="shared" si="43"/>
        <v>0</v>
      </c>
      <c r="GP113" s="220">
        <f t="shared" si="44"/>
        <v>0</v>
      </c>
      <c r="GQ113" s="220">
        <f t="shared" si="45"/>
        <v>0</v>
      </c>
      <c r="GR113" s="220">
        <f t="shared" si="45"/>
        <v>0</v>
      </c>
      <c r="GS113" s="220">
        <f t="shared" si="45"/>
        <v>0</v>
      </c>
      <c r="GT113" s="220">
        <f t="shared" si="45"/>
        <v>0</v>
      </c>
      <c r="GU113" s="220">
        <f t="shared" si="45"/>
        <v>0</v>
      </c>
      <c r="GV113" s="220">
        <f t="shared" si="45"/>
        <v>0</v>
      </c>
      <c r="GW113" s="220">
        <f t="shared" si="45"/>
        <v>0</v>
      </c>
      <c r="GX113" s="220">
        <f t="shared" si="45"/>
        <v>0</v>
      </c>
      <c r="GY113" s="220">
        <f t="shared" si="45"/>
        <v>0</v>
      </c>
    </row>
    <row r="114" spans="1:208" x14ac:dyDescent="0.2">
      <c r="A114" s="89">
        <f>IF('Verwerking Bouwdelen'!A41=4,1,0)</f>
        <v>0</v>
      </c>
      <c r="B114" s="226">
        <f>$A114*'Verwerking Bouwdelen'!CJ41</f>
        <v>0</v>
      </c>
      <c r="C114" s="227">
        <f>$A114*'Verwerking Bouwdelen'!CK41</f>
        <v>0</v>
      </c>
      <c r="D114" s="227">
        <f>$A114*'Verwerking Bouwdelen'!CL41</f>
        <v>0</v>
      </c>
      <c r="E114" s="227">
        <f>$A114*'Verwerking Bouwdelen'!CM41</f>
        <v>0</v>
      </c>
      <c r="F114" s="227">
        <f>$A114*'Verwerking Bouwdelen'!CN41</f>
        <v>0</v>
      </c>
      <c r="G114" s="227">
        <f>$A114*'Verwerking Bouwdelen'!CO41</f>
        <v>0</v>
      </c>
      <c r="H114" s="227">
        <f>$A114*'Verwerking Bouwdelen'!CP41</f>
        <v>0</v>
      </c>
      <c r="I114" s="227">
        <f>$A114*'Verwerking Bouwdelen'!CQ41</f>
        <v>0</v>
      </c>
      <c r="J114" s="227">
        <f>$A114*'Verwerking Bouwdelen'!CR41</f>
        <v>0</v>
      </c>
      <c r="K114" s="227">
        <f>$A114*'Verwerking Bouwdelen'!CS41</f>
        <v>0</v>
      </c>
      <c r="L114" s="227">
        <f>$A114*'Verwerking Bouwdelen'!CT41</f>
        <v>0</v>
      </c>
      <c r="M114" s="228">
        <f>$A114*'Verwerking Bouwdelen'!CU41</f>
        <v>0</v>
      </c>
      <c r="DN114" s="89">
        <f>IF('Verwerking Bouwdelen'!A41=4,1,0)</f>
        <v>0</v>
      </c>
      <c r="DO114" s="223">
        <f>$DN114*'Verwerking Bouwdelen'!FT41</f>
        <v>0</v>
      </c>
      <c r="DP114" s="223">
        <f>$DN114*'Verwerking Bouwdelen'!FU41</f>
        <v>0</v>
      </c>
      <c r="DQ114" s="223">
        <f>$DN114*'Verwerking Bouwdelen'!FV41</f>
        <v>0</v>
      </c>
      <c r="DR114" s="223">
        <f>$DN114*'Verwerking Bouwdelen'!FW41</f>
        <v>0</v>
      </c>
      <c r="DS114" s="223">
        <f>$DN114*'Verwerking Bouwdelen'!FX41</f>
        <v>0</v>
      </c>
      <c r="DT114" s="223">
        <f>$DN114*'Verwerking Bouwdelen'!FY41</f>
        <v>0</v>
      </c>
      <c r="DU114" s="223">
        <f>$DN114*'Verwerking Bouwdelen'!FZ41</f>
        <v>0</v>
      </c>
      <c r="DV114" s="223">
        <f>$DN114*'Verwerking Bouwdelen'!GA41</f>
        <v>0</v>
      </c>
      <c r="DW114" s="223">
        <f>$DN114*'Verwerking Bouwdelen'!GB41</f>
        <v>0</v>
      </c>
      <c r="DX114" s="223">
        <f>$DN114*'Verwerking Bouwdelen'!GC41</f>
        <v>0</v>
      </c>
      <c r="DY114" s="223">
        <f>$DN114*'Verwerking Bouwdelen'!GD41</f>
        <v>0</v>
      </c>
      <c r="DZ114" s="223">
        <f>$DN114*'Verwerking Bouwdelen'!GE41</f>
        <v>0</v>
      </c>
      <c r="EA114" s="89">
        <f>'Verwerking Bouwdelen'!GO41*DN114</f>
        <v>0</v>
      </c>
      <c r="EB114" s="125">
        <f>'Verwerking Bouwdelen'!GP41*DN114</f>
        <v>0</v>
      </c>
      <c r="EC114" s="89">
        <f t="shared" si="41"/>
        <v>0</v>
      </c>
      <c r="GN114" s="220">
        <f t="shared" si="42"/>
        <v>0</v>
      </c>
      <c r="GO114" s="220">
        <f t="shared" si="43"/>
        <v>0</v>
      </c>
      <c r="GP114" s="220">
        <f t="shared" si="44"/>
        <v>0</v>
      </c>
      <c r="GQ114" s="220">
        <f t="shared" si="45"/>
        <v>0</v>
      </c>
      <c r="GR114" s="220">
        <f t="shared" si="45"/>
        <v>0</v>
      </c>
      <c r="GS114" s="220">
        <f t="shared" si="45"/>
        <v>0</v>
      </c>
      <c r="GT114" s="220">
        <f t="shared" si="45"/>
        <v>0</v>
      </c>
      <c r="GU114" s="220">
        <f t="shared" si="45"/>
        <v>0</v>
      </c>
      <c r="GV114" s="220">
        <f t="shared" si="45"/>
        <v>0</v>
      </c>
      <c r="GW114" s="220">
        <f t="shared" si="45"/>
        <v>0</v>
      </c>
      <c r="GX114" s="220">
        <f t="shared" si="45"/>
        <v>0</v>
      </c>
      <c r="GY114" s="220">
        <f t="shared" si="45"/>
        <v>0</v>
      </c>
    </row>
    <row r="115" spans="1:208" x14ac:dyDescent="0.2">
      <c r="A115" s="89">
        <f>IF('Verwerking Bouwdelen'!A42=4,1,0)</f>
        <v>0</v>
      </c>
      <c r="B115" s="226">
        <f>$A115*'Verwerking Bouwdelen'!CJ42</f>
        <v>0</v>
      </c>
      <c r="C115" s="227">
        <f>$A115*'Verwerking Bouwdelen'!CK42</f>
        <v>0</v>
      </c>
      <c r="D115" s="227">
        <f>$A115*'Verwerking Bouwdelen'!CL42</f>
        <v>0</v>
      </c>
      <c r="E115" s="227">
        <f>$A115*'Verwerking Bouwdelen'!CM42</f>
        <v>0</v>
      </c>
      <c r="F115" s="227">
        <f>$A115*'Verwerking Bouwdelen'!CN42</f>
        <v>0</v>
      </c>
      <c r="G115" s="227">
        <f>$A115*'Verwerking Bouwdelen'!CO42</f>
        <v>0</v>
      </c>
      <c r="H115" s="227">
        <f>$A115*'Verwerking Bouwdelen'!CP42</f>
        <v>0</v>
      </c>
      <c r="I115" s="227">
        <f>$A115*'Verwerking Bouwdelen'!CQ42</f>
        <v>0</v>
      </c>
      <c r="J115" s="227">
        <f>$A115*'Verwerking Bouwdelen'!CR42</f>
        <v>0</v>
      </c>
      <c r="K115" s="227">
        <f>$A115*'Verwerking Bouwdelen'!CS42</f>
        <v>0</v>
      </c>
      <c r="L115" s="227">
        <f>$A115*'Verwerking Bouwdelen'!CT42</f>
        <v>0</v>
      </c>
      <c r="M115" s="228">
        <f>$A115*'Verwerking Bouwdelen'!CU42</f>
        <v>0</v>
      </c>
      <c r="DN115" s="89">
        <f>IF('Verwerking Bouwdelen'!A42=4,1,0)</f>
        <v>0</v>
      </c>
      <c r="DO115" s="223">
        <f>$DN115*'Verwerking Bouwdelen'!FT42</f>
        <v>0</v>
      </c>
      <c r="DP115" s="223">
        <f>$DN115*'Verwerking Bouwdelen'!FU42</f>
        <v>0</v>
      </c>
      <c r="DQ115" s="223">
        <f>$DN115*'Verwerking Bouwdelen'!FV42</f>
        <v>0</v>
      </c>
      <c r="DR115" s="223">
        <f>$DN115*'Verwerking Bouwdelen'!FW42</f>
        <v>0</v>
      </c>
      <c r="DS115" s="223">
        <f>$DN115*'Verwerking Bouwdelen'!FX42</f>
        <v>0</v>
      </c>
      <c r="DT115" s="223">
        <f>$DN115*'Verwerking Bouwdelen'!FY42</f>
        <v>0</v>
      </c>
      <c r="DU115" s="223">
        <f>$DN115*'Verwerking Bouwdelen'!FZ42</f>
        <v>0</v>
      </c>
      <c r="DV115" s="223">
        <f>$DN115*'Verwerking Bouwdelen'!GA42</f>
        <v>0</v>
      </c>
      <c r="DW115" s="223">
        <f>$DN115*'Verwerking Bouwdelen'!GB42</f>
        <v>0</v>
      </c>
      <c r="DX115" s="223">
        <f>$DN115*'Verwerking Bouwdelen'!GC42</f>
        <v>0</v>
      </c>
      <c r="DY115" s="223">
        <f>$DN115*'Verwerking Bouwdelen'!GD42</f>
        <v>0</v>
      </c>
      <c r="DZ115" s="223">
        <f>$DN115*'Verwerking Bouwdelen'!GE42</f>
        <v>0</v>
      </c>
      <c r="EA115" s="89">
        <f>'Verwerking Bouwdelen'!GO42*DN115</f>
        <v>0</v>
      </c>
      <c r="EB115" s="125">
        <f>'Verwerking Bouwdelen'!GP42*DN115</f>
        <v>0</v>
      </c>
      <c r="EC115" s="89">
        <f t="shared" si="41"/>
        <v>0</v>
      </c>
      <c r="GN115" s="220">
        <f t="shared" si="42"/>
        <v>0</v>
      </c>
      <c r="GO115" s="220">
        <f t="shared" si="43"/>
        <v>0</v>
      </c>
      <c r="GP115" s="220">
        <f t="shared" si="44"/>
        <v>0</v>
      </c>
      <c r="GQ115" s="220">
        <f t="shared" si="45"/>
        <v>0</v>
      </c>
      <c r="GR115" s="220">
        <f t="shared" si="45"/>
        <v>0</v>
      </c>
      <c r="GS115" s="220">
        <f t="shared" si="45"/>
        <v>0</v>
      </c>
      <c r="GT115" s="220">
        <f t="shared" si="45"/>
        <v>0</v>
      </c>
      <c r="GU115" s="220">
        <f t="shared" si="45"/>
        <v>0</v>
      </c>
      <c r="GV115" s="220">
        <f t="shared" si="45"/>
        <v>0</v>
      </c>
      <c r="GW115" s="220">
        <f t="shared" si="45"/>
        <v>0</v>
      </c>
      <c r="GX115" s="220">
        <f t="shared" si="45"/>
        <v>0</v>
      </c>
      <c r="GY115" s="220">
        <f t="shared" si="45"/>
        <v>0</v>
      </c>
    </row>
    <row r="116" spans="1:208" x14ac:dyDescent="0.2">
      <c r="A116" s="89">
        <f>IF('Verwerking Bouwdelen'!A43=4,1,0)</f>
        <v>0</v>
      </c>
      <c r="B116" s="226">
        <f>$A116*'Verwerking Bouwdelen'!CJ43</f>
        <v>0</v>
      </c>
      <c r="C116" s="227">
        <f>$A116*'Verwerking Bouwdelen'!CK43</f>
        <v>0</v>
      </c>
      <c r="D116" s="227">
        <f>$A116*'Verwerking Bouwdelen'!CL43</f>
        <v>0</v>
      </c>
      <c r="E116" s="227">
        <f>$A116*'Verwerking Bouwdelen'!CM43</f>
        <v>0</v>
      </c>
      <c r="F116" s="227">
        <f>$A116*'Verwerking Bouwdelen'!CN43</f>
        <v>0</v>
      </c>
      <c r="G116" s="227">
        <f>$A116*'Verwerking Bouwdelen'!CO43</f>
        <v>0</v>
      </c>
      <c r="H116" s="227">
        <f>$A116*'Verwerking Bouwdelen'!CP43</f>
        <v>0</v>
      </c>
      <c r="I116" s="227">
        <f>$A116*'Verwerking Bouwdelen'!CQ43</f>
        <v>0</v>
      </c>
      <c r="J116" s="227">
        <f>$A116*'Verwerking Bouwdelen'!CR43</f>
        <v>0</v>
      </c>
      <c r="K116" s="227">
        <f>$A116*'Verwerking Bouwdelen'!CS43</f>
        <v>0</v>
      </c>
      <c r="L116" s="227">
        <f>$A116*'Verwerking Bouwdelen'!CT43</f>
        <v>0</v>
      </c>
      <c r="M116" s="228">
        <f>$A116*'Verwerking Bouwdelen'!CU43</f>
        <v>0</v>
      </c>
      <c r="DN116" s="89">
        <f>IF('Verwerking Bouwdelen'!A43=4,1,0)</f>
        <v>0</v>
      </c>
      <c r="DO116" s="223">
        <f>$DN116*'Verwerking Bouwdelen'!FT43</f>
        <v>0</v>
      </c>
      <c r="DP116" s="223">
        <f>$DN116*'Verwerking Bouwdelen'!FU43</f>
        <v>0</v>
      </c>
      <c r="DQ116" s="223">
        <f>$DN116*'Verwerking Bouwdelen'!FV43</f>
        <v>0</v>
      </c>
      <c r="DR116" s="223">
        <f>$DN116*'Verwerking Bouwdelen'!FW43</f>
        <v>0</v>
      </c>
      <c r="DS116" s="223">
        <f>$DN116*'Verwerking Bouwdelen'!FX43</f>
        <v>0</v>
      </c>
      <c r="DT116" s="223">
        <f>$DN116*'Verwerking Bouwdelen'!FY43</f>
        <v>0</v>
      </c>
      <c r="DU116" s="223">
        <f>$DN116*'Verwerking Bouwdelen'!FZ43</f>
        <v>0</v>
      </c>
      <c r="DV116" s="223">
        <f>$DN116*'Verwerking Bouwdelen'!GA43</f>
        <v>0</v>
      </c>
      <c r="DW116" s="223">
        <f>$DN116*'Verwerking Bouwdelen'!GB43</f>
        <v>0</v>
      </c>
      <c r="DX116" s="223">
        <f>$DN116*'Verwerking Bouwdelen'!GC43</f>
        <v>0</v>
      </c>
      <c r="DY116" s="223">
        <f>$DN116*'Verwerking Bouwdelen'!GD43</f>
        <v>0</v>
      </c>
      <c r="DZ116" s="223">
        <f>$DN116*'Verwerking Bouwdelen'!GE43</f>
        <v>0</v>
      </c>
      <c r="EA116" s="89">
        <f>'Verwerking Bouwdelen'!GO43*DN116</f>
        <v>0</v>
      </c>
      <c r="EB116" s="125">
        <f>'Verwerking Bouwdelen'!GP43*DN116</f>
        <v>0</v>
      </c>
      <c r="EC116" s="89">
        <f t="shared" si="41"/>
        <v>0</v>
      </c>
      <c r="GN116" s="220">
        <f t="shared" si="42"/>
        <v>0</v>
      </c>
      <c r="GO116" s="220">
        <f t="shared" si="43"/>
        <v>0</v>
      </c>
      <c r="GP116" s="220">
        <f t="shared" si="44"/>
        <v>0</v>
      </c>
      <c r="GQ116" s="220">
        <f t="shared" si="45"/>
        <v>0</v>
      </c>
      <c r="GR116" s="220">
        <f t="shared" si="45"/>
        <v>0</v>
      </c>
      <c r="GS116" s="220">
        <f t="shared" si="45"/>
        <v>0</v>
      </c>
      <c r="GT116" s="220">
        <f t="shared" si="45"/>
        <v>0</v>
      </c>
      <c r="GU116" s="220">
        <f t="shared" si="45"/>
        <v>0</v>
      </c>
      <c r="GV116" s="220">
        <f t="shared" si="45"/>
        <v>0</v>
      </c>
      <c r="GW116" s="220">
        <f t="shared" si="45"/>
        <v>0</v>
      </c>
      <c r="GX116" s="220">
        <f t="shared" si="45"/>
        <v>0</v>
      </c>
      <c r="GY116" s="220">
        <f t="shared" si="45"/>
        <v>0</v>
      </c>
    </row>
    <row r="117" spans="1:208" x14ac:dyDescent="0.2">
      <c r="A117" s="89">
        <f>IF('Verwerking Bouwdelen'!A44=4,1,0)</f>
        <v>0</v>
      </c>
      <c r="B117" s="226">
        <f>$A117*'Verwerking Bouwdelen'!CJ44</f>
        <v>0</v>
      </c>
      <c r="C117" s="227">
        <f>$A117*'Verwerking Bouwdelen'!CK44</f>
        <v>0</v>
      </c>
      <c r="D117" s="227">
        <f>$A117*'Verwerking Bouwdelen'!CL44</f>
        <v>0</v>
      </c>
      <c r="E117" s="227">
        <f>$A117*'Verwerking Bouwdelen'!CM44</f>
        <v>0</v>
      </c>
      <c r="F117" s="227">
        <f>$A117*'Verwerking Bouwdelen'!CN44</f>
        <v>0</v>
      </c>
      <c r="G117" s="227">
        <f>$A117*'Verwerking Bouwdelen'!CO44</f>
        <v>0</v>
      </c>
      <c r="H117" s="227">
        <f>$A117*'Verwerking Bouwdelen'!CP44</f>
        <v>0</v>
      </c>
      <c r="I117" s="227">
        <f>$A117*'Verwerking Bouwdelen'!CQ44</f>
        <v>0</v>
      </c>
      <c r="J117" s="227">
        <f>$A117*'Verwerking Bouwdelen'!CR44</f>
        <v>0</v>
      </c>
      <c r="K117" s="227">
        <f>$A117*'Verwerking Bouwdelen'!CS44</f>
        <v>0</v>
      </c>
      <c r="L117" s="227">
        <f>$A117*'Verwerking Bouwdelen'!CT44</f>
        <v>0</v>
      </c>
      <c r="M117" s="228">
        <f>$A117*'Verwerking Bouwdelen'!CU44</f>
        <v>0</v>
      </c>
      <c r="DN117" s="89">
        <f>IF('Verwerking Bouwdelen'!A44=4,1,0)</f>
        <v>0</v>
      </c>
      <c r="DO117" s="223">
        <f>$DN117*'Verwerking Bouwdelen'!FT44</f>
        <v>0</v>
      </c>
      <c r="DP117" s="223">
        <f>$DN117*'Verwerking Bouwdelen'!FU44</f>
        <v>0</v>
      </c>
      <c r="DQ117" s="223">
        <f>$DN117*'Verwerking Bouwdelen'!FV44</f>
        <v>0</v>
      </c>
      <c r="DR117" s="223">
        <f>$DN117*'Verwerking Bouwdelen'!FW44</f>
        <v>0</v>
      </c>
      <c r="DS117" s="223">
        <f>$DN117*'Verwerking Bouwdelen'!FX44</f>
        <v>0</v>
      </c>
      <c r="DT117" s="223">
        <f>$DN117*'Verwerking Bouwdelen'!FY44</f>
        <v>0</v>
      </c>
      <c r="DU117" s="223">
        <f>$DN117*'Verwerking Bouwdelen'!FZ44</f>
        <v>0</v>
      </c>
      <c r="DV117" s="223">
        <f>$DN117*'Verwerking Bouwdelen'!GA44</f>
        <v>0</v>
      </c>
      <c r="DW117" s="223">
        <f>$DN117*'Verwerking Bouwdelen'!GB44</f>
        <v>0</v>
      </c>
      <c r="DX117" s="223">
        <f>$DN117*'Verwerking Bouwdelen'!GC44</f>
        <v>0</v>
      </c>
      <c r="DY117" s="223">
        <f>$DN117*'Verwerking Bouwdelen'!GD44</f>
        <v>0</v>
      </c>
      <c r="DZ117" s="223">
        <f>$DN117*'Verwerking Bouwdelen'!GE44</f>
        <v>0</v>
      </c>
      <c r="EA117" s="89">
        <f>'Verwerking Bouwdelen'!GO44*DN117</f>
        <v>0</v>
      </c>
      <c r="EB117" s="125">
        <f>'Verwerking Bouwdelen'!GP44*DN117</f>
        <v>0</v>
      </c>
      <c r="EC117" s="89">
        <f t="shared" si="41"/>
        <v>0</v>
      </c>
      <c r="GN117" s="220">
        <f t="shared" si="42"/>
        <v>0</v>
      </c>
      <c r="GO117" s="220">
        <f t="shared" si="43"/>
        <v>0</v>
      </c>
      <c r="GP117" s="220">
        <f t="shared" si="44"/>
        <v>0</v>
      </c>
      <c r="GQ117" s="220">
        <f t="shared" ref="GQ117:GY118" si="46">DR117</f>
        <v>0</v>
      </c>
      <c r="GR117" s="220">
        <f t="shared" si="46"/>
        <v>0</v>
      </c>
      <c r="GS117" s="220">
        <f t="shared" si="46"/>
        <v>0</v>
      </c>
      <c r="GT117" s="220">
        <f t="shared" si="46"/>
        <v>0</v>
      </c>
      <c r="GU117" s="220">
        <f t="shared" si="46"/>
        <v>0</v>
      </c>
      <c r="GV117" s="220">
        <f t="shared" si="46"/>
        <v>0</v>
      </c>
      <c r="GW117" s="220">
        <f t="shared" si="46"/>
        <v>0</v>
      </c>
      <c r="GX117" s="220">
        <f t="shared" si="46"/>
        <v>0</v>
      </c>
      <c r="GY117" s="220">
        <f t="shared" si="46"/>
        <v>0</v>
      </c>
    </row>
    <row r="118" spans="1:208" x14ac:dyDescent="0.2">
      <c r="B118" s="229">
        <f t="shared" ref="B118:M118" si="47">SUM(B76:B117)</f>
        <v>0</v>
      </c>
      <c r="C118" s="230">
        <f t="shared" si="47"/>
        <v>0</v>
      </c>
      <c r="D118" s="230">
        <f t="shared" si="47"/>
        <v>0</v>
      </c>
      <c r="E118" s="230">
        <f t="shared" si="47"/>
        <v>0</v>
      </c>
      <c r="F118" s="230">
        <f t="shared" si="47"/>
        <v>0</v>
      </c>
      <c r="G118" s="230">
        <f t="shared" si="47"/>
        <v>0</v>
      </c>
      <c r="H118" s="230">
        <f t="shared" si="47"/>
        <v>0</v>
      </c>
      <c r="I118" s="230">
        <f t="shared" si="47"/>
        <v>0</v>
      </c>
      <c r="J118" s="230">
        <f t="shared" si="47"/>
        <v>0</v>
      </c>
      <c r="K118" s="230">
        <f t="shared" si="47"/>
        <v>0</v>
      </c>
      <c r="L118" s="230">
        <f t="shared" si="47"/>
        <v>0</v>
      </c>
      <c r="M118" s="231">
        <f t="shared" si="47"/>
        <v>0</v>
      </c>
      <c r="DO118" s="229">
        <f t="shared" ref="DO118:DZ118" si="48">SUM(DO76:DO117)</f>
        <v>0</v>
      </c>
      <c r="DP118" s="230">
        <f t="shared" si="48"/>
        <v>0</v>
      </c>
      <c r="DQ118" s="230">
        <f t="shared" si="48"/>
        <v>0</v>
      </c>
      <c r="DR118" s="230">
        <f t="shared" si="48"/>
        <v>0</v>
      </c>
      <c r="DS118" s="230">
        <f t="shared" si="48"/>
        <v>0</v>
      </c>
      <c r="DT118" s="230">
        <f t="shared" si="48"/>
        <v>0</v>
      </c>
      <c r="DU118" s="230">
        <f t="shared" si="48"/>
        <v>0</v>
      </c>
      <c r="DV118" s="230">
        <f t="shared" si="48"/>
        <v>0</v>
      </c>
      <c r="DW118" s="230">
        <f t="shared" si="48"/>
        <v>0</v>
      </c>
      <c r="DX118" s="230">
        <f t="shared" si="48"/>
        <v>0</v>
      </c>
      <c r="DY118" s="230">
        <f t="shared" si="48"/>
        <v>0</v>
      </c>
      <c r="DZ118" s="231">
        <f t="shared" si="48"/>
        <v>0</v>
      </c>
      <c r="EA118" s="227">
        <f>SUM(EA76:EA117)</f>
        <v>0</v>
      </c>
      <c r="EB118" s="227">
        <f>SUM(EB76:EB117)</f>
        <v>0</v>
      </c>
      <c r="EC118" s="227">
        <f>0.6*EB118</f>
        <v>0</v>
      </c>
      <c r="GN118" s="220">
        <f t="shared" si="42"/>
        <v>0</v>
      </c>
      <c r="GO118" s="220">
        <f t="shared" si="43"/>
        <v>0</v>
      </c>
      <c r="GP118" s="220">
        <f t="shared" si="44"/>
        <v>0</v>
      </c>
      <c r="GQ118" s="220">
        <f t="shared" si="46"/>
        <v>0</v>
      </c>
      <c r="GR118" s="220">
        <f t="shared" si="46"/>
        <v>0</v>
      </c>
      <c r="GS118" s="220">
        <f t="shared" si="46"/>
        <v>0</v>
      </c>
      <c r="GT118" s="220">
        <f t="shared" si="46"/>
        <v>0</v>
      </c>
      <c r="GU118" s="220">
        <f t="shared" si="46"/>
        <v>0</v>
      </c>
      <c r="GV118" s="220">
        <f t="shared" si="46"/>
        <v>0</v>
      </c>
      <c r="GW118" s="220">
        <f t="shared" si="46"/>
        <v>0</v>
      </c>
      <c r="GX118" s="220">
        <f t="shared" si="46"/>
        <v>0</v>
      </c>
      <c r="GY118" s="220">
        <f t="shared" si="46"/>
        <v>0</v>
      </c>
    </row>
    <row r="119" spans="1:208" x14ac:dyDescent="0.2">
      <c r="GN119" s="220"/>
      <c r="GO119" s="220"/>
      <c r="GP119" s="220"/>
      <c r="GQ119" s="220"/>
      <c r="GR119" s="220"/>
      <c r="GS119" s="220"/>
      <c r="GT119" s="220"/>
      <c r="GU119" s="220"/>
      <c r="GV119" s="220"/>
      <c r="GW119" s="220"/>
      <c r="GX119" s="220"/>
      <c r="GY119" s="220"/>
    </row>
    <row r="120" spans="1:208" x14ac:dyDescent="0.2">
      <c r="B120" s="125" t="s">
        <v>452</v>
      </c>
      <c r="C120" s="125" t="s">
        <v>453</v>
      </c>
      <c r="D120" s="125" t="s">
        <v>398</v>
      </c>
      <c r="E120" s="125" t="s">
        <v>399</v>
      </c>
      <c r="F120" s="125" t="s">
        <v>400</v>
      </c>
      <c r="G120" s="125" t="s">
        <v>401</v>
      </c>
      <c r="H120" s="125" t="s">
        <v>402</v>
      </c>
      <c r="I120" s="125" t="s">
        <v>454</v>
      </c>
      <c r="J120" s="125" t="s">
        <v>455</v>
      </c>
      <c r="K120" s="125" t="s">
        <v>456</v>
      </c>
      <c r="L120" s="125" t="s">
        <v>457</v>
      </c>
      <c r="M120" s="125" t="s">
        <v>458</v>
      </c>
      <c r="AD120" s="125" t="s">
        <v>452</v>
      </c>
      <c r="AE120" s="125" t="s">
        <v>453</v>
      </c>
      <c r="AF120" s="125" t="s">
        <v>398</v>
      </c>
      <c r="AG120" s="125" t="s">
        <v>399</v>
      </c>
      <c r="AH120" s="125" t="s">
        <v>400</v>
      </c>
      <c r="AI120" s="125" t="s">
        <v>401</v>
      </c>
      <c r="AJ120" s="125" t="s">
        <v>402</v>
      </c>
      <c r="AK120" s="125" t="s">
        <v>454</v>
      </c>
      <c r="AL120" s="125" t="s">
        <v>455</v>
      </c>
      <c r="AM120" s="125" t="s">
        <v>456</v>
      </c>
      <c r="AN120" s="125" t="s">
        <v>457</v>
      </c>
      <c r="AO120" s="125" t="s">
        <v>458</v>
      </c>
      <c r="AP120" s="125"/>
      <c r="AQ120" s="125"/>
      <c r="AR120" s="125"/>
      <c r="AS120" s="245"/>
      <c r="AV120" s="125" t="s">
        <v>452</v>
      </c>
      <c r="AW120" s="125" t="s">
        <v>453</v>
      </c>
      <c r="AX120" s="125" t="s">
        <v>398</v>
      </c>
      <c r="AY120" s="125" t="s">
        <v>399</v>
      </c>
      <c r="AZ120" s="125" t="s">
        <v>400</v>
      </c>
      <c r="BA120" s="125" t="s">
        <v>401</v>
      </c>
      <c r="BB120" s="125" t="s">
        <v>402</v>
      </c>
      <c r="BC120" s="125" t="s">
        <v>454</v>
      </c>
      <c r="BD120" s="125" t="s">
        <v>455</v>
      </c>
      <c r="BE120" s="125" t="s">
        <v>456</v>
      </c>
      <c r="BF120" s="125" t="s">
        <v>457</v>
      </c>
      <c r="BG120" s="125" t="s">
        <v>458</v>
      </c>
      <c r="BH120" s="125"/>
      <c r="BI120" s="125"/>
      <c r="BJ120" s="125"/>
      <c r="BK120" s="125"/>
      <c r="BO120" s="125" t="s">
        <v>452</v>
      </c>
      <c r="BP120" s="125" t="s">
        <v>453</v>
      </c>
      <c r="BQ120" s="125" t="s">
        <v>398</v>
      </c>
      <c r="BR120" s="125" t="s">
        <v>399</v>
      </c>
      <c r="BS120" s="125" t="s">
        <v>400</v>
      </c>
      <c r="BT120" s="125" t="s">
        <v>401</v>
      </c>
      <c r="BU120" s="125" t="s">
        <v>402</v>
      </c>
      <c r="BV120" s="125" t="s">
        <v>454</v>
      </c>
      <c r="BW120" s="125" t="s">
        <v>455</v>
      </c>
      <c r="BX120" s="125" t="s">
        <v>456</v>
      </c>
      <c r="BY120" s="125" t="s">
        <v>457</v>
      </c>
      <c r="BZ120" s="125" t="s">
        <v>458</v>
      </c>
      <c r="CA120" s="125"/>
      <c r="CB120" s="125"/>
      <c r="CC120" s="125"/>
      <c r="CD120" s="245"/>
      <c r="CG120" s="125" t="s">
        <v>452</v>
      </c>
      <c r="CH120" s="125" t="s">
        <v>453</v>
      </c>
      <c r="CI120" s="125" t="s">
        <v>398</v>
      </c>
      <c r="CJ120" s="125" t="s">
        <v>399</v>
      </c>
      <c r="CK120" s="125" t="s">
        <v>400</v>
      </c>
      <c r="CL120" s="125" t="s">
        <v>401</v>
      </c>
      <c r="CM120" s="125" t="s">
        <v>402</v>
      </c>
      <c r="CN120" s="125" t="s">
        <v>454</v>
      </c>
      <c r="CO120" s="125" t="s">
        <v>455</v>
      </c>
      <c r="CP120" s="125" t="s">
        <v>456</v>
      </c>
      <c r="CQ120" s="125" t="s">
        <v>457</v>
      </c>
      <c r="CR120" s="125" t="s">
        <v>458</v>
      </c>
      <c r="CS120" s="125"/>
      <c r="CT120" s="125"/>
      <c r="CU120" s="125"/>
      <c r="CX120" s="125" t="s">
        <v>452</v>
      </c>
      <c r="CY120" s="125" t="s">
        <v>453</v>
      </c>
      <c r="CZ120" s="125" t="s">
        <v>398</v>
      </c>
      <c r="DA120" s="125" t="s">
        <v>399</v>
      </c>
      <c r="DB120" s="125" t="s">
        <v>400</v>
      </c>
      <c r="DC120" s="125" t="s">
        <v>401</v>
      </c>
      <c r="DD120" s="125" t="s">
        <v>402</v>
      </c>
      <c r="DE120" s="125" t="s">
        <v>454</v>
      </c>
      <c r="DF120" s="125" t="s">
        <v>455</v>
      </c>
      <c r="DG120" s="125" t="s">
        <v>456</v>
      </c>
      <c r="DH120" s="125" t="s">
        <v>457</v>
      </c>
      <c r="DI120" s="125" t="s">
        <v>458</v>
      </c>
      <c r="DJ120" s="125"/>
      <c r="DK120" s="125"/>
      <c r="DO120" s="125" t="s">
        <v>452</v>
      </c>
      <c r="DP120" s="125" t="s">
        <v>453</v>
      </c>
      <c r="DQ120" s="125" t="s">
        <v>398</v>
      </c>
      <c r="DR120" s="125" t="s">
        <v>399</v>
      </c>
      <c r="DS120" s="125" t="s">
        <v>400</v>
      </c>
      <c r="DT120" s="125" t="s">
        <v>401</v>
      </c>
      <c r="DU120" s="125" t="s">
        <v>402</v>
      </c>
      <c r="DV120" s="125" t="s">
        <v>454</v>
      </c>
      <c r="DW120" s="125" t="s">
        <v>455</v>
      </c>
      <c r="DX120" s="125" t="s">
        <v>456</v>
      </c>
      <c r="DY120" s="125" t="s">
        <v>457</v>
      </c>
      <c r="DZ120" s="125" t="s">
        <v>458</v>
      </c>
      <c r="FC120" s="125" t="s">
        <v>452</v>
      </c>
      <c r="FD120" s="125" t="s">
        <v>453</v>
      </c>
      <c r="FE120" s="125" t="s">
        <v>398</v>
      </c>
      <c r="FF120" s="125" t="s">
        <v>399</v>
      </c>
      <c r="FG120" s="125" t="s">
        <v>400</v>
      </c>
      <c r="FH120" s="125" t="s">
        <v>401</v>
      </c>
      <c r="FI120" s="125" t="s">
        <v>402</v>
      </c>
      <c r="FJ120" s="125" t="s">
        <v>454</v>
      </c>
      <c r="FK120" s="125" t="s">
        <v>455</v>
      </c>
      <c r="FL120" s="125" t="s">
        <v>456</v>
      </c>
      <c r="FM120" s="125" t="s">
        <v>457</v>
      </c>
      <c r="FN120" s="125" t="s">
        <v>458</v>
      </c>
      <c r="FW120" s="125" t="s">
        <v>452</v>
      </c>
      <c r="FX120" s="125" t="s">
        <v>453</v>
      </c>
      <c r="FY120" s="125" t="s">
        <v>398</v>
      </c>
      <c r="FZ120" s="125" t="s">
        <v>399</v>
      </c>
      <c r="GA120" s="125" t="s">
        <v>400</v>
      </c>
      <c r="GB120" s="125" t="s">
        <v>401</v>
      </c>
      <c r="GC120" s="125" t="s">
        <v>402</v>
      </c>
      <c r="GD120" s="125" t="s">
        <v>454</v>
      </c>
      <c r="GE120" s="125" t="s">
        <v>455</v>
      </c>
      <c r="GF120" s="125" t="s">
        <v>456</v>
      </c>
      <c r="GG120" s="125" t="s">
        <v>457</v>
      </c>
      <c r="GH120" s="125" t="s">
        <v>458</v>
      </c>
      <c r="GO120" s="125" t="s">
        <v>452</v>
      </c>
      <c r="GP120" s="125" t="s">
        <v>453</v>
      </c>
      <c r="GQ120" s="125" t="s">
        <v>398</v>
      </c>
      <c r="GR120" s="125" t="s">
        <v>399</v>
      </c>
      <c r="GS120" s="125" t="s">
        <v>400</v>
      </c>
      <c r="GT120" s="125" t="s">
        <v>401</v>
      </c>
      <c r="GU120" s="125" t="s">
        <v>402</v>
      </c>
      <c r="GV120" s="125" t="s">
        <v>454</v>
      </c>
      <c r="GW120" s="125" t="s">
        <v>455</v>
      </c>
      <c r="GX120" s="125" t="s">
        <v>456</v>
      </c>
      <c r="GY120" s="125" t="s">
        <v>457</v>
      </c>
      <c r="GZ120" s="125" t="s">
        <v>458</v>
      </c>
    </row>
    <row r="121" spans="1:208" x14ac:dyDescent="0.2">
      <c r="A121" s="155" t="s">
        <v>569</v>
      </c>
      <c r="B121" s="89">
        <f>B61+O61</f>
        <v>0</v>
      </c>
      <c r="C121" s="89">
        <f t="shared" ref="C121:M121" si="49">C61+P61</f>
        <v>0</v>
      </c>
      <c r="D121" s="89">
        <f t="shared" si="49"/>
        <v>0</v>
      </c>
      <c r="E121" s="89">
        <f t="shared" si="49"/>
        <v>0</v>
      </c>
      <c r="F121" s="89">
        <f t="shared" si="49"/>
        <v>0</v>
      </c>
      <c r="G121" s="89">
        <f t="shared" si="49"/>
        <v>0</v>
      </c>
      <c r="H121" s="89">
        <f t="shared" si="49"/>
        <v>0</v>
      </c>
      <c r="I121" s="89">
        <f t="shared" si="49"/>
        <v>0</v>
      </c>
      <c r="J121" s="89">
        <f t="shared" si="49"/>
        <v>0</v>
      </c>
      <c r="K121" s="89">
        <f t="shared" si="49"/>
        <v>0</v>
      </c>
      <c r="L121" s="89">
        <f t="shared" si="49"/>
        <v>0</v>
      </c>
      <c r="M121" s="89">
        <f t="shared" si="49"/>
        <v>0</v>
      </c>
      <c r="AC121" s="155" t="s">
        <v>569</v>
      </c>
      <c r="AD121" s="89">
        <f t="shared" ref="AD121:AO121" si="50">AD61+O61</f>
        <v>0</v>
      </c>
      <c r="AE121" s="89">
        <f t="shared" si="50"/>
        <v>0</v>
      </c>
      <c r="AF121" s="89">
        <f t="shared" si="50"/>
        <v>0</v>
      </c>
      <c r="AG121" s="89">
        <f t="shared" si="50"/>
        <v>0</v>
      </c>
      <c r="AH121" s="89">
        <f t="shared" si="50"/>
        <v>0</v>
      </c>
      <c r="AI121" s="89">
        <f t="shared" si="50"/>
        <v>0</v>
      </c>
      <c r="AJ121" s="89">
        <f t="shared" si="50"/>
        <v>0</v>
      </c>
      <c r="AK121" s="89">
        <f t="shared" si="50"/>
        <v>0</v>
      </c>
      <c r="AL121" s="89">
        <f t="shared" si="50"/>
        <v>0</v>
      </c>
      <c r="AM121" s="89">
        <f t="shared" si="50"/>
        <v>0</v>
      </c>
      <c r="AN121" s="89">
        <f t="shared" si="50"/>
        <v>0</v>
      </c>
      <c r="AO121" s="89">
        <f t="shared" si="50"/>
        <v>0</v>
      </c>
      <c r="AU121" s="155" t="s">
        <v>569</v>
      </c>
      <c r="AV121" s="89">
        <f>AV61+O61</f>
        <v>0</v>
      </c>
      <c r="AW121" s="89">
        <f t="shared" ref="AW121:BG121" si="51">AW61+P61</f>
        <v>0</v>
      </c>
      <c r="AX121" s="89">
        <f t="shared" si="51"/>
        <v>0</v>
      </c>
      <c r="AY121" s="89">
        <f t="shared" si="51"/>
        <v>0</v>
      </c>
      <c r="AZ121" s="89">
        <f t="shared" si="51"/>
        <v>0</v>
      </c>
      <c r="BA121" s="89">
        <f t="shared" si="51"/>
        <v>0</v>
      </c>
      <c r="BB121" s="89">
        <f t="shared" si="51"/>
        <v>0</v>
      </c>
      <c r="BC121" s="89">
        <f t="shared" si="51"/>
        <v>0</v>
      </c>
      <c r="BD121" s="89">
        <f t="shared" si="51"/>
        <v>0</v>
      </c>
      <c r="BE121" s="89">
        <f t="shared" si="51"/>
        <v>0</v>
      </c>
      <c r="BF121" s="89">
        <f t="shared" si="51"/>
        <v>0</v>
      </c>
      <c r="BG121" s="89">
        <f t="shared" si="51"/>
        <v>0</v>
      </c>
      <c r="BN121" s="155" t="s">
        <v>569</v>
      </c>
      <c r="BO121" s="89">
        <f t="shared" ref="BO121:BZ121" si="52">BO61+O61</f>
        <v>0</v>
      </c>
      <c r="BP121" s="89">
        <f t="shared" si="52"/>
        <v>0</v>
      </c>
      <c r="BQ121" s="89">
        <f t="shared" si="52"/>
        <v>0</v>
      </c>
      <c r="BR121" s="89">
        <f t="shared" si="52"/>
        <v>0</v>
      </c>
      <c r="BS121" s="89">
        <f t="shared" si="52"/>
        <v>0</v>
      </c>
      <c r="BT121" s="89">
        <f t="shared" si="52"/>
        <v>0</v>
      </c>
      <c r="BU121" s="89">
        <f t="shared" si="52"/>
        <v>0</v>
      </c>
      <c r="BV121" s="89">
        <f t="shared" si="52"/>
        <v>0</v>
      </c>
      <c r="BW121" s="89">
        <f t="shared" si="52"/>
        <v>0</v>
      </c>
      <c r="BX121" s="89">
        <f t="shared" si="52"/>
        <v>0</v>
      </c>
      <c r="BY121" s="89">
        <f t="shared" si="52"/>
        <v>0</v>
      </c>
      <c r="BZ121" s="89">
        <f t="shared" si="52"/>
        <v>0</v>
      </c>
      <c r="CF121" s="155" t="s">
        <v>569</v>
      </c>
      <c r="CG121" s="89">
        <f t="shared" ref="CG121:CR121" si="53">CG61+O61</f>
        <v>0</v>
      </c>
      <c r="CH121" s="89">
        <f t="shared" si="53"/>
        <v>0</v>
      </c>
      <c r="CI121" s="89">
        <f t="shared" si="53"/>
        <v>0</v>
      </c>
      <c r="CJ121" s="89">
        <f t="shared" si="53"/>
        <v>0</v>
      </c>
      <c r="CK121" s="89">
        <f t="shared" si="53"/>
        <v>0</v>
      </c>
      <c r="CL121" s="89">
        <f t="shared" si="53"/>
        <v>0</v>
      </c>
      <c r="CM121" s="89">
        <f t="shared" si="53"/>
        <v>0</v>
      </c>
      <c r="CN121" s="89">
        <f t="shared" si="53"/>
        <v>0</v>
      </c>
      <c r="CO121" s="89">
        <f t="shared" si="53"/>
        <v>0</v>
      </c>
      <c r="CP121" s="89">
        <f t="shared" si="53"/>
        <v>0</v>
      </c>
      <c r="CQ121" s="89">
        <f t="shared" si="53"/>
        <v>0</v>
      </c>
      <c r="CR121" s="89">
        <f t="shared" si="53"/>
        <v>0</v>
      </c>
      <c r="CW121" s="155" t="s">
        <v>569</v>
      </c>
      <c r="CX121" s="89">
        <f t="shared" ref="CX121:DI121" si="54">B61+CW61</f>
        <v>0</v>
      </c>
      <c r="CY121" s="89">
        <f t="shared" si="54"/>
        <v>0</v>
      </c>
      <c r="CZ121" s="89">
        <f t="shared" si="54"/>
        <v>0</v>
      </c>
      <c r="DA121" s="89">
        <f t="shared" si="54"/>
        <v>0</v>
      </c>
      <c r="DB121" s="89">
        <f t="shared" si="54"/>
        <v>0</v>
      </c>
      <c r="DC121" s="89">
        <f t="shared" si="54"/>
        <v>0</v>
      </c>
      <c r="DD121" s="89">
        <f t="shared" si="54"/>
        <v>0</v>
      </c>
      <c r="DE121" s="89">
        <f t="shared" si="54"/>
        <v>0</v>
      </c>
      <c r="DF121" s="89">
        <f t="shared" si="54"/>
        <v>0</v>
      </c>
      <c r="DG121" s="89">
        <f t="shared" si="54"/>
        <v>0</v>
      </c>
      <c r="DH121" s="89">
        <f t="shared" si="54"/>
        <v>0</v>
      </c>
      <c r="DI121" s="89">
        <f t="shared" si="54"/>
        <v>0</v>
      </c>
      <c r="DN121" s="155" t="s">
        <v>569</v>
      </c>
      <c r="DO121" s="89">
        <f>B61+O61</f>
        <v>0</v>
      </c>
      <c r="DP121" s="89">
        <f t="shared" ref="DP121:DZ121" si="55">C61+P61</f>
        <v>0</v>
      </c>
      <c r="DQ121" s="89">
        <f t="shared" si="55"/>
        <v>0</v>
      </c>
      <c r="DR121" s="89">
        <f t="shared" si="55"/>
        <v>0</v>
      </c>
      <c r="DS121" s="89">
        <f t="shared" si="55"/>
        <v>0</v>
      </c>
      <c r="DT121" s="89">
        <f t="shared" si="55"/>
        <v>0</v>
      </c>
      <c r="DU121" s="89">
        <f t="shared" si="55"/>
        <v>0</v>
      </c>
      <c r="DV121" s="89">
        <f t="shared" si="55"/>
        <v>0</v>
      </c>
      <c r="DW121" s="89">
        <f t="shared" si="55"/>
        <v>0</v>
      </c>
      <c r="DX121" s="89">
        <f t="shared" si="55"/>
        <v>0</v>
      </c>
      <c r="DY121" s="89">
        <f t="shared" si="55"/>
        <v>0</v>
      </c>
      <c r="DZ121" s="89">
        <f t="shared" si="55"/>
        <v>0</v>
      </c>
      <c r="FB121" s="155" t="s">
        <v>569</v>
      </c>
      <c r="FC121" s="89">
        <f>B121</f>
        <v>0</v>
      </c>
      <c r="FD121" s="89">
        <f t="shared" ref="FD121:FN121" si="56">C121</f>
        <v>0</v>
      </c>
      <c r="FE121" s="89">
        <f t="shared" si="56"/>
        <v>0</v>
      </c>
      <c r="FF121" s="89">
        <f t="shared" si="56"/>
        <v>0</v>
      </c>
      <c r="FG121" s="89">
        <f t="shared" si="56"/>
        <v>0</v>
      </c>
      <c r="FH121" s="89">
        <f t="shared" si="56"/>
        <v>0</v>
      </c>
      <c r="FI121" s="89">
        <f t="shared" si="56"/>
        <v>0</v>
      </c>
      <c r="FJ121" s="89">
        <f t="shared" si="56"/>
        <v>0</v>
      </c>
      <c r="FK121" s="89">
        <f t="shared" si="56"/>
        <v>0</v>
      </c>
      <c r="FL121" s="89">
        <f t="shared" si="56"/>
        <v>0</v>
      </c>
      <c r="FM121" s="89">
        <f t="shared" si="56"/>
        <v>0</v>
      </c>
      <c r="FN121" s="89">
        <f t="shared" si="56"/>
        <v>0</v>
      </c>
      <c r="FV121" s="155" t="s">
        <v>569</v>
      </c>
      <c r="FW121" s="89">
        <f>B121</f>
        <v>0</v>
      </c>
      <c r="FX121" s="89">
        <f t="shared" ref="FX121:GH122" si="57">C121</f>
        <v>0</v>
      </c>
      <c r="FY121" s="89">
        <f t="shared" si="57"/>
        <v>0</v>
      </c>
      <c r="FZ121" s="89">
        <f t="shared" si="57"/>
        <v>0</v>
      </c>
      <c r="GA121" s="89">
        <f t="shared" si="57"/>
        <v>0</v>
      </c>
      <c r="GB121" s="89">
        <f t="shared" si="57"/>
        <v>0</v>
      </c>
      <c r="GC121" s="89">
        <f t="shared" si="57"/>
        <v>0</v>
      </c>
      <c r="GD121" s="89">
        <f t="shared" si="57"/>
        <v>0</v>
      </c>
      <c r="GE121" s="89">
        <f t="shared" si="57"/>
        <v>0</v>
      </c>
      <c r="GF121" s="89">
        <f t="shared" si="57"/>
        <v>0</v>
      </c>
      <c r="GG121" s="89">
        <f t="shared" si="57"/>
        <v>0</v>
      </c>
      <c r="GH121" s="89">
        <f t="shared" si="57"/>
        <v>0</v>
      </c>
      <c r="GN121" s="155" t="s">
        <v>569</v>
      </c>
      <c r="GO121" s="89">
        <f>GO61+HB61</f>
        <v>0</v>
      </c>
      <c r="GP121" s="89">
        <f t="shared" ref="GP121:GZ121" si="58">GP61+HC61</f>
        <v>0</v>
      </c>
      <c r="GQ121" s="89">
        <f t="shared" si="58"/>
        <v>0</v>
      </c>
      <c r="GR121" s="89">
        <f t="shared" si="58"/>
        <v>0</v>
      </c>
      <c r="GS121" s="89">
        <f t="shared" si="58"/>
        <v>0</v>
      </c>
      <c r="GT121" s="89">
        <f t="shared" si="58"/>
        <v>0</v>
      </c>
      <c r="GU121" s="89">
        <f t="shared" si="58"/>
        <v>0</v>
      </c>
      <c r="GV121" s="89">
        <f t="shared" si="58"/>
        <v>0</v>
      </c>
      <c r="GW121" s="89">
        <f t="shared" si="58"/>
        <v>0</v>
      </c>
      <c r="GX121" s="89">
        <f t="shared" si="58"/>
        <v>0</v>
      </c>
      <c r="GY121" s="89">
        <f t="shared" si="58"/>
        <v>0</v>
      </c>
      <c r="GZ121" s="89">
        <f t="shared" si="58"/>
        <v>0</v>
      </c>
    </row>
    <row r="122" spans="1:208" x14ac:dyDescent="0.2">
      <c r="A122" s="155" t="s">
        <v>507</v>
      </c>
      <c r="B122" s="89">
        <f>H12</f>
        <v>0</v>
      </c>
      <c r="C122" s="89">
        <f t="shared" ref="C122:M122" si="59">I12</f>
        <v>0</v>
      </c>
      <c r="D122" s="89">
        <f t="shared" si="59"/>
        <v>0</v>
      </c>
      <c r="E122" s="89">
        <f t="shared" si="59"/>
        <v>0</v>
      </c>
      <c r="F122" s="89">
        <f t="shared" si="59"/>
        <v>0</v>
      </c>
      <c r="G122" s="89">
        <f t="shared" si="59"/>
        <v>0</v>
      </c>
      <c r="H122" s="89">
        <f t="shared" si="59"/>
        <v>0</v>
      </c>
      <c r="I122" s="89">
        <f t="shared" si="59"/>
        <v>0</v>
      </c>
      <c r="J122" s="89">
        <f t="shared" si="59"/>
        <v>0</v>
      </c>
      <c r="K122" s="89">
        <f t="shared" si="59"/>
        <v>0</v>
      </c>
      <c r="L122" s="89">
        <f t="shared" si="59"/>
        <v>0</v>
      </c>
      <c r="M122" s="89">
        <f t="shared" si="59"/>
        <v>0</v>
      </c>
      <c r="AC122" s="155" t="s">
        <v>507</v>
      </c>
      <c r="AD122" s="89">
        <f>H12</f>
        <v>0</v>
      </c>
      <c r="AE122" s="89">
        <f t="shared" ref="AE122:AO122" si="60">I12</f>
        <v>0</v>
      </c>
      <c r="AF122" s="89">
        <f t="shared" si="60"/>
        <v>0</v>
      </c>
      <c r="AG122" s="89">
        <f t="shared" si="60"/>
        <v>0</v>
      </c>
      <c r="AH122" s="89">
        <f t="shared" si="60"/>
        <v>0</v>
      </c>
      <c r="AI122" s="89">
        <f t="shared" si="60"/>
        <v>0</v>
      </c>
      <c r="AJ122" s="89">
        <f t="shared" si="60"/>
        <v>0</v>
      </c>
      <c r="AK122" s="89">
        <f t="shared" si="60"/>
        <v>0</v>
      </c>
      <c r="AL122" s="89">
        <f t="shared" si="60"/>
        <v>0</v>
      </c>
      <c r="AM122" s="89">
        <f t="shared" si="60"/>
        <v>0</v>
      </c>
      <c r="AN122" s="89">
        <f t="shared" si="60"/>
        <v>0</v>
      </c>
      <c r="AO122" s="89">
        <f t="shared" si="60"/>
        <v>0</v>
      </c>
      <c r="AU122" s="155" t="s">
        <v>507</v>
      </c>
      <c r="AV122" s="89">
        <f>H12</f>
        <v>0</v>
      </c>
      <c r="AW122" s="89">
        <f t="shared" ref="AW122:BG122" si="61">I12</f>
        <v>0</v>
      </c>
      <c r="AX122" s="89">
        <f t="shared" si="61"/>
        <v>0</v>
      </c>
      <c r="AY122" s="89">
        <f t="shared" si="61"/>
        <v>0</v>
      </c>
      <c r="AZ122" s="89">
        <f t="shared" si="61"/>
        <v>0</v>
      </c>
      <c r="BA122" s="89">
        <f t="shared" si="61"/>
        <v>0</v>
      </c>
      <c r="BB122" s="89">
        <f t="shared" si="61"/>
        <v>0</v>
      </c>
      <c r="BC122" s="89">
        <f t="shared" si="61"/>
        <v>0</v>
      </c>
      <c r="BD122" s="89">
        <f t="shared" si="61"/>
        <v>0</v>
      </c>
      <c r="BE122" s="89">
        <f t="shared" si="61"/>
        <v>0</v>
      </c>
      <c r="BF122" s="89">
        <f t="shared" si="61"/>
        <v>0</v>
      </c>
      <c r="BG122" s="89">
        <f t="shared" si="61"/>
        <v>0</v>
      </c>
      <c r="BN122" s="155" t="s">
        <v>507</v>
      </c>
      <c r="BO122" s="89">
        <f>H12</f>
        <v>0</v>
      </c>
      <c r="BP122" s="89">
        <f t="shared" ref="BP122:BZ122" si="62">I12</f>
        <v>0</v>
      </c>
      <c r="BQ122" s="89">
        <f t="shared" si="62"/>
        <v>0</v>
      </c>
      <c r="BR122" s="89">
        <f t="shared" si="62"/>
        <v>0</v>
      </c>
      <c r="BS122" s="89">
        <f t="shared" si="62"/>
        <v>0</v>
      </c>
      <c r="BT122" s="89">
        <f t="shared" si="62"/>
        <v>0</v>
      </c>
      <c r="BU122" s="89">
        <f t="shared" si="62"/>
        <v>0</v>
      </c>
      <c r="BV122" s="89">
        <f t="shared" si="62"/>
        <v>0</v>
      </c>
      <c r="BW122" s="89">
        <f t="shared" si="62"/>
        <v>0</v>
      </c>
      <c r="BX122" s="89">
        <f t="shared" si="62"/>
        <v>0</v>
      </c>
      <c r="BY122" s="89">
        <f t="shared" si="62"/>
        <v>0</v>
      </c>
      <c r="BZ122" s="89">
        <f t="shared" si="62"/>
        <v>0</v>
      </c>
      <c r="CF122" s="155" t="s">
        <v>507</v>
      </c>
      <c r="CG122" s="89">
        <f>H12</f>
        <v>0</v>
      </c>
      <c r="CH122" s="89">
        <f t="shared" ref="CH122:CR122" si="63">I12</f>
        <v>0</v>
      </c>
      <c r="CI122" s="89">
        <f t="shared" si="63"/>
        <v>0</v>
      </c>
      <c r="CJ122" s="89">
        <f t="shared" si="63"/>
        <v>0</v>
      </c>
      <c r="CK122" s="89">
        <f t="shared" si="63"/>
        <v>0</v>
      </c>
      <c r="CL122" s="89">
        <f t="shared" si="63"/>
        <v>0</v>
      </c>
      <c r="CM122" s="89">
        <f t="shared" si="63"/>
        <v>0</v>
      </c>
      <c r="CN122" s="89">
        <f t="shared" si="63"/>
        <v>0</v>
      </c>
      <c r="CO122" s="89">
        <f t="shared" si="63"/>
        <v>0</v>
      </c>
      <c r="CP122" s="89">
        <f t="shared" si="63"/>
        <v>0</v>
      </c>
      <c r="CQ122" s="89">
        <f t="shared" si="63"/>
        <v>0</v>
      </c>
      <c r="CR122" s="89">
        <f t="shared" si="63"/>
        <v>0</v>
      </c>
      <c r="CW122" s="155" t="s">
        <v>507</v>
      </c>
      <c r="CX122" s="89">
        <f>H12</f>
        <v>0</v>
      </c>
      <c r="CY122" s="89">
        <f t="shared" ref="CY122:DI122" si="64">I12</f>
        <v>0</v>
      </c>
      <c r="CZ122" s="89">
        <f t="shared" si="64"/>
        <v>0</v>
      </c>
      <c r="DA122" s="89">
        <f t="shared" si="64"/>
        <v>0</v>
      </c>
      <c r="DB122" s="89">
        <f t="shared" si="64"/>
        <v>0</v>
      </c>
      <c r="DC122" s="89">
        <f t="shared" si="64"/>
        <v>0</v>
      </c>
      <c r="DD122" s="89">
        <f t="shared" si="64"/>
        <v>0</v>
      </c>
      <c r="DE122" s="89">
        <f t="shared" si="64"/>
        <v>0</v>
      </c>
      <c r="DF122" s="89">
        <f t="shared" si="64"/>
        <v>0</v>
      </c>
      <c r="DG122" s="89">
        <f t="shared" si="64"/>
        <v>0</v>
      </c>
      <c r="DH122" s="89">
        <f t="shared" si="64"/>
        <v>0</v>
      </c>
      <c r="DI122" s="89">
        <f t="shared" si="64"/>
        <v>0</v>
      </c>
      <c r="DN122" s="155" t="s">
        <v>507</v>
      </c>
      <c r="DO122" s="89">
        <f>H12</f>
        <v>0</v>
      </c>
      <c r="DP122" s="89">
        <f t="shared" ref="DP122:DZ122" si="65">I12</f>
        <v>0</v>
      </c>
      <c r="DQ122" s="89">
        <f t="shared" si="65"/>
        <v>0</v>
      </c>
      <c r="DR122" s="89">
        <f t="shared" si="65"/>
        <v>0</v>
      </c>
      <c r="DS122" s="89">
        <f t="shared" si="65"/>
        <v>0</v>
      </c>
      <c r="DT122" s="89">
        <f t="shared" si="65"/>
        <v>0</v>
      </c>
      <c r="DU122" s="89">
        <f t="shared" si="65"/>
        <v>0</v>
      </c>
      <c r="DV122" s="89">
        <f t="shared" si="65"/>
        <v>0</v>
      </c>
      <c r="DW122" s="89">
        <f t="shared" si="65"/>
        <v>0</v>
      </c>
      <c r="DX122" s="89">
        <f t="shared" si="65"/>
        <v>0</v>
      </c>
      <c r="DY122" s="89">
        <f t="shared" si="65"/>
        <v>0</v>
      </c>
      <c r="DZ122" s="89">
        <f t="shared" si="65"/>
        <v>0</v>
      </c>
      <c r="FB122" s="155" t="s">
        <v>507</v>
      </c>
      <c r="FC122" s="89">
        <f t="shared" ref="FC122:FN122" si="66">FI12</f>
        <v>0</v>
      </c>
      <c r="FD122" s="89">
        <f t="shared" si="66"/>
        <v>0</v>
      </c>
      <c r="FE122" s="89">
        <f t="shared" si="66"/>
        <v>0</v>
      </c>
      <c r="FF122" s="89">
        <f t="shared" si="66"/>
        <v>0</v>
      </c>
      <c r="FG122" s="89">
        <f t="shared" si="66"/>
        <v>0</v>
      </c>
      <c r="FH122" s="89">
        <f t="shared" si="66"/>
        <v>0</v>
      </c>
      <c r="FI122" s="89">
        <f t="shared" si="66"/>
        <v>0</v>
      </c>
      <c r="FJ122" s="89">
        <f t="shared" si="66"/>
        <v>0</v>
      </c>
      <c r="FK122" s="89">
        <f t="shared" si="66"/>
        <v>0</v>
      </c>
      <c r="FL122" s="89">
        <f t="shared" si="66"/>
        <v>0</v>
      </c>
      <c r="FM122" s="89">
        <f t="shared" si="66"/>
        <v>0</v>
      </c>
      <c r="FN122" s="89">
        <f t="shared" si="66"/>
        <v>0</v>
      </c>
      <c r="FV122" s="155" t="s">
        <v>507</v>
      </c>
      <c r="FW122" s="89">
        <f>B122</f>
        <v>0</v>
      </c>
      <c r="FX122" s="89">
        <f t="shared" si="57"/>
        <v>0</v>
      </c>
      <c r="FY122" s="89">
        <f t="shared" si="57"/>
        <v>0</v>
      </c>
      <c r="FZ122" s="89">
        <f t="shared" si="57"/>
        <v>0</v>
      </c>
      <c r="GA122" s="89">
        <f t="shared" si="57"/>
        <v>0</v>
      </c>
      <c r="GB122" s="89">
        <f t="shared" si="57"/>
        <v>0</v>
      </c>
      <c r="GC122" s="89">
        <f t="shared" si="57"/>
        <v>0</v>
      </c>
      <c r="GD122" s="89">
        <f t="shared" si="57"/>
        <v>0</v>
      </c>
      <c r="GE122" s="89">
        <f t="shared" si="57"/>
        <v>0</v>
      </c>
      <c r="GF122" s="89">
        <f t="shared" si="57"/>
        <v>0</v>
      </c>
      <c r="GG122" s="89">
        <f t="shared" si="57"/>
        <v>0</v>
      </c>
      <c r="GH122" s="89">
        <f t="shared" si="57"/>
        <v>0</v>
      </c>
      <c r="GN122" s="155" t="s">
        <v>507</v>
      </c>
      <c r="GO122" s="89">
        <f>GT12</f>
        <v>0</v>
      </c>
      <c r="GP122" s="89">
        <f t="shared" ref="GP122:GZ122" si="67">GU12</f>
        <v>0</v>
      </c>
      <c r="GQ122" s="89">
        <f t="shared" si="67"/>
        <v>0</v>
      </c>
      <c r="GR122" s="89">
        <f t="shared" si="67"/>
        <v>0</v>
      </c>
      <c r="GS122" s="89">
        <f t="shared" si="67"/>
        <v>0</v>
      </c>
      <c r="GT122" s="89">
        <f t="shared" si="67"/>
        <v>0</v>
      </c>
      <c r="GU122" s="89">
        <f t="shared" si="67"/>
        <v>0</v>
      </c>
      <c r="GV122" s="89">
        <f t="shared" si="67"/>
        <v>0</v>
      </c>
      <c r="GW122" s="89">
        <f t="shared" si="67"/>
        <v>0</v>
      </c>
      <c r="GX122" s="89">
        <f t="shared" si="67"/>
        <v>0</v>
      </c>
      <c r="GY122" s="89">
        <f t="shared" si="67"/>
        <v>0</v>
      </c>
      <c r="GZ122" s="89">
        <f t="shared" si="67"/>
        <v>0</v>
      </c>
    </row>
    <row r="123" spans="1:208" x14ac:dyDescent="0.2">
      <c r="A123" s="155" t="s">
        <v>720</v>
      </c>
      <c r="B123" s="89">
        <f>'Verwerken Algemeen'!C32</f>
        <v>0</v>
      </c>
      <c r="C123" s="89">
        <f>$B$123</f>
        <v>0</v>
      </c>
      <c r="D123" s="89">
        <f t="shared" ref="D123:M123" si="68">$B$123</f>
        <v>0</v>
      </c>
      <c r="E123" s="89">
        <f t="shared" si="68"/>
        <v>0</v>
      </c>
      <c r="F123" s="89">
        <f t="shared" si="68"/>
        <v>0</v>
      </c>
      <c r="G123" s="89">
        <f t="shared" si="68"/>
        <v>0</v>
      </c>
      <c r="H123" s="89">
        <f t="shared" si="68"/>
        <v>0</v>
      </c>
      <c r="I123" s="89">
        <f t="shared" si="68"/>
        <v>0</v>
      </c>
      <c r="J123" s="89">
        <f t="shared" si="68"/>
        <v>0</v>
      </c>
      <c r="K123" s="89">
        <f t="shared" si="68"/>
        <v>0</v>
      </c>
      <c r="L123" s="89">
        <f t="shared" si="68"/>
        <v>0</v>
      </c>
      <c r="M123" s="89">
        <f t="shared" si="68"/>
        <v>0</v>
      </c>
      <c r="AC123" s="155" t="s">
        <v>720</v>
      </c>
      <c r="AD123" s="89">
        <f>$B$123</f>
        <v>0</v>
      </c>
      <c r="AE123" s="89">
        <f t="shared" ref="AE123:AO123" si="69">$B$123</f>
        <v>0</v>
      </c>
      <c r="AF123" s="89">
        <f t="shared" si="69"/>
        <v>0</v>
      </c>
      <c r="AG123" s="89">
        <f t="shared" si="69"/>
        <v>0</v>
      </c>
      <c r="AH123" s="89">
        <f t="shared" si="69"/>
        <v>0</v>
      </c>
      <c r="AI123" s="89">
        <f t="shared" si="69"/>
        <v>0</v>
      </c>
      <c r="AJ123" s="89">
        <f t="shared" si="69"/>
        <v>0</v>
      </c>
      <c r="AK123" s="89">
        <f t="shared" si="69"/>
        <v>0</v>
      </c>
      <c r="AL123" s="89">
        <f t="shared" si="69"/>
        <v>0</v>
      </c>
      <c r="AM123" s="89">
        <f t="shared" si="69"/>
        <v>0</v>
      </c>
      <c r="AN123" s="89">
        <f t="shared" si="69"/>
        <v>0</v>
      </c>
      <c r="AO123" s="89">
        <f t="shared" si="69"/>
        <v>0</v>
      </c>
      <c r="AU123" s="155" t="s">
        <v>720</v>
      </c>
      <c r="AV123" s="89">
        <f>$B$123</f>
        <v>0</v>
      </c>
      <c r="AW123" s="89">
        <f t="shared" ref="AW123:BG123" si="70">$B$123</f>
        <v>0</v>
      </c>
      <c r="AX123" s="89">
        <f t="shared" si="70"/>
        <v>0</v>
      </c>
      <c r="AY123" s="89">
        <f t="shared" si="70"/>
        <v>0</v>
      </c>
      <c r="AZ123" s="89">
        <f t="shared" si="70"/>
        <v>0</v>
      </c>
      <c r="BA123" s="89">
        <f t="shared" si="70"/>
        <v>0</v>
      </c>
      <c r="BB123" s="89">
        <f t="shared" si="70"/>
        <v>0</v>
      </c>
      <c r="BC123" s="89">
        <f t="shared" si="70"/>
        <v>0</v>
      </c>
      <c r="BD123" s="89">
        <f t="shared" si="70"/>
        <v>0</v>
      </c>
      <c r="BE123" s="89">
        <f t="shared" si="70"/>
        <v>0</v>
      </c>
      <c r="BF123" s="89">
        <f t="shared" si="70"/>
        <v>0</v>
      </c>
      <c r="BG123" s="89">
        <f t="shared" si="70"/>
        <v>0</v>
      </c>
      <c r="BN123" s="155" t="s">
        <v>720</v>
      </c>
      <c r="BO123" s="89">
        <f>$B$123</f>
        <v>0</v>
      </c>
      <c r="BP123" s="89">
        <f t="shared" ref="BP123:BZ123" si="71">$B$123</f>
        <v>0</v>
      </c>
      <c r="BQ123" s="89">
        <f t="shared" si="71"/>
        <v>0</v>
      </c>
      <c r="BR123" s="89">
        <f t="shared" si="71"/>
        <v>0</v>
      </c>
      <c r="BS123" s="89">
        <f t="shared" si="71"/>
        <v>0</v>
      </c>
      <c r="BT123" s="89">
        <f t="shared" si="71"/>
        <v>0</v>
      </c>
      <c r="BU123" s="89">
        <f t="shared" si="71"/>
        <v>0</v>
      </c>
      <c r="BV123" s="89">
        <f t="shared" si="71"/>
        <v>0</v>
      </c>
      <c r="BW123" s="89">
        <f t="shared" si="71"/>
        <v>0</v>
      </c>
      <c r="BX123" s="89">
        <f t="shared" si="71"/>
        <v>0</v>
      </c>
      <c r="BY123" s="89">
        <f t="shared" si="71"/>
        <v>0</v>
      </c>
      <c r="BZ123" s="89">
        <f t="shared" si="71"/>
        <v>0</v>
      </c>
      <c r="CF123" s="155" t="s">
        <v>720</v>
      </c>
      <c r="CG123" s="89">
        <f>$B$123</f>
        <v>0</v>
      </c>
      <c r="CH123" s="89">
        <f t="shared" ref="CH123:CR123" si="72">$B$123</f>
        <v>0</v>
      </c>
      <c r="CI123" s="89">
        <f t="shared" si="72"/>
        <v>0</v>
      </c>
      <c r="CJ123" s="89">
        <f t="shared" si="72"/>
        <v>0</v>
      </c>
      <c r="CK123" s="89">
        <f t="shared" si="72"/>
        <v>0</v>
      </c>
      <c r="CL123" s="89">
        <f t="shared" si="72"/>
        <v>0</v>
      </c>
      <c r="CM123" s="89">
        <f t="shared" si="72"/>
        <v>0</v>
      </c>
      <c r="CN123" s="89">
        <f t="shared" si="72"/>
        <v>0</v>
      </c>
      <c r="CO123" s="89">
        <f t="shared" si="72"/>
        <v>0</v>
      </c>
      <c r="CP123" s="89">
        <f t="shared" si="72"/>
        <v>0</v>
      </c>
      <c r="CQ123" s="89">
        <f t="shared" si="72"/>
        <v>0</v>
      </c>
      <c r="CR123" s="89">
        <f t="shared" si="72"/>
        <v>0</v>
      </c>
      <c r="CW123" s="155" t="s">
        <v>720</v>
      </c>
      <c r="CX123" s="89">
        <f>$B$123</f>
        <v>0</v>
      </c>
      <c r="CY123" s="89">
        <f t="shared" ref="CY123:DI123" si="73">$B$123</f>
        <v>0</v>
      </c>
      <c r="CZ123" s="89">
        <f t="shared" si="73"/>
        <v>0</v>
      </c>
      <c r="DA123" s="89">
        <f t="shared" si="73"/>
        <v>0</v>
      </c>
      <c r="DB123" s="89">
        <f t="shared" si="73"/>
        <v>0</v>
      </c>
      <c r="DC123" s="89">
        <f t="shared" si="73"/>
        <v>0</v>
      </c>
      <c r="DD123" s="89">
        <f t="shared" si="73"/>
        <v>0</v>
      </c>
      <c r="DE123" s="89">
        <f t="shared" si="73"/>
        <v>0</v>
      </c>
      <c r="DF123" s="89">
        <f t="shared" si="73"/>
        <v>0</v>
      </c>
      <c r="DG123" s="89">
        <f t="shared" si="73"/>
        <v>0</v>
      </c>
      <c r="DH123" s="89">
        <f t="shared" si="73"/>
        <v>0</v>
      </c>
      <c r="DI123" s="89">
        <f t="shared" si="73"/>
        <v>0</v>
      </c>
      <c r="DN123" s="155" t="s">
        <v>720</v>
      </c>
      <c r="DO123" s="89">
        <f>$B$123</f>
        <v>0</v>
      </c>
      <c r="DP123" s="89">
        <f t="shared" ref="DP123:DZ123" si="74">$B$123</f>
        <v>0</v>
      </c>
      <c r="DQ123" s="89">
        <f t="shared" si="74"/>
        <v>0</v>
      </c>
      <c r="DR123" s="89">
        <f t="shared" si="74"/>
        <v>0</v>
      </c>
      <c r="DS123" s="89">
        <f t="shared" si="74"/>
        <v>0</v>
      </c>
      <c r="DT123" s="89">
        <f t="shared" si="74"/>
        <v>0</v>
      </c>
      <c r="DU123" s="89">
        <f t="shared" si="74"/>
        <v>0</v>
      </c>
      <c r="DV123" s="89">
        <f t="shared" si="74"/>
        <v>0</v>
      </c>
      <c r="DW123" s="89">
        <f t="shared" si="74"/>
        <v>0</v>
      </c>
      <c r="DX123" s="89">
        <f t="shared" si="74"/>
        <v>0</v>
      </c>
      <c r="DY123" s="89">
        <f t="shared" si="74"/>
        <v>0</v>
      </c>
      <c r="DZ123" s="89">
        <f t="shared" si="74"/>
        <v>0</v>
      </c>
      <c r="FB123" s="155" t="s">
        <v>720</v>
      </c>
      <c r="FC123" s="89">
        <f>$B$123</f>
        <v>0</v>
      </c>
      <c r="FD123" s="89">
        <f t="shared" ref="FD123:FN123" si="75">$B$123</f>
        <v>0</v>
      </c>
      <c r="FE123" s="89">
        <f t="shared" si="75"/>
        <v>0</v>
      </c>
      <c r="FF123" s="89">
        <f t="shared" si="75"/>
        <v>0</v>
      </c>
      <c r="FG123" s="89">
        <f t="shared" si="75"/>
        <v>0</v>
      </c>
      <c r="FH123" s="89">
        <f t="shared" si="75"/>
        <v>0</v>
      </c>
      <c r="FI123" s="89">
        <f t="shared" si="75"/>
        <v>0</v>
      </c>
      <c r="FJ123" s="89">
        <f t="shared" si="75"/>
        <v>0</v>
      </c>
      <c r="FK123" s="89">
        <f t="shared" si="75"/>
        <v>0</v>
      </c>
      <c r="FL123" s="89">
        <f t="shared" si="75"/>
        <v>0</v>
      </c>
      <c r="FM123" s="89">
        <f t="shared" si="75"/>
        <v>0</v>
      </c>
      <c r="FN123" s="89">
        <f t="shared" si="75"/>
        <v>0</v>
      </c>
      <c r="FV123" s="155" t="s">
        <v>720</v>
      </c>
      <c r="FW123" s="89">
        <f>$B$123</f>
        <v>0</v>
      </c>
      <c r="FX123" s="89">
        <f t="shared" ref="FX123:GH123" si="76">$B$123</f>
        <v>0</v>
      </c>
      <c r="FY123" s="89">
        <f t="shared" si="76"/>
        <v>0</v>
      </c>
      <c r="FZ123" s="89">
        <f t="shared" si="76"/>
        <v>0</v>
      </c>
      <c r="GA123" s="89">
        <f t="shared" si="76"/>
        <v>0</v>
      </c>
      <c r="GB123" s="89">
        <f t="shared" si="76"/>
        <v>0</v>
      </c>
      <c r="GC123" s="89">
        <f t="shared" si="76"/>
        <v>0</v>
      </c>
      <c r="GD123" s="89">
        <f t="shared" si="76"/>
        <v>0</v>
      </c>
      <c r="GE123" s="89">
        <f t="shared" si="76"/>
        <v>0</v>
      </c>
      <c r="GF123" s="89">
        <f t="shared" si="76"/>
        <v>0</v>
      </c>
      <c r="GG123" s="89">
        <f t="shared" si="76"/>
        <v>0</v>
      </c>
      <c r="GH123" s="89">
        <f t="shared" si="76"/>
        <v>0</v>
      </c>
      <c r="GN123" s="155" t="s">
        <v>720</v>
      </c>
      <c r="GO123" s="89">
        <f>$B$123</f>
        <v>0</v>
      </c>
      <c r="GP123" s="89">
        <f t="shared" ref="GP123:GZ123" si="77">$B$123</f>
        <v>0</v>
      </c>
      <c r="GQ123" s="89">
        <f t="shared" si="77"/>
        <v>0</v>
      </c>
      <c r="GR123" s="89">
        <f t="shared" si="77"/>
        <v>0</v>
      </c>
      <c r="GS123" s="89">
        <f t="shared" si="77"/>
        <v>0</v>
      </c>
      <c r="GT123" s="89">
        <f t="shared" si="77"/>
        <v>0</v>
      </c>
      <c r="GU123" s="89">
        <f t="shared" si="77"/>
        <v>0</v>
      </c>
      <c r="GV123" s="89">
        <f t="shared" si="77"/>
        <v>0</v>
      </c>
      <c r="GW123" s="89">
        <f t="shared" si="77"/>
        <v>0</v>
      </c>
      <c r="GX123" s="89">
        <f t="shared" si="77"/>
        <v>0</v>
      </c>
      <c r="GY123" s="89">
        <f t="shared" si="77"/>
        <v>0</v>
      </c>
      <c r="GZ123" s="89">
        <f t="shared" si="77"/>
        <v>0</v>
      </c>
    </row>
    <row r="124" spans="1:208" x14ac:dyDescent="0.2">
      <c r="A124" s="155" t="s">
        <v>449</v>
      </c>
      <c r="B124" s="89" t="e">
        <f>0.81+((1/76.9)*((B123*'Invoer Algemeen'!D18)/(E12+'Verwerking Bouwdelen'!HB45)))</f>
        <v>#DIV/0!</v>
      </c>
      <c r="C124" s="89" t="e">
        <f>$B$124</f>
        <v>#DIV/0!</v>
      </c>
      <c r="D124" s="89" t="e">
        <f t="shared" ref="D124:M124" si="78">$B$124</f>
        <v>#DIV/0!</v>
      </c>
      <c r="E124" s="89" t="e">
        <f t="shared" si="78"/>
        <v>#DIV/0!</v>
      </c>
      <c r="F124" s="89" t="e">
        <f t="shared" si="78"/>
        <v>#DIV/0!</v>
      </c>
      <c r="G124" s="89" t="e">
        <f t="shared" si="78"/>
        <v>#DIV/0!</v>
      </c>
      <c r="H124" s="89" t="e">
        <f t="shared" si="78"/>
        <v>#DIV/0!</v>
      </c>
      <c r="I124" s="89" t="e">
        <f t="shared" si="78"/>
        <v>#DIV/0!</v>
      </c>
      <c r="J124" s="89" t="e">
        <f t="shared" si="78"/>
        <v>#DIV/0!</v>
      </c>
      <c r="K124" s="89" t="e">
        <f t="shared" si="78"/>
        <v>#DIV/0!</v>
      </c>
      <c r="L124" s="89" t="e">
        <f t="shared" si="78"/>
        <v>#DIV/0!</v>
      </c>
      <c r="M124" s="89" t="e">
        <f t="shared" si="78"/>
        <v>#DIV/0!</v>
      </c>
      <c r="AC124" s="155" t="s">
        <v>449</v>
      </c>
      <c r="AD124" s="89" t="e">
        <f>$B$124</f>
        <v>#DIV/0!</v>
      </c>
      <c r="AE124" s="89" t="e">
        <f t="shared" ref="AE124:AO124" si="79">$B$124</f>
        <v>#DIV/0!</v>
      </c>
      <c r="AF124" s="89" t="e">
        <f t="shared" si="79"/>
        <v>#DIV/0!</v>
      </c>
      <c r="AG124" s="89" t="e">
        <f t="shared" si="79"/>
        <v>#DIV/0!</v>
      </c>
      <c r="AH124" s="89" t="e">
        <f t="shared" si="79"/>
        <v>#DIV/0!</v>
      </c>
      <c r="AI124" s="89" t="e">
        <f t="shared" si="79"/>
        <v>#DIV/0!</v>
      </c>
      <c r="AJ124" s="89" t="e">
        <f t="shared" si="79"/>
        <v>#DIV/0!</v>
      </c>
      <c r="AK124" s="89" t="e">
        <f t="shared" si="79"/>
        <v>#DIV/0!</v>
      </c>
      <c r="AL124" s="89" t="e">
        <f t="shared" si="79"/>
        <v>#DIV/0!</v>
      </c>
      <c r="AM124" s="89" t="e">
        <f t="shared" si="79"/>
        <v>#DIV/0!</v>
      </c>
      <c r="AN124" s="89" t="e">
        <f t="shared" si="79"/>
        <v>#DIV/0!</v>
      </c>
      <c r="AO124" s="89" t="e">
        <f t="shared" si="79"/>
        <v>#DIV/0!</v>
      </c>
      <c r="AU124" s="155" t="s">
        <v>449</v>
      </c>
      <c r="AV124" s="89" t="e">
        <f>$B$124</f>
        <v>#DIV/0!</v>
      </c>
      <c r="AW124" s="89" t="e">
        <f t="shared" ref="AW124:BG124" si="80">$B$124</f>
        <v>#DIV/0!</v>
      </c>
      <c r="AX124" s="89" t="e">
        <f t="shared" si="80"/>
        <v>#DIV/0!</v>
      </c>
      <c r="AY124" s="89" t="e">
        <f t="shared" si="80"/>
        <v>#DIV/0!</v>
      </c>
      <c r="AZ124" s="89" t="e">
        <f t="shared" si="80"/>
        <v>#DIV/0!</v>
      </c>
      <c r="BA124" s="89" t="e">
        <f t="shared" si="80"/>
        <v>#DIV/0!</v>
      </c>
      <c r="BB124" s="89" t="e">
        <f t="shared" si="80"/>
        <v>#DIV/0!</v>
      </c>
      <c r="BC124" s="89" t="e">
        <f t="shared" si="80"/>
        <v>#DIV/0!</v>
      </c>
      <c r="BD124" s="89" t="e">
        <f t="shared" si="80"/>
        <v>#DIV/0!</v>
      </c>
      <c r="BE124" s="89" t="e">
        <f t="shared" si="80"/>
        <v>#DIV/0!</v>
      </c>
      <c r="BF124" s="89" t="e">
        <f t="shared" si="80"/>
        <v>#DIV/0!</v>
      </c>
      <c r="BG124" s="89" t="e">
        <f t="shared" si="80"/>
        <v>#DIV/0!</v>
      </c>
      <c r="BN124" s="155" t="s">
        <v>449</v>
      </c>
      <c r="BO124" s="89" t="e">
        <f>$B$124</f>
        <v>#DIV/0!</v>
      </c>
      <c r="BP124" s="89" t="e">
        <f t="shared" ref="BP124:BZ124" si="81">$B$124</f>
        <v>#DIV/0!</v>
      </c>
      <c r="BQ124" s="89" t="e">
        <f t="shared" si="81"/>
        <v>#DIV/0!</v>
      </c>
      <c r="BR124" s="89" t="e">
        <f t="shared" si="81"/>
        <v>#DIV/0!</v>
      </c>
      <c r="BS124" s="89" t="e">
        <f t="shared" si="81"/>
        <v>#DIV/0!</v>
      </c>
      <c r="BT124" s="89" t="e">
        <f t="shared" si="81"/>
        <v>#DIV/0!</v>
      </c>
      <c r="BU124" s="89" t="e">
        <f t="shared" si="81"/>
        <v>#DIV/0!</v>
      </c>
      <c r="BV124" s="89" t="e">
        <f t="shared" si="81"/>
        <v>#DIV/0!</v>
      </c>
      <c r="BW124" s="89" t="e">
        <f t="shared" si="81"/>
        <v>#DIV/0!</v>
      </c>
      <c r="BX124" s="89" t="e">
        <f t="shared" si="81"/>
        <v>#DIV/0!</v>
      </c>
      <c r="BY124" s="89" t="e">
        <f t="shared" si="81"/>
        <v>#DIV/0!</v>
      </c>
      <c r="BZ124" s="89" t="e">
        <f t="shared" si="81"/>
        <v>#DIV/0!</v>
      </c>
      <c r="CF124" s="155" t="s">
        <v>449</v>
      </c>
      <c r="CG124" s="89" t="e">
        <f>$B$124</f>
        <v>#DIV/0!</v>
      </c>
      <c r="CH124" s="89" t="e">
        <f t="shared" ref="CH124:CR124" si="82">$B$124</f>
        <v>#DIV/0!</v>
      </c>
      <c r="CI124" s="89" t="e">
        <f t="shared" si="82"/>
        <v>#DIV/0!</v>
      </c>
      <c r="CJ124" s="89" t="e">
        <f t="shared" si="82"/>
        <v>#DIV/0!</v>
      </c>
      <c r="CK124" s="89" t="e">
        <f t="shared" si="82"/>
        <v>#DIV/0!</v>
      </c>
      <c r="CL124" s="89" t="e">
        <f t="shared" si="82"/>
        <v>#DIV/0!</v>
      </c>
      <c r="CM124" s="89" t="e">
        <f t="shared" si="82"/>
        <v>#DIV/0!</v>
      </c>
      <c r="CN124" s="89" t="e">
        <f t="shared" si="82"/>
        <v>#DIV/0!</v>
      </c>
      <c r="CO124" s="89" t="e">
        <f t="shared" si="82"/>
        <v>#DIV/0!</v>
      </c>
      <c r="CP124" s="89" t="e">
        <f t="shared" si="82"/>
        <v>#DIV/0!</v>
      </c>
      <c r="CQ124" s="89" t="e">
        <f t="shared" si="82"/>
        <v>#DIV/0!</v>
      </c>
      <c r="CR124" s="89" t="e">
        <f t="shared" si="82"/>
        <v>#DIV/0!</v>
      </c>
      <c r="CW124" s="155" t="s">
        <v>449</v>
      </c>
      <c r="CX124" s="89" t="e">
        <f>$B$124</f>
        <v>#DIV/0!</v>
      </c>
      <c r="CY124" s="89" t="e">
        <f t="shared" ref="CY124:DI124" si="83">$B$124</f>
        <v>#DIV/0!</v>
      </c>
      <c r="CZ124" s="89" t="e">
        <f t="shared" si="83"/>
        <v>#DIV/0!</v>
      </c>
      <c r="DA124" s="89" t="e">
        <f t="shared" si="83"/>
        <v>#DIV/0!</v>
      </c>
      <c r="DB124" s="89" t="e">
        <f t="shared" si="83"/>
        <v>#DIV/0!</v>
      </c>
      <c r="DC124" s="89" t="e">
        <f t="shared" si="83"/>
        <v>#DIV/0!</v>
      </c>
      <c r="DD124" s="89" t="e">
        <f t="shared" si="83"/>
        <v>#DIV/0!</v>
      </c>
      <c r="DE124" s="89" t="e">
        <f t="shared" si="83"/>
        <v>#DIV/0!</v>
      </c>
      <c r="DF124" s="89" t="e">
        <f t="shared" si="83"/>
        <v>#DIV/0!</v>
      </c>
      <c r="DG124" s="89" t="e">
        <f t="shared" si="83"/>
        <v>#DIV/0!</v>
      </c>
      <c r="DH124" s="89" t="e">
        <f t="shared" si="83"/>
        <v>#DIV/0!</v>
      </c>
      <c r="DI124" s="89" t="e">
        <f t="shared" si="83"/>
        <v>#DIV/0!</v>
      </c>
      <c r="DN124" s="155" t="s">
        <v>449</v>
      </c>
      <c r="DO124" s="89" t="e">
        <f>$B$124</f>
        <v>#DIV/0!</v>
      </c>
      <c r="DP124" s="89" t="e">
        <f t="shared" ref="DP124:DZ124" si="84">$B$124</f>
        <v>#DIV/0!</v>
      </c>
      <c r="DQ124" s="89" t="e">
        <f t="shared" si="84"/>
        <v>#DIV/0!</v>
      </c>
      <c r="DR124" s="89" t="e">
        <f t="shared" si="84"/>
        <v>#DIV/0!</v>
      </c>
      <c r="DS124" s="89" t="e">
        <f t="shared" si="84"/>
        <v>#DIV/0!</v>
      </c>
      <c r="DT124" s="89" t="e">
        <f t="shared" si="84"/>
        <v>#DIV/0!</v>
      </c>
      <c r="DU124" s="89" t="e">
        <f t="shared" si="84"/>
        <v>#DIV/0!</v>
      </c>
      <c r="DV124" s="89" t="e">
        <f t="shared" si="84"/>
        <v>#DIV/0!</v>
      </c>
      <c r="DW124" s="89" t="e">
        <f t="shared" si="84"/>
        <v>#DIV/0!</v>
      </c>
      <c r="DX124" s="89" t="e">
        <f t="shared" si="84"/>
        <v>#DIV/0!</v>
      </c>
      <c r="DY124" s="89" t="e">
        <f t="shared" si="84"/>
        <v>#DIV/0!</v>
      </c>
      <c r="DZ124" s="89" t="e">
        <f t="shared" si="84"/>
        <v>#DIV/0!</v>
      </c>
      <c r="FB124" s="155" t="s">
        <v>449</v>
      </c>
      <c r="FC124" s="89" t="e">
        <f>$B$124</f>
        <v>#DIV/0!</v>
      </c>
      <c r="FD124" s="89" t="e">
        <f t="shared" ref="FD124:FN124" si="85">$B$124</f>
        <v>#DIV/0!</v>
      </c>
      <c r="FE124" s="89" t="e">
        <f t="shared" si="85"/>
        <v>#DIV/0!</v>
      </c>
      <c r="FF124" s="89" t="e">
        <f t="shared" si="85"/>
        <v>#DIV/0!</v>
      </c>
      <c r="FG124" s="89" t="e">
        <f t="shared" si="85"/>
        <v>#DIV/0!</v>
      </c>
      <c r="FH124" s="89" t="e">
        <f t="shared" si="85"/>
        <v>#DIV/0!</v>
      </c>
      <c r="FI124" s="89" t="e">
        <f t="shared" si="85"/>
        <v>#DIV/0!</v>
      </c>
      <c r="FJ124" s="89" t="e">
        <f t="shared" si="85"/>
        <v>#DIV/0!</v>
      </c>
      <c r="FK124" s="89" t="e">
        <f t="shared" si="85"/>
        <v>#DIV/0!</v>
      </c>
      <c r="FL124" s="89" t="e">
        <f t="shared" si="85"/>
        <v>#DIV/0!</v>
      </c>
      <c r="FM124" s="89" t="e">
        <f t="shared" si="85"/>
        <v>#DIV/0!</v>
      </c>
      <c r="FN124" s="89" t="e">
        <f t="shared" si="85"/>
        <v>#DIV/0!</v>
      </c>
      <c r="FV124" s="155" t="s">
        <v>449</v>
      </c>
      <c r="FW124" s="89" t="e">
        <f>$B$124</f>
        <v>#DIV/0!</v>
      </c>
      <c r="FX124" s="89" t="e">
        <f t="shared" ref="FX124:GH124" si="86">$B$124</f>
        <v>#DIV/0!</v>
      </c>
      <c r="FY124" s="89" t="e">
        <f t="shared" si="86"/>
        <v>#DIV/0!</v>
      </c>
      <c r="FZ124" s="89" t="e">
        <f t="shared" si="86"/>
        <v>#DIV/0!</v>
      </c>
      <c r="GA124" s="89" t="e">
        <f t="shared" si="86"/>
        <v>#DIV/0!</v>
      </c>
      <c r="GB124" s="89" t="e">
        <f t="shared" si="86"/>
        <v>#DIV/0!</v>
      </c>
      <c r="GC124" s="89" t="e">
        <f t="shared" si="86"/>
        <v>#DIV/0!</v>
      </c>
      <c r="GD124" s="89" t="e">
        <f t="shared" si="86"/>
        <v>#DIV/0!</v>
      </c>
      <c r="GE124" s="89" t="e">
        <f t="shared" si="86"/>
        <v>#DIV/0!</v>
      </c>
      <c r="GF124" s="89" t="e">
        <f t="shared" si="86"/>
        <v>#DIV/0!</v>
      </c>
      <c r="GG124" s="89" t="e">
        <f t="shared" si="86"/>
        <v>#DIV/0!</v>
      </c>
      <c r="GH124" s="89" t="e">
        <f t="shared" si="86"/>
        <v>#DIV/0!</v>
      </c>
      <c r="GN124" s="155" t="s">
        <v>449</v>
      </c>
      <c r="GO124" s="89" t="e">
        <f>$B$124</f>
        <v>#DIV/0!</v>
      </c>
      <c r="GP124" s="89" t="e">
        <f t="shared" ref="GP124:GZ124" si="87">$B$124</f>
        <v>#DIV/0!</v>
      </c>
      <c r="GQ124" s="89" t="e">
        <f t="shared" si="87"/>
        <v>#DIV/0!</v>
      </c>
      <c r="GR124" s="89" t="e">
        <f t="shared" si="87"/>
        <v>#DIV/0!</v>
      </c>
      <c r="GS124" s="89" t="e">
        <f t="shared" si="87"/>
        <v>#DIV/0!</v>
      </c>
      <c r="GT124" s="89" t="e">
        <f t="shared" si="87"/>
        <v>#DIV/0!</v>
      </c>
      <c r="GU124" s="89" t="e">
        <f t="shared" si="87"/>
        <v>#DIV/0!</v>
      </c>
      <c r="GV124" s="89" t="e">
        <f t="shared" si="87"/>
        <v>#DIV/0!</v>
      </c>
      <c r="GW124" s="89" t="e">
        <f t="shared" si="87"/>
        <v>#DIV/0!</v>
      </c>
      <c r="GX124" s="89" t="e">
        <f t="shared" si="87"/>
        <v>#DIV/0!</v>
      </c>
      <c r="GY124" s="89" t="e">
        <f t="shared" si="87"/>
        <v>#DIV/0!</v>
      </c>
      <c r="GZ124" s="89" t="e">
        <f t="shared" si="87"/>
        <v>#DIV/0!</v>
      </c>
    </row>
    <row r="125" spans="1:208" x14ac:dyDescent="0.2">
      <c r="A125" s="155" t="s">
        <v>570</v>
      </c>
      <c r="B125" s="89" t="e">
        <f>IF(B128=1,B124/(1+B124),(1-B128^B124)/(1-B128^(B124+1)))</f>
        <v>#DIV/0!</v>
      </c>
      <c r="C125" s="89" t="e">
        <f t="shared" ref="C125:M125" si="88">IF(C128=1,C124/(1+C124),(1-C128^C124)/(1-C128^(C124+1)))</f>
        <v>#DIV/0!</v>
      </c>
      <c r="D125" s="89" t="e">
        <f t="shared" si="88"/>
        <v>#DIV/0!</v>
      </c>
      <c r="E125" s="89" t="e">
        <f t="shared" si="88"/>
        <v>#DIV/0!</v>
      </c>
      <c r="F125" s="89" t="e">
        <f t="shared" si="88"/>
        <v>#DIV/0!</v>
      </c>
      <c r="G125" s="89" t="e">
        <f t="shared" si="88"/>
        <v>#DIV/0!</v>
      </c>
      <c r="H125" s="89" t="e">
        <f t="shared" si="88"/>
        <v>#DIV/0!</v>
      </c>
      <c r="I125" s="89" t="e">
        <f t="shared" si="88"/>
        <v>#DIV/0!</v>
      </c>
      <c r="J125" s="89" t="e">
        <f t="shared" si="88"/>
        <v>#DIV/0!</v>
      </c>
      <c r="K125" s="89" t="e">
        <f t="shared" si="88"/>
        <v>#DIV/0!</v>
      </c>
      <c r="L125" s="89" t="e">
        <f t="shared" si="88"/>
        <v>#DIV/0!</v>
      </c>
      <c r="M125" s="89" t="e">
        <f t="shared" si="88"/>
        <v>#DIV/0!</v>
      </c>
      <c r="AC125" s="155" t="s">
        <v>570</v>
      </c>
      <c r="AD125" s="89" t="e">
        <f>IF(AD128=1,AD124/(1+AD124),(1-AD128^AD124)/(1-AD128^(AD124+1)))</f>
        <v>#DIV/0!</v>
      </c>
      <c r="AE125" s="89" t="e">
        <f t="shared" ref="AE125:AO125" si="89">IF(AE128=1,AE124/(1+AE124),(1-AE128^AE124)/(1-AE128^(AE124+1)))</f>
        <v>#DIV/0!</v>
      </c>
      <c r="AF125" s="89" t="e">
        <f t="shared" si="89"/>
        <v>#DIV/0!</v>
      </c>
      <c r="AG125" s="89" t="e">
        <f t="shared" si="89"/>
        <v>#DIV/0!</v>
      </c>
      <c r="AH125" s="89" t="e">
        <f t="shared" si="89"/>
        <v>#DIV/0!</v>
      </c>
      <c r="AI125" s="89" t="e">
        <f t="shared" si="89"/>
        <v>#DIV/0!</v>
      </c>
      <c r="AJ125" s="89" t="e">
        <f t="shared" si="89"/>
        <v>#DIV/0!</v>
      </c>
      <c r="AK125" s="89" t="e">
        <f t="shared" si="89"/>
        <v>#DIV/0!</v>
      </c>
      <c r="AL125" s="89" t="e">
        <f t="shared" si="89"/>
        <v>#DIV/0!</v>
      </c>
      <c r="AM125" s="89" t="e">
        <f t="shared" si="89"/>
        <v>#DIV/0!</v>
      </c>
      <c r="AN125" s="89" t="e">
        <f t="shared" si="89"/>
        <v>#DIV/0!</v>
      </c>
      <c r="AO125" s="89" t="e">
        <f t="shared" si="89"/>
        <v>#DIV/0!</v>
      </c>
      <c r="AU125" s="155" t="s">
        <v>570</v>
      </c>
      <c r="AV125" s="89" t="e">
        <f>IF(AV128=1,AV124/(1+AV124),(1-AV128^AV124)/(1-AV128^(AV124+1)))</f>
        <v>#DIV/0!</v>
      </c>
      <c r="AW125" s="89" t="e">
        <f t="shared" ref="AW125:BG125" si="90">IF(AW128=1,AW124/(1+AW124),(1-AW128^AW124)/(1-AW128^(AW124+1)))</f>
        <v>#DIV/0!</v>
      </c>
      <c r="AX125" s="89" t="e">
        <f t="shared" si="90"/>
        <v>#DIV/0!</v>
      </c>
      <c r="AY125" s="89" t="e">
        <f t="shared" si="90"/>
        <v>#DIV/0!</v>
      </c>
      <c r="AZ125" s="89" t="e">
        <f t="shared" si="90"/>
        <v>#DIV/0!</v>
      </c>
      <c r="BA125" s="89" t="e">
        <f t="shared" si="90"/>
        <v>#DIV/0!</v>
      </c>
      <c r="BB125" s="89" t="e">
        <f t="shared" si="90"/>
        <v>#DIV/0!</v>
      </c>
      <c r="BC125" s="89" t="e">
        <f t="shared" si="90"/>
        <v>#DIV/0!</v>
      </c>
      <c r="BD125" s="89" t="e">
        <f t="shared" si="90"/>
        <v>#DIV/0!</v>
      </c>
      <c r="BE125" s="89" t="e">
        <f t="shared" si="90"/>
        <v>#DIV/0!</v>
      </c>
      <c r="BF125" s="89" t="e">
        <f t="shared" si="90"/>
        <v>#DIV/0!</v>
      </c>
      <c r="BG125" s="89" t="e">
        <f t="shared" si="90"/>
        <v>#DIV/0!</v>
      </c>
      <c r="BN125" s="155" t="s">
        <v>570</v>
      </c>
      <c r="BO125" s="89" t="e">
        <f t="shared" ref="BO125:BZ125" si="91">IF(BO128=1,BO124/(1+BO124),(1-BO128^BO124)/(1-BO128^(BO124+1)))</f>
        <v>#DIV/0!</v>
      </c>
      <c r="BP125" s="89" t="e">
        <f t="shared" si="91"/>
        <v>#DIV/0!</v>
      </c>
      <c r="BQ125" s="89" t="e">
        <f t="shared" si="91"/>
        <v>#DIV/0!</v>
      </c>
      <c r="BR125" s="89" t="e">
        <f t="shared" si="91"/>
        <v>#DIV/0!</v>
      </c>
      <c r="BS125" s="89" t="e">
        <f t="shared" si="91"/>
        <v>#DIV/0!</v>
      </c>
      <c r="BT125" s="89" t="e">
        <f t="shared" si="91"/>
        <v>#DIV/0!</v>
      </c>
      <c r="BU125" s="89" t="e">
        <f t="shared" si="91"/>
        <v>#DIV/0!</v>
      </c>
      <c r="BV125" s="89" t="e">
        <f t="shared" si="91"/>
        <v>#DIV/0!</v>
      </c>
      <c r="BW125" s="89" t="e">
        <f t="shared" si="91"/>
        <v>#DIV/0!</v>
      </c>
      <c r="BX125" s="89" t="e">
        <f t="shared" si="91"/>
        <v>#DIV/0!</v>
      </c>
      <c r="BY125" s="89" t="e">
        <f t="shared" si="91"/>
        <v>#DIV/0!</v>
      </c>
      <c r="BZ125" s="89" t="e">
        <f t="shared" si="91"/>
        <v>#DIV/0!</v>
      </c>
      <c r="CF125" s="155" t="s">
        <v>570</v>
      </c>
      <c r="CG125" s="89" t="e">
        <f t="shared" ref="CG125:CR125" si="92">IF(CG128=1,CG124/(1+CG124),(1-CG128^CG124)/(1-CG128^(CG124+1)))</f>
        <v>#DIV/0!</v>
      </c>
      <c r="CH125" s="89" t="e">
        <f t="shared" si="92"/>
        <v>#DIV/0!</v>
      </c>
      <c r="CI125" s="89" t="e">
        <f t="shared" si="92"/>
        <v>#DIV/0!</v>
      </c>
      <c r="CJ125" s="89" t="e">
        <f t="shared" si="92"/>
        <v>#DIV/0!</v>
      </c>
      <c r="CK125" s="89" t="e">
        <f t="shared" si="92"/>
        <v>#DIV/0!</v>
      </c>
      <c r="CL125" s="89" t="e">
        <f t="shared" si="92"/>
        <v>#DIV/0!</v>
      </c>
      <c r="CM125" s="89" t="e">
        <f t="shared" si="92"/>
        <v>#DIV/0!</v>
      </c>
      <c r="CN125" s="89" t="e">
        <f t="shared" si="92"/>
        <v>#DIV/0!</v>
      </c>
      <c r="CO125" s="89" t="e">
        <f t="shared" si="92"/>
        <v>#DIV/0!</v>
      </c>
      <c r="CP125" s="89" t="e">
        <f t="shared" si="92"/>
        <v>#DIV/0!</v>
      </c>
      <c r="CQ125" s="89" t="e">
        <f t="shared" si="92"/>
        <v>#DIV/0!</v>
      </c>
      <c r="CR125" s="89" t="e">
        <f t="shared" si="92"/>
        <v>#DIV/0!</v>
      </c>
      <c r="CW125" s="155" t="s">
        <v>570</v>
      </c>
      <c r="CX125" s="89" t="e">
        <f t="shared" ref="CX125:DI125" si="93">IF(CX128=1,CX124/(1+CX124),(1-CX128^CX124)/(1-CX128^(CX124+1)))</f>
        <v>#DIV/0!</v>
      </c>
      <c r="CY125" s="89" t="e">
        <f t="shared" si="93"/>
        <v>#DIV/0!</v>
      </c>
      <c r="CZ125" s="89" t="e">
        <f t="shared" si="93"/>
        <v>#DIV/0!</v>
      </c>
      <c r="DA125" s="89" t="e">
        <f t="shared" si="93"/>
        <v>#DIV/0!</v>
      </c>
      <c r="DB125" s="89" t="e">
        <f t="shared" si="93"/>
        <v>#DIV/0!</v>
      </c>
      <c r="DC125" s="89" t="e">
        <f t="shared" si="93"/>
        <v>#DIV/0!</v>
      </c>
      <c r="DD125" s="89" t="e">
        <f t="shared" si="93"/>
        <v>#DIV/0!</v>
      </c>
      <c r="DE125" s="89" t="e">
        <f t="shared" si="93"/>
        <v>#DIV/0!</v>
      </c>
      <c r="DF125" s="89" t="e">
        <f t="shared" si="93"/>
        <v>#DIV/0!</v>
      </c>
      <c r="DG125" s="89" t="e">
        <f t="shared" si="93"/>
        <v>#DIV/0!</v>
      </c>
      <c r="DH125" s="89" t="e">
        <f t="shared" si="93"/>
        <v>#DIV/0!</v>
      </c>
      <c r="DI125" s="89" t="e">
        <f t="shared" si="93"/>
        <v>#DIV/0!</v>
      </c>
      <c r="DN125" s="155" t="s">
        <v>570</v>
      </c>
      <c r="DO125" s="89" t="e">
        <f t="shared" ref="DO125:DZ125" si="94">IF(DO128=1,DO124/(1+DO124),(1-DO128^DO124)/(1-DO128^(DO124+1)))</f>
        <v>#DIV/0!</v>
      </c>
      <c r="DP125" s="89" t="e">
        <f t="shared" si="94"/>
        <v>#DIV/0!</v>
      </c>
      <c r="DQ125" s="89" t="e">
        <f t="shared" si="94"/>
        <v>#DIV/0!</v>
      </c>
      <c r="DR125" s="89" t="e">
        <f t="shared" si="94"/>
        <v>#DIV/0!</v>
      </c>
      <c r="DS125" s="89" t="e">
        <f t="shared" si="94"/>
        <v>#DIV/0!</v>
      </c>
      <c r="DT125" s="89" t="e">
        <f t="shared" si="94"/>
        <v>#DIV/0!</v>
      </c>
      <c r="DU125" s="89" t="e">
        <f t="shared" si="94"/>
        <v>#DIV/0!</v>
      </c>
      <c r="DV125" s="89" t="e">
        <f t="shared" si="94"/>
        <v>#DIV/0!</v>
      </c>
      <c r="DW125" s="89" t="e">
        <f t="shared" si="94"/>
        <v>#DIV/0!</v>
      </c>
      <c r="DX125" s="89" t="e">
        <f t="shared" si="94"/>
        <v>#DIV/0!</v>
      </c>
      <c r="DY125" s="89" t="e">
        <f t="shared" si="94"/>
        <v>#DIV/0!</v>
      </c>
      <c r="DZ125" s="89" t="e">
        <f t="shared" si="94"/>
        <v>#DIV/0!</v>
      </c>
      <c r="FB125" s="155" t="s">
        <v>570</v>
      </c>
      <c r="FC125" s="89" t="e">
        <f t="shared" ref="FC125:FN125" si="95">IF(FC128=1,FC124/(1+FC124),(1-FC128^FC124)/(1-FC128^(FC124+1)))</f>
        <v>#DIV/0!</v>
      </c>
      <c r="FD125" s="89" t="e">
        <f t="shared" si="95"/>
        <v>#DIV/0!</v>
      </c>
      <c r="FE125" s="89" t="e">
        <f t="shared" si="95"/>
        <v>#DIV/0!</v>
      </c>
      <c r="FF125" s="89" t="e">
        <f t="shared" si="95"/>
        <v>#DIV/0!</v>
      </c>
      <c r="FG125" s="89" t="e">
        <f t="shared" si="95"/>
        <v>#DIV/0!</v>
      </c>
      <c r="FH125" s="89" t="e">
        <f t="shared" si="95"/>
        <v>#DIV/0!</v>
      </c>
      <c r="FI125" s="89" t="e">
        <f t="shared" si="95"/>
        <v>#DIV/0!</v>
      </c>
      <c r="FJ125" s="89" t="e">
        <f t="shared" si="95"/>
        <v>#DIV/0!</v>
      </c>
      <c r="FK125" s="89" t="e">
        <f t="shared" si="95"/>
        <v>#DIV/0!</v>
      </c>
      <c r="FL125" s="89" t="e">
        <f t="shared" si="95"/>
        <v>#DIV/0!</v>
      </c>
      <c r="FM125" s="89" t="e">
        <f t="shared" si="95"/>
        <v>#DIV/0!</v>
      </c>
      <c r="FN125" s="89" t="e">
        <f t="shared" si="95"/>
        <v>#DIV/0!</v>
      </c>
      <c r="FV125" s="155" t="s">
        <v>570</v>
      </c>
      <c r="FW125" s="89" t="e">
        <f t="shared" ref="FW125:GH125" si="96">IF(FW128=1,FW124/(1+FW124),(1-FW128^FW124)/(1-FW128^(FW124+1)))</f>
        <v>#DIV/0!</v>
      </c>
      <c r="FX125" s="89" t="e">
        <f t="shared" si="96"/>
        <v>#DIV/0!</v>
      </c>
      <c r="FY125" s="89" t="e">
        <f t="shared" si="96"/>
        <v>#DIV/0!</v>
      </c>
      <c r="FZ125" s="89" t="e">
        <f t="shared" si="96"/>
        <v>#DIV/0!</v>
      </c>
      <c r="GA125" s="89" t="e">
        <f t="shared" si="96"/>
        <v>#DIV/0!</v>
      </c>
      <c r="GB125" s="89" t="e">
        <f t="shared" si="96"/>
        <v>#DIV/0!</v>
      </c>
      <c r="GC125" s="89" t="e">
        <f t="shared" si="96"/>
        <v>#DIV/0!</v>
      </c>
      <c r="GD125" s="89" t="e">
        <f t="shared" si="96"/>
        <v>#DIV/0!</v>
      </c>
      <c r="GE125" s="89" t="e">
        <f t="shared" si="96"/>
        <v>#DIV/0!</v>
      </c>
      <c r="GF125" s="89" t="e">
        <f t="shared" si="96"/>
        <v>#DIV/0!</v>
      </c>
      <c r="GG125" s="89" t="e">
        <f t="shared" si="96"/>
        <v>#DIV/0!</v>
      </c>
      <c r="GH125" s="89" t="e">
        <f t="shared" si="96"/>
        <v>#DIV/0!</v>
      </c>
      <c r="GN125" s="155" t="s">
        <v>570</v>
      </c>
      <c r="GO125" s="89" t="e">
        <f>IF(GO128=1,GO124/(1+GO124),(1-GO128^GO124)/(1-GO128^(GO124+1)))</f>
        <v>#DIV/0!</v>
      </c>
      <c r="GP125" s="89" t="e">
        <f t="shared" ref="GP125:GZ125" si="97">IF(GP128=1,GP124/(1+GP124),(1-GP128^GP124)/(1-GP128^(GP124+1)))</f>
        <v>#DIV/0!</v>
      </c>
      <c r="GQ125" s="89" t="e">
        <f t="shared" si="97"/>
        <v>#DIV/0!</v>
      </c>
      <c r="GR125" s="89" t="e">
        <f t="shared" si="97"/>
        <v>#DIV/0!</v>
      </c>
      <c r="GS125" s="89" t="e">
        <f t="shared" si="97"/>
        <v>#DIV/0!</v>
      </c>
      <c r="GT125" s="89" t="e">
        <f t="shared" si="97"/>
        <v>#DIV/0!</v>
      </c>
      <c r="GU125" s="89" t="e">
        <f t="shared" si="97"/>
        <v>#DIV/0!</v>
      </c>
      <c r="GV125" s="89" t="e">
        <f t="shared" si="97"/>
        <v>#DIV/0!</v>
      </c>
      <c r="GW125" s="89" t="e">
        <f t="shared" si="97"/>
        <v>#DIV/0!</v>
      </c>
      <c r="GX125" s="89" t="e">
        <f t="shared" si="97"/>
        <v>#DIV/0!</v>
      </c>
      <c r="GY125" s="89" t="e">
        <f t="shared" si="97"/>
        <v>#DIV/0!</v>
      </c>
      <c r="GZ125" s="89" t="e">
        <f t="shared" si="97"/>
        <v>#DIV/0!</v>
      </c>
    </row>
    <row r="126" spans="1:208" x14ac:dyDescent="0.2">
      <c r="A126" s="155" t="s">
        <v>571</v>
      </c>
      <c r="B126" s="89">
        <f>$G$71</f>
        <v>0</v>
      </c>
      <c r="C126" s="89">
        <f t="shared" ref="C126:M126" si="98">$G$71</f>
        <v>0</v>
      </c>
      <c r="D126" s="89">
        <f t="shared" si="98"/>
        <v>0</v>
      </c>
      <c r="E126" s="89">
        <f t="shared" si="98"/>
        <v>0</v>
      </c>
      <c r="F126" s="89">
        <f t="shared" si="98"/>
        <v>0</v>
      </c>
      <c r="G126" s="89">
        <f t="shared" si="98"/>
        <v>0</v>
      </c>
      <c r="H126" s="89">
        <f t="shared" si="98"/>
        <v>0</v>
      </c>
      <c r="I126" s="89">
        <f t="shared" si="98"/>
        <v>0</v>
      </c>
      <c r="J126" s="89">
        <f t="shared" si="98"/>
        <v>0</v>
      </c>
      <c r="K126" s="89">
        <f t="shared" si="98"/>
        <v>0</v>
      </c>
      <c r="L126" s="89">
        <f t="shared" si="98"/>
        <v>0</v>
      </c>
      <c r="M126" s="89">
        <f t="shared" si="98"/>
        <v>0</v>
      </c>
      <c r="AC126" s="155" t="s">
        <v>571</v>
      </c>
      <c r="AD126" s="89">
        <f>$G$71</f>
        <v>0</v>
      </c>
      <c r="AE126" s="89">
        <f t="shared" ref="AE126:AO126" si="99">$G$71</f>
        <v>0</v>
      </c>
      <c r="AF126" s="89">
        <f t="shared" si="99"/>
        <v>0</v>
      </c>
      <c r="AG126" s="89">
        <f t="shared" si="99"/>
        <v>0</v>
      </c>
      <c r="AH126" s="89">
        <f t="shared" si="99"/>
        <v>0</v>
      </c>
      <c r="AI126" s="89">
        <f t="shared" si="99"/>
        <v>0</v>
      </c>
      <c r="AJ126" s="89">
        <f t="shared" si="99"/>
        <v>0</v>
      </c>
      <c r="AK126" s="89">
        <f t="shared" si="99"/>
        <v>0</v>
      </c>
      <c r="AL126" s="89">
        <f t="shared" si="99"/>
        <v>0</v>
      </c>
      <c r="AM126" s="89">
        <f t="shared" si="99"/>
        <v>0</v>
      </c>
      <c r="AN126" s="89">
        <f t="shared" si="99"/>
        <v>0</v>
      </c>
      <c r="AO126" s="89">
        <f t="shared" si="99"/>
        <v>0</v>
      </c>
      <c r="AU126" s="155" t="s">
        <v>571</v>
      </c>
      <c r="AV126" s="89">
        <f>$G$71</f>
        <v>0</v>
      </c>
      <c r="AW126" s="89">
        <f t="shared" ref="AW126:BG126" si="100">$G$71</f>
        <v>0</v>
      </c>
      <c r="AX126" s="89">
        <f t="shared" si="100"/>
        <v>0</v>
      </c>
      <c r="AY126" s="89">
        <f t="shared" si="100"/>
        <v>0</v>
      </c>
      <c r="AZ126" s="89">
        <f t="shared" si="100"/>
        <v>0</v>
      </c>
      <c r="BA126" s="89">
        <f t="shared" si="100"/>
        <v>0</v>
      </c>
      <c r="BB126" s="89">
        <f t="shared" si="100"/>
        <v>0</v>
      </c>
      <c r="BC126" s="89">
        <f t="shared" si="100"/>
        <v>0</v>
      </c>
      <c r="BD126" s="89">
        <f t="shared" si="100"/>
        <v>0</v>
      </c>
      <c r="BE126" s="89">
        <f t="shared" si="100"/>
        <v>0</v>
      </c>
      <c r="BF126" s="89">
        <f t="shared" si="100"/>
        <v>0</v>
      </c>
      <c r="BG126" s="89">
        <f t="shared" si="100"/>
        <v>0</v>
      </c>
      <c r="BN126" s="155" t="s">
        <v>571</v>
      </c>
      <c r="BO126" s="89">
        <f>$G$71</f>
        <v>0</v>
      </c>
      <c r="BP126" s="89">
        <f t="shared" ref="BP126:BZ126" si="101">$G$71</f>
        <v>0</v>
      </c>
      <c r="BQ126" s="89">
        <f t="shared" si="101"/>
        <v>0</v>
      </c>
      <c r="BR126" s="89">
        <f t="shared" si="101"/>
        <v>0</v>
      </c>
      <c r="BS126" s="89">
        <f t="shared" si="101"/>
        <v>0</v>
      </c>
      <c r="BT126" s="89">
        <f t="shared" si="101"/>
        <v>0</v>
      </c>
      <c r="BU126" s="89">
        <f t="shared" si="101"/>
        <v>0</v>
      </c>
      <c r="BV126" s="89">
        <f t="shared" si="101"/>
        <v>0</v>
      </c>
      <c r="BW126" s="89">
        <f t="shared" si="101"/>
        <v>0</v>
      </c>
      <c r="BX126" s="89">
        <f t="shared" si="101"/>
        <v>0</v>
      </c>
      <c r="BY126" s="89">
        <f t="shared" si="101"/>
        <v>0</v>
      </c>
      <c r="BZ126" s="89">
        <f t="shared" si="101"/>
        <v>0</v>
      </c>
      <c r="CF126" s="155" t="s">
        <v>571</v>
      </c>
      <c r="CG126" s="89">
        <f>$G$71</f>
        <v>0</v>
      </c>
      <c r="CH126" s="89">
        <f t="shared" ref="CH126:CR126" si="102">$G$71</f>
        <v>0</v>
      </c>
      <c r="CI126" s="89">
        <f t="shared" si="102"/>
        <v>0</v>
      </c>
      <c r="CJ126" s="89">
        <f t="shared" si="102"/>
        <v>0</v>
      </c>
      <c r="CK126" s="89">
        <f t="shared" si="102"/>
        <v>0</v>
      </c>
      <c r="CL126" s="89">
        <f t="shared" si="102"/>
        <v>0</v>
      </c>
      <c r="CM126" s="89">
        <f t="shared" si="102"/>
        <v>0</v>
      </c>
      <c r="CN126" s="89">
        <f t="shared" si="102"/>
        <v>0</v>
      </c>
      <c r="CO126" s="89">
        <f t="shared" si="102"/>
        <v>0</v>
      </c>
      <c r="CP126" s="89">
        <f t="shared" si="102"/>
        <v>0</v>
      </c>
      <c r="CQ126" s="89">
        <f t="shared" si="102"/>
        <v>0</v>
      </c>
      <c r="CR126" s="89">
        <f t="shared" si="102"/>
        <v>0</v>
      </c>
      <c r="CW126" s="155" t="s">
        <v>571</v>
      </c>
      <c r="CX126" s="89">
        <f>$G$71</f>
        <v>0</v>
      </c>
      <c r="CY126" s="89">
        <f t="shared" ref="CY126:DI126" si="103">$G$71</f>
        <v>0</v>
      </c>
      <c r="CZ126" s="89">
        <f t="shared" si="103"/>
        <v>0</v>
      </c>
      <c r="DA126" s="89">
        <f t="shared" si="103"/>
        <v>0</v>
      </c>
      <c r="DB126" s="89">
        <f t="shared" si="103"/>
        <v>0</v>
      </c>
      <c r="DC126" s="89">
        <f t="shared" si="103"/>
        <v>0</v>
      </c>
      <c r="DD126" s="89">
        <f t="shared" si="103"/>
        <v>0</v>
      </c>
      <c r="DE126" s="89">
        <f t="shared" si="103"/>
        <v>0</v>
      </c>
      <c r="DF126" s="89">
        <f t="shared" si="103"/>
        <v>0</v>
      </c>
      <c r="DG126" s="89">
        <f t="shared" si="103"/>
        <v>0</v>
      </c>
      <c r="DH126" s="89">
        <f t="shared" si="103"/>
        <v>0</v>
      </c>
      <c r="DI126" s="89">
        <f t="shared" si="103"/>
        <v>0</v>
      </c>
      <c r="DN126" s="155" t="s">
        <v>571</v>
      </c>
      <c r="DO126" s="89">
        <f>$G$71</f>
        <v>0</v>
      </c>
      <c r="DP126" s="89">
        <f t="shared" ref="DP126:DZ126" si="104">$G$71</f>
        <v>0</v>
      </c>
      <c r="DQ126" s="89">
        <f t="shared" si="104"/>
        <v>0</v>
      </c>
      <c r="DR126" s="89">
        <f t="shared" si="104"/>
        <v>0</v>
      </c>
      <c r="DS126" s="89">
        <f t="shared" si="104"/>
        <v>0</v>
      </c>
      <c r="DT126" s="89">
        <f t="shared" si="104"/>
        <v>0</v>
      </c>
      <c r="DU126" s="89">
        <f t="shared" si="104"/>
        <v>0</v>
      </c>
      <c r="DV126" s="89">
        <f t="shared" si="104"/>
        <v>0</v>
      </c>
      <c r="DW126" s="89">
        <f t="shared" si="104"/>
        <v>0</v>
      </c>
      <c r="DX126" s="89">
        <f t="shared" si="104"/>
        <v>0</v>
      </c>
      <c r="DY126" s="89">
        <f t="shared" si="104"/>
        <v>0</v>
      </c>
      <c r="DZ126" s="89">
        <f t="shared" si="104"/>
        <v>0</v>
      </c>
      <c r="FB126" s="155" t="s">
        <v>571</v>
      </c>
      <c r="FC126" s="89">
        <f>$G$71</f>
        <v>0</v>
      </c>
      <c r="FD126" s="89">
        <f t="shared" ref="FD126:FN126" si="105">$G$71</f>
        <v>0</v>
      </c>
      <c r="FE126" s="89">
        <f t="shared" si="105"/>
        <v>0</v>
      </c>
      <c r="FF126" s="89">
        <f t="shared" si="105"/>
        <v>0</v>
      </c>
      <c r="FG126" s="89">
        <f t="shared" si="105"/>
        <v>0</v>
      </c>
      <c r="FH126" s="89">
        <f t="shared" si="105"/>
        <v>0</v>
      </c>
      <c r="FI126" s="89">
        <f t="shared" si="105"/>
        <v>0</v>
      </c>
      <c r="FJ126" s="89">
        <f t="shared" si="105"/>
        <v>0</v>
      </c>
      <c r="FK126" s="89">
        <f t="shared" si="105"/>
        <v>0</v>
      </c>
      <c r="FL126" s="89">
        <f t="shared" si="105"/>
        <v>0</v>
      </c>
      <c r="FM126" s="89">
        <f t="shared" si="105"/>
        <v>0</v>
      </c>
      <c r="FN126" s="89">
        <f t="shared" si="105"/>
        <v>0</v>
      </c>
      <c r="FV126" s="155" t="s">
        <v>571</v>
      </c>
      <c r="FW126" s="89">
        <f>$GB$71</f>
        <v>0</v>
      </c>
      <c r="FX126" s="89">
        <f t="shared" ref="FX126:GH126" si="106">$GB$71</f>
        <v>0</v>
      </c>
      <c r="FY126" s="89">
        <f t="shared" si="106"/>
        <v>0</v>
      </c>
      <c r="FZ126" s="89">
        <f t="shared" si="106"/>
        <v>0</v>
      </c>
      <c r="GA126" s="89">
        <f t="shared" si="106"/>
        <v>0</v>
      </c>
      <c r="GB126" s="89">
        <f t="shared" si="106"/>
        <v>0</v>
      </c>
      <c r="GC126" s="89">
        <f t="shared" si="106"/>
        <v>0</v>
      </c>
      <c r="GD126" s="89">
        <f t="shared" si="106"/>
        <v>0</v>
      </c>
      <c r="GE126" s="89">
        <f t="shared" si="106"/>
        <v>0</v>
      </c>
      <c r="GF126" s="89">
        <f t="shared" si="106"/>
        <v>0</v>
      </c>
      <c r="GG126" s="89">
        <f t="shared" si="106"/>
        <v>0</v>
      </c>
      <c r="GH126" s="89">
        <f t="shared" si="106"/>
        <v>0</v>
      </c>
      <c r="GN126" s="155" t="s">
        <v>571</v>
      </c>
      <c r="GO126" s="89">
        <f>GS71</f>
        <v>0</v>
      </c>
      <c r="GP126" s="89">
        <f>$GO$126</f>
        <v>0</v>
      </c>
      <c r="GQ126" s="89">
        <f t="shared" ref="GQ126:GZ126" si="107">$GO$126</f>
        <v>0</v>
      </c>
      <c r="GR126" s="89">
        <f t="shared" si="107"/>
        <v>0</v>
      </c>
      <c r="GS126" s="89">
        <f t="shared" si="107"/>
        <v>0</v>
      </c>
      <c r="GT126" s="89">
        <f t="shared" si="107"/>
        <v>0</v>
      </c>
      <c r="GU126" s="89">
        <f t="shared" si="107"/>
        <v>0</v>
      </c>
      <c r="GV126" s="89">
        <f t="shared" si="107"/>
        <v>0</v>
      </c>
      <c r="GW126" s="89">
        <f t="shared" si="107"/>
        <v>0</v>
      </c>
      <c r="GX126" s="89">
        <f t="shared" si="107"/>
        <v>0</v>
      </c>
      <c r="GY126" s="89">
        <f t="shared" si="107"/>
        <v>0</v>
      </c>
      <c r="GZ126" s="89">
        <f t="shared" si="107"/>
        <v>0</v>
      </c>
    </row>
    <row r="127" spans="1:208" x14ac:dyDescent="0.2">
      <c r="A127" s="155" t="s">
        <v>572</v>
      </c>
      <c r="B127" s="220">
        <f>B118</f>
        <v>0</v>
      </c>
      <c r="C127" s="220">
        <f t="shared" ref="C127:M127" si="108">C118</f>
        <v>0</v>
      </c>
      <c r="D127" s="220">
        <f t="shared" si="108"/>
        <v>0</v>
      </c>
      <c r="E127" s="220">
        <f t="shared" si="108"/>
        <v>0</v>
      </c>
      <c r="F127" s="220">
        <f t="shared" si="108"/>
        <v>0</v>
      </c>
      <c r="G127" s="220">
        <f t="shared" si="108"/>
        <v>0</v>
      </c>
      <c r="H127" s="220">
        <f t="shared" si="108"/>
        <v>0</v>
      </c>
      <c r="I127" s="220">
        <f t="shared" si="108"/>
        <v>0</v>
      </c>
      <c r="J127" s="220">
        <f t="shared" si="108"/>
        <v>0</v>
      </c>
      <c r="K127" s="220">
        <f t="shared" si="108"/>
        <v>0</v>
      </c>
      <c r="L127" s="220">
        <f t="shared" si="108"/>
        <v>0</v>
      </c>
      <c r="M127" s="220">
        <f t="shared" si="108"/>
        <v>0</v>
      </c>
      <c r="AC127" s="155" t="s">
        <v>572</v>
      </c>
      <c r="AD127" s="220">
        <f>B118</f>
        <v>0</v>
      </c>
      <c r="AE127" s="220">
        <f t="shared" ref="AE127:AO127" si="109">C118</f>
        <v>0</v>
      </c>
      <c r="AF127" s="220">
        <f t="shared" si="109"/>
        <v>0</v>
      </c>
      <c r="AG127" s="220">
        <f t="shared" si="109"/>
        <v>0</v>
      </c>
      <c r="AH127" s="220">
        <f t="shared" si="109"/>
        <v>0</v>
      </c>
      <c r="AI127" s="220">
        <f t="shared" si="109"/>
        <v>0</v>
      </c>
      <c r="AJ127" s="220">
        <f t="shared" si="109"/>
        <v>0</v>
      </c>
      <c r="AK127" s="220">
        <f t="shared" si="109"/>
        <v>0</v>
      </c>
      <c r="AL127" s="220">
        <f t="shared" si="109"/>
        <v>0</v>
      </c>
      <c r="AM127" s="220">
        <f t="shared" si="109"/>
        <v>0</v>
      </c>
      <c r="AN127" s="220">
        <f t="shared" si="109"/>
        <v>0</v>
      </c>
      <c r="AO127" s="220">
        <f t="shared" si="109"/>
        <v>0</v>
      </c>
      <c r="AP127" s="220"/>
      <c r="AQ127" s="220"/>
      <c r="AR127" s="220"/>
      <c r="AS127" s="250"/>
      <c r="AU127" s="155" t="s">
        <v>572</v>
      </c>
      <c r="AV127" s="220">
        <f>B118</f>
        <v>0</v>
      </c>
      <c r="AW127" s="220">
        <f t="shared" ref="AW127:BG127" si="110">C118</f>
        <v>0</v>
      </c>
      <c r="AX127" s="220">
        <f t="shared" si="110"/>
        <v>0</v>
      </c>
      <c r="AY127" s="220">
        <f t="shared" si="110"/>
        <v>0</v>
      </c>
      <c r="AZ127" s="220">
        <f t="shared" si="110"/>
        <v>0</v>
      </c>
      <c r="BA127" s="220">
        <f t="shared" si="110"/>
        <v>0</v>
      </c>
      <c r="BB127" s="220">
        <f t="shared" si="110"/>
        <v>0</v>
      </c>
      <c r="BC127" s="220">
        <f t="shared" si="110"/>
        <v>0</v>
      </c>
      <c r="BD127" s="220">
        <f t="shared" si="110"/>
        <v>0</v>
      </c>
      <c r="BE127" s="220">
        <f t="shared" si="110"/>
        <v>0</v>
      </c>
      <c r="BF127" s="220">
        <f t="shared" si="110"/>
        <v>0</v>
      </c>
      <c r="BG127" s="220">
        <f t="shared" si="110"/>
        <v>0</v>
      </c>
      <c r="BH127" s="220"/>
      <c r="BI127" s="220"/>
      <c r="BJ127" s="220"/>
      <c r="BK127" s="220"/>
      <c r="BN127" s="155" t="s">
        <v>572</v>
      </c>
      <c r="BO127" s="220">
        <f>B118</f>
        <v>0</v>
      </c>
      <c r="BP127" s="220">
        <f t="shared" ref="BP127:BZ127" si="111">C118</f>
        <v>0</v>
      </c>
      <c r="BQ127" s="220">
        <f t="shared" si="111"/>
        <v>0</v>
      </c>
      <c r="BR127" s="220">
        <f t="shared" si="111"/>
        <v>0</v>
      </c>
      <c r="BS127" s="220">
        <f t="shared" si="111"/>
        <v>0</v>
      </c>
      <c r="BT127" s="220">
        <f t="shared" si="111"/>
        <v>0</v>
      </c>
      <c r="BU127" s="220">
        <f t="shared" si="111"/>
        <v>0</v>
      </c>
      <c r="BV127" s="220">
        <f t="shared" si="111"/>
        <v>0</v>
      </c>
      <c r="BW127" s="220">
        <f t="shared" si="111"/>
        <v>0</v>
      </c>
      <c r="BX127" s="220">
        <f t="shared" si="111"/>
        <v>0</v>
      </c>
      <c r="BY127" s="220">
        <f t="shared" si="111"/>
        <v>0</v>
      </c>
      <c r="BZ127" s="220">
        <f t="shared" si="111"/>
        <v>0</v>
      </c>
      <c r="CA127" s="220"/>
      <c r="CB127" s="220"/>
      <c r="CC127" s="220"/>
      <c r="CD127" s="250"/>
      <c r="CF127" s="155" t="s">
        <v>572</v>
      </c>
      <c r="CG127" s="220">
        <f>B118</f>
        <v>0</v>
      </c>
      <c r="CH127" s="220">
        <f t="shared" ref="CH127:CR127" si="112">C118</f>
        <v>0</v>
      </c>
      <c r="CI127" s="220">
        <f t="shared" si="112"/>
        <v>0</v>
      </c>
      <c r="CJ127" s="220">
        <f t="shared" si="112"/>
        <v>0</v>
      </c>
      <c r="CK127" s="220">
        <f t="shared" si="112"/>
        <v>0</v>
      </c>
      <c r="CL127" s="220">
        <f t="shared" si="112"/>
        <v>0</v>
      </c>
      <c r="CM127" s="220">
        <f t="shared" si="112"/>
        <v>0</v>
      </c>
      <c r="CN127" s="220">
        <f t="shared" si="112"/>
        <v>0</v>
      </c>
      <c r="CO127" s="220">
        <f t="shared" si="112"/>
        <v>0</v>
      </c>
      <c r="CP127" s="220">
        <f t="shared" si="112"/>
        <v>0</v>
      </c>
      <c r="CQ127" s="220">
        <f t="shared" si="112"/>
        <v>0</v>
      </c>
      <c r="CR127" s="220">
        <f t="shared" si="112"/>
        <v>0</v>
      </c>
      <c r="CS127" s="220"/>
      <c r="CT127" s="220"/>
      <c r="CU127" s="220"/>
      <c r="CW127" s="155" t="s">
        <v>572</v>
      </c>
      <c r="CX127" s="220">
        <f>B118</f>
        <v>0</v>
      </c>
      <c r="CY127" s="220">
        <f t="shared" ref="CY127:DI127" si="113">C118</f>
        <v>0</v>
      </c>
      <c r="CZ127" s="220">
        <f t="shared" si="113"/>
        <v>0</v>
      </c>
      <c r="DA127" s="220">
        <f t="shared" si="113"/>
        <v>0</v>
      </c>
      <c r="DB127" s="220">
        <f t="shared" si="113"/>
        <v>0</v>
      </c>
      <c r="DC127" s="220">
        <f t="shared" si="113"/>
        <v>0</v>
      </c>
      <c r="DD127" s="220">
        <f t="shared" si="113"/>
        <v>0</v>
      </c>
      <c r="DE127" s="220">
        <f t="shared" si="113"/>
        <v>0</v>
      </c>
      <c r="DF127" s="220">
        <f t="shared" si="113"/>
        <v>0</v>
      </c>
      <c r="DG127" s="220">
        <f t="shared" si="113"/>
        <v>0</v>
      </c>
      <c r="DH127" s="220">
        <f t="shared" si="113"/>
        <v>0</v>
      </c>
      <c r="DI127" s="220">
        <f t="shared" si="113"/>
        <v>0</v>
      </c>
      <c r="DJ127" s="220"/>
      <c r="DK127" s="220"/>
      <c r="DN127" s="155" t="s">
        <v>572</v>
      </c>
      <c r="DO127" s="220">
        <f>DO118</f>
        <v>0</v>
      </c>
      <c r="DP127" s="220">
        <f t="shared" ref="DP127:DZ127" si="114">DP118</f>
        <v>0</v>
      </c>
      <c r="DQ127" s="220">
        <f t="shared" si="114"/>
        <v>0</v>
      </c>
      <c r="DR127" s="220">
        <f t="shared" si="114"/>
        <v>0</v>
      </c>
      <c r="DS127" s="220">
        <f t="shared" si="114"/>
        <v>0</v>
      </c>
      <c r="DT127" s="220">
        <f t="shared" si="114"/>
        <v>0</v>
      </c>
      <c r="DU127" s="220">
        <f t="shared" si="114"/>
        <v>0</v>
      </c>
      <c r="DV127" s="220">
        <f t="shared" si="114"/>
        <v>0</v>
      </c>
      <c r="DW127" s="220">
        <f t="shared" si="114"/>
        <v>0</v>
      </c>
      <c r="DX127" s="220">
        <f t="shared" si="114"/>
        <v>0</v>
      </c>
      <c r="DY127" s="220">
        <f t="shared" si="114"/>
        <v>0</v>
      </c>
      <c r="DZ127" s="220">
        <f t="shared" si="114"/>
        <v>0</v>
      </c>
      <c r="FB127" s="155" t="s">
        <v>572</v>
      </c>
      <c r="FC127" s="220">
        <f>B127</f>
        <v>0</v>
      </c>
      <c r="FD127" s="220">
        <f t="shared" ref="FD127:FN127" si="115">C127</f>
        <v>0</v>
      </c>
      <c r="FE127" s="220">
        <f t="shared" si="115"/>
        <v>0</v>
      </c>
      <c r="FF127" s="220">
        <f t="shared" si="115"/>
        <v>0</v>
      </c>
      <c r="FG127" s="220">
        <f t="shared" si="115"/>
        <v>0</v>
      </c>
      <c r="FH127" s="220">
        <f t="shared" si="115"/>
        <v>0</v>
      </c>
      <c r="FI127" s="220">
        <f t="shared" si="115"/>
        <v>0</v>
      </c>
      <c r="FJ127" s="220">
        <f t="shared" si="115"/>
        <v>0</v>
      </c>
      <c r="FK127" s="220">
        <f t="shared" si="115"/>
        <v>0</v>
      </c>
      <c r="FL127" s="220">
        <f t="shared" si="115"/>
        <v>0</v>
      </c>
      <c r="FM127" s="220">
        <f t="shared" si="115"/>
        <v>0</v>
      </c>
      <c r="FN127" s="220">
        <f t="shared" si="115"/>
        <v>0</v>
      </c>
      <c r="FV127" s="155" t="s">
        <v>572</v>
      </c>
      <c r="FW127" s="89">
        <f>B127</f>
        <v>0</v>
      </c>
      <c r="FX127" s="89">
        <f t="shared" ref="FX127:GH127" si="116">C127</f>
        <v>0</v>
      </c>
      <c r="FY127" s="89">
        <f t="shared" si="116"/>
        <v>0</v>
      </c>
      <c r="FZ127" s="89">
        <f t="shared" si="116"/>
        <v>0</v>
      </c>
      <c r="GA127" s="89">
        <f t="shared" si="116"/>
        <v>0</v>
      </c>
      <c r="GB127" s="89">
        <f t="shared" si="116"/>
        <v>0</v>
      </c>
      <c r="GC127" s="89">
        <f t="shared" si="116"/>
        <v>0</v>
      </c>
      <c r="GD127" s="89">
        <f t="shared" si="116"/>
        <v>0</v>
      </c>
      <c r="GE127" s="89">
        <f t="shared" si="116"/>
        <v>0</v>
      </c>
      <c r="GF127" s="89">
        <f t="shared" si="116"/>
        <v>0</v>
      </c>
      <c r="GG127" s="89">
        <f t="shared" si="116"/>
        <v>0</v>
      </c>
      <c r="GH127" s="89">
        <f t="shared" si="116"/>
        <v>0</v>
      </c>
      <c r="GN127" s="155" t="s">
        <v>572</v>
      </c>
      <c r="GO127" s="220">
        <f>GN118</f>
        <v>0</v>
      </c>
      <c r="GP127" s="220">
        <f t="shared" ref="GP127:GZ127" si="117">GO118</f>
        <v>0</v>
      </c>
      <c r="GQ127" s="220">
        <f t="shared" si="117"/>
        <v>0</v>
      </c>
      <c r="GR127" s="220">
        <f t="shared" si="117"/>
        <v>0</v>
      </c>
      <c r="GS127" s="220">
        <f t="shared" si="117"/>
        <v>0</v>
      </c>
      <c r="GT127" s="220">
        <f t="shared" si="117"/>
        <v>0</v>
      </c>
      <c r="GU127" s="220">
        <f t="shared" si="117"/>
        <v>0</v>
      </c>
      <c r="GV127" s="220">
        <f t="shared" si="117"/>
        <v>0</v>
      </c>
      <c r="GW127" s="220">
        <f t="shared" si="117"/>
        <v>0</v>
      </c>
      <c r="GX127" s="220">
        <f t="shared" si="117"/>
        <v>0</v>
      </c>
      <c r="GY127" s="220">
        <f t="shared" si="117"/>
        <v>0</v>
      </c>
      <c r="GZ127" s="220">
        <f t="shared" si="117"/>
        <v>0</v>
      </c>
    </row>
    <row r="128" spans="1:208" x14ac:dyDescent="0.2">
      <c r="A128" s="237" t="s">
        <v>574</v>
      </c>
      <c r="B128" s="89" t="e">
        <f>(B126+B127)/(B121+B122)</f>
        <v>#DIV/0!</v>
      </c>
      <c r="C128" s="89" t="e">
        <f t="shared" ref="C128:M128" si="118">(C126+C127)/(C121+C122)</f>
        <v>#DIV/0!</v>
      </c>
      <c r="D128" s="89" t="e">
        <f t="shared" si="118"/>
        <v>#DIV/0!</v>
      </c>
      <c r="E128" s="89" t="e">
        <f t="shared" si="118"/>
        <v>#DIV/0!</v>
      </c>
      <c r="F128" s="89" t="e">
        <f t="shared" si="118"/>
        <v>#DIV/0!</v>
      </c>
      <c r="G128" s="89" t="e">
        <f t="shared" si="118"/>
        <v>#DIV/0!</v>
      </c>
      <c r="H128" s="89" t="e">
        <f t="shared" si="118"/>
        <v>#DIV/0!</v>
      </c>
      <c r="I128" s="89" t="e">
        <f t="shared" si="118"/>
        <v>#DIV/0!</v>
      </c>
      <c r="J128" s="89" t="e">
        <f t="shared" si="118"/>
        <v>#DIV/0!</v>
      </c>
      <c r="K128" s="89" t="e">
        <f t="shared" si="118"/>
        <v>#DIV/0!</v>
      </c>
      <c r="L128" s="89" t="e">
        <f t="shared" si="118"/>
        <v>#DIV/0!</v>
      </c>
      <c r="M128" s="89" t="e">
        <f t="shared" si="118"/>
        <v>#DIV/0!</v>
      </c>
      <c r="AC128" s="237" t="s">
        <v>574</v>
      </c>
      <c r="AD128" s="89" t="e">
        <f>(AD126+AD127)/(AD121+AD122)</f>
        <v>#DIV/0!</v>
      </c>
      <c r="AE128" s="89" t="e">
        <f t="shared" ref="AE128:AO128" si="119">(AE126+AE127)/(AE121+AE122)</f>
        <v>#DIV/0!</v>
      </c>
      <c r="AF128" s="89" t="e">
        <f t="shared" si="119"/>
        <v>#DIV/0!</v>
      </c>
      <c r="AG128" s="89" t="e">
        <f t="shared" si="119"/>
        <v>#DIV/0!</v>
      </c>
      <c r="AH128" s="89" t="e">
        <f t="shared" si="119"/>
        <v>#DIV/0!</v>
      </c>
      <c r="AI128" s="89" t="e">
        <f t="shared" si="119"/>
        <v>#DIV/0!</v>
      </c>
      <c r="AJ128" s="89" t="e">
        <f t="shared" si="119"/>
        <v>#DIV/0!</v>
      </c>
      <c r="AK128" s="89" t="e">
        <f t="shared" si="119"/>
        <v>#DIV/0!</v>
      </c>
      <c r="AL128" s="89" t="e">
        <f t="shared" si="119"/>
        <v>#DIV/0!</v>
      </c>
      <c r="AM128" s="89" t="e">
        <f t="shared" si="119"/>
        <v>#DIV/0!</v>
      </c>
      <c r="AN128" s="89" t="e">
        <f t="shared" si="119"/>
        <v>#DIV/0!</v>
      </c>
      <c r="AO128" s="89" t="e">
        <f t="shared" si="119"/>
        <v>#DIV/0!</v>
      </c>
      <c r="AU128" s="237" t="s">
        <v>574</v>
      </c>
      <c r="AV128" s="89" t="e">
        <f>(AV126+AV127)/(AV121+AV122)</f>
        <v>#DIV/0!</v>
      </c>
      <c r="AW128" s="89" t="e">
        <f t="shared" ref="AW128:BG128" si="120">(AW126+AW127)/(AW121+AW122)</f>
        <v>#DIV/0!</v>
      </c>
      <c r="AX128" s="89" t="e">
        <f t="shared" si="120"/>
        <v>#DIV/0!</v>
      </c>
      <c r="AY128" s="89" t="e">
        <f t="shared" si="120"/>
        <v>#DIV/0!</v>
      </c>
      <c r="AZ128" s="89" t="e">
        <f t="shared" si="120"/>
        <v>#DIV/0!</v>
      </c>
      <c r="BA128" s="89" t="e">
        <f t="shared" si="120"/>
        <v>#DIV/0!</v>
      </c>
      <c r="BB128" s="89" t="e">
        <f t="shared" si="120"/>
        <v>#DIV/0!</v>
      </c>
      <c r="BC128" s="89" t="e">
        <f t="shared" si="120"/>
        <v>#DIV/0!</v>
      </c>
      <c r="BD128" s="89" t="e">
        <f t="shared" si="120"/>
        <v>#DIV/0!</v>
      </c>
      <c r="BE128" s="89" t="e">
        <f t="shared" si="120"/>
        <v>#DIV/0!</v>
      </c>
      <c r="BF128" s="89" t="e">
        <f t="shared" si="120"/>
        <v>#DIV/0!</v>
      </c>
      <c r="BG128" s="89" t="e">
        <f t="shared" si="120"/>
        <v>#DIV/0!</v>
      </c>
      <c r="BN128" s="237" t="s">
        <v>574</v>
      </c>
      <c r="BO128" s="89" t="e">
        <f>(BO126+BO127)/(BO121+BO122)</f>
        <v>#DIV/0!</v>
      </c>
      <c r="BP128" s="89" t="e">
        <f t="shared" ref="BP128:BZ128" si="121">(BP126+BP127)/(BP121+BP122)</f>
        <v>#DIV/0!</v>
      </c>
      <c r="BQ128" s="89" t="e">
        <f t="shared" si="121"/>
        <v>#DIV/0!</v>
      </c>
      <c r="BR128" s="89" t="e">
        <f t="shared" si="121"/>
        <v>#DIV/0!</v>
      </c>
      <c r="BS128" s="89" t="e">
        <f t="shared" si="121"/>
        <v>#DIV/0!</v>
      </c>
      <c r="BT128" s="89" t="e">
        <f t="shared" si="121"/>
        <v>#DIV/0!</v>
      </c>
      <c r="BU128" s="89" t="e">
        <f t="shared" si="121"/>
        <v>#DIV/0!</v>
      </c>
      <c r="BV128" s="89" t="e">
        <f t="shared" si="121"/>
        <v>#DIV/0!</v>
      </c>
      <c r="BW128" s="89" t="e">
        <f t="shared" si="121"/>
        <v>#DIV/0!</v>
      </c>
      <c r="BX128" s="89" t="e">
        <f t="shared" si="121"/>
        <v>#DIV/0!</v>
      </c>
      <c r="BY128" s="89" t="e">
        <f t="shared" si="121"/>
        <v>#DIV/0!</v>
      </c>
      <c r="BZ128" s="89" t="e">
        <f t="shared" si="121"/>
        <v>#DIV/0!</v>
      </c>
      <c r="CF128" s="237" t="s">
        <v>574</v>
      </c>
      <c r="CG128" s="89" t="e">
        <f>(CG126+CG127)/(CG121+CG122)</f>
        <v>#DIV/0!</v>
      </c>
      <c r="CH128" s="89" t="e">
        <f t="shared" ref="CH128:CR128" si="122">(CH126+CH127)/(CH121+CH122)</f>
        <v>#DIV/0!</v>
      </c>
      <c r="CI128" s="89" t="e">
        <f t="shared" si="122"/>
        <v>#DIV/0!</v>
      </c>
      <c r="CJ128" s="89" t="e">
        <f t="shared" si="122"/>
        <v>#DIV/0!</v>
      </c>
      <c r="CK128" s="89" t="e">
        <f t="shared" si="122"/>
        <v>#DIV/0!</v>
      </c>
      <c r="CL128" s="89" t="e">
        <f t="shared" si="122"/>
        <v>#DIV/0!</v>
      </c>
      <c r="CM128" s="89" t="e">
        <f t="shared" si="122"/>
        <v>#DIV/0!</v>
      </c>
      <c r="CN128" s="89" t="e">
        <f t="shared" si="122"/>
        <v>#DIV/0!</v>
      </c>
      <c r="CO128" s="89" t="e">
        <f t="shared" si="122"/>
        <v>#DIV/0!</v>
      </c>
      <c r="CP128" s="89" t="e">
        <f t="shared" si="122"/>
        <v>#DIV/0!</v>
      </c>
      <c r="CQ128" s="89" t="e">
        <f t="shared" si="122"/>
        <v>#DIV/0!</v>
      </c>
      <c r="CR128" s="89" t="e">
        <f t="shared" si="122"/>
        <v>#DIV/0!</v>
      </c>
      <c r="CW128" s="237" t="s">
        <v>574</v>
      </c>
      <c r="CX128" s="89" t="e">
        <f>(CX126+CX127)/(CX121+CX122)</f>
        <v>#DIV/0!</v>
      </c>
      <c r="CY128" s="89" t="e">
        <f t="shared" ref="CY128:DI128" si="123">(CY126+CY127)/(CY121+CY122)</f>
        <v>#DIV/0!</v>
      </c>
      <c r="CZ128" s="89" t="e">
        <f t="shared" si="123"/>
        <v>#DIV/0!</v>
      </c>
      <c r="DA128" s="89" t="e">
        <f t="shared" si="123"/>
        <v>#DIV/0!</v>
      </c>
      <c r="DB128" s="89" t="e">
        <f t="shared" si="123"/>
        <v>#DIV/0!</v>
      </c>
      <c r="DC128" s="89" t="e">
        <f t="shared" si="123"/>
        <v>#DIV/0!</v>
      </c>
      <c r="DD128" s="89" t="e">
        <f t="shared" si="123"/>
        <v>#DIV/0!</v>
      </c>
      <c r="DE128" s="89" t="e">
        <f t="shared" si="123"/>
        <v>#DIV/0!</v>
      </c>
      <c r="DF128" s="89" t="e">
        <f t="shared" si="123"/>
        <v>#DIV/0!</v>
      </c>
      <c r="DG128" s="89" t="e">
        <f t="shared" si="123"/>
        <v>#DIV/0!</v>
      </c>
      <c r="DH128" s="89" t="e">
        <f t="shared" si="123"/>
        <v>#DIV/0!</v>
      </c>
      <c r="DI128" s="89" t="e">
        <f t="shared" si="123"/>
        <v>#DIV/0!</v>
      </c>
      <c r="DN128" s="237" t="s">
        <v>574</v>
      </c>
      <c r="DO128" s="89" t="e">
        <f>(DO126+DO127)/(DO121+DO122)</f>
        <v>#DIV/0!</v>
      </c>
      <c r="DP128" s="89" t="e">
        <f t="shared" ref="DP128:DZ128" si="124">(DP126+DP127)/(DP121+DP122)</f>
        <v>#DIV/0!</v>
      </c>
      <c r="DQ128" s="89" t="e">
        <f t="shared" si="124"/>
        <v>#DIV/0!</v>
      </c>
      <c r="DR128" s="89" t="e">
        <f t="shared" si="124"/>
        <v>#DIV/0!</v>
      </c>
      <c r="DS128" s="89" t="e">
        <f t="shared" si="124"/>
        <v>#DIV/0!</v>
      </c>
      <c r="DT128" s="89" t="e">
        <f t="shared" si="124"/>
        <v>#DIV/0!</v>
      </c>
      <c r="DU128" s="89" t="e">
        <f t="shared" si="124"/>
        <v>#DIV/0!</v>
      </c>
      <c r="DV128" s="89" t="e">
        <f t="shared" si="124"/>
        <v>#DIV/0!</v>
      </c>
      <c r="DW128" s="89" t="e">
        <f t="shared" si="124"/>
        <v>#DIV/0!</v>
      </c>
      <c r="DX128" s="89" t="e">
        <f t="shared" si="124"/>
        <v>#DIV/0!</v>
      </c>
      <c r="DY128" s="89" t="e">
        <f t="shared" si="124"/>
        <v>#DIV/0!</v>
      </c>
      <c r="DZ128" s="89" t="e">
        <f t="shared" si="124"/>
        <v>#DIV/0!</v>
      </c>
      <c r="FB128" s="237" t="s">
        <v>574</v>
      </c>
      <c r="FC128" s="89" t="e">
        <f>(FC126+FC127)/(FC121+FC122)</f>
        <v>#DIV/0!</v>
      </c>
      <c r="FD128" s="89" t="e">
        <f t="shared" ref="FD128:FN128" si="125">(FD126+FD127)/(FD121+FD122)</f>
        <v>#DIV/0!</v>
      </c>
      <c r="FE128" s="89" t="e">
        <f t="shared" si="125"/>
        <v>#DIV/0!</v>
      </c>
      <c r="FF128" s="89" t="e">
        <f t="shared" si="125"/>
        <v>#DIV/0!</v>
      </c>
      <c r="FG128" s="89" t="e">
        <f t="shared" si="125"/>
        <v>#DIV/0!</v>
      </c>
      <c r="FH128" s="89" t="e">
        <f t="shared" si="125"/>
        <v>#DIV/0!</v>
      </c>
      <c r="FI128" s="89" t="e">
        <f t="shared" si="125"/>
        <v>#DIV/0!</v>
      </c>
      <c r="FJ128" s="89" t="e">
        <f t="shared" si="125"/>
        <v>#DIV/0!</v>
      </c>
      <c r="FK128" s="89" t="e">
        <f t="shared" si="125"/>
        <v>#DIV/0!</v>
      </c>
      <c r="FL128" s="89" t="e">
        <f t="shared" si="125"/>
        <v>#DIV/0!</v>
      </c>
      <c r="FM128" s="89" t="e">
        <f t="shared" si="125"/>
        <v>#DIV/0!</v>
      </c>
      <c r="FN128" s="89" t="e">
        <f t="shared" si="125"/>
        <v>#DIV/0!</v>
      </c>
      <c r="FV128" s="237" t="s">
        <v>574</v>
      </c>
      <c r="FW128" s="89" t="e">
        <f>(FW126+FW127)/(FW121+FW122)</f>
        <v>#DIV/0!</v>
      </c>
      <c r="FX128" s="89" t="e">
        <f t="shared" ref="FX128:GH128" si="126">(FX126+FX127)/(FX121+FX122)</f>
        <v>#DIV/0!</v>
      </c>
      <c r="FY128" s="89" t="e">
        <f t="shared" si="126"/>
        <v>#DIV/0!</v>
      </c>
      <c r="FZ128" s="89" t="e">
        <f t="shared" si="126"/>
        <v>#DIV/0!</v>
      </c>
      <c r="GA128" s="89" t="e">
        <f t="shared" si="126"/>
        <v>#DIV/0!</v>
      </c>
      <c r="GB128" s="89" t="e">
        <f t="shared" si="126"/>
        <v>#DIV/0!</v>
      </c>
      <c r="GC128" s="89" t="e">
        <f t="shared" si="126"/>
        <v>#DIV/0!</v>
      </c>
      <c r="GD128" s="89" t="e">
        <f t="shared" si="126"/>
        <v>#DIV/0!</v>
      </c>
      <c r="GE128" s="89" t="e">
        <f t="shared" si="126"/>
        <v>#DIV/0!</v>
      </c>
      <c r="GF128" s="89" t="e">
        <f t="shared" si="126"/>
        <v>#DIV/0!</v>
      </c>
      <c r="GG128" s="89" t="e">
        <f t="shared" si="126"/>
        <v>#DIV/0!</v>
      </c>
      <c r="GH128" s="89" t="e">
        <f t="shared" si="126"/>
        <v>#DIV/0!</v>
      </c>
      <c r="GN128" s="237" t="s">
        <v>574</v>
      </c>
      <c r="GO128" s="89" t="e">
        <f>(GO126+GO127)/(GO121+GO122)</f>
        <v>#DIV/0!</v>
      </c>
      <c r="GP128" s="89" t="e">
        <f t="shared" ref="GP128:GZ128" si="127">(GP126+GP127)/(GP121+GP122)</f>
        <v>#DIV/0!</v>
      </c>
      <c r="GQ128" s="89" t="e">
        <f t="shared" si="127"/>
        <v>#DIV/0!</v>
      </c>
      <c r="GR128" s="89" t="e">
        <f t="shared" si="127"/>
        <v>#DIV/0!</v>
      </c>
      <c r="GS128" s="89" t="e">
        <f t="shared" si="127"/>
        <v>#DIV/0!</v>
      </c>
      <c r="GT128" s="89" t="e">
        <f t="shared" si="127"/>
        <v>#DIV/0!</v>
      </c>
      <c r="GU128" s="89" t="e">
        <f t="shared" si="127"/>
        <v>#DIV/0!</v>
      </c>
      <c r="GV128" s="89" t="e">
        <f t="shared" si="127"/>
        <v>#DIV/0!</v>
      </c>
      <c r="GW128" s="89" t="e">
        <f t="shared" si="127"/>
        <v>#DIV/0!</v>
      </c>
      <c r="GX128" s="89" t="e">
        <f t="shared" si="127"/>
        <v>#DIV/0!</v>
      </c>
      <c r="GY128" s="89" t="e">
        <f t="shared" si="127"/>
        <v>#DIV/0!</v>
      </c>
      <c r="GZ128" s="89" t="e">
        <f t="shared" si="127"/>
        <v>#DIV/0!</v>
      </c>
    </row>
    <row r="129" spans="1:208" x14ac:dyDescent="0.2">
      <c r="A129" s="155" t="s">
        <v>568</v>
      </c>
      <c r="B129" s="89" t="e">
        <f>IF(B128&lt;2.51,B121+B122-B125*(B126+B127),0)</f>
        <v>#DIV/0!</v>
      </c>
      <c r="C129" s="89" t="e">
        <f t="shared" ref="C129:M129" si="128">IF(C128&lt;2.51,C121+C122-C125*(C126+C127),0)</f>
        <v>#DIV/0!</v>
      </c>
      <c r="D129" s="89" t="e">
        <f t="shared" si="128"/>
        <v>#DIV/0!</v>
      </c>
      <c r="E129" s="89" t="e">
        <f t="shared" si="128"/>
        <v>#DIV/0!</v>
      </c>
      <c r="F129" s="89" t="e">
        <f>0.5*IF(F128&lt;2.51,F121+F122-F125*(F126+F127),0)</f>
        <v>#DIV/0!</v>
      </c>
      <c r="G129" s="89">
        <v>0</v>
      </c>
      <c r="H129" s="89">
        <v>0</v>
      </c>
      <c r="I129" s="89">
        <v>0</v>
      </c>
      <c r="J129" s="89" t="e">
        <f>0.5*IF(J128&lt;2.51,J121+J122-J125*(J126+J127),0)</f>
        <v>#DIV/0!</v>
      </c>
      <c r="K129" s="89" t="e">
        <f t="shared" si="128"/>
        <v>#DIV/0!</v>
      </c>
      <c r="L129" s="89" t="e">
        <f t="shared" si="128"/>
        <v>#DIV/0!</v>
      </c>
      <c r="M129" s="89" t="e">
        <f t="shared" si="128"/>
        <v>#DIV/0!</v>
      </c>
      <c r="AC129" s="155" t="s">
        <v>568</v>
      </c>
      <c r="AD129" s="89" t="e">
        <f>IF(AD128&lt;2.51,AD121+AD122-AD125*(AD126+AD127),0)</f>
        <v>#DIV/0!</v>
      </c>
      <c r="AE129" s="89" t="e">
        <f t="shared" ref="AE129:AO129" si="129">IF(AE128&lt;2.51,AE121+AE122-AE125*(AE126+AE127),0)</f>
        <v>#DIV/0!</v>
      </c>
      <c r="AF129" s="89" t="e">
        <f t="shared" si="129"/>
        <v>#DIV/0!</v>
      </c>
      <c r="AG129" s="89" t="e">
        <f t="shared" si="129"/>
        <v>#DIV/0!</v>
      </c>
      <c r="AH129" s="89" t="e">
        <f>0.5*IF(AH128&lt;2.51,AH121+AH122-AH125*(AH126+AH127),0)</f>
        <v>#DIV/0!</v>
      </c>
      <c r="AI129" s="89">
        <v>0</v>
      </c>
      <c r="AJ129" s="89">
        <v>0</v>
      </c>
      <c r="AK129" s="89">
        <v>0</v>
      </c>
      <c r="AL129" s="89" t="e">
        <f>0.5*IF(AL128&lt;2.51,AL121+AL122-AL125*(AL126+AL127),0)</f>
        <v>#DIV/0!</v>
      </c>
      <c r="AM129" s="89" t="e">
        <f t="shared" si="129"/>
        <v>#DIV/0!</v>
      </c>
      <c r="AN129" s="89" t="e">
        <f t="shared" si="129"/>
        <v>#DIV/0!</v>
      </c>
      <c r="AO129" s="89" t="e">
        <f t="shared" si="129"/>
        <v>#DIV/0!</v>
      </c>
      <c r="AU129" s="155" t="s">
        <v>568</v>
      </c>
      <c r="AV129" s="89" t="e">
        <f>IF(AV128&lt;2.51,AV121+AV122-AV125*(AV126+AV127),0)</f>
        <v>#DIV/0!</v>
      </c>
      <c r="AW129" s="89" t="e">
        <f t="shared" ref="AW129:BG129" si="130">IF(AW128&lt;2.51,AW121+AW122-AW125*(AW126+AW127),0)</f>
        <v>#DIV/0!</v>
      </c>
      <c r="AX129" s="89" t="e">
        <f t="shared" si="130"/>
        <v>#DIV/0!</v>
      </c>
      <c r="AY129" s="89" t="e">
        <f t="shared" si="130"/>
        <v>#DIV/0!</v>
      </c>
      <c r="AZ129" s="89" t="e">
        <f>0.5*IF(AZ128&lt;2.51,AZ121+AZ122-AZ125*(AZ126+AZ127),0)</f>
        <v>#DIV/0!</v>
      </c>
      <c r="BA129" s="89">
        <v>0</v>
      </c>
      <c r="BB129" s="89">
        <v>0</v>
      </c>
      <c r="BC129" s="89">
        <v>0</v>
      </c>
      <c r="BD129" s="89" t="e">
        <f>0.5*IF(BD128&lt;2.51,BD121+BD122-BD125*(BD126+BD127),0)</f>
        <v>#DIV/0!</v>
      </c>
      <c r="BE129" s="89" t="e">
        <f t="shared" si="130"/>
        <v>#DIV/0!</v>
      </c>
      <c r="BF129" s="89" t="e">
        <f t="shared" si="130"/>
        <v>#DIV/0!</v>
      </c>
      <c r="BG129" s="89" t="e">
        <f t="shared" si="130"/>
        <v>#DIV/0!</v>
      </c>
      <c r="BN129" s="155" t="s">
        <v>568</v>
      </c>
      <c r="BO129" s="89" t="e">
        <f>IF(BO128&lt;2.51,BO121+BO122-BO125*(BO126+BO127),0)</f>
        <v>#DIV/0!</v>
      </c>
      <c r="BP129" s="89" t="e">
        <f t="shared" ref="BP129:BZ129" si="131">IF(BP128&lt;2.51,BP121+BP122-BP125*(BP126+BP127),0)</f>
        <v>#DIV/0!</v>
      </c>
      <c r="BQ129" s="89" t="e">
        <f t="shared" si="131"/>
        <v>#DIV/0!</v>
      </c>
      <c r="BR129" s="89" t="e">
        <f t="shared" si="131"/>
        <v>#DIV/0!</v>
      </c>
      <c r="BS129" s="89" t="e">
        <f>0.5*IF(BS128&lt;2.51,BS121+BS122-BS125*(BS126+BS127),0)</f>
        <v>#DIV/0!</v>
      </c>
      <c r="BT129" s="89">
        <v>0</v>
      </c>
      <c r="BU129" s="89">
        <v>0</v>
      </c>
      <c r="BV129" s="89">
        <v>0</v>
      </c>
      <c r="BW129" s="89" t="e">
        <f>0.5*IF(BW128&lt;2.51,BW121+BW122-BW125*(BW126+BW127),0)</f>
        <v>#DIV/0!</v>
      </c>
      <c r="BX129" s="89" t="e">
        <f t="shared" si="131"/>
        <v>#DIV/0!</v>
      </c>
      <c r="BY129" s="89" t="e">
        <f t="shared" si="131"/>
        <v>#DIV/0!</v>
      </c>
      <c r="BZ129" s="89" t="e">
        <f t="shared" si="131"/>
        <v>#DIV/0!</v>
      </c>
      <c r="CF129" s="155" t="s">
        <v>568</v>
      </c>
      <c r="CG129" s="89" t="e">
        <f>IF(CG128&lt;2.51,CG121+CG122-CG125*(CG126+CG127),0)</f>
        <v>#DIV/0!</v>
      </c>
      <c r="CH129" s="89" t="e">
        <f t="shared" ref="CH129:CR129" si="132">IF(CH128&lt;2.51,CH121+CH122-CH125*(CH126+CH127),0)</f>
        <v>#DIV/0!</v>
      </c>
      <c r="CI129" s="89" t="e">
        <f t="shared" si="132"/>
        <v>#DIV/0!</v>
      </c>
      <c r="CJ129" s="89" t="e">
        <f t="shared" si="132"/>
        <v>#DIV/0!</v>
      </c>
      <c r="CK129" s="89" t="e">
        <f>0.5*IF(CK128&lt;2.51,CK121+CK122-CK125*(CK126+CK127),0)</f>
        <v>#DIV/0!</v>
      </c>
      <c r="CL129" s="89">
        <v>0</v>
      </c>
      <c r="CM129" s="89">
        <v>0</v>
      </c>
      <c r="CN129" s="89">
        <v>0</v>
      </c>
      <c r="CO129" s="89" t="e">
        <f>0.5*IF(CO128&lt;2.51,CO121+CO122-CO125*(CO126+CO127),0)</f>
        <v>#DIV/0!</v>
      </c>
      <c r="CP129" s="89" t="e">
        <f t="shared" si="132"/>
        <v>#DIV/0!</v>
      </c>
      <c r="CQ129" s="89" t="e">
        <f t="shared" si="132"/>
        <v>#DIV/0!</v>
      </c>
      <c r="CR129" s="89" t="e">
        <f t="shared" si="132"/>
        <v>#DIV/0!</v>
      </c>
      <c r="CW129" s="155" t="s">
        <v>568</v>
      </c>
      <c r="CX129" s="89" t="e">
        <f>IF(CX128&lt;2.51,CX121+CX122-CX125*(CX126+CX127),0)</f>
        <v>#DIV/0!</v>
      </c>
      <c r="CY129" s="89" t="e">
        <f t="shared" ref="CY129:DI129" si="133">IF(CY128&lt;2.51,CY121+CY122-CY125*(CY126+CY127),0)</f>
        <v>#DIV/0!</v>
      </c>
      <c r="CZ129" s="89" t="e">
        <f t="shared" si="133"/>
        <v>#DIV/0!</v>
      </c>
      <c r="DA129" s="89" t="e">
        <f t="shared" si="133"/>
        <v>#DIV/0!</v>
      </c>
      <c r="DB129" s="89" t="e">
        <f>0.5*IF(DB128&lt;2.51,DB121+DB122-DB125*(DB126+DB127),0)</f>
        <v>#DIV/0!</v>
      </c>
      <c r="DC129" s="89">
        <v>0</v>
      </c>
      <c r="DD129" s="89">
        <v>0</v>
      </c>
      <c r="DE129" s="89">
        <v>0</v>
      </c>
      <c r="DF129" s="89" t="e">
        <f>0.5*IF(DF128&lt;2.51,DF121+DF122-DF125*(DF126+DF127),0)</f>
        <v>#DIV/0!</v>
      </c>
      <c r="DG129" s="89" t="e">
        <f t="shared" si="133"/>
        <v>#DIV/0!</v>
      </c>
      <c r="DH129" s="89" t="e">
        <f t="shared" si="133"/>
        <v>#DIV/0!</v>
      </c>
      <c r="DI129" s="89" t="e">
        <f t="shared" si="133"/>
        <v>#DIV/0!</v>
      </c>
      <c r="DN129" s="155" t="s">
        <v>568</v>
      </c>
      <c r="DO129" s="89" t="e">
        <f>IF(DO128&lt;2.51,DO121+DO122-DO125*(DO126+DO127),0)</f>
        <v>#DIV/0!</v>
      </c>
      <c r="DP129" s="89" t="e">
        <f t="shared" ref="DP129:DZ129" si="134">IF(DP128&lt;2.51,DP121+DP122-DP125*(DP126+DP127),0)</f>
        <v>#DIV/0!</v>
      </c>
      <c r="DQ129" s="89" t="e">
        <f t="shared" si="134"/>
        <v>#DIV/0!</v>
      </c>
      <c r="DR129" s="89" t="e">
        <f t="shared" si="134"/>
        <v>#DIV/0!</v>
      </c>
      <c r="DS129" s="89" t="e">
        <f>0.5*IF(DS128&lt;2.51,DS121+DS122-DS125*(DS126+DS127),0)</f>
        <v>#DIV/0!</v>
      </c>
      <c r="DT129" s="89">
        <v>0</v>
      </c>
      <c r="DU129" s="89">
        <v>0</v>
      </c>
      <c r="DV129" s="89">
        <v>0</v>
      </c>
      <c r="DW129" s="89" t="e">
        <f>0.5*IF(DW128&lt;2.51,DW121+DW122-DW125*(DW126+DW127),0)</f>
        <v>#DIV/0!</v>
      </c>
      <c r="DX129" s="89" t="e">
        <f t="shared" si="134"/>
        <v>#DIV/0!</v>
      </c>
      <c r="DY129" s="89" t="e">
        <f t="shared" si="134"/>
        <v>#DIV/0!</v>
      </c>
      <c r="DZ129" s="89" t="e">
        <f t="shared" si="134"/>
        <v>#DIV/0!</v>
      </c>
      <c r="FB129" s="155" t="s">
        <v>568</v>
      </c>
      <c r="FC129" s="89" t="e">
        <f>IF(FC128&lt;2.51,FC121+FC122-FC125*(FC126+FC127),0)</f>
        <v>#DIV/0!</v>
      </c>
      <c r="FD129" s="89" t="e">
        <f t="shared" ref="FD129:FN129" si="135">IF(FD128&lt;2.51,FD121+FD122-FD125*(FD126+FD127),0)</f>
        <v>#DIV/0!</v>
      </c>
      <c r="FE129" s="89" t="e">
        <f t="shared" si="135"/>
        <v>#DIV/0!</v>
      </c>
      <c r="FF129" s="89" t="e">
        <f t="shared" si="135"/>
        <v>#DIV/0!</v>
      </c>
      <c r="FG129" s="89" t="e">
        <f>0.5*IF(FG128&lt;2.51,FG121+FG122-FG125*(FG126+FG127),0)</f>
        <v>#DIV/0!</v>
      </c>
      <c r="FH129" s="89">
        <v>0</v>
      </c>
      <c r="FI129" s="89">
        <v>0</v>
      </c>
      <c r="FJ129" s="89">
        <v>0</v>
      </c>
      <c r="FK129" s="89" t="e">
        <f>0.5*IF(FK128&lt;2.51,FK121+FK122-FK125*(FK126+FK127),0)</f>
        <v>#DIV/0!</v>
      </c>
      <c r="FL129" s="89" t="e">
        <f t="shared" si="135"/>
        <v>#DIV/0!</v>
      </c>
      <c r="FM129" s="89" t="e">
        <f t="shared" si="135"/>
        <v>#DIV/0!</v>
      </c>
      <c r="FN129" s="89" t="e">
        <f t="shared" si="135"/>
        <v>#DIV/0!</v>
      </c>
      <c r="FV129" s="155" t="s">
        <v>568</v>
      </c>
      <c r="FW129" s="89" t="e">
        <f>IF(FW128&lt;2.51,FW121+FW122-FW125*(FW126+FW127),0)</f>
        <v>#DIV/0!</v>
      </c>
      <c r="FX129" s="89" t="e">
        <f t="shared" ref="FX129:GH129" si="136">IF(FX128&lt;2.51,FX121+FX122-FX125*(FX126+FX127),0)</f>
        <v>#DIV/0!</v>
      </c>
      <c r="FY129" s="89" t="e">
        <f t="shared" si="136"/>
        <v>#DIV/0!</v>
      </c>
      <c r="FZ129" s="89" t="e">
        <f t="shared" si="136"/>
        <v>#DIV/0!</v>
      </c>
      <c r="GA129" s="89" t="e">
        <f>0.5*IF(GA128&lt;2.51,GA121+GA122-GA125*(GA126+GA127),0)</f>
        <v>#DIV/0!</v>
      </c>
      <c r="GB129" s="89">
        <v>0</v>
      </c>
      <c r="GC129" s="89">
        <v>0</v>
      </c>
      <c r="GD129" s="89">
        <v>0</v>
      </c>
      <c r="GE129" s="89" t="e">
        <f>0.5*IF(GE128&lt;2.51,GE121+GE122-GE125*(GE126+GE127),0)</f>
        <v>#DIV/0!</v>
      </c>
      <c r="GF129" s="89" t="e">
        <f t="shared" si="136"/>
        <v>#DIV/0!</v>
      </c>
      <c r="GG129" s="89" t="e">
        <f t="shared" si="136"/>
        <v>#DIV/0!</v>
      </c>
      <c r="GH129" s="89" t="e">
        <f t="shared" si="136"/>
        <v>#DIV/0!</v>
      </c>
      <c r="GN129" s="155" t="s">
        <v>568</v>
      </c>
      <c r="GO129" s="89" t="e">
        <f>IF(GO128&lt;2.51,GO121+GO122-GO125*(GO126+GO127),0)</f>
        <v>#DIV/0!</v>
      </c>
      <c r="GP129" s="89" t="e">
        <f t="shared" ref="GP129:GZ129" si="137">IF(GP128&lt;2.51,GP121+GP122-GP125*(GP126+GP127),0)</f>
        <v>#DIV/0!</v>
      </c>
      <c r="GQ129" s="89" t="e">
        <f t="shared" si="137"/>
        <v>#DIV/0!</v>
      </c>
      <c r="GR129" s="89" t="e">
        <f t="shared" si="137"/>
        <v>#DIV/0!</v>
      </c>
      <c r="GS129" s="89" t="e">
        <f>0.5*IF(GS128&lt;2.51,GS121+GS122-GS125*(GS126+GS127),0)</f>
        <v>#DIV/0!</v>
      </c>
      <c r="GT129" s="89">
        <v>0</v>
      </c>
      <c r="GU129" s="89">
        <v>0</v>
      </c>
      <c r="GV129" s="89">
        <v>0</v>
      </c>
      <c r="GW129" s="89" t="e">
        <f>0.5*IF(GW128&lt;2.51,GW121+GW122-GW125*(GW126+GW127),0)</f>
        <v>#DIV/0!</v>
      </c>
      <c r="GX129" s="89" t="e">
        <f t="shared" si="137"/>
        <v>#DIV/0!</v>
      </c>
      <c r="GY129" s="89" t="e">
        <f t="shared" si="137"/>
        <v>#DIV/0!</v>
      </c>
      <c r="GZ129" s="89" t="e">
        <f t="shared" si="137"/>
        <v>#DIV/0!</v>
      </c>
    </row>
    <row r="130" spans="1:208" x14ac:dyDescent="0.2">
      <c r="A130" s="155" t="s">
        <v>562</v>
      </c>
      <c r="B130" s="89">
        <f>'Fitten energieverbruik'!C21*'Fitten energieverbruik'!C22*IF(B3=0,0,SUM(B129:M129)/($B$3*$C$3))</f>
        <v>0</v>
      </c>
      <c r="AC130" s="155" t="s">
        <v>562</v>
      </c>
      <c r="AD130" s="89">
        <f>'Fitten energieverbruik'!C21*IF(B3=0,0,SUM(AD129:AO129)/($B$3*$C$3))</f>
        <v>0</v>
      </c>
      <c r="AU130" s="155" t="s">
        <v>562</v>
      </c>
      <c r="AV130" s="89">
        <f>'Fitten energieverbruik'!C21*IF(B3=0,0,SUM(AV129:BG129)/($B$3*$C$3))</f>
        <v>0</v>
      </c>
      <c r="BN130" s="155" t="s">
        <v>562</v>
      </c>
      <c r="BO130" s="89">
        <f>'Fitten energieverbruik'!C21*IF(B3=0,0,SUM(BO129:BZ129)/($B$3*$C$3))</f>
        <v>0</v>
      </c>
      <c r="CF130" s="155" t="s">
        <v>562</v>
      </c>
      <c r="CG130" s="89">
        <f>'Fitten energieverbruik'!C21*IF(B3=0,0,SUM(CG129:CR129)/($B$3*$C$3)-35.17*CU61)</f>
        <v>0</v>
      </c>
      <c r="CW130" s="155" t="s">
        <v>562</v>
      </c>
      <c r="CX130" s="89">
        <f>'Fitten energieverbruik'!C21*IF(B3=0,0,SUM(CX129:DI129)/($B$3*$C$3))</f>
        <v>0</v>
      </c>
      <c r="DN130" s="155" t="s">
        <v>562</v>
      </c>
      <c r="DO130" s="89">
        <f>'Fitten energieverbruik'!C21*IF(B3=0,0,SUM(DO129:DZ129)/($B$3*$C$3))</f>
        <v>0</v>
      </c>
      <c r="EF130" s="155" t="s">
        <v>562</v>
      </c>
      <c r="EG130" s="89">
        <f>'Fitten energieverbruik'!C21*IF(EG3=0,0,SUM(B129:M129)/(EG3*EH3))</f>
        <v>0</v>
      </c>
      <c r="EQ130" s="155" t="s">
        <v>562</v>
      </c>
      <c r="ER130" s="89">
        <f>'Fitten energieverbruik'!C21*IF(ER3=0,0,SUM(B129:M129)/(ER3*ES3))</f>
        <v>0</v>
      </c>
      <c r="FB130" s="155" t="s">
        <v>562</v>
      </c>
      <c r="FC130" s="89">
        <f>'Fitten energieverbruik'!C21*IF(B3=0,0,SUM(FC129:FN129)/($B$3*$C$3))</f>
        <v>0</v>
      </c>
      <c r="FV130" s="155" t="s">
        <v>562</v>
      </c>
      <c r="FW130" s="89">
        <f>'Fitten energieverbruik'!C21*IF(B3=0,0,SUM(FW129:GH129)/($B$3*$C$3))</f>
        <v>0</v>
      </c>
      <c r="GN130" s="155" t="s">
        <v>562</v>
      </c>
      <c r="GO130" s="89">
        <f>'Fitten energieverbruik'!C21*IF(GN3=0,0,SUM(GO129:GZ129)/($GN$3*$GO$3))</f>
        <v>0</v>
      </c>
    </row>
    <row r="131" spans="1:208" x14ac:dyDescent="0.2">
      <c r="A131" s="155" t="s">
        <v>513</v>
      </c>
      <c r="B131" s="89">
        <f>'Verwerken ventilatie'!D61</f>
        <v>0</v>
      </c>
      <c r="AC131" s="155" t="s">
        <v>513</v>
      </c>
      <c r="AD131" s="89">
        <f t="shared" ref="AD131:AD136" si="138">B131</f>
        <v>0</v>
      </c>
      <c r="AU131" s="155" t="s">
        <v>513</v>
      </c>
      <c r="AV131" s="89">
        <f>B131</f>
        <v>0</v>
      </c>
      <c r="BN131" s="155" t="s">
        <v>513</v>
      </c>
      <c r="BO131" s="89">
        <f>T131</f>
        <v>0</v>
      </c>
      <c r="CF131" s="155" t="s">
        <v>513</v>
      </c>
      <c r="CG131" s="89">
        <f>AL131</f>
        <v>0</v>
      </c>
      <c r="CW131" s="155" t="s">
        <v>513</v>
      </c>
      <c r="CX131" s="89">
        <f>BV131</f>
        <v>0</v>
      </c>
      <c r="DN131" s="155" t="s">
        <v>513</v>
      </c>
      <c r="DO131" s="89">
        <f>CM131</f>
        <v>0</v>
      </c>
      <c r="EF131" s="155" t="s">
        <v>513</v>
      </c>
      <c r="EG131" s="89">
        <f t="shared" ref="EG131:EG136" si="139">B131</f>
        <v>0</v>
      </c>
      <c r="EQ131" s="155" t="s">
        <v>513</v>
      </c>
      <c r="ER131" s="89">
        <f t="shared" ref="ER131:ER136" si="140">B131</f>
        <v>0</v>
      </c>
      <c r="FB131" s="155" t="s">
        <v>513</v>
      </c>
      <c r="FC131" s="89">
        <f>'Verwerken ventilatie'!AM61</f>
        <v>0</v>
      </c>
      <c r="FV131" s="155" t="s">
        <v>513</v>
      </c>
      <c r="FW131" s="89">
        <f>B131</f>
        <v>0</v>
      </c>
      <c r="GN131" s="155" t="s">
        <v>513</v>
      </c>
      <c r="GO131" s="89">
        <f>FC131</f>
        <v>0</v>
      </c>
    </row>
    <row r="132" spans="1:208" x14ac:dyDescent="0.2">
      <c r="A132" s="155" t="s">
        <v>563</v>
      </c>
      <c r="B132" s="89">
        <f>'Verwerken verlichting'!S29*12</f>
        <v>0</v>
      </c>
      <c r="AC132" s="155" t="s">
        <v>563</v>
      </c>
      <c r="AD132" s="89">
        <f t="shared" si="138"/>
        <v>0</v>
      </c>
      <c r="AU132" s="155" t="s">
        <v>563</v>
      </c>
      <c r="AV132" s="89">
        <f>B132</f>
        <v>0</v>
      </c>
      <c r="BN132" s="155" t="s">
        <v>563</v>
      </c>
      <c r="BO132" s="89">
        <f>$B$132</f>
        <v>0</v>
      </c>
      <c r="CF132" s="155" t="s">
        <v>563</v>
      </c>
      <c r="CG132" s="89">
        <f>$B$132</f>
        <v>0</v>
      </c>
      <c r="CW132" s="155" t="s">
        <v>563</v>
      </c>
      <c r="CX132" s="89">
        <f>$B$132</f>
        <v>0</v>
      </c>
      <c r="DN132" s="155" t="s">
        <v>563</v>
      </c>
      <c r="DO132" s="89">
        <f>$B$132</f>
        <v>0</v>
      </c>
      <c r="EF132" s="155" t="s">
        <v>563</v>
      </c>
      <c r="EG132" s="89">
        <f t="shared" si="139"/>
        <v>0</v>
      </c>
      <c r="EQ132" s="155" t="s">
        <v>563</v>
      </c>
      <c r="ER132" s="89">
        <f t="shared" si="140"/>
        <v>0</v>
      </c>
      <c r="FB132" s="155" t="s">
        <v>563</v>
      </c>
      <c r="FC132" s="89">
        <f>B132</f>
        <v>0</v>
      </c>
      <c r="FV132" s="155" t="s">
        <v>563</v>
      </c>
      <c r="FW132" s="89">
        <f>FW65*12</f>
        <v>0</v>
      </c>
      <c r="FX132" s="89">
        <f>FX65*12</f>
        <v>0</v>
      </c>
      <c r="FY132" s="89">
        <f>FY65*12</f>
        <v>0</v>
      </c>
      <c r="GN132" s="155" t="s">
        <v>563</v>
      </c>
      <c r="GO132" s="89">
        <f>GN65*12</f>
        <v>0</v>
      </c>
    </row>
    <row r="133" spans="1:208" x14ac:dyDescent="0.2">
      <c r="A133" s="155" t="s">
        <v>564</v>
      </c>
      <c r="B133" s="89">
        <f>IF(B121=0,0,(8/(0.39*12))*0.75*'Invoer Algemeen'!D18*12)</f>
        <v>0</v>
      </c>
      <c r="AC133" s="155" t="s">
        <v>564</v>
      </c>
      <c r="AD133" s="89">
        <f t="shared" si="138"/>
        <v>0</v>
      </c>
      <c r="AU133" s="155" t="s">
        <v>564</v>
      </c>
      <c r="AV133" s="89">
        <f>$B$133</f>
        <v>0</v>
      </c>
      <c r="BN133" s="155" t="s">
        <v>564</v>
      </c>
      <c r="BO133" s="89">
        <f>T133</f>
        <v>0</v>
      </c>
      <c r="CF133" s="155" t="s">
        <v>564</v>
      </c>
      <c r="CG133" s="89">
        <f>AL133</f>
        <v>0</v>
      </c>
      <c r="CW133" s="155" t="s">
        <v>564</v>
      </c>
      <c r="CX133" s="89">
        <f>BV133</f>
        <v>0</v>
      </c>
      <c r="DN133" s="155" t="s">
        <v>564</v>
      </c>
      <c r="DO133" s="89">
        <f>CM133</f>
        <v>0</v>
      </c>
      <c r="EF133" s="155" t="s">
        <v>564</v>
      </c>
      <c r="EG133" s="89">
        <f t="shared" si="139"/>
        <v>0</v>
      </c>
      <c r="EQ133" s="155" t="s">
        <v>564</v>
      </c>
      <c r="ER133" s="89">
        <f t="shared" si="140"/>
        <v>0</v>
      </c>
      <c r="FB133" s="155" t="s">
        <v>564</v>
      </c>
      <c r="FC133" s="89">
        <f>B133</f>
        <v>0</v>
      </c>
      <c r="FV133" s="155" t="s">
        <v>564</v>
      </c>
      <c r="FW133" s="89">
        <f>B133</f>
        <v>0</v>
      </c>
      <c r="GN133" s="155" t="s">
        <v>564</v>
      </c>
      <c r="GO133" s="89">
        <f>$B$133</f>
        <v>0</v>
      </c>
    </row>
    <row r="134" spans="1:208" x14ac:dyDescent="0.2">
      <c r="A134" s="155" t="s">
        <v>565</v>
      </c>
      <c r="B134" s="89">
        <v>0</v>
      </c>
      <c r="AC134" s="155" t="s">
        <v>565</v>
      </c>
      <c r="AD134" s="89">
        <f t="shared" si="138"/>
        <v>0</v>
      </c>
      <c r="AU134" s="155" t="s">
        <v>565</v>
      </c>
      <c r="AV134" s="89">
        <v>0</v>
      </c>
      <c r="BN134" s="155" t="s">
        <v>565</v>
      </c>
      <c r="BO134" s="89">
        <f>T134</f>
        <v>0</v>
      </c>
      <c r="CF134" s="155" t="s">
        <v>565</v>
      </c>
      <c r="CG134" s="89">
        <f>AL134</f>
        <v>0</v>
      </c>
      <c r="CW134" s="155" t="s">
        <v>565</v>
      </c>
      <c r="CX134" s="89">
        <f>BV134</f>
        <v>0</v>
      </c>
      <c r="DN134" s="155" t="s">
        <v>565</v>
      </c>
      <c r="DO134" s="89">
        <f>CM134</f>
        <v>0</v>
      </c>
      <c r="EF134" s="155" t="s">
        <v>565</v>
      </c>
      <c r="EG134" s="89">
        <f t="shared" si="139"/>
        <v>0</v>
      </c>
      <c r="EQ134" s="155" t="s">
        <v>565</v>
      </c>
      <c r="ER134" s="89">
        <f t="shared" si="140"/>
        <v>0</v>
      </c>
      <c r="FB134" s="155" t="s">
        <v>565</v>
      </c>
      <c r="FC134" s="89">
        <f>B134</f>
        <v>0</v>
      </c>
      <c r="FV134" s="155" t="s">
        <v>565</v>
      </c>
      <c r="FW134" s="89">
        <f>B134</f>
        <v>0</v>
      </c>
      <c r="GN134" s="155" t="s">
        <v>565</v>
      </c>
      <c r="GO134" s="89">
        <v>0</v>
      </c>
    </row>
    <row r="135" spans="1:208" x14ac:dyDescent="0.2">
      <c r="A135" s="155" t="s">
        <v>566</v>
      </c>
      <c r="B135" s="89">
        <v>0</v>
      </c>
      <c r="AC135" s="155" t="s">
        <v>566</v>
      </c>
      <c r="AD135" s="89">
        <f t="shared" si="138"/>
        <v>0</v>
      </c>
      <c r="AU135" s="155" t="s">
        <v>566</v>
      </c>
      <c r="AV135" s="89">
        <v>0</v>
      </c>
      <c r="BN135" s="155" t="s">
        <v>566</v>
      </c>
      <c r="BO135" s="89">
        <f>T135</f>
        <v>0</v>
      </c>
      <c r="CF135" s="155" t="s">
        <v>566</v>
      </c>
      <c r="CG135" s="89">
        <f>AL135</f>
        <v>0</v>
      </c>
      <c r="CW135" s="155" t="s">
        <v>566</v>
      </c>
      <c r="CX135" s="89">
        <f>BV135</f>
        <v>0</v>
      </c>
      <c r="DN135" s="155" t="s">
        <v>566</v>
      </c>
      <c r="DO135" s="89">
        <f>CM135</f>
        <v>0</v>
      </c>
      <c r="EF135" s="155" t="s">
        <v>566</v>
      </c>
      <c r="EG135" s="89">
        <f t="shared" si="139"/>
        <v>0</v>
      </c>
      <c r="EQ135" s="155" t="s">
        <v>566</v>
      </c>
      <c r="ER135" s="89">
        <f t="shared" si="140"/>
        <v>0</v>
      </c>
      <c r="FB135" s="155" t="s">
        <v>566</v>
      </c>
      <c r="FC135" s="89">
        <f>B135</f>
        <v>0</v>
      </c>
      <c r="FV135" s="155" t="s">
        <v>566</v>
      </c>
      <c r="FW135" s="89">
        <f>B135</f>
        <v>0</v>
      </c>
      <c r="GN135" s="155" t="s">
        <v>566</v>
      </c>
      <c r="GO135" s="89">
        <v>0</v>
      </c>
    </row>
    <row r="136" spans="1:208" x14ac:dyDescent="0.2">
      <c r="A136" s="155" t="s">
        <v>567</v>
      </c>
      <c r="B136" s="89">
        <f>'Verwerken Verwarming en Tapwate'!H12</f>
        <v>0</v>
      </c>
      <c r="AC136" s="155" t="s">
        <v>567</v>
      </c>
      <c r="AD136" s="89">
        <f t="shared" si="138"/>
        <v>0</v>
      </c>
      <c r="AU136" s="155" t="s">
        <v>567</v>
      </c>
      <c r="AV136" s="89">
        <f>B136</f>
        <v>0</v>
      </c>
      <c r="BN136" s="155" t="s">
        <v>567</v>
      </c>
      <c r="BO136" s="89">
        <f>$B$136</f>
        <v>0</v>
      </c>
      <c r="CF136" s="155" t="s">
        <v>567</v>
      </c>
      <c r="CG136" s="89">
        <f>$B$136</f>
        <v>0</v>
      </c>
      <c r="CW136" s="155" t="s">
        <v>567</v>
      </c>
      <c r="CX136" s="89">
        <f>$B$136</f>
        <v>0</v>
      </c>
      <c r="DN136" s="155" t="s">
        <v>567</v>
      </c>
      <c r="DO136" s="89">
        <f>$B$136</f>
        <v>0</v>
      </c>
      <c r="EF136" s="155" t="s">
        <v>567</v>
      </c>
      <c r="EG136" s="89">
        <f t="shared" si="139"/>
        <v>0</v>
      </c>
      <c r="EQ136" s="155" t="s">
        <v>567</v>
      </c>
      <c r="ER136" s="89">
        <f t="shared" si="140"/>
        <v>0</v>
      </c>
      <c r="FB136" s="155" t="s">
        <v>567</v>
      </c>
      <c r="FC136" s="89">
        <f>B136</f>
        <v>0</v>
      </c>
      <c r="FV136" s="155" t="s">
        <v>567</v>
      </c>
      <c r="FW136" s="89">
        <f>B136</f>
        <v>0</v>
      </c>
      <c r="GN136" s="155" t="s">
        <v>567</v>
      </c>
      <c r="GO136" s="89">
        <f>B136</f>
        <v>0</v>
      </c>
    </row>
    <row r="137" spans="1:208" x14ac:dyDescent="0.2">
      <c r="A137" s="155" t="s">
        <v>561</v>
      </c>
      <c r="B137" s="89">
        <f>IF('Invoer Algemeen'!$D$18=0,0,B130+B131+B132+B133+B134+B135+B136)</f>
        <v>0</v>
      </c>
      <c r="AC137" s="155" t="s">
        <v>561</v>
      </c>
      <c r="AD137" s="89">
        <f>IF('Invoer Algemeen'!$D$18=0,0,AD130+AD131+AD132+AD133+AD134+AD135+AD136)</f>
        <v>0</v>
      </c>
      <c r="AU137" s="155" t="s">
        <v>561</v>
      </c>
      <c r="AV137" s="89">
        <f>IF('Invoer Algemeen'!$D$16=0,0,AV130+AV131+AV132+AV133+AV134+AV135+AV136)</f>
        <v>0</v>
      </c>
      <c r="BN137" s="155" t="s">
        <v>561</v>
      </c>
      <c r="BO137" s="89">
        <f>IF('Invoer Algemeen'!$D$18=0,0,BO130+BO131+BO132+BO133+BO134+BO135+BO136)</f>
        <v>0</v>
      </c>
      <c r="CF137" s="155" t="s">
        <v>561</v>
      </c>
      <c r="CG137" s="89">
        <f>IF('Invoer Algemeen'!$D$18=0,0,CG130+CG131+CG132+CG133+CG134+CG135+CG136)</f>
        <v>0</v>
      </c>
      <c r="CW137" s="155" t="s">
        <v>561</v>
      </c>
      <c r="CX137" s="89">
        <f>IF('Invoer Algemeen'!$D$18=0,0,CX130+CX131+CX132+CX133+CX134+CX135+CX136)</f>
        <v>0</v>
      </c>
      <c r="DN137" s="155" t="s">
        <v>561</v>
      </c>
      <c r="DO137" s="89">
        <f>IF('Invoer Algemeen'!$D$18=0,0,DO130+DO131+DO132+DO133+DO134+DO135+DO136)</f>
        <v>0</v>
      </c>
      <c r="EF137" s="155" t="s">
        <v>561</v>
      </c>
      <c r="EG137" s="89">
        <f>IF('Invoer Algemeen'!$D$18=0,0,EG130+EG131+EG132+EG133+EG134+EG135+EG136)</f>
        <v>0</v>
      </c>
      <c r="EQ137" s="155" t="s">
        <v>561</v>
      </c>
      <c r="ER137" s="89">
        <f>IF('Invoer Algemeen'!$D$18=0,0,ER130+ER131+ER132+ER133+ER134+ER135+ER136)</f>
        <v>0</v>
      </c>
      <c r="FB137" s="155" t="s">
        <v>561</v>
      </c>
      <c r="FC137" s="89">
        <f>IF('Invoer Algemeen'!$D$18=0,0,FC130+FC131+FC132+FC133+FC134+FC135+FC136)</f>
        <v>0</v>
      </c>
      <c r="FV137" s="155" t="s">
        <v>561</v>
      </c>
      <c r="FW137" s="89">
        <f>IF('Invoer Algemeen'!$D$18=0,0,FW130+FW131+FW132+FW133+FW134+FW135+FW136)</f>
        <v>0</v>
      </c>
      <c r="GN137" s="155" t="s">
        <v>561</v>
      </c>
      <c r="GO137" s="89">
        <f>IF('Invoer Algemeen'!$D$18=0,0,GO130+GO131+GO132+GO133+GO134+GO135+GO136)</f>
        <v>0</v>
      </c>
    </row>
    <row r="139" spans="1:208" x14ac:dyDescent="0.2">
      <c r="D139" s="89" t="s">
        <v>593</v>
      </c>
    </row>
    <row r="140" spans="1:208" x14ac:dyDescent="0.2">
      <c r="A140" s="89" t="s">
        <v>588</v>
      </c>
      <c r="B140" s="89">
        <f>IF(B137=0,0,330*'Invoer Algemeen'!D18*1.4*1.19+1.25*135*0.3*3.5*'Invoer Algemeen'!D18*0.8)</f>
        <v>0</v>
      </c>
      <c r="AC140" s="89" t="s">
        <v>588</v>
      </c>
      <c r="AD140" s="89">
        <f>330*'Invoer Algemeen'!D18*1.4*1.19+1.25*135*0.3*3.5*'Invoer Algemeen'!D18*0.8</f>
        <v>0</v>
      </c>
      <c r="AU140" s="89" t="s">
        <v>588</v>
      </c>
      <c r="AV140" s="89">
        <f>330*'Invoer Algemeen'!D16*1.4*1.19+1.25*135*0.3*3.5*'Invoer Algemeen'!D16*0.8</f>
        <v>0</v>
      </c>
      <c r="BN140" s="89" t="s">
        <v>588</v>
      </c>
      <c r="BO140" s="89">
        <f>330*'Invoer Algemeen'!D18*1.4*1.19+1.25*135*0.3*3.5*'Invoer Algemeen'!D18*0.8</f>
        <v>0</v>
      </c>
      <c r="CF140" s="89" t="s">
        <v>588</v>
      </c>
      <c r="CG140" s="89">
        <f>330*'Invoer Algemeen'!D18*1.4*1.19+1.25*135*0.3*3.5*'Invoer Algemeen'!D18*0.8</f>
        <v>0</v>
      </c>
      <c r="CW140" s="89" t="s">
        <v>588</v>
      </c>
      <c r="CX140" s="89">
        <f>330*'Invoer Algemeen'!D18*1.4*1.19+1.25*135*0.3*3.5*'Invoer Algemeen'!D18*0.8</f>
        <v>0</v>
      </c>
      <c r="DN140" s="89" t="s">
        <v>588</v>
      </c>
      <c r="DO140" s="89">
        <f>330*'Invoer Algemeen'!D18*1.4*1.19+1.25*135*0.3*3.5*'Invoer Algemeen'!D18*0.8</f>
        <v>0</v>
      </c>
      <c r="EF140" s="89" t="s">
        <v>588</v>
      </c>
      <c r="EG140" s="89">
        <f>330*'Invoer Algemeen'!D18*1.4*1.19+1.25*135*0.3*3.5*'Invoer Algemeen'!D18*0.8</f>
        <v>0</v>
      </c>
      <c r="EQ140" s="89" t="s">
        <v>588</v>
      </c>
      <c r="ER140" s="89">
        <f>330*'Invoer Algemeen'!D18*1.4*1.19+1.25*135*0.3*3.5*'Invoer Algemeen'!D18*0.8</f>
        <v>0</v>
      </c>
      <c r="FB140" s="89" t="s">
        <v>588</v>
      </c>
      <c r="FC140" s="89">
        <f>330*'Invoer Algemeen'!D18*1.4*1.19+1.25*135*0.3*3.5*'Invoer Algemeen'!D18*0.8</f>
        <v>0</v>
      </c>
      <c r="FV140" s="89" t="s">
        <v>588</v>
      </c>
      <c r="FW140" s="89">
        <f>330*'Invoer Algemeen'!D18*1.4*1.19+1.25*135*0.3*3.5*'Invoer Algemeen'!D18*0.8</f>
        <v>0</v>
      </c>
      <c r="GN140" s="89" t="s">
        <v>588</v>
      </c>
      <c r="GO140" s="89">
        <f>330*'Invoer Algemeen'!D18*1.4*1.19+1.25*135*0.3*3.5*'Invoer Algemeen'!D18*0.8</f>
        <v>0</v>
      </c>
    </row>
    <row r="142" spans="1:208" x14ac:dyDescent="0.2">
      <c r="A142" s="155" t="s">
        <v>900</v>
      </c>
      <c r="B142" s="89">
        <f>IF('Verwerken Verwarming en Tapwate'!E5=1,1,0.79)</f>
        <v>1</v>
      </c>
      <c r="AC142" s="155" t="s">
        <v>900</v>
      </c>
      <c r="AD142" s="89">
        <f>B142</f>
        <v>1</v>
      </c>
      <c r="AU142" s="155" t="s">
        <v>900</v>
      </c>
      <c r="AV142" s="89">
        <f>T142</f>
        <v>0</v>
      </c>
      <c r="BN142" s="155" t="s">
        <v>900</v>
      </c>
      <c r="BO142" s="89">
        <f>B142</f>
        <v>1</v>
      </c>
      <c r="CF142" s="155" t="s">
        <v>900</v>
      </c>
      <c r="CG142" s="89">
        <f>B142</f>
        <v>1</v>
      </c>
      <c r="CW142" s="155" t="s">
        <v>900</v>
      </c>
      <c r="CX142" s="89">
        <f>B142</f>
        <v>1</v>
      </c>
      <c r="DN142" s="155" t="s">
        <v>900</v>
      </c>
      <c r="DO142" s="89">
        <f>B142</f>
        <v>1</v>
      </c>
      <c r="EF142" s="155" t="s">
        <v>900</v>
      </c>
      <c r="EG142" s="89">
        <f>IF(AND('Verwerken Verwarming en Tapwate'!$T$5=1,'Verwerken Verwarming en Tapwate'!$W$5=1),$B$142,IF('Verwerken Verwarming en Tapwate'!$W$5=1,1,0.79))</f>
        <v>1</v>
      </c>
      <c r="EQ142" s="155" t="s">
        <v>900</v>
      </c>
      <c r="ER142" s="155">
        <f>B142</f>
        <v>1</v>
      </c>
      <c r="FB142" s="155" t="s">
        <v>900</v>
      </c>
      <c r="FC142" s="89">
        <f>B142</f>
        <v>1</v>
      </c>
      <c r="FV142" s="155" t="s">
        <v>900</v>
      </c>
      <c r="FW142" s="89">
        <f>B142</f>
        <v>1</v>
      </c>
      <c r="GN142" s="155" t="s">
        <v>900</v>
      </c>
      <c r="GO142" s="89">
        <f>IF(AND('Verwerken Verwarming en Tapwate'!$T$5=1,'Verwerken Verwarming en Tapwate'!$W$5=1),$B$142,IF('Verwerken Verwarming en Tapwate'!$W$5=1,1,0.79))</f>
        <v>1</v>
      </c>
    </row>
    <row r="143" spans="1:208" x14ac:dyDescent="0.2">
      <c r="B143" s="619" t="s">
        <v>904</v>
      </c>
      <c r="C143" s="619"/>
      <c r="D143" s="619"/>
      <c r="E143" s="619" t="s">
        <v>611</v>
      </c>
      <c r="F143" s="619"/>
      <c r="G143" s="619"/>
      <c r="H143" s="155" t="s">
        <v>724</v>
      </c>
      <c r="AD143" s="619" t="s">
        <v>904</v>
      </c>
      <c r="AE143" s="619"/>
      <c r="AF143" s="619"/>
      <c r="AG143" s="619" t="s">
        <v>611</v>
      </c>
      <c r="AH143" s="619"/>
      <c r="AI143" s="619"/>
      <c r="AJ143" s="155" t="s">
        <v>724</v>
      </c>
      <c r="AV143" s="619" t="s">
        <v>904</v>
      </c>
      <c r="AW143" s="619"/>
      <c r="AX143" s="619"/>
      <c r="AY143" s="619" t="s">
        <v>611</v>
      </c>
      <c r="AZ143" s="619"/>
      <c r="BA143" s="619"/>
      <c r="BB143" s="155" t="s">
        <v>724</v>
      </c>
      <c r="BO143" s="619" t="s">
        <v>904</v>
      </c>
      <c r="BP143" s="619"/>
      <c r="BQ143" s="619"/>
      <c r="BR143" s="619" t="s">
        <v>611</v>
      </c>
      <c r="BS143" s="619"/>
      <c r="BT143" s="619"/>
      <c r="BU143" s="155" t="s">
        <v>724</v>
      </c>
      <c r="CG143" s="619" t="s">
        <v>904</v>
      </c>
      <c r="CH143" s="619"/>
      <c r="CI143" s="619"/>
      <c r="CJ143" s="619" t="s">
        <v>611</v>
      </c>
      <c r="CK143" s="619"/>
      <c r="CL143" s="619"/>
      <c r="CM143" s="155" t="s">
        <v>724</v>
      </c>
      <c r="CX143" s="619" t="s">
        <v>904</v>
      </c>
      <c r="CY143" s="619"/>
      <c r="CZ143" s="619"/>
      <c r="DA143" s="619" t="s">
        <v>611</v>
      </c>
      <c r="DB143" s="619"/>
      <c r="DC143" s="619"/>
      <c r="DD143" s="155" t="s">
        <v>724</v>
      </c>
      <c r="DO143" s="619" t="s">
        <v>904</v>
      </c>
      <c r="DP143" s="619"/>
      <c r="DQ143" s="619"/>
      <c r="DR143" s="619" t="s">
        <v>611</v>
      </c>
      <c r="DS143" s="619"/>
      <c r="DT143" s="619"/>
      <c r="DU143" s="155" t="s">
        <v>724</v>
      </c>
      <c r="EG143" s="619" t="s">
        <v>904</v>
      </c>
      <c r="EH143" s="619"/>
      <c r="EI143" s="619"/>
      <c r="EJ143" s="619" t="s">
        <v>611</v>
      </c>
      <c r="EK143" s="619"/>
      <c r="EL143" s="619"/>
      <c r="EM143" s="155" t="s">
        <v>724</v>
      </c>
      <c r="ER143" s="619" t="s">
        <v>904</v>
      </c>
      <c r="ES143" s="619"/>
      <c r="ET143" s="619"/>
      <c r="EU143" s="619" t="s">
        <v>611</v>
      </c>
      <c r="EV143" s="619"/>
      <c r="EW143" s="619"/>
      <c r="EX143" s="155" t="s">
        <v>724</v>
      </c>
      <c r="FC143" s="619" t="s">
        <v>904</v>
      </c>
      <c r="FD143" s="619"/>
      <c r="FE143" s="619"/>
      <c r="FF143" s="619" t="s">
        <v>611</v>
      </c>
      <c r="FG143" s="619"/>
      <c r="FH143" s="619"/>
      <c r="FI143" s="155" t="s">
        <v>724</v>
      </c>
      <c r="FW143" s="619" t="s">
        <v>904</v>
      </c>
      <c r="FX143" s="619"/>
      <c r="FY143" s="619"/>
      <c r="FZ143" s="619" t="s">
        <v>611</v>
      </c>
      <c r="GA143" s="619"/>
      <c r="GB143" s="619"/>
      <c r="GC143" s="155" t="s">
        <v>724</v>
      </c>
      <c r="GO143" s="619" t="s">
        <v>904</v>
      </c>
      <c r="GP143" s="619"/>
      <c r="GQ143" s="619"/>
      <c r="GR143" s="619" t="s">
        <v>611</v>
      </c>
      <c r="GS143" s="619"/>
      <c r="GT143" s="619"/>
      <c r="GU143" s="155" t="s">
        <v>724</v>
      </c>
    </row>
    <row r="144" spans="1:208" x14ac:dyDescent="0.2">
      <c r="B144" s="155" t="s">
        <v>608</v>
      </c>
      <c r="C144" s="155" t="s">
        <v>609</v>
      </c>
      <c r="D144" s="155" t="s">
        <v>610</v>
      </c>
      <c r="E144" s="155" t="s">
        <v>608</v>
      </c>
      <c r="F144" s="155" t="s">
        <v>609</v>
      </c>
      <c r="G144" s="155" t="s">
        <v>610</v>
      </c>
      <c r="H144" s="155" t="s">
        <v>608</v>
      </c>
      <c r="I144" s="155" t="s">
        <v>609</v>
      </c>
      <c r="J144" s="155" t="s">
        <v>610</v>
      </c>
      <c r="AD144" s="155" t="s">
        <v>608</v>
      </c>
      <c r="AE144" s="155" t="s">
        <v>609</v>
      </c>
      <c r="AF144" s="155" t="s">
        <v>610</v>
      </c>
      <c r="AG144" s="155" t="s">
        <v>608</v>
      </c>
      <c r="AH144" s="155" t="s">
        <v>609</v>
      </c>
      <c r="AI144" s="155" t="s">
        <v>610</v>
      </c>
      <c r="AJ144" s="155" t="s">
        <v>608</v>
      </c>
      <c r="AK144" s="155" t="s">
        <v>609</v>
      </c>
      <c r="AL144" s="155" t="s">
        <v>610</v>
      </c>
      <c r="AV144" s="155" t="s">
        <v>608</v>
      </c>
      <c r="AW144" s="155" t="s">
        <v>609</v>
      </c>
      <c r="AX144" s="155" t="s">
        <v>610</v>
      </c>
      <c r="AY144" s="155" t="s">
        <v>608</v>
      </c>
      <c r="AZ144" s="155" t="s">
        <v>609</v>
      </c>
      <c r="BA144" s="155" t="s">
        <v>610</v>
      </c>
      <c r="BB144" s="155" t="s">
        <v>608</v>
      </c>
      <c r="BC144" s="155" t="s">
        <v>609</v>
      </c>
      <c r="BD144" s="155" t="s">
        <v>610</v>
      </c>
      <c r="BO144" s="155" t="s">
        <v>608</v>
      </c>
      <c r="BP144" s="155" t="s">
        <v>609</v>
      </c>
      <c r="BQ144" s="155" t="s">
        <v>610</v>
      </c>
      <c r="BR144" s="155" t="s">
        <v>608</v>
      </c>
      <c r="BS144" s="155" t="s">
        <v>609</v>
      </c>
      <c r="BT144" s="155" t="s">
        <v>610</v>
      </c>
      <c r="BU144" s="155" t="s">
        <v>608</v>
      </c>
      <c r="BV144" s="155" t="s">
        <v>609</v>
      </c>
      <c r="BW144" s="155" t="s">
        <v>610</v>
      </c>
      <c r="CG144" s="155" t="s">
        <v>608</v>
      </c>
      <c r="CH144" s="155" t="s">
        <v>609</v>
      </c>
      <c r="CI144" s="155" t="s">
        <v>610</v>
      </c>
      <c r="CJ144" s="155" t="s">
        <v>608</v>
      </c>
      <c r="CK144" s="155" t="s">
        <v>609</v>
      </c>
      <c r="CL144" s="155" t="s">
        <v>610</v>
      </c>
      <c r="CM144" s="155" t="s">
        <v>608</v>
      </c>
      <c r="CN144" s="155" t="s">
        <v>609</v>
      </c>
      <c r="CO144" s="155" t="s">
        <v>610</v>
      </c>
      <c r="CX144" s="155" t="s">
        <v>608</v>
      </c>
      <c r="CY144" s="155" t="s">
        <v>609</v>
      </c>
      <c r="CZ144" s="155" t="s">
        <v>610</v>
      </c>
      <c r="DA144" s="155" t="s">
        <v>608</v>
      </c>
      <c r="DB144" s="155" t="s">
        <v>609</v>
      </c>
      <c r="DC144" s="155" t="s">
        <v>610</v>
      </c>
      <c r="DD144" s="155" t="s">
        <v>608</v>
      </c>
      <c r="DE144" s="155" t="s">
        <v>609</v>
      </c>
      <c r="DF144" s="155" t="s">
        <v>610</v>
      </c>
      <c r="DO144" s="155" t="s">
        <v>608</v>
      </c>
      <c r="DP144" s="155" t="s">
        <v>609</v>
      </c>
      <c r="DQ144" s="155" t="s">
        <v>610</v>
      </c>
      <c r="DR144" s="155" t="s">
        <v>608</v>
      </c>
      <c r="DS144" s="155" t="s">
        <v>609</v>
      </c>
      <c r="DT144" s="155" t="s">
        <v>610</v>
      </c>
      <c r="DU144" s="155" t="s">
        <v>608</v>
      </c>
      <c r="DV144" s="155" t="s">
        <v>609</v>
      </c>
      <c r="DW144" s="155" t="s">
        <v>610</v>
      </c>
      <c r="EG144" s="155" t="s">
        <v>608</v>
      </c>
      <c r="EH144" s="155" t="s">
        <v>609</v>
      </c>
      <c r="EI144" s="155" t="s">
        <v>610</v>
      </c>
      <c r="EJ144" s="155" t="s">
        <v>608</v>
      </c>
      <c r="EK144" s="155" t="s">
        <v>609</v>
      </c>
      <c r="EL144" s="155" t="s">
        <v>610</v>
      </c>
      <c r="EM144" s="155" t="s">
        <v>608</v>
      </c>
      <c r="EN144" s="155" t="s">
        <v>609</v>
      </c>
      <c r="EO144" s="155" t="s">
        <v>610</v>
      </c>
      <c r="ER144" s="155" t="s">
        <v>608</v>
      </c>
      <c r="ES144" s="155" t="s">
        <v>609</v>
      </c>
      <c r="ET144" s="155" t="s">
        <v>610</v>
      </c>
      <c r="EU144" s="155" t="s">
        <v>608</v>
      </c>
      <c r="EV144" s="155" t="s">
        <v>609</v>
      </c>
      <c r="EW144" s="155" t="s">
        <v>610</v>
      </c>
      <c r="EX144" s="155" t="s">
        <v>608</v>
      </c>
      <c r="EY144" s="155" t="s">
        <v>609</v>
      </c>
      <c r="EZ144" s="155" t="s">
        <v>610</v>
      </c>
      <c r="FC144" s="155" t="s">
        <v>608</v>
      </c>
      <c r="FD144" s="155" t="s">
        <v>609</v>
      </c>
      <c r="FE144" s="155" t="s">
        <v>610</v>
      </c>
      <c r="FF144" s="155" t="s">
        <v>608</v>
      </c>
      <c r="FG144" s="155" t="s">
        <v>609</v>
      </c>
      <c r="FH144" s="155" t="s">
        <v>610</v>
      </c>
      <c r="FI144" s="155" t="s">
        <v>608</v>
      </c>
      <c r="FJ144" s="155" t="s">
        <v>609</v>
      </c>
      <c r="FK144" s="155" t="s">
        <v>610</v>
      </c>
      <c r="FW144" s="155" t="s">
        <v>608</v>
      </c>
      <c r="FX144" s="155" t="s">
        <v>609</v>
      </c>
      <c r="FY144" s="155" t="s">
        <v>610</v>
      </c>
      <c r="FZ144" s="155" t="s">
        <v>608</v>
      </c>
      <c r="GA144" s="155" t="s">
        <v>609</v>
      </c>
      <c r="GB144" s="155" t="s">
        <v>610</v>
      </c>
      <c r="GC144" s="155" t="s">
        <v>608</v>
      </c>
      <c r="GD144" s="155" t="s">
        <v>609</v>
      </c>
      <c r="GE144" s="155" t="s">
        <v>610</v>
      </c>
      <c r="GO144" s="155" t="s">
        <v>608</v>
      </c>
      <c r="GP144" s="155" t="s">
        <v>609</v>
      </c>
      <c r="GQ144" s="155" t="s">
        <v>610</v>
      </c>
      <c r="GR144" s="155" t="s">
        <v>608</v>
      </c>
      <c r="GS144" s="155" t="s">
        <v>609</v>
      </c>
      <c r="GT144" s="155" t="s">
        <v>610</v>
      </c>
      <c r="GU144" s="155" t="s">
        <v>608</v>
      </c>
      <c r="GV144" s="155" t="s">
        <v>609</v>
      </c>
      <c r="GW144" s="155" t="s">
        <v>610</v>
      </c>
    </row>
    <row r="145" spans="1:205" x14ac:dyDescent="0.2">
      <c r="A145" s="155" t="s">
        <v>901</v>
      </c>
      <c r="B145" s="89">
        <f>IF(OR('Verwerken Verwarming en Tapwate'!$B$5=7,'Verwerken Verwarming en Tapwate'!$B$5=11),0,IF('Verwerken Verwarming en Tapwate'!$B$5=8,0,$B$142*$B$130/35.17))</f>
        <v>0</v>
      </c>
      <c r="C145" s="89">
        <f>IF(OR('Verwerken Verwarming en Tapwate'!$B$5=7,'Verwerken Verwarming en Tapwate'!$B$5=11),0,IF('Verwerken Verwarming en Tapwate'!$B$5=8,$B$142*$B$130/1000,0))</f>
        <v>0</v>
      </c>
      <c r="D145" s="89">
        <f>IF(OR('Verwerken Verwarming en Tapwate'!$B$5=7,'Verwerken Verwarming en Tapwate'!$B$5=11),$B$142*$B$130/9.23,IF('Verwerken Verwarming en Tapwate'!$B$5=8,0,0))</f>
        <v>0</v>
      </c>
      <c r="E145" s="89">
        <f>IF(OR('Verwerken Verwarming en Tapwate'!$E$5=7,'Verwerken Verwarming en Tapwate'!$E$5=11),0,IF('Verwerken Verwarming en Tapwate'!$E$5=8,0,(1-$B$142)*$B$130/35.17))</f>
        <v>0</v>
      </c>
      <c r="F145" s="89">
        <f>IF(OR('Verwerken Verwarming en Tapwate'!$E$5=7,'Verwerken Verwarming en Tapwate'!$E$5=11),0,IF('Verwerken Verwarming en Tapwate'!$E$5=8,(1-$B$142)*$B$130/1000,0))</f>
        <v>0</v>
      </c>
      <c r="G145" s="89">
        <f>IF(OR('Verwerken Verwarming en Tapwate'!$E$5=7,'Verwerken Verwarming en Tapwate'!$E$5=11),(1-$B$142)*$B$130/9.23,IF('Verwerken Verwarming en Tapwate'!$E$5=8,0,0))</f>
        <v>0</v>
      </c>
      <c r="H145" s="89">
        <f>B145+E145</f>
        <v>0</v>
      </c>
      <c r="I145" s="89">
        <f>C145+F145</f>
        <v>0</v>
      </c>
      <c r="J145" s="89">
        <f>D145+G145</f>
        <v>0</v>
      </c>
      <c r="AC145" s="155" t="s">
        <v>901</v>
      </c>
      <c r="AD145" s="89">
        <f>IF(OR('Verwerken Verwarming en Tapwate'!$B$5=7,'Verwerken Verwarming en Tapwate'!$B$5=11),0,IF('Verwerken Verwarming en Tapwate'!$B$5=8,0,$B$142*$AD$130/35.17))</f>
        <v>0</v>
      </c>
      <c r="AE145" s="89">
        <f>IF(OR('Verwerken Verwarming en Tapwate'!$B$5=7,'Verwerken Verwarming en Tapwate'!$B$5=11),0,IF('Verwerken Verwarming en Tapwate'!$B$5=8,$B$142*$AD$130/1000,0))</f>
        <v>0</v>
      </c>
      <c r="AF145" s="89">
        <f>IF(OR('Verwerken Verwarming en Tapwate'!$B$5=7,'Verwerken Verwarming en Tapwate'!$B$5=11),$B$142*$AD$130/9.23,IF('Verwerken Verwarming en Tapwate'!$B$5=8,0,0))</f>
        <v>0</v>
      </c>
      <c r="AG145" s="89">
        <f>IF(OR('Verwerken Verwarming en Tapwate'!$E$5=7,'Verwerken Verwarming en Tapwate'!$E$5=11),0,IF('Verwerken Verwarming en Tapwate'!$E$5=8,0,(1-$B$142)*$AD$130/35.17))</f>
        <v>0</v>
      </c>
      <c r="AH145" s="89">
        <f>IF(OR('Verwerken Verwarming en Tapwate'!$E$5=7,'Verwerken Verwarming en Tapwate'!$E$5=11),0,IF('Verwerken Verwarming en Tapwate'!$E$5=8,(1-$B$142)*$AD$130/1000,0))</f>
        <v>0</v>
      </c>
      <c r="AI145" s="89">
        <f>IF(OR('Verwerken Verwarming en Tapwate'!$E$5=7,'Verwerken Verwarming en Tapwate'!$E$5=11),(1-$B$142)*$AD$130/9.23,IF('Verwerken Verwarming en Tapwate'!$E$5=8,0,0))</f>
        <v>0</v>
      </c>
      <c r="AJ145" s="89">
        <f>AD145+AG145</f>
        <v>0</v>
      </c>
      <c r="AK145" s="89">
        <f>AE145+AH145</f>
        <v>0</v>
      </c>
      <c r="AL145" s="89">
        <f>AF145+AI145</f>
        <v>0</v>
      </c>
      <c r="AU145" s="155" t="s">
        <v>901</v>
      </c>
      <c r="AV145" s="89">
        <f>IF(OR('Verwerken Verwarming en Tapwate'!$B$3=7,'Verwerken Verwarming en Tapwate'!$B$3=11),0,IF('Verwerken Verwarming en Tapwate'!$B$3=8,0,$B$142*$AV$130/35.17))</f>
        <v>0</v>
      </c>
      <c r="AW145" s="89">
        <f>IF(OR('Verwerken Verwarming en Tapwate'!$B$3=7,'Verwerken Verwarming en Tapwate'!$B$3=11),0,IF('Verwerken Verwarming en Tapwate'!$B$3=8,$B$142*$AV$130/1000,0))</f>
        <v>0</v>
      </c>
      <c r="AX145" s="89">
        <f>IF(OR('Verwerken Verwarming en Tapwate'!$B$3=7,'Verwerken Verwarming en Tapwate'!$B$3=11),$B$142*$AV$130/9.23,IF('Verwerken Verwarming en Tapwate'!$B$3=8,0,0))</f>
        <v>0</v>
      </c>
      <c r="AY145" s="89">
        <f>IF(OR('Verwerken Verwarming en Tapwate'!$E$3=7,'Verwerken Verwarming en Tapwate'!$E$3=11),0,IF('Verwerken Verwarming en Tapwate'!$E$3=8,0,(1-$B$142)*$AV$130/35.17))</f>
        <v>0</v>
      </c>
      <c r="AZ145" s="89">
        <f>IF(OR('Verwerken Verwarming en Tapwate'!$E$3=7,'Verwerken Verwarming en Tapwate'!$E$3=11),0,IF('Verwerken Verwarming en Tapwate'!$E$3=8,(1-$B$142)*$AV$130/1000,0))</f>
        <v>0</v>
      </c>
      <c r="BA145" s="89">
        <f>IF(OR('Verwerken Verwarming en Tapwate'!$E$3=7,'Verwerken Verwarming en Tapwate'!$E$3=11),(1-$B$142)*$AV$130/9.23,IF('Verwerken Verwarming en Tapwate'!$E$3=8,0,0))</f>
        <v>0</v>
      </c>
      <c r="BB145" s="89">
        <f>AV145+AY145</f>
        <v>0</v>
      </c>
      <c r="BC145" s="89">
        <f>AW145+AZ145</f>
        <v>0</v>
      </c>
      <c r="BD145" s="89">
        <f>AX145+BA145</f>
        <v>0</v>
      </c>
      <c r="BN145" s="155" t="s">
        <v>901</v>
      </c>
      <c r="BO145" s="89">
        <f>IF(OR('Verwerken Verwarming en Tapwate'!$B$5=7,'Verwerken Verwarming en Tapwate'!$B$5=11),0,IF('Verwerken Verwarming en Tapwate'!$B$5=8,0,$B$142*$BO$130/35.17))</f>
        <v>0</v>
      </c>
      <c r="BP145" s="89">
        <f>IF(OR('Verwerken Verwarming en Tapwate'!$B$5=7,'Verwerken Verwarming en Tapwate'!$B$5=11),0,IF('Verwerken Verwarming en Tapwate'!$B$5=8,$B$142*$BO$130/1000,0))</f>
        <v>0</v>
      </c>
      <c r="BQ145" s="89">
        <f>IF(OR('Verwerken Verwarming en Tapwate'!$B$5=7,'Verwerken Verwarming en Tapwate'!$B$5=11),$B$142*$BO$130/9.23,IF('Verwerken Verwarming en Tapwate'!$B$5=8,0,0))</f>
        <v>0</v>
      </c>
      <c r="BR145" s="89">
        <f>IF(OR('Verwerken Verwarming en Tapwate'!$E$5=7,'Verwerken Verwarming en Tapwate'!$E$5=11),0,IF('Verwerken Verwarming en Tapwate'!$E$5=8,0,(1-$B$142)*$BO$130/35.17))</f>
        <v>0</v>
      </c>
      <c r="BS145" s="89">
        <f>IF(OR('Verwerken Verwarming en Tapwate'!$E$5=7,'Verwerken Verwarming en Tapwate'!$E$5=11),0,IF('Verwerken Verwarming en Tapwate'!$E$5=8,(1-$B$142)*$BO$130/1000,0))</f>
        <v>0</v>
      </c>
      <c r="BT145" s="89">
        <f>IF(OR('Verwerken Verwarming en Tapwate'!$E$5=7,'Verwerken Verwarming en Tapwate'!$E$5=11),(1-$B$142)*$BO$130/9.23,IF('Verwerken Verwarming en Tapwate'!$E$5=8,0,0))</f>
        <v>0</v>
      </c>
      <c r="BU145" s="89">
        <f>BO145+BR145</f>
        <v>0</v>
      </c>
      <c r="BV145" s="89">
        <f>BP145+BS145</f>
        <v>0</v>
      </c>
      <c r="BW145" s="89">
        <f>BQ145+BT145</f>
        <v>0</v>
      </c>
      <c r="CF145" s="155" t="s">
        <v>901</v>
      </c>
      <c r="CG145" s="89">
        <f>IF(OR('Verwerken Verwarming en Tapwate'!$B$5=7,'Verwerken Verwarming en Tapwate'!$B$5=11),0,IF('Verwerken Verwarming en Tapwate'!$B$5=8,0,$B$142*$CG$130/35.17))</f>
        <v>0</v>
      </c>
      <c r="CH145" s="89">
        <f>IF(OR('Verwerken Verwarming en Tapwate'!$B$5=7,'Verwerken Verwarming en Tapwate'!$B$5=11),0,IF('Verwerken Verwarming en Tapwate'!$B$5=8,$B$142*$CG$130/1000,0))</f>
        <v>0</v>
      </c>
      <c r="CI145" s="89">
        <f>IF(OR('Verwerken Verwarming en Tapwate'!$B$5=7,'Verwerken Verwarming en Tapwate'!$B$5=11),$B$142*$CG$130/9.23,IF('Verwerken Verwarming en Tapwate'!$B$5=8,0,0))</f>
        <v>0</v>
      </c>
      <c r="CJ145" s="89">
        <f>IF(OR('Verwerken Verwarming en Tapwate'!$E$5=7,'Verwerken Verwarming en Tapwate'!$E$5=11),0,IF('Verwerken Verwarming en Tapwate'!$E$5=8,0,(1-$B$142)*$CG$130/35.17))</f>
        <v>0</v>
      </c>
      <c r="CK145" s="89">
        <f>IF(OR('Verwerken Verwarming en Tapwate'!$E$5=7,'Verwerken Verwarming en Tapwate'!$E$5=11),0,IF('Verwerken Verwarming en Tapwate'!$E$5=8,(1-$B$142)*$CG$130/1000,0))</f>
        <v>0</v>
      </c>
      <c r="CL145" s="89">
        <f>IF(OR('Verwerken Verwarming en Tapwate'!$E$5=7,'Verwerken Verwarming en Tapwate'!$E$5=11),(1-$B$142)*$CG$130/9.23,IF('Verwerken Verwarming en Tapwate'!$E$5=8,0,0))</f>
        <v>0</v>
      </c>
      <c r="CM145" s="89">
        <f>CG145+CJ145</f>
        <v>0</v>
      </c>
      <c r="CN145" s="89">
        <f>CH145+CK145</f>
        <v>0</v>
      </c>
      <c r="CO145" s="89">
        <f>CI145+CL145</f>
        <v>0</v>
      </c>
      <c r="CW145" s="155" t="s">
        <v>901</v>
      </c>
      <c r="CX145" s="89">
        <f>IF(OR('Verwerken Verwarming en Tapwate'!$B$5=7,'Verwerken Verwarming en Tapwate'!$B$5=11),0,IF('Verwerken Verwarming en Tapwate'!$B$5=8,0,$B$142*$CX$130/35.17))</f>
        <v>0</v>
      </c>
      <c r="CY145" s="89">
        <f>IF(OR('Verwerken Verwarming en Tapwate'!$B$5=7,'Verwerken Verwarming en Tapwate'!$B$5=11),0,IF('Verwerken Verwarming en Tapwate'!$B$5=8,$B$142*$CX$130/1000,0))</f>
        <v>0</v>
      </c>
      <c r="CZ145" s="89">
        <f>IF(OR('Verwerken Verwarming en Tapwate'!$B$5=7,'Verwerken Verwarming en Tapwate'!$B$5=11),$B$142*$CX$130/9.23,IF('Verwerken Verwarming en Tapwate'!$B$5=8,0,0))</f>
        <v>0</v>
      </c>
      <c r="DA145" s="89">
        <f>IF(OR('Verwerken Verwarming en Tapwate'!$E$5=7,'Verwerken Verwarming en Tapwate'!$E$5=11),0,IF('Verwerken Verwarming en Tapwate'!$E$5=8,0,(1-$B$142)*$CX$130/35.17))</f>
        <v>0</v>
      </c>
      <c r="DB145" s="89">
        <f>IF(OR('Verwerken Verwarming en Tapwate'!$E$5=7,'Verwerken Verwarming en Tapwate'!$E$5=11),0,IF('Verwerken Verwarming en Tapwate'!$E$5=8,(1-$B$142)*$CX$130/1000,0))</f>
        <v>0</v>
      </c>
      <c r="DC145" s="89">
        <f>IF(OR('Verwerken Verwarming en Tapwate'!$E$5=7,'Verwerken Verwarming en Tapwate'!$E$5=11),(1-$B$142)*$CX$130/9.23,IF('Verwerken Verwarming en Tapwate'!$E$5=8,0,0))</f>
        <v>0</v>
      </c>
      <c r="DD145" s="89">
        <f>CX145+DA145</f>
        <v>0</v>
      </c>
      <c r="DE145" s="89">
        <f>CY145+DB145</f>
        <v>0</v>
      </c>
      <c r="DF145" s="89">
        <f>CZ145+DC145</f>
        <v>0</v>
      </c>
      <c r="DN145" s="155" t="s">
        <v>901</v>
      </c>
      <c r="DO145" s="89">
        <f>IF(OR('Verwerken Verwarming en Tapwate'!$B$5=7,'Verwerken Verwarming en Tapwate'!$B$5=11),0,IF('Verwerken Verwarming en Tapwate'!$B$5=8,0,$B$142*$DO$130/35.17))</f>
        <v>0</v>
      </c>
      <c r="DP145" s="89">
        <f>IF(OR('Verwerken Verwarming en Tapwate'!$B$5=7,'Verwerken Verwarming en Tapwate'!$B$5=11),0,IF('Verwerken Verwarming en Tapwate'!$B$5=8,$B$142*$DO$130/1000,0))</f>
        <v>0</v>
      </c>
      <c r="DQ145" s="89">
        <f>IF(OR('Verwerken Verwarming en Tapwate'!$B$5=7,'Verwerken Verwarming en Tapwate'!$B$5=11),$B$142*$DO$130/9.23,IF('Verwerken Verwarming en Tapwate'!$B$5=8,0,0))</f>
        <v>0</v>
      </c>
      <c r="DR145" s="89">
        <f>IF(OR('Verwerken Verwarming en Tapwate'!$E$5=7,'Verwerken Verwarming en Tapwate'!$E$5=11),0,IF('Verwerken Verwarming en Tapwate'!$E$5=8,0,(1-$B$142)*$DO$130/35.17))</f>
        <v>0</v>
      </c>
      <c r="DS145" s="89">
        <f>IF(OR('Verwerken Verwarming en Tapwate'!$E$5=7,'Verwerken Verwarming en Tapwate'!$E$5=11),0,IF('Verwerken Verwarming en Tapwate'!$E$5=8,(1-$B$142)*$DO$130/1000,0))</f>
        <v>0</v>
      </c>
      <c r="DT145" s="89">
        <f>IF(OR('Verwerken Verwarming en Tapwate'!$E$5=7,'Verwerken Verwarming en Tapwate'!$E$5=11),(1-$B$142)*$DO$130/9.23,IF('Verwerken Verwarming en Tapwate'!$E$5=8,0,0))</f>
        <v>0</v>
      </c>
      <c r="DU145" s="89">
        <f>DO145+DR145</f>
        <v>0</v>
      </c>
      <c r="DV145" s="89">
        <f>DP145+DS145</f>
        <v>0</v>
      </c>
      <c r="DW145" s="89">
        <f>DQ145+DT145</f>
        <v>0</v>
      </c>
      <c r="EF145" s="155" t="s">
        <v>901</v>
      </c>
      <c r="EG145" s="89">
        <f>IF(OR('Verwerken Verwarming en Tapwate'!$B$5=7,'Verwerken Verwarming en Tapwate'!$B$5=11),0,IF('Verwerken Verwarming en Tapwate'!$B$5=8,0,$B$142*$EG$130/35.17))</f>
        <v>0</v>
      </c>
      <c r="EH145" s="89">
        <f>IF(OR('Verwerken Verwarming en Tapwate'!$B$5=7,'Verwerken Verwarming en Tapwate'!$B$5=11),0,IF('Verwerken Verwarming en Tapwate'!$B$5=8,$B$142*$EG$130/1000,0))</f>
        <v>0</v>
      </c>
      <c r="EI145" s="89">
        <f>IF(OR('Verwerken Verwarming en Tapwate'!$B$5=7,'Verwerken Verwarming en Tapwate'!$B$5=11),$B$142*$EG$130/9.23,IF('Verwerken Verwarming en Tapwate'!$B$5=8,0,0))</f>
        <v>0</v>
      </c>
      <c r="EJ145" s="89">
        <f>IF(OR('Verwerken Verwarming en Tapwate'!$E$5=7,'Verwerken Verwarming en Tapwate'!$E$5=11),0,IF('Verwerken Verwarming en Tapwate'!$E$5=8,0,(1-$B$142)*$EG$130/35.17))</f>
        <v>0</v>
      </c>
      <c r="EK145" s="89">
        <f>IF(OR('Verwerken Verwarming en Tapwate'!$E$5=7,'Verwerken Verwarming en Tapwate'!$E$5=11),0,IF('Verwerken Verwarming en Tapwate'!$E$5=8,(1-$B$142)*$EG$130/1000,0))</f>
        <v>0</v>
      </c>
      <c r="EL145" s="89">
        <f>IF(OR('Verwerken Verwarming en Tapwate'!$E$5=7,'Verwerken Verwarming en Tapwate'!$E$5=11),(1-$B$142)*$EG$130/9.23,IF('Verwerken Verwarming en Tapwate'!$E$5=8,0,0))</f>
        <v>0</v>
      </c>
      <c r="EM145" s="89">
        <f>EG145+EJ145</f>
        <v>0</v>
      </c>
      <c r="EN145" s="89">
        <f>EH145+EK145</f>
        <v>0</v>
      </c>
      <c r="EO145" s="89">
        <f>EI145+EL145</f>
        <v>0</v>
      </c>
      <c r="EQ145" s="155" t="s">
        <v>901</v>
      </c>
      <c r="ER145" s="89">
        <f>IF(OR('Verwerken Verwarming en Tapwate'!$B$5=7,'Verwerken Verwarming en Tapwate'!$B$5=11),0,IF('Verwerken Verwarming en Tapwate'!$B$5=8,0,$B$142*$ER$130/35.17))</f>
        <v>0</v>
      </c>
      <c r="ES145" s="89">
        <f>IF(OR('Verwerken Verwarming en Tapwate'!$B$5=7,'Verwerken Verwarming en Tapwate'!$B$5=11),0,IF('Verwerken Verwarming en Tapwate'!$B$5=8,$B$142*$ER$130/1000,0))</f>
        <v>0</v>
      </c>
      <c r="ET145" s="89">
        <f>IF(OR('Verwerken Verwarming en Tapwate'!$B$5=7,'Verwerken Verwarming en Tapwate'!$B$5=11),$B$142*$ER$130/9.23,IF('Verwerken Verwarming en Tapwate'!$B$5=8,0,0))</f>
        <v>0</v>
      </c>
      <c r="EU145" s="89">
        <f>IF(OR('Verwerken Verwarming en Tapwate'!$E$5=7,'Verwerken Verwarming en Tapwate'!$E$5=11),0,IF('Verwerken Verwarming en Tapwate'!$E$5=8,0,(1-$B$142)*$ER$130/35.17))</f>
        <v>0</v>
      </c>
      <c r="EV145" s="89">
        <f>IF(OR('Verwerken Verwarming en Tapwate'!$E$5=7,'Verwerken Verwarming en Tapwate'!$E$5=11),0,IF('Verwerken Verwarming en Tapwate'!$E$5=8,(1-$B$142)*$ER$130/1000,0))</f>
        <v>0</v>
      </c>
      <c r="EW145" s="89">
        <f>IF(OR('Verwerken Verwarming en Tapwate'!$E$5=7,'Verwerken Verwarming en Tapwate'!$E$5=11),(1-$B$142)*$ER$130/9.23,IF('Verwerken Verwarming en Tapwate'!$E$5=8,0,0))</f>
        <v>0</v>
      </c>
      <c r="EX145" s="89">
        <f>ER145+EU145</f>
        <v>0</v>
      </c>
      <c r="EY145" s="89">
        <f>ES145+EV145</f>
        <v>0</v>
      </c>
      <c r="EZ145" s="89">
        <f>ET145+EW145</f>
        <v>0</v>
      </c>
      <c r="FB145" s="155" t="s">
        <v>901</v>
      </c>
      <c r="FC145" s="89">
        <f>IF(OR('Verwerken Verwarming en Tapwate'!$B$5=7,'Verwerken Verwarming en Tapwate'!$B$5=11),0,IF('Verwerken Verwarming en Tapwate'!$B$5=8,0,$B$142*$FC$130/35.17))</f>
        <v>0</v>
      </c>
      <c r="FD145" s="89">
        <f>IF(OR('Verwerken Verwarming en Tapwate'!$B$5=7,'Verwerken Verwarming en Tapwate'!$B$5=11),0,IF('Verwerken Verwarming en Tapwate'!$B$5=8,$B$142*$FC$130/1000,0))</f>
        <v>0</v>
      </c>
      <c r="FE145" s="89">
        <f>IF(OR('Verwerken Verwarming en Tapwate'!$B$5=7,'Verwerken Verwarming en Tapwate'!$B$5=11),$B$142*$FC$130/9.23,IF('Verwerken Verwarming en Tapwate'!$B$5=8,0,0))</f>
        <v>0</v>
      </c>
      <c r="FF145" s="89">
        <f>IF(OR('Verwerken Verwarming en Tapwate'!$E$5=7,'Verwerken Verwarming en Tapwate'!$E$5=11),0,IF('Verwerken Verwarming en Tapwate'!$E$5=8,0,(1-$B$142)*$FC$130/35.17))</f>
        <v>0</v>
      </c>
      <c r="FG145" s="89">
        <f>IF(OR('Verwerken Verwarming en Tapwate'!$E$5=7,'Verwerken Verwarming en Tapwate'!$E$5=11),0,IF('Verwerken Verwarming en Tapwate'!$E$5=8,(1-$B$142)*$FC$130/1000,0))</f>
        <v>0</v>
      </c>
      <c r="FH145" s="89">
        <f>IF(OR('Verwerken Verwarming en Tapwate'!$E$5=7,'Verwerken Verwarming en Tapwate'!$E$5=11),(1-$B$142)*$FC$130/9.23,IF('Verwerken Verwarming en Tapwate'!$E$5=8,0,0))</f>
        <v>0</v>
      </c>
      <c r="FI145" s="89">
        <f>FC145+FF145</f>
        <v>0</v>
      </c>
      <c r="FJ145" s="89">
        <f>FD145+FG145</f>
        <v>0</v>
      </c>
      <c r="FK145" s="89">
        <f>FE145+FH145</f>
        <v>0</v>
      </c>
      <c r="FV145" s="155" t="s">
        <v>901</v>
      </c>
      <c r="FW145" s="89">
        <f>IF(OR('Verwerken Verwarming en Tapwate'!$B$5=7,'Verwerken Verwarming en Tapwate'!$B$5=11),0,IF('Verwerken Verwarming en Tapwate'!$B$5=8,0,$B$142*$FW$130/35.17))</f>
        <v>0</v>
      </c>
      <c r="FX145" s="89">
        <f>IF(OR('Verwerken Verwarming en Tapwate'!$B$5=7,'Verwerken Verwarming en Tapwate'!$B$5=11),0,IF('Verwerken Verwarming en Tapwate'!$B$5=8,$B$142*$FW$130/1000,0))</f>
        <v>0</v>
      </c>
      <c r="FY145" s="89">
        <f>IF(OR('Verwerken Verwarming en Tapwate'!$B$5=7,'Verwerken Verwarming en Tapwate'!$B$5=11),$B$142*$FW$130/9.23,IF('Verwerken Verwarming en Tapwate'!$B$5=8,0,0))</f>
        <v>0</v>
      </c>
      <c r="FZ145" s="89">
        <f>IF(OR('Verwerken Verwarming en Tapwate'!$E$5=7,'Verwerken Verwarming en Tapwate'!$E$5=11),0,IF('Verwerken Verwarming en Tapwate'!$E$5=8,0,(1-$B$142)*$FW$130/35.17))</f>
        <v>0</v>
      </c>
      <c r="GA145" s="89">
        <f>IF(OR('Verwerken Verwarming en Tapwate'!$E$5=7,'Verwerken Verwarming en Tapwate'!$E$5=11),0,IF('Verwerken Verwarming en Tapwate'!$E$5=8,(1-$B$142)*$FW$130/1000,0))</f>
        <v>0</v>
      </c>
      <c r="GB145" s="89">
        <f>IF(OR('Verwerken Verwarming en Tapwate'!$E$5=7,'Verwerken Verwarming en Tapwate'!$E$5=11),(1-$B$142)*$FW$130/9.23,IF('Verwerken Verwarming en Tapwate'!$E$5=8,0,0))</f>
        <v>0</v>
      </c>
      <c r="GC145" s="89">
        <f>FW145+FZ145</f>
        <v>0</v>
      </c>
      <c r="GD145" s="89">
        <f>FX145+GA145</f>
        <v>0</v>
      </c>
      <c r="GE145" s="89">
        <f>FY145+GB145</f>
        <v>0</v>
      </c>
      <c r="GN145" s="155" t="s">
        <v>901</v>
      </c>
      <c r="GO145" s="89">
        <f>IF(OR('Verwerken Verwarming en Tapwate'!$B$5=7,'Verwerken Verwarming en Tapwate'!$B$5=11),0,IF('Verwerken Verwarming en Tapwate'!$B$5=8,0,$B$142*$GO$130/35.17))</f>
        <v>0</v>
      </c>
      <c r="GP145" s="89">
        <f>IF(OR('Verwerken Verwarming en Tapwate'!$B$5=7,'Verwerken Verwarming en Tapwate'!$B$5=11),0,IF('Verwerken Verwarming en Tapwate'!$B$5=8,$B$142*$GO$130/1000,0))</f>
        <v>0</v>
      </c>
      <c r="GQ145" s="89">
        <f>IF(OR('Verwerken Verwarming en Tapwate'!$B$5=7,'Verwerken Verwarming en Tapwate'!$B$5=11),$B$142*$GO$130/9.23,IF('Verwerken Verwarming en Tapwate'!$B$5=8,0,0))</f>
        <v>0</v>
      </c>
      <c r="GR145" s="89">
        <f>IF(OR('Verwerken Verwarming en Tapwate'!$E$5=7,'Verwerken Verwarming en Tapwate'!$E$5=11),0,IF('Verwerken Verwarming en Tapwate'!$E$5=8,0,(1-$B$142)*$GO$130/35.17))</f>
        <v>0</v>
      </c>
      <c r="GS145" s="89">
        <f>IF(OR('Verwerken Verwarming en Tapwate'!$E$5=7,'Verwerken Verwarming en Tapwate'!$E$5=11),0,IF('Verwerken Verwarming en Tapwate'!$E$5=8,(1-$B$142)*$GO$130/1000,0))</f>
        <v>0</v>
      </c>
      <c r="GT145" s="89">
        <f>IF(OR('Verwerken Verwarming en Tapwate'!$E$5=7,'Verwerken Verwarming en Tapwate'!$E$5=11),(1-$B$142)*$GO$130/9.23,IF('Verwerken Verwarming en Tapwate'!$E$5=8,0,0))</f>
        <v>0</v>
      </c>
      <c r="GU145" s="89">
        <f>GO145+GR145</f>
        <v>0</v>
      </c>
      <c r="GV145" s="89">
        <f>GP145+GS145</f>
        <v>0</v>
      </c>
      <c r="GW145" s="89">
        <f>GQ145+GT145</f>
        <v>0</v>
      </c>
    </row>
    <row r="146" spans="1:205" x14ac:dyDescent="0.2">
      <c r="A146" s="155" t="s">
        <v>893</v>
      </c>
      <c r="J146" s="89">
        <f>B131/9.23</f>
        <v>0</v>
      </c>
      <c r="AC146" s="155" t="s">
        <v>893</v>
      </c>
      <c r="AL146" s="89">
        <f>AD131/9.23</f>
        <v>0</v>
      </c>
      <c r="AU146" s="155" t="s">
        <v>893</v>
      </c>
      <c r="BD146" s="89">
        <f>AV131/9.23</f>
        <v>0</v>
      </c>
      <c r="BN146" s="155" t="s">
        <v>893</v>
      </c>
      <c r="BW146" s="89">
        <f>BO131/9.23</f>
        <v>0</v>
      </c>
      <c r="CF146" s="155" t="s">
        <v>893</v>
      </c>
      <c r="CO146" s="89">
        <f>CG131/9.23</f>
        <v>0</v>
      </c>
      <c r="CW146" s="155" t="s">
        <v>893</v>
      </c>
      <c r="DF146" s="89">
        <f>CX131/9.23</f>
        <v>0</v>
      </c>
      <c r="DN146" s="155" t="s">
        <v>893</v>
      </c>
      <c r="DW146" s="89">
        <f>DO131/9.23</f>
        <v>0</v>
      </c>
      <c r="EF146" s="155" t="s">
        <v>893</v>
      </c>
      <c r="EO146" s="89">
        <f>EG131/9.23</f>
        <v>0</v>
      </c>
      <c r="EQ146" s="155" t="s">
        <v>893</v>
      </c>
      <c r="EZ146" s="89">
        <f>ER131/9.23</f>
        <v>0</v>
      </c>
      <c r="FB146" s="155" t="s">
        <v>893</v>
      </c>
      <c r="FK146" s="89">
        <f>FC131/9.23</f>
        <v>0</v>
      </c>
      <c r="FV146" s="155" t="s">
        <v>893</v>
      </c>
      <c r="GE146" s="89">
        <f>FW131/9.23</f>
        <v>0</v>
      </c>
      <c r="GN146" s="155" t="s">
        <v>893</v>
      </c>
      <c r="GW146" s="89">
        <f>GO131/9.23</f>
        <v>0</v>
      </c>
    </row>
    <row r="147" spans="1:205" x14ac:dyDescent="0.2">
      <c r="A147" s="155" t="s">
        <v>902</v>
      </c>
      <c r="J147" s="89">
        <f>B133/9.23</f>
        <v>0</v>
      </c>
      <c r="AC147" s="155" t="s">
        <v>902</v>
      </c>
      <c r="AL147" s="89">
        <f>AD133/9.23</f>
        <v>0</v>
      </c>
      <c r="AU147" s="155" t="s">
        <v>902</v>
      </c>
      <c r="BD147" s="89">
        <f>AV133/9.23</f>
        <v>0</v>
      </c>
      <c r="BN147" s="155" t="s">
        <v>902</v>
      </c>
      <c r="BW147" s="89">
        <f>BO133/9.23</f>
        <v>0</v>
      </c>
      <c r="CF147" s="155" t="s">
        <v>902</v>
      </c>
      <c r="CO147" s="89">
        <f>CG133/9.23</f>
        <v>0</v>
      </c>
      <c r="CW147" s="155" t="s">
        <v>902</v>
      </c>
      <c r="DF147" s="89">
        <f>CX133/9.23</f>
        <v>0</v>
      </c>
      <c r="DN147" s="155" t="s">
        <v>902</v>
      </c>
      <c r="DW147" s="89">
        <f>DO133/9.23</f>
        <v>0</v>
      </c>
      <c r="EF147" s="155" t="s">
        <v>902</v>
      </c>
      <c r="EO147" s="89">
        <f>EG133/9.23</f>
        <v>0</v>
      </c>
      <c r="EQ147" s="155" t="s">
        <v>902</v>
      </c>
      <c r="EZ147" s="89">
        <f>ER133/9.23</f>
        <v>0</v>
      </c>
      <c r="FB147" s="155" t="s">
        <v>902</v>
      </c>
      <c r="FK147" s="89">
        <f>FC133/9.23</f>
        <v>0</v>
      </c>
      <c r="FV147" s="155" t="s">
        <v>902</v>
      </c>
      <c r="GE147" s="89">
        <f>FW133/9.23</f>
        <v>0</v>
      </c>
      <c r="GN147" s="155" t="s">
        <v>902</v>
      </c>
      <c r="GW147" s="89">
        <f>GO133/9.23</f>
        <v>0</v>
      </c>
    </row>
    <row r="148" spans="1:205" x14ac:dyDescent="0.2">
      <c r="A148" s="155" t="s">
        <v>903</v>
      </c>
      <c r="H148" s="89">
        <f>IF('Verwerken Verwarming en Tapwate'!C12&lt;3,0,IF('Verwerken Verwarming en Tapwate'!C12=9,0,'Verwerken Verwarming en Tapwate'!H12/35.17))</f>
        <v>0</v>
      </c>
      <c r="I148" s="89">
        <f>IF('Verwerken Verwarming en Tapwate'!C12&lt;3,0,IF('Verwerken Verwarming en Tapwate'!C12=9,'Verwerken Verwarming en Tapwate'!H12/1000,0))</f>
        <v>0</v>
      </c>
      <c r="J148" s="89">
        <f>IF('Verwerken Verwarming en Tapwate'!C12=2,'Verwerken Verwarming en Tapwate'!H12/9.23,IF('Verwerken Verwarming en Tapwate'!C12=9,0,0))</f>
        <v>0</v>
      </c>
      <c r="AC148" s="155" t="s">
        <v>903</v>
      </c>
      <c r="AJ148" s="89">
        <f>H148</f>
        <v>0</v>
      </c>
      <c r="AK148" s="89">
        <f>I148</f>
        <v>0</v>
      </c>
      <c r="AL148" s="89">
        <f>J148</f>
        <v>0</v>
      </c>
      <c r="AU148" s="155" t="s">
        <v>903</v>
      </c>
      <c r="BB148" s="89">
        <f>H148</f>
        <v>0</v>
      </c>
      <c r="BC148" s="89">
        <f>I148</f>
        <v>0</v>
      </c>
      <c r="BD148" s="89">
        <f>J148</f>
        <v>0</v>
      </c>
      <c r="BN148" s="155" t="s">
        <v>903</v>
      </c>
      <c r="BU148" s="89">
        <f>H148</f>
        <v>0</v>
      </c>
      <c r="BV148" s="89">
        <f>I148</f>
        <v>0</v>
      </c>
      <c r="BW148" s="89">
        <f>J148</f>
        <v>0</v>
      </c>
      <c r="CF148" s="155" t="s">
        <v>903</v>
      </c>
      <c r="CM148" s="89">
        <f>H148</f>
        <v>0</v>
      </c>
      <c r="CN148" s="89">
        <f>I148</f>
        <v>0</v>
      </c>
      <c r="CO148" s="89">
        <f>J148</f>
        <v>0</v>
      </c>
      <c r="CW148" s="155" t="s">
        <v>903</v>
      </c>
      <c r="DD148" s="89">
        <f>H148</f>
        <v>0</v>
      </c>
      <c r="DE148" s="89">
        <f>I148</f>
        <v>0</v>
      </c>
      <c r="DF148" s="89">
        <f>J148</f>
        <v>0</v>
      </c>
      <c r="DN148" s="155" t="s">
        <v>903</v>
      </c>
      <c r="DU148" s="89">
        <f>H148</f>
        <v>0</v>
      </c>
      <c r="DV148" s="89">
        <f>I148</f>
        <v>0</v>
      </c>
      <c r="DW148" s="89">
        <f>J148</f>
        <v>0</v>
      </c>
      <c r="EF148" s="155" t="s">
        <v>903</v>
      </c>
      <c r="EM148" s="89">
        <f>H148</f>
        <v>0</v>
      </c>
      <c r="EN148" s="89">
        <f>I148</f>
        <v>0</v>
      </c>
      <c r="EO148" s="89">
        <f>J148</f>
        <v>0</v>
      </c>
      <c r="EQ148" s="155" t="s">
        <v>903</v>
      </c>
      <c r="EX148" s="89">
        <f>H148</f>
        <v>0</v>
      </c>
      <c r="EY148" s="89">
        <f>I148</f>
        <v>0</v>
      </c>
      <c r="EZ148" s="89">
        <f>J148</f>
        <v>0</v>
      </c>
      <c r="FB148" s="155" t="s">
        <v>903</v>
      </c>
      <c r="FI148" s="89">
        <f>H148</f>
        <v>0</v>
      </c>
      <c r="FJ148" s="89">
        <f>I148</f>
        <v>0</v>
      </c>
      <c r="FK148" s="89">
        <f>J148</f>
        <v>0</v>
      </c>
      <c r="FV148" s="155" t="s">
        <v>903</v>
      </c>
      <c r="GC148" s="89">
        <f>H148</f>
        <v>0</v>
      </c>
      <c r="GD148" s="89">
        <f>I148</f>
        <v>0</v>
      </c>
      <c r="GE148" s="89">
        <f>J148</f>
        <v>0</v>
      </c>
      <c r="GN148" s="155" t="s">
        <v>903</v>
      </c>
      <c r="GU148" s="89">
        <f>H148</f>
        <v>0</v>
      </c>
      <c r="GV148" s="89">
        <f>I148</f>
        <v>0</v>
      </c>
      <c r="GW148" s="89">
        <f>J148</f>
        <v>0</v>
      </c>
    </row>
    <row r="149" spans="1:205" x14ac:dyDescent="0.2">
      <c r="A149" s="155" t="s">
        <v>895</v>
      </c>
      <c r="J149" s="89">
        <f>B132/9.23</f>
        <v>0</v>
      </c>
      <c r="AC149" s="155" t="s">
        <v>895</v>
      </c>
      <c r="AL149" s="89">
        <f>AD132/9.23</f>
        <v>0</v>
      </c>
      <c r="AU149" s="155" t="s">
        <v>895</v>
      </c>
      <c r="BD149" s="89">
        <f>AV132/9.23</f>
        <v>0</v>
      </c>
      <c r="BN149" s="155" t="s">
        <v>895</v>
      </c>
      <c r="BW149" s="89">
        <f>BO132/9.23</f>
        <v>0</v>
      </c>
      <c r="CF149" s="155" t="s">
        <v>895</v>
      </c>
      <c r="CO149" s="89">
        <f>CG132/9.23</f>
        <v>0</v>
      </c>
      <c r="CW149" s="155" t="s">
        <v>895</v>
      </c>
      <c r="DF149" s="89">
        <f>CX132/9.23</f>
        <v>0</v>
      </c>
      <c r="DN149" s="155" t="s">
        <v>895</v>
      </c>
      <c r="DW149" s="89">
        <f>DO132/9.23</f>
        <v>0</v>
      </c>
      <c r="EF149" s="155" t="s">
        <v>895</v>
      </c>
      <c r="EO149" s="89">
        <f>EG132/9.23</f>
        <v>0</v>
      </c>
      <c r="EQ149" s="155" t="s">
        <v>895</v>
      </c>
      <c r="EZ149" s="89">
        <f>ER132/9.23</f>
        <v>0</v>
      </c>
      <c r="FB149" s="155" t="s">
        <v>895</v>
      </c>
      <c r="FK149" s="89">
        <f>FC132/9.23</f>
        <v>0</v>
      </c>
      <c r="FV149" s="155" t="s">
        <v>895</v>
      </c>
      <c r="GE149" s="89">
        <f>FW132/9.23</f>
        <v>0</v>
      </c>
      <c r="GF149" s="89">
        <f>FX132/9.23</f>
        <v>0</v>
      </c>
      <c r="GG149" s="89">
        <f>FY132/9.23</f>
        <v>0</v>
      </c>
      <c r="GN149" s="155" t="s">
        <v>895</v>
      </c>
      <c r="GW149" s="89">
        <f>GO132/9.23</f>
        <v>0</v>
      </c>
    </row>
    <row r="150" spans="1:205" x14ac:dyDescent="0.2">
      <c r="B150" s="155" t="s">
        <v>724</v>
      </c>
      <c r="AD150" s="155" t="s">
        <v>724</v>
      </c>
      <c r="AV150" s="155" t="s">
        <v>724</v>
      </c>
      <c r="BO150" s="155" t="s">
        <v>724</v>
      </c>
      <c r="CG150" s="155" t="s">
        <v>724</v>
      </c>
      <c r="CX150" s="155" t="s">
        <v>724</v>
      </c>
      <c r="DO150" s="155" t="s">
        <v>724</v>
      </c>
      <c r="EG150" s="155" t="s">
        <v>724</v>
      </c>
      <c r="ER150" s="155" t="s">
        <v>724</v>
      </c>
      <c r="FC150" s="155" t="s">
        <v>724</v>
      </c>
      <c r="FW150" s="155" t="s">
        <v>724</v>
      </c>
      <c r="GO150" s="155" t="s">
        <v>724</v>
      </c>
    </row>
    <row r="151" spans="1:205" x14ac:dyDescent="0.2">
      <c r="A151" s="247" t="s">
        <v>5</v>
      </c>
      <c r="B151" s="89">
        <f>H145+H146+H147+H148</f>
        <v>0</v>
      </c>
      <c r="AC151" s="247" t="s">
        <v>5</v>
      </c>
      <c r="AD151" s="89">
        <f>AJ145+AJ146+AJ147+AJ148</f>
        <v>0</v>
      </c>
      <c r="AU151" s="247" t="s">
        <v>5</v>
      </c>
      <c r="AV151" s="89">
        <f>BB145+BB146+BB147+BB148</f>
        <v>0</v>
      </c>
      <c r="BN151" s="247" t="s">
        <v>5</v>
      </c>
      <c r="BO151" s="89">
        <f>BU145+BU146+BU147+BU148</f>
        <v>0</v>
      </c>
      <c r="CF151" s="247" t="s">
        <v>5</v>
      </c>
      <c r="CG151" s="89">
        <f>CM145+CM146+CM147+CM148</f>
        <v>0</v>
      </c>
      <c r="CW151" s="247" t="s">
        <v>5</v>
      </c>
      <c r="CX151" s="89">
        <f>DD145+DD146+DD147+DD148</f>
        <v>0</v>
      </c>
      <c r="DN151" s="247" t="s">
        <v>5</v>
      </c>
      <c r="DO151" s="89">
        <f>DU145+DU146+DU147+DU148</f>
        <v>0</v>
      </c>
      <c r="EF151" s="247" t="s">
        <v>5</v>
      </c>
      <c r="EG151" s="89">
        <f>EM145+EM146+EM147+EM148</f>
        <v>0</v>
      </c>
      <c r="EQ151" s="247" t="s">
        <v>5</v>
      </c>
      <c r="ER151" s="89">
        <f>EX145+EX146+EX147+EX148</f>
        <v>0</v>
      </c>
      <c r="FB151" s="247" t="s">
        <v>5</v>
      </c>
      <c r="FC151" s="89">
        <f>FI145+FI146+FI147+FI148</f>
        <v>0</v>
      </c>
      <c r="FV151" s="247" t="s">
        <v>5</v>
      </c>
      <c r="FW151" s="89">
        <f>GC145+GC146+GC147+GC148</f>
        <v>0</v>
      </c>
      <c r="GN151" s="247" t="s">
        <v>5</v>
      </c>
      <c r="GO151" s="89">
        <f>GU145+GU146+GU147+GU148</f>
        <v>0</v>
      </c>
    </row>
    <row r="152" spans="1:205" x14ac:dyDescent="0.2">
      <c r="A152" s="155" t="s">
        <v>6</v>
      </c>
      <c r="B152" s="89">
        <f>I145+I146+I147+I148</f>
        <v>0</v>
      </c>
      <c r="AC152" s="155" t="s">
        <v>6</v>
      </c>
      <c r="AD152" s="89">
        <f>AK145+AK146+AK147+AK148</f>
        <v>0</v>
      </c>
      <c r="AU152" s="155" t="s">
        <v>6</v>
      </c>
      <c r="AV152" s="89">
        <f>BC145+BC146+BC147+BC148</f>
        <v>0</v>
      </c>
      <c r="BN152" s="155" t="s">
        <v>6</v>
      </c>
      <c r="BO152" s="89">
        <f>BV145+BV146+BV147+BV148</f>
        <v>0</v>
      </c>
      <c r="CF152" s="155" t="s">
        <v>6</v>
      </c>
      <c r="CG152" s="89">
        <f>CN145+CN146+CN147+CN148</f>
        <v>0</v>
      </c>
      <c r="CW152" s="155" t="s">
        <v>6</v>
      </c>
      <c r="CX152" s="89">
        <f>DE145+DE146+DE147+DE148</f>
        <v>0</v>
      </c>
      <c r="DN152" s="155" t="s">
        <v>6</v>
      </c>
      <c r="DO152" s="89">
        <f>DV145+DV146+DV147+DV148</f>
        <v>0</v>
      </c>
      <c r="EF152" s="155" t="s">
        <v>6</v>
      </c>
      <c r="EG152" s="89">
        <f>EN145+EN146+EN147+EN148</f>
        <v>0</v>
      </c>
      <c r="EQ152" s="155" t="s">
        <v>6</v>
      </c>
      <c r="ER152" s="89">
        <f>EY145+EY146+EY147+EY148</f>
        <v>0</v>
      </c>
      <c r="FB152" s="155" t="s">
        <v>6</v>
      </c>
      <c r="FC152" s="89">
        <f>FJ145+FJ146+FJ147+FJ148</f>
        <v>0</v>
      </c>
      <c r="FV152" s="155" t="s">
        <v>6</v>
      </c>
      <c r="FW152" s="89">
        <f>GD145+GD146+GD147+GD148</f>
        <v>0</v>
      </c>
      <c r="GN152" s="155" t="s">
        <v>6</v>
      </c>
      <c r="GO152" s="89">
        <f>GV145+GV146+GV147+GV148</f>
        <v>0</v>
      </c>
    </row>
    <row r="153" spans="1:205" x14ac:dyDescent="0.2">
      <c r="A153" s="247" t="s">
        <v>610</v>
      </c>
      <c r="B153" s="89">
        <f>J145+J146+J147+J148+J149</f>
        <v>0</v>
      </c>
      <c r="AC153" s="247" t="s">
        <v>610</v>
      </c>
      <c r="AD153" s="89">
        <f>AL145+AL146+AL147+AL148+AL149</f>
        <v>0</v>
      </c>
      <c r="AU153" s="247" t="s">
        <v>610</v>
      </c>
      <c r="AV153" s="89">
        <f>BD145+BD146+BD147+BD148+BD149</f>
        <v>0</v>
      </c>
      <c r="BN153" s="247" t="s">
        <v>610</v>
      </c>
      <c r="BO153" s="89">
        <f>BW145+BW146+BW147+BW148+BW149</f>
        <v>0</v>
      </c>
      <c r="CF153" s="247" t="s">
        <v>610</v>
      </c>
      <c r="CG153" s="89">
        <f>CO145+CO146+CO147+CO148+CO149</f>
        <v>0</v>
      </c>
      <c r="CW153" s="247" t="s">
        <v>610</v>
      </c>
      <c r="CX153" s="89">
        <f>DF145+DF146+DF147+DF148+DF149</f>
        <v>0</v>
      </c>
      <c r="DN153" s="247" t="s">
        <v>610</v>
      </c>
      <c r="DO153" s="89">
        <f>DW145+DW146+DW147+DW148+DW149</f>
        <v>0</v>
      </c>
      <c r="EF153" s="247" t="s">
        <v>610</v>
      </c>
      <c r="EG153" s="89">
        <f>EO145+EO146+EO147+EO148+EO149</f>
        <v>0</v>
      </c>
      <c r="EQ153" s="247" t="s">
        <v>610</v>
      </c>
      <c r="ER153" s="89">
        <f>EZ145+EZ146+EZ147+EZ148+EZ149</f>
        <v>0</v>
      </c>
      <c r="FB153" s="247" t="s">
        <v>610</v>
      </c>
      <c r="FC153" s="89">
        <f>FK145+FK146+FK147+FK148+FK149</f>
        <v>0</v>
      </c>
      <c r="FV153" s="247" t="s">
        <v>610</v>
      </c>
      <c r="FW153" s="89">
        <f>GE145+GE146+GE147+GE148+GE149</f>
        <v>0</v>
      </c>
      <c r="GN153" s="247" t="s">
        <v>610</v>
      </c>
      <c r="GO153" s="89">
        <f>GW145+GW146+GW147+GW148+GW149</f>
        <v>0</v>
      </c>
    </row>
    <row r="157" spans="1:205" x14ac:dyDescent="0.2">
      <c r="A157" s="118" t="s">
        <v>725</v>
      </c>
      <c r="B157"/>
      <c r="C157"/>
      <c r="D157"/>
      <c r="E157"/>
    </row>
    <row r="158" spans="1:205" x14ac:dyDescent="0.2">
      <c r="A158" s="118"/>
      <c r="B158"/>
      <c r="C158"/>
      <c r="D158"/>
      <c r="E158"/>
    </row>
    <row r="159" spans="1:205" x14ac:dyDescent="0.2">
      <c r="A159"/>
      <c r="B159"/>
      <c r="C159" s="118" t="s">
        <v>605</v>
      </c>
      <c r="D159"/>
      <c r="E159"/>
      <c r="F159"/>
      <c r="G159" s="118"/>
    </row>
    <row r="160" spans="1:205" x14ac:dyDescent="0.2">
      <c r="A160"/>
      <c r="B160" s="118" t="s">
        <v>754</v>
      </c>
      <c r="C160" s="118" t="s">
        <v>608</v>
      </c>
      <c r="D160" s="118" t="s">
        <v>609</v>
      </c>
      <c r="E160" s="118" t="s">
        <v>610</v>
      </c>
      <c r="F160" s="118" t="s">
        <v>613</v>
      </c>
      <c r="G160" s="118" t="s">
        <v>47</v>
      </c>
      <c r="H160" s="155" t="s">
        <v>614</v>
      </c>
      <c r="I160" s="155" t="s">
        <v>905</v>
      </c>
      <c r="J160" s="155" t="s">
        <v>906</v>
      </c>
    </row>
    <row r="161" spans="1:11" x14ac:dyDescent="0.2">
      <c r="A161" s="118" t="s">
        <v>909</v>
      </c>
      <c r="B161" s="118">
        <f>AP61</f>
        <v>0</v>
      </c>
      <c r="C161">
        <f>IF('Verwerken Verwarming en Tapwate'!J5=1,0,$B$151-AD151)</f>
        <v>0</v>
      </c>
      <c r="D161">
        <f>$B$152-AD152</f>
        <v>0</v>
      </c>
      <c r="E161">
        <v>0</v>
      </c>
      <c r="F161">
        <f>(C161*('Invoer energieverbruik'!$C$23+'Energiebelasting en transport'!$D$13)+D161*('Invoer energieverbruik'!$C$27)+E161*'Energiebelasting en transport'!$C$24)*1.21</f>
        <v>0</v>
      </c>
      <c r="G161">
        <f>AQ61</f>
        <v>0</v>
      </c>
      <c r="H161">
        <v>0</v>
      </c>
      <c r="I161" s="89">
        <f>IF(F161&gt;0,(G161-H161)/F161,0)</f>
        <v>0</v>
      </c>
      <c r="J161" s="280">
        <f>IF(F161=0,0,(C161*35.17+D161*1000+E161*9.23)/($B$151*35.17+$B$152*1000+$B$153*9.23))</f>
        <v>0</v>
      </c>
    </row>
    <row r="162" spans="1:11" x14ac:dyDescent="0.2">
      <c r="A162" s="118" t="s">
        <v>45</v>
      </c>
      <c r="B162" s="118">
        <f>BH61</f>
        <v>0</v>
      </c>
      <c r="C162">
        <f>IF('Verwerken Verwarming en Tapwate'!J5=1,0,$B$151-AV151)</f>
        <v>0</v>
      </c>
      <c r="D162">
        <f>$B$152-AV152</f>
        <v>0</v>
      </c>
      <c r="E162">
        <v>0</v>
      </c>
      <c r="F162">
        <f>(C162*('Invoer energieverbruik'!$C$23+'Energiebelasting en transport'!$D$13)+D162*('Invoer energieverbruik'!$C$27)+E162*'Energiebelasting en transport'!$C$24)*1.21</f>
        <v>0</v>
      </c>
      <c r="G162">
        <f>BI61</f>
        <v>0</v>
      </c>
      <c r="H162">
        <v>0</v>
      </c>
      <c r="I162" s="89">
        <f>IF(F162&gt;0,(G162-H162)/F162,0)</f>
        <v>0</v>
      </c>
      <c r="J162" s="280">
        <f>IF(F162=0,0,(C162*35.17+D162*1000+E162*9.23)/($B$151*35.17+$B$152*1000+$B$153*9.23))</f>
        <v>0</v>
      </c>
    </row>
    <row r="163" spans="1:11" x14ac:dyDescent="0.2">
      <c r="A163" s="118" t="s">
        <v>847</v>
      </c>
      <c r="B163" s="118">
        <f>CA61</f>
        <v>0</v>
      </c>
      <c r="C163">
        <f>IF('Verwerken Verwarming en Tapwate'!J5=1,0,$B$151-BO151)</f>
        <v>0</v>
      </c>
      <c r="D163">
        <f>$B$152-BO152</f>
        <v>0</v>
      </c>
      <c r="E163">
        <v>0</v>
      </c>
      <c r="F163">
        <f>(C163*('Invoer energieverbruik'!$C$23+'Energiebelasting en transport'!$D$13)+D163*('Invoer energieverbruik'!$C$27)+E163*'Energiebelasting en transport'!$C$24)*1.21</f>
        <v>0</v>
      </c>
      <c r="G163">
        <f>CB61</f>
        <v>0</v>
      </c>
      <c r="H163" s="89">
        <v>0</v>
      </c>
      <c r="I163" s="89">
        <f t="shared" ref="I163:I172" si="141">IF(F163&gt;0,(G163-H163)/F163,0)</f>
        <v>0</v>
      </c>
      <c r="J163" s="280">
        <f t="shared" ref="J163:J175" si="142">IF(F163=0,0,(C163*35.17+D163*1000+E163*9.23)/($B$151*35.17+$B$152*1000+$B$153*9.23))</f>
        <v>0</v>
      </c>
    </row>
    <row r="164" spans="1:11" x14ac:dyDescent="0.2">
      <c r="A164" s="118" t="s">
        <v>848</v>
      </c>
      <c r="B164" s="118">
        <f>CS61</f>
        <v>0</v>
      </c>
      <c r="C164">
        <f>IF('Verwerken Verwarming en Tapwate'!J5=1,0,$B$151-CG151)</f>
        <v>0</v>
      </c>
      <c r="D164">
        <f>$B$152-CG152</f>
        <v>0</v>
      </c>
      <c r="E164">
        <v>0</v>
      </c>
      <c r="F164">
        <f>(C164*('Invoer energieverbruik'!$C$23+'Energiebelasting en transport'!$D$13)+D164*('Invoer energieverbruik'!$C$27)+E164*'Energiebelasting en transport'!$C$24)*1.21</f>
        <v>0</v>
      </c>
      <c r="G164">
        <f>CT61</f>
        <v>0</v>
      </c>
      <c r="H164" s="89">
        <v>0</v>
      </c>
      <c r="I164" s="89">
        <f t="shared" si="141"/>
        <v>0</v>
      </c>
      <c r="J164" s="280">
        <f t="shared" si="142"/>
        <v>0</v>
      </c>
    </row>
    <row r="165" spans="1:11" x14ac:dyDescent="0.2">
      <c r="A165" s="118" t="s">
        <v>849</v>
      </c>
      <c r="B165" s="118">
        <f>DI61</f>
        <v>0</v>
      </c>
      <c r="C165">
        <f>IF('Verwerken Verwarming en Tapwate'!J5=1,0,$B$151-CX151)</f>
        <v>0</v>
      </c>
      <c r="D165">
        <f>$B$152-CX152</f>
        <v>0</v>
      </c>
      <c r="E165">
        <v>0</v>
      </c>
      <c r="F165">
        <f>(C165*('Invoer energieverbruik'!$C$23+'Energiebelasting en transport'!$D$13)+D165*('Invoer energieverbruik'!$C$27)+E165*'Energiebelasting en transport'!$C$24)*1.21</f>
        <v>0</v>
      </c>
      <c r="G165">
        <f>DJ61</f>
        <v>0</v>
      </c>
      <c r="H165">
        <v>0</v>
      </c>
      <c r="I165" s="89">
        <f t="shared" si="141"/>
        <v>0</v>
      </c>
      <c r="J165" s="280">
        <f t="shared" si="142"/>
        <v>0</v>
      </c>
    </row>
    <row r="166" spans="1:11" x14ac:dyDescent="0.2">
      <c r="A166" s="118" t="s">
        <v>282</v>
      </c>
      <c r="B166" s="329">
        <f>EA118</f>
        <v>0</v>
      </c>
      <c r="C166">
        <f>IF('Verwerken Verwarming en Tapwate'!J5=1,0,$B$151-DO151)</f>
        <v>0</v>
      </c>
      <c r="D166">
        <f>$B$152-DO152</f>
        <v>0</v>
      </c>
      <c r="E166">
        <f>$B$153-DO153</f>
        <v>0</v>
      </c>
      <c r="F166">
        <f>(C166*('Invoer energieverbruik'!$C$23+'Energiebelasting en transport'!$D$13)+D166*('Invoer energieverbruik'!$C$27)+E166*'Energiebelasting en transport'!$C$24)*1.21</f>
        <v>0</v>
      </c>
      <c r="G166" s="219">
        <f>EB118</f>
        <v>0</v>
      </c>
      <c r="H166" s="219">
        <v>0</v>
      </c>
      <c r="I166" s="89">
        <f t="shared" si="141"/>
        <v>0</v>
      </c>
      <c r="J166" s="280">
        <f t="shared" si="142"/>
        <v>0</v>
      </c>
    </row>
    <row r="167" spans="1:11" x14ac:dyDescent="0.2">
      <c r="A167" s="155" t="s">
        <v>625</v>
      </c>
      <c r="B167" s="155">
        <f>'Verwerken Verwarming en Tapwate'!AJ5</f>
        <v>0</v>
      </c>
      <c r="C167">
        <f>IF('Verwerken Verwarming en Tapwate'!J5=1,0,$B$151-EG151)</f>
        <v>0</v>
      </c>
      <c r="D167">
        <f>$B$152-EG152</f>
        <v>0</v>
      </c>
      <c r="E167">
        <v>0</v>
      </c>
      <c r="F167">
        <f>(C167*('Invoer energieverbruik'!$C$23+'Energiebelasting en transport'!$D$13)+D167*('Invoer energieverbruik'!$C$27)+E167*'Energiebelasting en transport'!$C$24)*1.21</f>
        <v>0</v>
      </c>
      <c r="G167" s="89">
        <f>EJ3</f>
        <v>0</v>
      </c>
      <c r="H167" s="89">
        <v>0</v>
      </c>
      <c r="I167" s="89">
        <f t="shared" si="141"/>
        <v>0</v>
      </c>
      <c r="J167" s="280">
        <f t="shared" si="142"/>
        <v>0</v>
      </c>
    </row>
    <row r="168" spans="1:11" x14ac:dyDescent="0.2">
      <c r="A168" s="155" t="s">
        <v>850</v>
      </c>
      <c r="B168" s="155">
        <f>'Invoer verwarming en tapwater'!J15</f>
        <v>0</v>
      </c>
      <c r="C168">
        <f>IF('Verwerken Verwarming en Tapwate'!J5=1,0,$B$151-ER151+B151*'Verwerken Verwarming en Tapwate'!AJ14)</f>
        <v>0</v>
      </c>
      <c r="D168">
        <f>$B$152-ER152+'Verwerken Verwarming en Tapwate'!AJ14*ER152</f>
        <v>0</v>
      </c>
      <c r="E168">
        <v>0</v>
      </c>
      <c r="F168">
        <f>(C168*('Invoer energieverbruik'!$C$23+'Energiebelasting en transport'!$D$13)+D168*('Invoer energieverbruik'!$C$27)+E168*'Energiebelasting en transport'!$C$24)*1.21</f>
        <v>0</v>
      </c>
      <c r="G168" s="89">
        <f>EU3+EU4</f>
        <v>0</v>
      </c>
      <c r="H168" s="89">
        <v>0</v>
      </c>
      <c r="I168" s="89">
        <f t="shared" si="141"/>
        <v>0</v>
      </c>
      <c r="J168" s="280">
        <f t="shared" si="142"/>
        <v>0</v>
      </c>
    </row>
    <row r="169" spans="1:11" x14ac:dyDescent="0.2">
      <c r="A169" s="155" t="s">
        <v>851</v>
      </c>
      <c r="B169" s="155">
        <f>'Verwerken ventilatie'!BX20</f>
        <v>0</v>
      </c>
      <c r="C169">
        <f>IF('Verwerken Verwarming en Tapwate'!J5=1,0,$B$151-FC151)</f>
        <v>0</v>
      </c>
      <c r="D169">
        <f>$B$152-FC152</f>
        <v>0</v>
      </c>
      <c r="E169">
        <f>$B$153-FC153</f>
        <v>0</v>
      </c>
      <c r="F169">
        <f>(C169*('Invoer energieverbruik'!$C$23+'Energiebelasting en transport'!$D$13)+D169*('Invoer energieverbruik'!$C$27)+E169*'Energiebelasting en transport'!$C$24)*1.21</f>
        <v>0</v>
      </c>
      <c r="G169" s="89">
        <f>FD28</f>
        <v>0</v>
      </c>
      <c r="H169" s="89">
        <v>0</v>
      </c>
      <c r="I169" s="89">
        <f t="shared" si="141"/>
        <v>0</v>
      </c>
      <c r="J169" s="280">
        <f t="shared" si="142"/>
        <v>0</v>
      </c>
      <c r="K169" s="361" t="s">
        <v>729</v>
      </c>
    </row>
    <row r="170" spans="1:11" x14ac:dyDescent="0.2">
      <c r="A170" s="288" t="s">
        <v>852</v>
      </c>
      <c r="B170" s="288">
        <f>GG33</f>
        <v>0</v>
      </c>
      <c r="C170">
        <v>0</v>
      </c>
      <c r="D170">
        <f>$B$152-FW152</f>
        <v>0</v>
      </c>
      <c r="E170">
        <f>$B$153-FW153-(GG149-GE149)</f>
        <v>0</v>
      </c>
      <c r="F170">
        <f>(C170*('Invoer energieverbruik'!$C$23+'Energiebelasting en transport'!$D$13)+D170*('Invoer energieverbruik'!$C$27)+E170*'Energiebelasting en transport'!$C$24)*1.21</f>
        <v>0</v>
      </c>
      <c r="G170" s="89">
        <f>IF(E170=0,0,GA33)</f>
        <v>0</v>
      </c>
      <c r="H170" s="89">
        <v>0</v>
      </c>
      <c r="I170" s="89">
        <f t="shared" si="141"/>
        <v>0</v>
      </c>
      <c r="J170" s="280">
        <f>IF(F170=0,0,(C170*35.17+D170*1000+E170*9.23)/($B$151*35.17+$B$152*1000+$B$153*9.23))</f>
        <v>0</v>
      </c>
    </row>
    <row r="171" spans="1:11" x14ac:dyDescent="0.2">
      <c r="A171" s="288" t="s">
        <v>322</v>
      </c>
      <c r="B171" s="288">
        <f>GH33</f>
        <v>0</v>
      </c>
      <c r="C171">
        <v>0</v>
      </c>
      <c r="D171">
        <f>$B$152-FW152</f>
        <v>0</v>
      </c>
      <c r="E171">
        <f>(GG149-GF149)</f>
        <v>0</v>
      </c>
      <c r="F171">
        <f>(C171*('Invoer energieverbruik'!$C$23+'Energiebelasting en transport'!$D$13)+D171*('Invoer energieverbruik'!$C$27)+E171*'Energiebelasting en transport'!$C$24)*1.21</f>
        <v>0</v>
      </c>
      <c r="G171" s="89">
        <f>IF(E171=0,0,GB33)</f>
        <v>0</v>
      </c>
      <c r="H171" s="89">
        <v>0</v>
      </c>
      <c r="I171" s="89">
        <f t="shared" si="141"/>
        <v>0</v>
      </c>
      <c r="J171" s="280">
        <f>IF(F171=0,0,(C171*35.17+D171*1000+E171*9.23)/($B$151*35.17+$B$152*1000+$B$153*9.23))</f>
        <v>0</v>
      </c>
    </row>
    <row r="172" spans="1:11" x14ac:dyDescent="0.2">
      <c r="A172" s="288" t="s">
        <v>649</v>
      </c>
      <c r="B172" s="288">
        <f>GI33</f>
        <v>0</v>
      </c>
      <c r="C172">
        <v>0</v>
      </c>
      <c r="D172">
        <v>0</v>
      </c>
      <c r="E172">
        <f>12*'Verwerken verlichting'!BR29/9.23</f>
        <v>0</v>
      </c>
      <c r="F172">
        <f>(C172*('Invoer energieverbruik'!$C$23+'Energiebelasting en transport'!$D$13)+D172*('Invoer energieverbruik'!$C$27)+E172*'Energiebelasting en transport'!$C$24)*1.21</f>
        <v>0</v>
      </c>
      <c r="G172" s="89">
        <f>IF(E172=0,0,GC33)</f>
        <v>0</v>
      </c>
      <c r="H172" s="89">
        <v>0</v>
      </c>
      <c r="I172" s="89">
        <f t="shared" si="141"/>
        <v>0</v>
      </c>
      <c r="J172" s="280">
        <f>IF(F172=0,0,(C172*35.17+D172*1000+E172*9.23)/($B$151*35.17+$B$152*1000+$B$153*9.23))</f>
        <v>0</v>
      </c>
    </row>
    <row r="173" spans="1:11" ht="25.5" x14ac:dyDescent="0.2">
      <c r="A173" s="288" t="s">
        <v>907</v>
      </c>
      <c r="B173" s="288">
        <f>GG33</f>
        <v>0</v>
      </c>
      <c r="C173">
        <v>0</v>
      </c>
      <c r="D173">
        <v>0</v>
      </c>
      <c r="E173">
        <f>E170</f>
        <v>0</v>
      </c>
      <c r="F173">
        <f>F170</f>
        <v>0</v>
      </c>
      <c r="G173" s="89">
        <f>GJ33</f>
        <v>0</v>
      </c>
      <c r="H173" s="89">
        <v>0</v>
      </c>
      <c r="I173" s="89">
        <f>IF(F173&gt;0,(G173-H173)/F173,0)</f>
        <v>0</v>
      </c>
      <c r="J173" s="280">
        <f t="shared" si="142"/>
        <v>0</v>
      </c>
    </row>
    <row r="174" spans="1:11" x14ac:dyDescent="0.2">
      <c r="A174" s="155" t="s">
        <v>855</v>
      </c>
      <c r="B174" s="155">
        <v>0</v>
      </c>
      <c r="C174" s="155">
        <f>IF('Verwerken Verwarming en Tapwate'!J5=1,0,B151*'Verwerken Verwarming en Tapwate'!AH21)</f>
        <v>0</v>
      </c>
      <c r="D174" s="89">
        <f>B152*'Verwerken Verwarming en Tapwate'!AH21</f>
        <v>0</v>
      </c>
      <c r="E174" s="89">
        <v>0</v>
      </c>
      <c r="F174">
        <f>(C174*('Invoer energieverbruik'!$C$23+'Energiebelasting en transport'!$D$13)+D174*('Invoer energieverbruik'!$C$27)+E174*'Energiebelasting en transport'!$C$24)*1.21</f>
        <v>0</v>
      </c>
      <c r="G174" s="155">
        <f>IF(C174&gt;0,'Kosten kengetallen'!B39,0)</f>
        <v>0</v>
      </c>
      <c r="H174" s="89">
        <v>0</v>
      </c>
      <c r="I174" s="89">
        <f>IF(F174&gt;0,(G174-H174)/F174,0)</f>
        <v>0</v>
      </c>
      <c r="J174" s="280">
        <f t="shared" si="142"/>
        <v>0</v>
      </c>
    </row>
    <row r="175" spans="1:11" x14ac:dyDescent="0.2">
      <c r="A175" s="155" t="s">
        <v>910</v>
      </c>
      <c r="B175" s="155"/>
      <c r="C175" s="89">
        <f>IF('Verwerken Verwarming en Tapwate'!J5=1,0,B151-GO151+'Verwerken Verwarming en Tapwate'!AH21*GO151+'Verwerken Verwarming en Tapwate'!AJ14*GO151)</f>
        <v>0</v>
      </c>
      <c r="D175" s="89">
        <f>B152-GO152+'Verwerken Verwarming en Tapwate'!AH21*GO152+'Verwerken Verwarming en Tapwate'!AJ14*GO152</f>
        <v>0</v>
      </c>
      <c r="E175" s="89">
        <f>B153-GO153-E166-E173</f>
        <v>0</v>
      </c>
      <c r="F175">
        <f>(C175*('Invoer energieverbruik'!$C$23+'Energiebelasting en transport'!$D$13)+D175*('Invoer energieverbruik'!$C$27)+E175*'Energiebelasting en transport'!$C$24)*1.21</f>
        <v>0</v>
      </c>
      <c r="G175" s="220">
        <f>SUM(G161:G174)-G166-G173</f>
        <v>0</v>
      </c>
      <c r="H175" s="220">
        <v>0</v>
      </c>
      <c r="I175" s="89">
        <f>IF(F175&gt;0,(G175-H175)/F175,0)</f>
        <v>0</v>
      </c>
      <c r="J175" s="280">
        <f t="shared" si="142"/>
        <v>0</v>
      </c>
    </row>
  </sheetData>
  <mergeCells count="25">
    <mergeCell ref="FZ143:GB143"/>
    <mergeCell ref="GO143:GQ143"/>
    <mergeCell ref="GR143:GT143"/>
    <mergeCell ref="EJ143:EL143"/>
    <mergeCell ref="ER143:ET143"/>
    <mergeCell ref="EU143:EW143"/>
    <mergeCell ref="FC143:FE143"/>
    <mergeCell ref="FF143:FH143"/>
    <mergeCell ref="FW143:FY143"/>
    <mergeCell ref="FV1:GC1"/>
    <mergeCell ref="B143:D143"/>
    <mergeCell ref="E143:G143"/>
    <mergeCell ref="AD143:AF143"/>
    <mergeCell ref="AG143:AI143"/>
    <mergeCell ref="AV143:AX143"/>
    <mergeCell ref="AY143:BA143"/>
    <mergeCell ref="BO143:BQ143"/>
    <mergeCell ref="CJ143:CL143"/>
    <mergeCell ref="CX143:CZ143"/>
    <mergeCell ref="BR143:BT143"/>
    <mergeCell ref="CG143:CI143"/>
    <mergeCell ref="DR143:DT143"/>
    <mergeCell ref="EG143:EI143"/>
    <mergeCell ref="DA143:DC143"/>
    <mergeCell ref="DO143:DQ143"/>
  </mergeCells>
  <phoneticPr fontId="53" type="noConversion"/>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175"/>
  <sheetViews>
    <sheetView topLeftCell="X8" workbookViewId="0">
      <selection activeCell="AQ19" sqref="AQ19"/>
    </sheetView>
  </sheetViews>
  <sheetFormatPr defaultRowHeight="12.75" x14ac:dyDescent="0.2"/>
  <cols>
    <col min="1" max="1" width="41.5703125" style="89" customWidth="1"/>
    <col min="2" max="2" width="18.28515625" style="89" customWidth="1"/>
    <col min="3" max="3" width="14.140625" style="89" customWidth="1"/>
    <col min="4" max="4" width="9.42578125" style="89" customWidth="1"/>
    <col min="5" max="5" width="14.5703125" style="89" customWidth="1"/>
    <col min="6" max="6" width="13.28515625" style="89" customWidth="1"/>
    <col min="7" max="7" width="10.42578125" style="89" customWidth="1"/>
    <col min="8" max="8" width="14" style="89" customWidth="1"/>
    <col min="9" max="9" width="11.140625" style="89" customWidth="1"/>
    <col min="10" max="10" width="12.85546875" style="89" customWidth="1"/>
    <col min="11" max="11" width="13.5703125" style="89" customWidth="1"/>
    <col min="12" max="12" width="9.140625" style="89"/>
    <col min="13" max="13" width="19.7109375" style="89" customWidth="1"/>
    <col min="14" max="14" width="9.140625" style="89"/>
    <col min="15" max="15" width="10.7109375" style="89" customWidth="1"/>
    <col min="16" max="16" width="9.140625" style="89"/>
    <col min="17" max="17" width="11.85546875" style="89" customWidth="1"/>
    <col min="18" max="18" width="9.140625" style="89"/>
    <col min="19" max="19" width="11.85546875" style="89" customWidth="1"/>
    <col min="20" max="20" width="9.140625" style="89"/>
    <col min="21" max="21" width="10.5703125" style="89" customWidth="1"/>
    <col min="22" max="23" width="9.140625" style="89"/>
    <col min="24" max="24" width="10.85546875" style="89" customWidth="1"/>
    <col min="25" max="25" width="9.140625" style="89"/>
    <col min="26" max="26" width="11.140625" style="89" customWidth="1"/>
    <col min="27" max="27" width="9.140625" style="244"/>
    <col min="28" max="28" width="9.140625" style="89"/>
    <col min="29" max="29" width="10.42578125" style="89" customWidth="1"/>
    <col min="30" max="30" width="9.140625" style="89"/>
    <col min="31" max="31" width="11.7109375" style="89" customWidth="1"/>
    <col min="32" max="32" width="9.140625" style="89"/>
    <col min="33" max="33" width="11.5703125" style="89" customWidth="1"/>
    <col min="34" max="34" width="9.140625" style="89"/>
    <col min="35" max="35" width="11" style="89" customWidth="1"/>
    <col min="36" max="36" width="9.140625" style="89"/>
    <col min="37" max="37" width="10.42578125" style="89" customWidth="1"/>
    <col min="38" max="38" width="9.140625" style="89"/>
    <col min="39" max="39" width="10.5703125" style="89" customWidth="1"/>
    <col min="40" max="40" width="10.28515625" style="89" customWidth="1"/>
    <col min="41" max="44" width="10.85546875" style="89" customWidth="1"/>
    <col min="45" max="45" width="10.85546875" style="244" customWidth="1"/>
    <col min="46" max="63" width="10.85546875" style="89" customWidth="1"/>
    <col min="64" max="64" width="10.85546875" style="244" customWidth="1"/>
    <col min="65" max="81" width="10.85546875" style="89" customWidth="1"/>
    <col min="82" max="82" width="10.85546875" style="244" customWidth="1"/>
    <col min="83" max="99" width="10.85546875" style="89" customWidth="1"/>
    <col min="100" max="100" width="10.85546875" style="244" customWidth="1"/>
    <col min="101" max="101" width="11" style="89" customWidth="1"/>
    <col min="102" max="102" width="10.7109375" style="89" customWidth="1"/>
    <col min="103" max="103" width="9.140625" style="89"/>
    <col min="104" max="104" width="11.28515625" style="89" customWidth="1"/>
    <col min="105" max="105" width="9.140625" style="89"/>
    <col min="106" max="106" width="10.5703125" style="89" customWidth="1"/>
    <col min="107" max="107" width="9.140625" style="89"/>
    <col min="108" max="108" width="11.28515625" style="89" customWidth="1"/>
    <col min="109" max="116" width="9.140625" style="89"/>
    <col min="117" max="117" width="9.140625" style="244"/>
    <col min="118" max="134" width="9.140625" style="89"/>
    <col min="135" max="135" width="9.140625" style="256"/>
    <col min="136" max="136" width="13.85546875" style="89" customWidth="1"/>
    <col min="137" max="145" width="9.140625" style="89"/>
    <col min="146" max="146" width="9.140625" style="256"/>
    <col min="147" max="156" width="9.140625" style="89"/>
    <col min="157" max="157" width="9.140625" style="256"/>
    <col min="158" max="176" width="9.140625" style="89"/>
    <col min="177" max="177" width="9.140625" style="256"/>
    <col min="178" max="178" width="13.5703125" style="89" customWidth="1"/>
    <col min="179" max="179" width="15.42578125" style="89" customWidth="1"/>
    <col min="180" max="187" width="9.140625" style="89"/>
    <col min="188" max="188" width="16" style="89" customWidth="1"/>
    <col min="189" max="193" width="9.140625" style="89"/>
    <col min="194" max="194" width="9.140625" style="244"/>
    <col min="195" max="16384" width="9.140625" style="89"/>
  </cols>
  <sheetData>
    <row r="1" spans="1:213" ht="26.25" customHeight="1" x14ac:dyDescent="0.2">
      <c r="A1" s="127" t="s">
        <v>896</v>
      </c>
      <c r="AC1" s="127" t="s">
        <v>911</v>
      </c>
      <c r="AU1" s="127" t="s">
        <v>887</v>
      </c>
      <c r="BN1" s="127" t="s">
        <v>888</v>
      </c>
      <c r="CF1" s="127" t="s">
        <v>889</v>
      </c>
      <c r="CW1" s="127" t="s">
        <v>890</v>
      </c>
      <c r="DN1" s="127" t="s">
        <v>282</v>
      </c>
      <c r="EF1" s="127" t="s">
        <v>891</v>
      </c>
      <c r="EQ1" s="155" t="s">
        <v>92</v>
      </c>
      <c r="FV1" s="640" t="s">
        <v>894</v>
      </c>
      <c r="FW1" s="640"/>
      <c r="FX1" s="640"/>
      <c r="FY1" s="640"/>
      <c r="FZ1" s="640"/>
      <c r="GA1" s="640"/>
      <c r="GB1" s="640"/>
      <c r="GC1" s="640"/>
      <c r="GM1" s="127" t="s">
        <v>856</v>
      </c>
    </row>
    <row r="2" spans="1:213" x14ac:dyDescent="0.2">
      <c r="B2" s="155" t="s">
        <v>573</v>
      </c>
      <c r="C2" s="155" t="s">
        <v>560</v>
      </c>
      <c r="D2" s="128"/>
      <c r="E2" s="118"/>
      <c r="F2" s="118"/>
      <c r="G2" s="128"/>
      <c r="H2" s="128"/>
      <c r="I2" s="128"/>
      <c r="J2" s="129"/>
      <c r="EG2" s="155" t="s">
        <v>573</v>
      </c>
      <c r="EH2" s="155" t="s">
        <v>560</v>
      </c>
      <c r="EJ2" s="155" t="s">
        <v>47</v>
      </c>
      <c r="EK2" s="155" t="s">
        <v>614</v>
      </c>
      <c r="ER2" s="155" t="s">
        <v>573</v>
      </c>
      <c r="ES2" s="155" t="s">
        <v>560</v>
      </c>
      <c r="EU2" s="155" t="s">
        <v>47</v>
      </c>
      <c r="EV2" s="155" t="s">
        <v>614</v>
      </c>
      <c r="GN2" s="155" t="s">
        <v>573</v>
      </c>
      <c r="GO2" s="155" t="s">
        <v>560</v>
      </c>
    </row>
    <row r="3" spans="1:213" x14ac:dyDescent="0.2">
      <c r="A3" s="128" t="s">
        <v>67</v>
      </c>
      <c r="B3" s="89">
        <f>'Verwerken Verwarming en Tapwate'!J6</f>
        <v>0</v>
      </c>
      <c r="C3" s="89">
        <f>'Verwerken Verwarming en Tapwate'!O6</f>
        <v>1</v>
      </c>
      <c r="EG3" s="89">
        <f>'Verwerken Verwarming en Tapwate'!AB6</f>
        <v>0</v>
      </c>
      <c r="EH3" s="89">
        <f>C3</f>
        <v>1</v>
      </c>
      <c r="EJ3" s="89">
        <f>'Verwerken Verwarming en Tapwate'!AK6</f>
        <v>0</v>
      </c>
      <c r="EK3" s="89">
        <f>IF(OR('Verwerken Verwarming en Tapwate'!B6=2,'Verwerken Verwarming en Tapwate'!E6=2),IF('Verwerken Verwarming en Tapwate'!AK6&lt;'Verwerken Verwarming en Tapwate'!AP6+1,'Verwerken Verwarming en Tapwate'!AK6*0.6,'Verwerken Verwarming en Tapwate'!AP6*0.6),0)</f>
        <v>0</v>
      </c>
      <c r="ER3" s="89">
        <f>B3</f>
        <v>0</v>
      </c>
      <c r="ES3" s="89">
        <f>'Verwerken Verwarming en Tapwate'!AF6</f>
        <v>1</v>
      </c>
      <c r="ET3" s="155" t="s">
        <v>623</v>
      </c>
      <c r="EU3" s="89">
        <f>'Verwerken Verwarming en Tapwate'!AR6</f>
        <v>0</v>
      </c>
      <c r="EV3" s="89">
        <f>0.6*EU3</f>
        <v>0</v>
      </c>
      <c r="GN3" s="89">
        <f>EG3</f>
        <v>0</v>
      </c>
      <c r="GO3" s="89">
        <f>ES3</f>
        <v>1</v>
      </c>
    </row>
    <row r="4" spans="1:213" x14ac:dyDescent="0.2">
      <c r="A4" s="128"/>
      <c r="ET4" s="155" t="s">
        <v>892</v>
      </c>
      <c r="EU4" s="89">
        <f>'Verwerken Verwarming en Tapwate'!AS6</f>
        <v>0</v>
      </c>
      <c r="EV4" s="89">
        <v>0</v>
      </c>
    </row>
    <row r="5" spans="1:213" x14ac:dyDescent="0.2">
      <c r="A5" s="128"/>
    </row>
    <row r="6" spans="1:213" x14ac:dyDescent="0.2">
      <c r="A6" s="128"/>
      <c r="B6" s="170"/>
      <c r="C6" s="170"/>
      <c r="D6" s="170"/>
      <c r="E6" s="170"/>
      <c r="F6" s="170"/>
      <c r="G6" s="170"/>
      <c r="H6" s="8"/>
      <c r="I6" s="235"/>
      <c r="J6" s="236"/>
    </row>
    <row r="7" spans="1:213" x14ac:dyDescent="0.2">
      <c r="A7" s="155" t="s">
        <v>725</v>
      </c>
      <c r="B7" s="232"/>
      <c r="C7" s="233"/>
      <c r="D7" s="232"/>
      <c r="E7" s="232"/>
      <c r="F7" s="233"/>
      <c r="G7" s="232"/>
      <c r="H7" s="234"/>
      <c r="I7" s="235"/>
      <c r="J7" s="236"/>
      <c r="GA7" s="155" t="s">
        <v>47</v>
      </c>
      <c r="GD7" s="155" t="s">
        <v>614</v>
      </c>
      <c r="GG7" s="155" t="s">
        <v>912</v>
      </c>
      <c r="GJ7" s="89" t="s">
        <v>727</v>
      </c>
    </row>
    <row r="8" spans="1:213" x14ac:dyDescent="0.2">
      <c r="A8" s="128" t="s">
        <v>67</v>
      </c>
      <c r="GA8" s="286" t="s">
        <v>648</v>
      </c>
      <c r="GB8" s="286" t="s">
        <v>322</v>
      </c>
      <c r="GC8" s="286" t="s">
        <v>649</v>
      </c>
      <c r="GD8" s="286" t="s">
        <v>648</v>
      </c>
      <c r="GE8" s="286" t="s">
        <v>322</v>
      </c>
      <c r="GF8" s="286" t="s">
        <v>649</v>
      </c>
      <c r="GG8" s="286" t="s">
        <v>653</v>
      </c>
      <c r="GH8" s="286" t="s">
        <v>655</v>
      </c>
      <c r="GI8" s="286" t="s">
        <v>765</v>
      </c>
      <c r="GJ8" s="339" t="s">
        <v>653</v>
      </c>
    </row>
    <row r="9" spans="1:213" x14ac:dyDescent="0.2">
      <c r="FZ9" s="89">
        <f>IF('Verwerken verlichting'!B5=5,1,0)</f>
        <v>0</v>
      </c>
      <c r="GA9" s="89">
        <f>$FZ9*'Verwerken verlichting'!BX5</f>
        <v>0</v>
      </c>
      <c r="GB9" s="89">
        <f>$FZ9*'Verwerken verlichting'!BY5</f>
        <v>0</v>
      </c>
      <c r="GC9" s="89">
        <f>$FZ9*'Verwerken verlichting'!BZ5</f>
        <v>0</v>
      </c>
      <c r="GD9" s="89">
        <f>$FZ9*'Verwerken verlichting'!CA5</f>
        <v>0</v>
      </c>
      <c r="GE9" s="89">
        <f>$FZ9*'Verwerken verlichting'!CB5</f>
        <v>0</v>
      </c>
      <c r="GF9" s="89">
        <f>$FZ9*'Verwerken verlichting'!CC5</f>
        <v>0</v>
      </c>
      <c r="GG9" s="89">
        <f>FZ9*'Invoer verlichting'!N4</f>
        <v>0</v>
      </c>
      <c r="GH9" s="89">
        <f>FZ9*'Verwerken verlichting'!AH5</f>
        <v>0</v>
      </c>
      <c r="GI9" s="89">
        <f>FZ9*'Verwerken verlichting'!AG5</f>
        <v>0</v>
      </c>
      <c r="GJ9" s="89">
        <f>FZ9*'Verwerken verlichting'!CE5</f>
        <v>0</v>
      </c>
    </row>
    <row r="10" spans="1:213" x14ac:dyDescent="0.2">
      <c r="A10" s="127" t="s">
        <v>893</v>
      </c>
      <c r="FB10" s="127" t="s">
        <v>893</v>
      </c>
      <c r="FZ10" s="89">
        <f>IF('Verwerken verlichting'!B6=5,1,0)</f>
        <v>0</v>
      </c>
      <c r="GA10" s="89">
        <f>$FZ10*'Verwerken verlichting'!BX6</f>
        <v>0</v>
      </c>
      <c r="GB10" s="89">
        <f>$FZ10*'Verwerken verlichting'!BY6</f>
        <v>0</v>
      </c>
      <c r="GC10" s="89">
        <f>$FZ10*'Verwerken verlichting'!BZ6</f>
        <v>0</v>
      </c>
      <c r="GD10" s="89">
        <f>$FZ10*'Verwerken verlichting'!CA6</f>
        <v>0</v>
      </c>
      <c r="GE10" s="89">
        <f>$FZ10*'Verwerken verlichting'!CB6</f>
        <v>0</v>
      </c>
      <c r="GF10" s="89">
        <f>$FZ10*'Verwerken verlichting'!CC6</f>
        <v>0</v>
      </c>
      <c r="GG10" s="89">
        <f>FZ10*'Invoer verlichting'!N5</f>
        <v>0</v>
      </c>
      <c r="GH10" s="89">
        <f>FZ10*'Verwerken verlichting'!AH6</f>
        <v>0</v>
      </c>
      <c r="GI10" s="89">
        <f>FZ10*'Verwerken verlichting'!AG6</f>
        <v>0</v>
      </c>
      <c r="GJ10" s="89">
        <f>FZ10*'Verwerken verlichting'!CE6</f>
        <v>0</v>
      </c>
    </row>
    <row r="11" spans="1:213" x14ac:dyDescent="0.2">
      <c r="B11" s="157" t="s">
        <v>472</v>
      </c>
      <c r="C11" s="185" t="s">
        <v>502</v>
      </c>
      <c r="D11" s="185" t="s">
        <v>503</v>
      </c>
      <c r="E11" s="185" t="s">
        <v>504</v>
      </c>
      <c r="F11" s="125" t="s">
        <v>450</v>
      </c>
      <c r="G11" s="125"/>
      <c r="H11" s="125" t="s">
        <v>452</v>
      </c>
      <c r="I11" s="125" t="s">
        <v>453</v>
      </c>
      <c r="J11" s="125" t="s">
        <v>398</v>
      </c>
      <c r="K11" s="125" t="s">
        <v>399</v>
      </c>
      <c r="L11" s="125" t="s">
        <v>400</v>
      </c>
      <c r="M11" s="125" t="s">
        <v>401</v>
      </c>
      <c r="N11" s="125" t="s">
        <v>402</v>
      </c>
      <c r="O11" s="125" t="s">
        <v>454</v>
      </c>
      <c r="P11" s="125" t="s">
        <v>455</v>
      </c>
      <c r="Q11" s="125" t="s">
        <v>456</v>
      </c>
      <c r="R11" s="125" t="s">
        <v>457</v>
      </c>
      <c r="S11" s="125" t="s">
        <v>458</v>
      </c>
      <c r="FC11" s="157" t="s">
        <v>472</v>
      </c>
      <c r="FD11" s="185" t="s">
        <v>502</v>
      </c>
      <c r="FE11" s="185" t="s">
        <v>503</v>
      </c>
      <c r="FF11" s="185" t="s">
        <v>504</v>
      </c>
      <c r="FG11" s="125" t="s">
        <v>450</v>
      </c>
      <c r="FH11" s="125"/>
      <c r="FI11" s="125" t="s">
        <v>452</v>
      </c>
      <c r="FJ11" s="125" t="s">
        <v>453</v>
      </c>
      <c r="FK11" s="125" t="s">
        <v>398</v>
      </c>
      <c r="FL11" s="125" t="s">
        <v>399</v>
      </c>
      <c r="FM11" s="125" t="s">
        <v>400</v>
      </c>
      <c r="FN11" s="125" t="s">
        <v>401</v>
      </c>
      <c r="FO11" s="125" t="s">
        <v>402</v>
      </c>
      <c r="FP11" s="125" t="s">
        <v>454</v>
      </c>
      <c r="FQ11" s="125" t="s">
        <v>455</v>
      </c>
      <c r="FR11" s="125" t="s">
        <v>456</v>
      </c>
      <c r="FS11" s="125" t="s">
        <v>457</v>
      </c>
      <c r="FT11" s="125" t="s">
        <v>458</v>
      </c>
      <c r="FZ11" s="89">
        <f>IF('Verwerken verlichting'!B7=5,1,0)</f>
        <v>0</v>
      </c>
      <c r="GA11" s="89">
        <f>$FZ11*'Verwerken verlichting'!BX7</f>
        <v>0</v>
      </c>
      <c r="GB11" s="89">
        <f>$FZ11*'Verwerken verlichting'!BY7</f>
        <v>0</v>
      </c>
      <c r="GC11" s="89">
        <f>$FZ11*'Verwerken verlichting'!BZ7</f>
        <v>0</v>
      </c>
      <c r="GD11" s="89">
        <f>$FZ11*'Verwerken verlichting'!CA7</f>
        <v>0</v>
      </c>
      <c r="GE11" s="89">
        <f>$FZ11*'Verwerken verlichting'!CB7</f>
        <v>0</v>
      </c>
      <c r="GF11" s="89">
        <f>$FZ11*'Verwerken verlichting'!CC7</f>
        <v>0</v>
      </c>
      <c r="GG11" s="89">
        <f>FZ11*'Invoer verlichting'!N6</f>
        <v>0</v>
      </c>
      <c r="GH11" s="89">
        <f>FZ11*'Verwerken verlichting'!AH7</f>
        <v>0</v>
      </c>
      <c r="GI11" s="89">
        <f>FZ11*'Verwerken verlichting'!AG7</f>
        <v>0</v>
      </c>
      <c r="GJ11" s="89">
        <f>FZ11*'Verwerken verlichting'!CE7</f>
        <v>0</v>
      </c>
      <c r="GN11" s="157" t="s">
        <v>472</v>
      </c>
      <c r="GO11" s="185" t="s">
        <v>502</v>
      </c>
      <c r="GP11" s="185" t="s">
        <v>503</v>
      </c>
      <c r="GQ11" s="185" t="s">
        <v>504</v>
      </c>
      <c r="GR11" s="125" t="s">
        <v>450</v>
      </c>
      <c r="GS11" s="125"/>
      <c r="GT11" s="125" t="s">
        <v>452</v>
      </c>
      <c r="GU11" s="125" t="s">
        <v>453</v>
      </c>
      <c r="GV11" s="125" t="s">
        <v>398</v>
      </c>
      <c r="GW11" s="125" t="s">
        <v>399</v>
      </c>
      <c r="GX11" s="125" t="s">
        <v>400</v>
      </c>
      <c r="GY11" s="125" t="s">
        <v>401</v>
      </c>
      <c r="GZ11" s="125" t="s">
        <v>402</v>
      </c>
      <c r="HA11" s="125" t="s">
        <v>454</v>
      </c>
      <c r="HB11" s="125" t="s">
        <v>455</v>
      </c>
      <c r="HC11" s="125" t="s">
        <v>456</v>
      </c>
      <c r="HD11" s="125" t="s">
        <v>457</v>
      </c>
      <c r="HE11" s="125" t="s">
        <v>458</v>
      </c>
    </row>
    <row r="12" spans="1:213" x14ac:dyDescent="0.2">
      <c r="B12" s="7">
        <f>'Verwerken ventilatie'!T20</f>
        <v>0</v>
      </c>
      <c r="C12" s="7">
        <f>'Verwerken ventilatie'!E28*'Fitten energieverbruik'!C20/'Fitten energieverbruik'!B20</f>
        <v>0</v>
      </c>
      <c r="D12" s="7">
        <f>'Verwerken ventilatie'!D45</f>
        <v>0</v>
      </c>
      <c r="E12" s="7">
        <f>B12+C12+D12</f>
        <v>0</v>
      </c>
      <c r="F12" s="89">
        <v>19</v>
      </c>
      <c r="H12" s="89">
        <f>$E$12*($F$12-Klimaatdata!B7)*2.63</f>
        <v>0</v>
      </c>
      <c r="I12" s="89">
        <f>$E$12*($F$12-Klimaatdata!B8)*2.63</f>
        <v>0</v>
      </c>
      <c r="J12" s="89">
        <f>$E$12*($F$12-Klimaatdata!B9)*2.63</f>
        <v>0</v>
      </c>
      <c r="K12" s="89">
        <f>$E$12*($F$12-Klimaatdata!B10)*2.63</f>
        <v>0</v>
      </c>
      <c r="L12" s="89">
        <f>$E$12*($F$12-Klimaatdata!B11)*2.63</f>
        <v>0</v>
      </c>
      <c r="M12" s="89">
        <f>$E$12*($F$12-Klimaatdata!B12)*2.63</f>
        <v>0</v>
      </c>
      <c r="N12" s="89">
        <f>$E$12*($F$12-Klimaatdata!B13)*2.63</f>
        <v>0</v>
      </c>
      <c r="O12" s="89">
        <f>$E$12*($F$12-Klimaatdata!B14)*2.63</f>
        <v>0</v>
      </c>
      <c r="P12" s="89">
        <f>$E$12*($F$12-Klimaatdata!B15)*2.63</f>
        <v>0</v>
      </c>
      <c r="Q12" s="89">
        <f>$E$12*($F$12-Klimaatdata!B16)*2.63</f>
        <v>0</v>
      </c>
      <c r="R12" s="89">
        <f>$E$12*($F$12-Klimaatdata!B17)*2.63</f>
        <v>0</v>
      </c>
      <c r="S12" s="89">
        <f>$E$12*($F$12-Klimaatdata!B18)*2.63</f>
        <v>0</v>
      </c>
      <c r="FC12" s="7">
        <f>IF('Verwerken ventilatie'!BC20=0,B12,'Verwerken ventilatie'!BC20)</f>
        <v>0</v>
      </c>
      <c r="FD12" s="7">
        <f>IF('Verwerken ventilatie'!AW20=0,C12,'Verwerken ventilatie'!AN25*'Fitten energieverbruik'!C20/'Fitten energieverbruik'!B20)</f>
        <v>0</v>
      </c>
      <c r="FE12" s="7">
        <f>IF('Verwerken ventilatie'!BC20=0,D12,'Verwerken ventilatie'!AM45)</f>
        <v>0</v>
      </c>
      <c r="FF12" s="7">
        <f>FC12+FD12+FE12</f>
        <v>0</v>
      </c>
      <c r="FG12" s="89">
        <v>19</v>
      </c>
      <c r="FI12" s="89">
        <f>$FF$12*($FG$12-Klimaatdata!B7)*2.63</f>
        <v>0</v>
      </c>
      <c r="FJ12" s="89">
        <f>$FF$12*($FG$12-Klimaatdata!B8)*2.63</f>
        <v>0</v>
      </c>
      <c r="FK12" s="89">
        <f>$FF$12*($FG$12-Klimaatdata!B9)*2.63</f>
        <v>0</v>
      </c>
      <c r="FL12" s="89">
        <f>$FF$12*($FG$12-Klimaatdata!B10)*2.63</f>
        <v>0</v>
      </c>
      <c r="FM12" s="89">
        <f>$FF$12*($FG$12-Klimaatdata!B11)*2.63</f>
        <v>0</v>
      </c>
      <c r="FN12" s="89">
        <f>$FF$12*($FG$12-Klimaatdata!B12)*2.63</f>
        <v>0</v>
      </c>
      <c r="FO12" s="89">
        <f>$FF$12*($FG$12-Klimaatdata!B13)*2.63</f>
        <v>0</v>
      </c>
      <c r="FP12" s="89">
        <f>$FF$12*($FG$12-Klimaatdata!B14)*2.63</f>
        <v>0</v>
      </c>
      <c r="FQ12" s="89">
        <f>$FF$12*($FG$12-Klimaatdata!B15)*2.63</f>
        <v>0</v>
      </c>
      <c r="FR12" s="89">
        <f>$FF$12*($FG$12-Klimaatdata!B16)*2.63</f>
        <v>0</v>
      </c>
      <c r="FS12" s="89">
        <f>$FF$12*($FG$12-Klimaatdata!B17)*2.63</f>
        <v>0</v>
      </c>
      <c r="FT12" s="89">
        <f>$FF$12*($FG$12-Klimaatdata!B18)*2.63</f>
        <v>0</v>
      </c>
      <c r="FZ12" s="89">
        <f>IF('Verwerken verlichting'!B8=5,1,0)</f>
        <v>0</v>
      </c>
      <c r="GA12" s="89">
        <f>$FZ12*'Verwerken verlichting'!BX8</f>
        <v>0</v>
      </c>
      <c r="GB12" s="89">
        <f>$FZ12*'Verwerken verlichting'!BY8</f>
        <v>0</v>
      </c>
      <c r="GC12" s="89">
        <f>$FZ12*'Verwerken verlichting'!BZ8</f>
        <v>0</v>
      </c>
      <c r="GD12" s="89">
        <f>$FZ12*'Verwerken verlichting'!CA8</f>
        <v>0</v>
      </c>
      <c r="GE12" s="89">
        <f>$FZ12*'Verwerken verlichting'!CB8</f>
        <v>0</v>
      </c>
      <c r="GF12" s="89">
        <f>$FZ12*'Verwerken verlichting'!CC8</f>
        <v>0</v>
      </c>
      <c r="GG12" s="89">
        <f>FZ12*'Invoer verlichting'!N7</f>
        <v>0</v>
      </c>
      <c r="GH12" s="89">
        <f>FZ12*'Verwerken verlichting'!AH8</f>
        <v>0</v>
      </c>
      <c r="GI12" s="89">
        <f>FZ12*'Verwerken verlichting'!AG8</f>
        <v>0</v>
      </c>
      <c r="GJ12" s="89">
        <f>FZ12*'Verwerken verlichting'!CE8</f>
        <v>0</v>
      </c>
      <c r="GN12" s="89">
        <f>FC12</f>
        <v>0</v>
      </c>
      <c r="GO12" s="89">
        <f t="shared" ref="GO12:HE12" si="0">FD12</f>
        <v>0</v>
      </c>
      <c r="GP12" s="89">
        <f t="shared" si="0"/>
        <v>0</v>
      </c>
      <c r="GQ12" s="89">
        <f t="shared" si="0"/>
        <v>0</v>
      </c>
      <c r="GR12" s="89">
        <f t="shared" si="0"/>
        <v>19</v>
      </c>
      <c r="GT12" s="89">
        <f t="shared" si="0"/>
        <v>0</v>
      </c>
      <c r="GU12" s="89">
        <f t="shared" si="0"/>
        <v>0</v>
      </c>
      <c r="GV12" s="89">
        <f t="shared" si="0"/>
        <v>0</v>
      </c>
      <c r="GW12" s="89">
        <f t="shared" si="0"/>
        <v>0</v>
      </c>
      <c r="GX12" s="89">
        <f t="shared" si="0"/>
        <v>0</v>
      </c>
      <c r="GY12" s="89">
        <f t="shared" si="0"/>
        <v>0</v>
      </c>
      <c r="GZ12" s="89">
        <f t="shared" si="0"/>
        <v>0</v>
      </c>
      <c r="HA12" s="89">
        <f t="shared" si="0"/>
        <v>0</v>
      </c>
      <c r="HB12" s="89">
        <f t="shared" si="0"/>
        <v>0</v>
      </c>
      <c r="HC12" s="89">
        <f t="shared" si="0"/>
        <v>0</v>
      </c>
      <c r="HD12" s="89">
        <f t="shared" si="0"/>
        <v>0</v>
      </c>
      <c r="HE12" s="89">
        <f t="shared" si="0"/>
        <v>0</v>
      </c>
    </row>
    <row r="13" spans="1:213" x14ac:dyDescent="0.2">
      <c r="A13" s="131"/>
      <c r="FZ13" s="89">
        <f>IF('Verwerken verlichting'!B9=5,1,0)</f>
        <v>0</v>
      </c>
      <c r="GA13" s="89">
        <f>$FZ13*'Verwerken verlichting'!BX9</f>
        <v>0</v>
      </c>
      <c r="GB13" s="89">
        <f>$FZ13*'Verwerken verlichting'!BY9</f>
        <v>0</v>
      </c>
      <c r="GC13" s="89">
        <f>$FZ13*'Verwerken verlichting'!BZ9</f>
        <v>0</v>
      </c>
      <c r="GD13" s="89">
        <f>$FZ13*'Verwerken verlichting'!CA9</f>
        <v>0</v>
      </c>
      <c r="GE13" s="89">
        <f>$FZ13*'Verwerken verlichting'!CB9</f>
        <v>0</v>
      </c>
      <c r="GF13" s="89">
        <f>$FZ13*'Verwerken verlichting'!CC9</f>
        <v>0</v>
      </c>
      <c r="GG13" s="89">
        <f>FZ13*'Invoer verlichting'!N8</f>
        <v>0</v>
      </c>
      <c r="GH13" s="89">
        <f>FZ13*'Verwerken verlichting'!AH9</f>
        <v>0</v>
      </c>
      <c r="GI13" s="89">
        <f>FZ13*'Verwerken verlichting'!AG9</f>
        <v>0</v>
      </c>
      <c r="GJ13" s="89">
        <f>FZ13*'Verwerken verlichting'!CE9</f>
        <v>0</v>
      </c>
    </row>
    <row r="14" spans="1:213" x14ac:dyDescent="0.2">
      <c r="A14" s="131"/>
      <c r="FZ14" s="89">
        <f>IF('Verwerken verlichting'!B10=5,1,0)</f>
        <v>0</v>
      </c>
      <c r="GA14" s="89">
        <f>$FZ14*'Verwerken verlichting'!BX10</f>
        <v>0</v>
      </c>
      <c r="GB14" s="89">
        <f>$FZ14*'Verwerken verlichting'!BY10</f>
        <v>0</v>
      </c>
      <c r="GC14" s="89">
        <f>$FZ14*'Verwerken verlichting'!BZ10</f>
        <v>0</v>
      </c>
      <c r="GD14" s="89">
        <f>$FZ14*'Verwerken verlichting'!CA10</f>
        <v>0</v>
      </c>
      <c r="GE14" s="89">
        <f>$FZ14*'Verwerken verlichting'!CB10</f>
        <v>0</v>
      </c>
      <c r="GF14" s="89">
        <f>$FZ14*'Verwerken verlichting'!CC10</f>
        <v>0</v>
      </c>
      <c r="GG14" s="89">
        <f>FZ14*'Invoer verlichting'!N9</f>
        <v>0</v>
      </c>
      <c r="GH14" s="89">
        <f>FZ14*'Verwerken verlichting'!AH10</f>
        <v>0</v>
      </c>
      <c r="GI14" s="89">
        <f>FZ14*'Verwerken verlichting'!AG10</f>
        <v>0</v>
      </c>
      <c r="GJ14" s="89">
        <f>FZ14*'Verwerken verlichting'!CE10</f>
        <v>0</v>
      </c>
    </row>
    <row r="15" spans="1:213" x14ac:dyDescent="0.2">
      <c r="A15" s="132" t="s">
        <v>897</v>
      </c>
      <c r="FD15" s="155" t="s">
        <v>47</v>
      </c>
      <c r="FE15" s="155" t="s">
        <v>614</v>
      </c>
      <c r="FZ15" s="89">
        <f>IF('Verwerken verlichting'!B11=5,1,0)</f>
        <v>0</v>
      </c>
      <c r="GA15" s="89">
        <f>$FZ15*'Verwerken verlichting'!BX11</f>
        <v>0</v>
      </c>
      <c r="GB15" s="89">
        <f>$FZ15*'Verwerken verlichting'!BY11</f>
        <v>0</v>
      </c>
      <c r="GC15" s="89">
        <f>$FZ15*'Verwerken verlichting'!BZ11</f>
        <v>0</v>
      </c>
      <c r="GD15" s="89">
        <f>$FZ15*'Verwerken verlichting'!CA11</f>
        <v>0</v>
      </c>
      <c r="GE15" s="89">
        <f>$FZ15*'Verwerken verlichting'!CB11</f>
        <v>0</v>
      </c>
      <c r="GF15" s="89">
        <f>$FZ15*'Verwerken verlichting'!CC11</f>
        <v>0</v>
      </c>
      <c r="GG15" s="89">
        <f>FZ15*'Invoer verlichting'!N10</f>
        <v>0</v>
      </c>
      <c r="GH15" s="89">
        <f>FZ15*'Verwerken verlichting'!AH11</f>
        <v>0</v>
      </c>
      <c r="GI15" s="89">
        <f>FZ15*'Verwerken verlichting'!AG11</f>
        <v>0</v>
      </c>
      <c r="GJ15" s="89">
        <f>FZ15*'Verwerken verlichting'!CE11</f>
        <v>0</v>
      </c>
    </row>
    <row r="16" spans="1:213" x14ac:dyDescent="0.2">
      <c r="A16" s="132"/>
      <c r="FC16" s="89">
        <f>IF('Verwerken ventilatie'!AJ8=5,1,0)</f>
        <v>0</v>
      </c>
      <c r="FD16" s="89">
        <f>FC16*'Verwerken ventilatie'!BT8</f>
        <v>0</v>
      </c>
      <c r="FE16" s="89">
        <f>FC16*'Verwerken ventilatie'!BU8</f>
        <v>0</v>
      </c>
      <c r="FZ16" s="89">
        <f>IF('Verwerken verlichting'!B12=5,1,0)</f>
        <v>0</v>
      </c>
      <c r="GA16" s="89">
        <f>$FZ16*'Verwerken verlichting'!BX12</f>
        <v>0</v>
      </c>
      <c r="GB16" s="89">
        <f>$FZ16*'Verwerken verlichting'!BY12</f>
        <v>0</v>
      </c>
      <c r="GC16" s="89">
        <f>$FZ16*'Verwerken verlichting'!BZ12</f>
        <v>0</v>
      </c>
      <c r="GD16" s="89">
        <f>$FZ16*'Verwerken verlichting'!CA12</f>
        <v>0</v>
      </c>
      <c r="GE16" s="89">
        <f>$FZ16*'Verwerken verlichting'!CB12</f>
        <v>0</v>
      </c>
      <c r="GF16" s="89">
        <f>$FZ16*'Verwerken verlichting'!CC12</f>
        <v>0</v>
      </c>
      <c r="GG16" s="89">
        <f>FZ16*'Invoer verlichting'!N11</f>
        <v>0</v>
      </c>
      <c r="GH16" s="89">
        <f>FZ16*'Verwerken verlichting'!AH12</f>
        <v>0</v>
      </c>
      <c r="GI16" s="89">
        <f>FZ16*'Verwerken verlichting'!AG12</f>
        <v>0</v>
      </c>
      <c r="GJ16" s="89">
        <f>FZ16*'Verwerken verlichting'!CE12</f>
        <v>0</v>
      </c>
    </row>
    <row r="17" spans="1:221" x14ac:dyDescent="0.2">
      <c r="B17" s="127" t="s">
        <v>886</v>
      </c>
      <c r="O17" s="127" t="s">
        <v>135</v>
      </c>
      <c r="AD17" s="127" t="s">
        <v>886</v>
      </c>
      <c r="AV17" s="127" t="s">
        <v>886</v>
      </c>
      <c r="BO17" s="127" t="s">
        <v>886</v>
      </c>
      <c r="CG17" s="127" t="s">
        <v>886</v>
      </c>
      <c r="CW17" s="127" t="s">
        <v>135</v>
      </c>
      <c r="FC17" s="89">
        <f>IF('Verwerken ventilatie'!AJ9=5,1,0)</f>
        <v>0</v>
      </c>
      <c r="FD17" s="89">
        <f>FC17*'Verwerken ventilatie'!BT9</f>
        <v>0</v>
      </c>
      <c r="FE17" s="89">
        <f>FC17*'Verwerken ventilatie'!BU9</f>
        <v>0</v>
      </c>
      <c r="FZ17" s="89">
        <f>IF('Verwerken verlichting'!B13=5,1,0)</f>
        <v>0</v>
      </c>
      <c r="GA17" s="89">
        <f>$FZ17*'Verwerken verlichting'!BX13</f>
        <v>0</v>
      </c>
      <c r="GB17" s="89">
        <f>$FZ17*'Verwerken verlichting'!BY13</f>
        <v>0</v>
      </c>
      <c r="GC17" s="89">
        <f>$FZ17*'Verwerken verlichting'!BZ13</f>
        <v>0</v>
      </c>
      <c r="GD17" s="89">
        <f>$FZ17*'Verwerken verlichting'!CA13</f>
        <v>0</v>
      </c>
      <c r="GE17" s="89">
        <f>$FZ17*'Verwerken verlichting'!CB13</f>
        <v>0</v>
      </c>
      <c r="GF17" s="89">
        <f>$FZ17*'Verwerken verlichting'!CC13</f>
        <v>0</v>
      </c>
      <c r="GG17" s="89">
        <f>FZ17*'Invoer verlichting'!N12</f>
        <v>0</v>
      </c>
      <c r="GH17" s="89">
        <f>FZ17*'Verwerken verlichting'!AH13</f>
        <v>0</v>
      </c>
      <c r="GI17" s="89">
        <f>FZ17*'Verwerken verlichting'!AG13</f>
        <v>0</v>
      </c>
      <c r="GJ17" s="89">
        <f>FZ17*'Verwerken verlichting'!CE13</f>
        <v>0</v>
      </c>
      <c r="GO17" s="127" t="s">
        <v>886</v>
      </c>
      <c r="HB17" s="127" t="s">
        <v>135</v>
      </c>
    </row>
    <row r="18" spans="1:221" ht="12" customHeight="1" x14ac:dyDescent="0.2">
      <c r="A18" s="155" t="s">
        <v>67</v>
      </c>
      <c r="B18" s="125" t="s">
        <v>452</v>
      </c>
      <c r="C18" s="125" t="s">
        <v>453</v>
      </c>
      <c r="D18" s="125" t="s">
        <v>398</v>
      </c>
      <c r="E18" s="125" t="s">
        <v>399</v>
      </c>
      <c r="F18" s="125" t="s">
        <v>400</v>
      </c>
      <c r="G18" s="125" t="s">
        <v>401</v>
      </c>
      <c r="H18" s="125" t="s">
        <v>402</v>
      </c>
      <c r="I18" s="125" t="s">
        <v>454</v>
      </c>
      <c r="J18" s="125" t="s">
        <v>455</v>
      </c>
      <c r="K18" s="125" t="s">
        <v>456</v>
      </c>
      <c r="L18" s="125" t="s">
        <v>457</v>
      </c>
      <c r="M18" s="125" t="s">
        <v>458</v>
      </c>
      <c r="O18" s="125" t="s">
        <v>452</v>
      </c>
      <c r="P18" s="125" t="s">
        <v>453</v>
      </c>
      <c r="Q18" s="125" t="s">
        <v>398</v>
      </c>
      <c r="R18" s="125" t="s">
        <v>399</v>
      </c>
      <c r="S18" s="125" t="s">
        <v>400</v>
      </c>
      <c r="T18" s="125" t="s">
        <v>401</v>
      </c>
      <c r="U18" s="125" t="s">
        <v>402</v>
      </c>
      <c r="V18" s="125" t="s">
        <v>454</v>
      </c>
      <c r="W18" s="125" t="s">
        <v>455</v>
      </c>
      <c r="X18" s="125" t="s">
        <v>456</v>
      </c>
      <c r="Y18" s="125" t="s">
        <v>457</v>
      </c>
      <c r="Z18" s="125" t="s">
        <v>458</v>
      </c>
      <c r="AB18" s="125" t="s">
        <v>612</v>
      </c>
      <c r="AC18" s="155" t="s">
        <v>70</v>
      </c>
      <c r="AD18" s="125" t="s">
        <v>452</v>
      </c>
      <c r="AE18" s="125" t="s">
        <v>453</v>
      </c>
      <c r="AF18" s="125" t="s">
        <v>398</v>
      </c>
      <c r="AG18" s="125" t="s">
        <v>399</v>
      </c>
      <c r="AH18" s="125" t="s">
        <v>400</v>
      </c>
      <c r="AI18" s="125" t="s">
        <v>401</v>
      </c>
      <c r="AJ18" s="125" t="s">
        <v>402</v>
      </c>
      <c r="AK18" s="125" t="s">
        <v>454</v>
      </c>
      <c r="AL18" s="125" t="s">
        <v>455</v>
      </c>
      <c r="AM18" s="125" t="s">
        <v>456</v>
      </c>
      <c r="AN18" s="125" t="s">
        <v>457</v>
      </c>
      <c r="AO18" s="125" t="s">
        <v>458</v>
      </c>
      <c r="AP18" s="125" t="s">
        <v>757</v>
      </c>
      <c r="AQ18" s="125" t="s">
        <v>47</v>
      </c>
      <c r="AR18" s="125" t="s">
        <v>614</v>
      </c>
      <c r="AS18" s="245"/>
      <c r="AT18" s="125" t="s">
        <v>612</v>
      </c>
      <c r="AU18" s="155" t="s">
        <v>70</v>
      </c>
      <c r="AV18" s="125" t="s">
        <v>452</v>
      </c>
      <c r="AW18" s="125" t="s">
        <v>453</v>
      </c>
      <c r="AX18" s="125" t="s">
        <v>398</v>
      </c>
      <c r="AY18" s="125" t="s">
        <v>399</v>
      </c>
      <c r="AZ18" s="125" t="s">
        <v>400</v>
      </c>
      <c r="BA18" s="125" t="s">
        <v>401</v>
      </c>
      <c r="BB18" s="125" t="s">
        <v>402</v>
      </c>
      <c r="BC18" s="125" t="s">
        <v>454</v>
      </c>
      <c r="BD18" s="125" t="s">
        <v>455</v>
      </c>
      <c r="BE18" s="125" t="s">
        <v>456</v>
      </c>
      <c r="BF18" s="125" t="s">
        <v>457</v>
      </c>
      <c r="BG18" s="125" t="s">
        <v>458</v>
      </c>
      <c r="BH18" s="125" t="s">
        <v>757</v>
      </c>
      <c r="BI18" s="125" t="s">
        <v>47</v>
      </c>
      <c r="BJ18" s="125" t="s">
        <v>614</v>
      </c>
      <c r="BK18" s="125"/>
      <c r="BM18" s="125" t="s">
        <v>228</v>
      </c>
      <c r="BN18" s="155" t="s">
        <v>70</v>
      </c>
      <c r="BO18" s="125" t="s">
        <v>452</v>
      </c>
      <c r="BP18" s="125" t="s">
        <v>453</v>
      </c>
      <c r="BQ18" s="125" t="s">
        <v>398</v>
      </c>
      <c r="BR18" s="125" t="s">
        <v>399</v>
      </c>
      <c r="BS18" s="125" t="s">
        <v>400</v>
      </c>
      <c r="BT18" s="125" t="s">
        <v>401</v>
      </c>
      <c r="BU18" s="125" t="s">
        <v>402</v>
      </c>
      <c r="BV18" s="125" t="s">
        <v>454</v>
      </c>
      <c r="BW18" s="125" t="s">
        <v>455</v>
      </c>
      <c r="BX18" s="125" t="s">
        <v>456</v>
      </c>
      <c r="BY18" s="125" t="s">
        <v>457</v>
      </c>
      <c r="BZ18" s="125" t="s">
        <v>458</v>
      </c>
      <c r="CA18" s="125" t="s">
        <v>757</v>
      </c>
      <c r="CB18" s="125" t="s">
        <v>47</v>
      </c>
      <c r="CC18" s="125"/>
      <c r="CD18" s="245"/>
      <c r="CE18" s="125" t="s">
        <v>226</v>
      </c>
      <c r="CF18" s="155" t="s">
        <v>70</v>
      </c>
      <c r="CG18" s="125" t="s">
        <v>452</v>
      </c>
      <c r="CH18" s="125" t="s">
        <v>453</v>
      </c>
      <c r="CI18" s="125" t="s">
        <v>398</v>
      </c>
      <c r="CJ18" s="125" t="s">
        <v>399</v>
      </c>
      <c r="CK18" s="125" t="s">
        <v>400</v>
      </c>
      <c r="CL18" s="125" t="s">
        <v>401</v>
      </c>
      <c r="CM18" s="125" t="s">
        <v>402</v>
      </c>
      <c r="CN18" s="125" t="s">
        <v>454</v>
      </c>
      <c r="CO18" s="125" t="s">
        <v>455</v>
      </c>
      <c r="CP18" s="125" t="s">
        <v>456</v>
      </c>
      <c r="CQ18" s="125" t="s">
        <v>457</v>
      </c>
      <c r="CR18" s="125" t="s">
        <v>458</v>
      </c>
      <c r="CS18" s="125" t="s">
        <v>757</v>
      </c>
      <c r="CT18" s="125" t="s">
        <v>47</v>
      </c>
      <c r="CU18" s="125" t="s">
        <v>626</v>
      </c>
      <c r="CW18" s="125" t="s">
        <v>452</v>
      </c>
      <c r="CX18" s="125" t="s">
        <v>453</v>
      </c>
      <c r="CY18" s="125" t="s">
        <v>398</v>
      </c>
      <c r="CZ18" s="125" t="s">
        <v>399</v>
      </c>
      <c r="DA18" s="125" t="s">
        <v>400</v>
      </c>
      <c r="DB18" s="125" t="s">
        <v>401</v>
      </c>
      <c r="DC18" s="125" t="s">
        <v>402</v>
      </c>
      <c r="DD18" s="125" t="s">
        <v>454</v>
      </c>
      <c r="DE18" s="125" t="s">
        <v>455</v>
      </c>
      <c r="DF18" s="125" t="s">
        <v>456</v>
      </c>
      <c r="DG18" s="125" t="s">
        <v>457</v>
      </c>
      <c r="DH18" s="125" t="s">
        <v>458</v>
      </c>
      <c r="DI18" s="125" t="s">
        <v>757</v>
      </c>
      <c r="DJ18" s="125" t="s">
        <v>47</v>
      </c>
      <c r="DK18" s="125" t="s">
        <v>614</v>
      </c>
      <c r="DL18" s="125"/>
      <c r="FC18" s="89">
        <f>IF('Verwerken ventilatie'!AJ10=5,1,0)</f>
        <v>0</v>
      </c>
      <c r="FD18" s="89">
        <f>FC18*'Verwerken ventilatie'!BT10</f>
        <v>0</v>
      </c>
      <c r="FE18" s="89">
        <f>FC18*'Verwerken ventilatie'!BU10</f>
        <v>0</v>
      </c>
      <c r="FZ18" s="89">
        <f>IF('Verwerken verlichting'!B14=5,1,0)</f>
        <v>0</v>
      </c>
      <c r="GA18" s="89">
        <f>$FZ18*'Verwerken verlichting'!BX14</f>
        <v>0</v>
      </c>
      <c r="GB18" s="89">
        <f>$FZ18*'Verwerken verlichting'!BY14</f>
        <v>0</v>
      </c>
      <c r="GC18" s="89">
        <f>$FZ18*'Verwerken verlichting'!BZ14</f>
        <v>0</v>
      </c>
      <c r="GD18" s="89">
        <f>$FZ18*'Verwerken verlichting'!CA14</f>
        <v>0</v>
      </c>
      <c r="GE18" s="89">
        <f>$FZ18*'Verwerken verlichting'!CB14</f>
        <v>0</v>
      </c>
      <c r="GF18" s="89">
        <f>$FZ18*'Verwerken verlichting'!CC14</f>
        <v>0</v>
      </c>
      <c r="GG18" s="89">
        <f>FZ18*'Invoer verlichting'!N13</f>
        <v>0</v>
      </c>
      <c r="GH18" s="89">
        <f>FZ18*'Verwerken verlichting'!AH14</f>
        <v>0</v>
      </c>
      <c r="GI18" s="89">
        <f>FZ18*'Verwerken verlichting'!AG14</f>
        <v>0</v>
      </c>
      <c r="GJ18" s="89">
        <f>FZ18*'Verwerken verlichting'!CE14</f>
        <v>0</v>
      </c>
      <c r="GM18" s="125" t="s">
        <v>722</v>
      </c>
      <c r="GN18" s="155" t="s">
        <v>67</v>
      </c>
      <c r="GO18" s="125" t="s">
        <v>452</v>
      </c>
      <c r="GP18" s="125" t="s">
        <v>453</v>
      </c>
      <c r="GQ18" s="125" t="s">
        <v>398</v>
      </c>
      <c r="GR18" s="125" t="s">
        <v>399</v>
      </c>
      <c r="GS18" s="125" t="s">
        <v>400</v>
      </c>
      <c r="GT18" s="125" t="s">
        <v>401</v>
      </c>
      <c r="GU18" s="125" t="s">
        <v>402</v>
      </c>
      <c r="GV18" s="125" t="s">
        <v>454</v>
      </c>
      <c r="GW18" s="125" t="s">
        <v>455</v>
      </c>
      <c r="GX18" s="125" t="s">
        <v>456</v>
      </c>
      <c r="GY18" s="125" t="s">
        <v>457</v>
      </c>
      <c r="GZ18" s="125" t="s">
        <v>458</v>
      </c>
      <c r="HB18" s="125" t="s">
        <v>452</v>
      </c>
      <c r="HC18" s="125" t="s">
        <v>453</v>
      </c>
      <c r="HD18" s="125" t="s">
        <v>398</v>
      </c>
      <c r="HE18" s="125" t="s">
        <v>399</v>
      </c>
      <c r="HF18" s="125" t="s">
        <v>400</v>
      </c>
      <c r="HG18" s="125" t="s">
        <v>401</v>
      </c>
      <c r="HH18" s="125" t="s">
        <v>402</v>
      </c>
      <c r="HI18" s="125" t="s">
        <v>454</v>
      </c>
      <c r="HJ18" s="125" t="s">
        <v>455</v>
      </c>
      <c r="HK18" s="125" t="s">
        <v>456</v>
      </c>
      <c r="HL18" s="125" t="s">
        <v>457</v>
      </c>
      <c r="HM18" s="125" t="s">
        <v>458</v>
      </c>
    </row>
    <row r="19" spans="1:221" x14ac:dyDescent="0.2">
      <c r="A19" s="130">
        <f>IF('Verwerking Bouwdelen'!A3=5,1,0)</f>
        <v>0</v>
      </c>
      <c r="B19" s="208">
        <f>$A19*'Verwerking Bouwdelen'!T3</f>
        <v>0</v>
      </c>
      <c r="C19" s="208">
        <f>$A19*'Verwerking Bouwdelen'!U3</f>
        <v>0</v>
      </c>
      <c r="D19" s="208">
        <f>$A19*'Verwerking Bouwdelen'!V3</f>
        <v>0</v>
      </c>
      <c r="E19" s="208">
        <f>$A19*'Verwerking Bouwdelen'!W3</f>
        <v>0</v>
      </c>
      <c r="F19" s="208">
        <f>$A19*'Verwerking Bouwdelen'!X3</f>
        <v>0</v>
      </c>
      <c r="G19" s="208">
        <f>$A19*'Verwerking Bouwdelen'!Y3</f>
        <v>0</v>
      </c>
      <c r="H19" s="208">
        <f>$A19*'Verwerking Bouwdelen'!Z3</f>
        <v>0</v>
      </c>
      <c r="I19" s="208">
        <f>$A19*'Verwerking Bouwdelen'!AA3</f>
        <v>0</v>
      </c>
      <c r="J19" s="208">
        <f>$A19*'Verwerking Bouwdelen'!AB3</f>
        <v>0</v>
      </c>
      <c r="K19" s="208">
        <f>$A19*'Verwerking Bouwdelen'!AC3</f>
        <v>0</v>
      </c>
      <c r="L19" s="208">
        <f>$A19*'Verwerking Bouwdelen'!AD3</f>
        <v>0</v>
      </c>
      <c r="M19" s="208">
        <f>$A19*'Verwerking Bouwdelen'!AE3</f>
        <v>0</v>
      </c>
      <c r="O19" s="209">
        <f>$A19*'Verwerking Bouwdelen'!AU3</f>
        <v>0</v>
      </c>
      <c r="P19" s="210">
        <f>$A19*'Verwerking Bouwdelen'!AV3</f>
        <v>0</v>
      </c>
      <c r="Q19" s="210">
        <f>$A19*'Verwerking Bouwdelen'!AW3</f>
        <v>0</v>
      </c>
      <c r="R19" s="210">
        <f>$A19*'Verwerking Bouwdelen'!AX3</f>
        <v>0</v>
      </c>
      <c r="S19" s="210">
        <f>$A19*'Verwerking Bouwdelen'!AY3</f>
        <v>0</v>
      </c>
      <c r="T19" s="210">
        <f>$A19*'Verwerking Bouwdelen'!AZ3</f>
        <v>0</v>
      </c>
      <c r="U19" s="210">
        <f>$A19*'Verwerking Bouwdelen'!BA3</f>
        <v>0</v>
      </c>
      <c r="V19" s="210">
        <f>$A19*'Verwerking Bouwdelen'!BB3</f>
        <v>0</v>
      </c>
      <c r="W19" s="210">
        <f>$A19*'Verwerking Bouwdelen'!BC3</f>
        <v>0</v>
      </c>
      <c r="X19" s="210">
        <f>$A19*'Verwerking Bouwdelen'!BD3</f>
        <v>0</v>
      </c>
      <c r="Y19" s="210">
        <f>$A19*'Verwerking Bouwdelen'!BE3</f>
        <v>0</v>
      </c>
      <c r="Z19" s="211">
        <f>$A19*'Verwerking Bouwdelen'!BF3</f>
        <v>0</v>
      </c>
      <c r="AA19" s="245"/>
      <c r="AB19" s="125">
        <f>IF(OR('Verwerking Bouwdelen'!C3=3,'Verwerking Bouwdelen'!C3=6),1,0)</f>
        <v>0</v>
      </c>
      <c r="AC19" s="130">
        <f>IF('Verwerking Bouwdelen'!A3=5,1,0)</f>
        <v>0</v>
      </c>
      <c r="AD19" s="208">
        <f>IF($AB19=1,$AC19*'Verwerking Bouwdelen'!DL3,$AC19*'Verwerking Bouwdelen'!T3)</f>
        <v>0</v>
      </c>
      <c r="AE19" s="208">
        <f>IF($AB19=1,$AC19*'Verwerking Bouwdelen'!DM3,$AC19*'Verwerking Bouwdelen'!U3)</f>
        <v>0</v>
      </c>
      <c r="AF19" s="208">
        <f>IF($AB19=1,$AC19*'Verwerking Bouwdelen'!DN3,$AC19*'Verwerking Bouwdelen'!V3)</f>
        <v>0</v>
      </c>
      <c r="AG19" s="208">
        <f>IF($AB19=1,$AC19*'Verwerking Bouwdelen'!DO3,$AC19*'Verwerking Bouwdelen'!W3)</f>
        <v>0</v>
      </c>
      <c r="AH19" s="208">
        <f>IF($AB19=1,$AC19*'Verwerking Bouwdelen'!DP3,$AC19*'Verwerking Bouwdelen'!X3)</f>
        <v>0</v>
      </c>
      <c r="AI19" s="208">
        <f>IF($AB19=1,$AC19*'Verwerking Bouwdelen'!DQ3,$AC19*'Verwerking Bouwdelen'!Y3)</f>
        <v>0</v>
      </c>
      <c r="AJ19" s="208">
        <f>IF($AB19=1,$AC19*'Verwerking Bouwdelen'!DR3,$AC19*'Verwerking Bouwdelen'!Z3)</f>
        <v>0</v>
      </c>
      <c r="AK19" s="208">
        <f>IF($AB19=1,$AC19*'Verwerking Bouwdelen'!DS3,$AC19*'Verwerking Bouwdelen'!AA3)</f>
        <v>0</v>
      </c>
      <c r="AL19" s="208">
        <f>IF($AB19=1,$AC19*'Verwerking Bouwdelen'!DT3,$AC19*'Verwerking Bouwdelen'!AB3)</f>
        <v>0</v>
      </c>
      <c r="AM19" s="208">
        <f>IF($AB19=1,$AC19*'Verwerking Bouwdelen'!DU3,$AC19*'Verwerking Bouwdelen'!AC3)</f>
        <v>0</v>
      </c>
      <c r="AN19" s="208">
        <f>IF($AB19=1,$AC19*'Verwerking Bouwdelen'!DV3,$AC19*'Verwerking Bouwdelen'!AD3)</f>
        <v>0</v>
      </c>
      <c r="AO19" s="208">
        <f>IF($AB19=1,$AC19*'Verwerking Bouwdelen'!DW3,$AC19*'Verwerking Bouwdelen'!AE3)</f>
        <v>0</v>
      </c>
      <c r="AP19" s="10">
        <f>IF(AD19=B19,0,'Verwerking Bouwdelen'!D3*AB19*AC19)</f>
        <v>0</v>
      </c>
      <c r="AQ19" s="10">
        <f>AB19*AC19*'Verwerking Bouwdelen'!$GH$3</f>
        <v>0</v>
      </c>
      <c r="AR19" s="10"/>
      <c r="AS19" s="248"/>
      <c r="AT19" s="125">
        <f>IF('Verwerking Bouwdelen'!C3=4,1,0)</f>
        <v>0</v>
      </c>
      <c r="AU19" s="130">
        <f>IF('Verwerking Bouwdelen'!A3=5,1,0)</f>
        <v>0</v>
      </c>
      <c r="AV19" s="208">
        <f>IF($AT19=1,$AU19*'Verwerking Bouwdelen'!DL3,$AU19*'Verwerking Bouwdelen'!T3)</f>
        <v>0</v>
      </c>
      <c r="AW19" s="208">
        <f>IF($AT19=1,$AU19*'Verwerking Bouwdelen'!DM3,$AU19*'Verwerking Bouwdelen'!U3)</f>
        <v>0</v>
      </c>
      <c r="AX19" s="208">
        <f>IF($AT19=1,$AU19*'Verwerking Bouwdelen'!DN3,$AU19*'Verwerking Bouwdelen'!V3)</f>
        <v>0</v>
      </c>
      <c r="AY19" s="208">
        <f>IF($AT19=1,$AU19*'Verwerking Bouwdelen'!DO3,$AU19*'Verwerking Bouwdelen'!W3)</f>
        <v>0</v>
      </c>
      <c r="AZ19" s="208">
        <f>IF($AT19=1,$AU19*'Verwerking Bouwdelen'!DP3,$AU19*'Verwerking Bouwdelen'!X3)</f>
        <v>0</v>
      </c>
      <c r="BA19" s="208">
        <f>IF($AT19=1,$AU19*'Verwerking Bouwdelen'!DQ3,$AU19*'Verwerking Bouwdelen'!Y3)</f>
        <v>0</v>
      </c>
      <c r="BB19" s="208">
        <f>IF($AT19=1,$AU19*'Verwerking Bouwdelen'!DR3,$AU19*'Verwerking Bouwdelen'!Z3)</f>
        <v>0</v>
      </c>
      <c r="BC19" s="208">
        <f>IF($AT19=1,$AU19*'Verwerking Bouwdelen'!DS3,$AU19*'Verwerking Bouwdelen'!AA3)</f>
        <v>0</v>
      </c>
      <c r="BD19" s="208">
        <f>IF($AT19=1,$AU19*'Verwerking Bouwdelen'!DT3,$AU19*'Verwerking Bouwdelen'!AB3)</f>
        <v>0</v>
      </c>
      <c r="BE19" s="208">
        <f>IF($AT19=1,$AU19*'Verwerking Bouwdelen'!DU3,$AU19*'Verwerking Bouwdelen'!AC3)</f>
        <v>0</v>
      </c>
      <c r="BF19" s="208">
        <f>IF($AT19=1,$AU19*'Verwerking Bouwdelen'!DV3,$AU19*'Verwerking Bouwdelen'!AD3)</f>
        <v>0</v>
      </c>
      <c r="BG19" s="208">
        <f>IF($AT19=1,$AU19*'Verwerking Bouwdelen'!DW3,$AU19*'Verwerking Bouwdelen'!AE3)</f>
        <v>0</v>
      </c>
      <c r="BH19" s="10">
        <f>IF(AV19=B19,0,'Verwerking Bouwdelen'!D3*AT19*AU19)</f>
        <v>0</v>
      </c>
      <c r="BI19" s="10">
        <f>AT19*AU19*'Verwerking Bouwdelen'!GH3</f>
        <v>0</v>
      </c>
      <c r="BJ19" s="10"/>
      <c r="BK19" s="10"/>
      <c r="BM19" s="125">
        <f>IF('Verwerking Bouwdelen'!C3=5,1,0)</f>
        <v>0</v>
      </c>
      <c r="BN19" s="130">
        <f>IF('Verwerking Bouwdelen'!A3=5,1,0)</f>
        <v>0</v>
      </c>
      <c r="BO19" s="208">
        <f>IF($BM19=1,$BN19*'Verwerking Bouwdelen'!DL3,$BN19*'Verwerking Bouwdelen'!T3)</f>
        <v>0</v>
      </c>
      <c r="BP19" s="208">
        <f>IF($BM19=1,$BN19*'Verwerking Bouwdelen'!DM3,$BN19*'Verwerking Bouwdelen'!U3)</f>
        <v>0</v>
      </c>
      <c r="BQ19" s="208">
        <f>IF($BM19=1,$BN19*'Verwerking Bouwdelen'!DN3,$BN19*'Verwerking Bouwdelen'!V3)</f>
        <v>0</v>
      </c>
      <c r="BR19" s="208">
        <f>IF($BM19=1,$BN19*'Verwerking Bouwdelen'!DO3,$BN19*'Verwerking Bouwdelen'!W3)</f>
        <v>0</v>
      </c>
      <c r="BS19" s="208">
        <f>IF($BM19=1,$BN19*'Verwerking Bouwdelen'!DP3,$BN19*'Verwerking Bouwdelen'!X3)</f>
        <v>0</v>
      </c>
      <c r="BT19" s="208">
        <f>IF($BM19=1,$BN19*'Verwerking Bouwdelen'!DQ3,$BN19*'Verwerking Bouwdelen'!Y3)</f>
        <v>0</v>
      </c>
      <c r="BU19" s="208">
        <f>IF($BM19=1,$BN19*'Verwerking Bouwdelen'!DR3,$BN19*'Verwerking Bouwdelen'!Z3)</f>
        <v>0</v>
      </c>
      <c r="BV19" s="208">
        <f>IF($BM19=1,$BN19*'Verwerking Bouwdelen'!DS3,$BN19*'Verwerking Bouwdelen'!AA3)</f>
        <v>0</v>
      </c>
      <c r="BW19" s="208">
        <f>IF($BM19=1,$BN19*'Verwerking Bouwdelen'!DT3,$BN19*'Verwerking Bouwdelen'!AB3)</f>
        <v>0</v>
      </c>
      <c r="BX19" s="208">
        <f>IF($BM19=1,$BN19*'Verwerking Bouwdelen'!DU3,$BN19*'Verwerking Bouwdelen'!AC3)</f>
        <v>0</v>
      </c>
      <c r="BY19" s="208">
        <f>IF($BM19=1,$BN19*'Verwerking Bouwdelen'!DV3,$BN19*'Verwerking Bouwdelen'!AD3)</f>
        <v>0</v>
      </c>
      <c r="BZ19" s="208">
        <f>IF($BM19=1,$BN19*'Verwerking Bouwdelen'!DW3,$BN19*'Verwerking Bouwdelen'!AE3)</f>
        <v>0</v>
      </c>
      <c r="CA19" s="10">
        <f>IF(BO19=$B19,0,'Verwerking Bouwdelen'!$D3*BM19*BN19)</f>
        <v>0</v>
      </c>
      <c r="CB19" s="10">
        <f>BM19*BN19*'Verwerking Bouwdelen'!GH3</f>
        <v>0</v>
      </c>
      <c r="CC19" s="10"/>
      <c r="CD19" s="248"/>
      <c r="CE19" s="125">
        <f>IF('Verwerking Bouwdelen'!C3=2,1,0)</f>
        <v>0</v>
      </c>
      <c r="CF19" s="130">
        <f>IF('Verwerking Bouwdelen'!A3=5,1,0)</f>
        <v>0</v>
      </c>
      <c r="CG19" s="208">
        <f>IF($CE19=1,$CF19*'Verwerking Bouwdelen'!DL3,$CF19*'Verwerking Bouwdelen'!T3)</f>
        <v>0</v>
      </c>
      <c r="CH19" s="208">
        <f>IF($CE19=1,$CF19*'Verwerking Bouwdelen'!DM3,$CF19*'Verwerking Bouwdelen'!U3)</f>
        <v>0</v>
      </c>
      <c r="CI19" s="208">
        <f>IF($CE19=1,$CF19*'Verwerking Bouwdelen'!DN3,$CF19*'Verwerking Bouwdelen'!V3)</f>
        <v>0</v>
      </c>
      <c r="CJ19" s="208">
        <f>IF($CE19=1,$CF19*'Verwerking Bouwdelen'!DO3,$CF19*'Verwerking Bouwdelen'!W3)</f>
        <v>0</v>
      </c>
      <c r="CK19" s="208">
        <f>IF($CE19=1,$CF19*'Verwerking Bouwdelen'!DP3,$CF19*'Verwerking Bouwdelen'!X3)</f>
        <v>0</v>
      </c>
      <c r="CL19" s="208">
        <f>IF($CE19=1,$CF19*'Verwerking Bouwdelen'!DQ3,$CF19*'Verwerking Bouwdelen'!Y3)</f>
        <v>0</v>
      </c>
      <c r="CM19" s="208">
        <f>IF($CE19=1,$CF19*'Verwerking Bouwdelen'!DR3,$CF19*'Verwerking Bouwdelen'!Z3)</f>
        <v>0</v>
      </c>
      <c r="CN19" s="208">
        <f>IF($CE19=1,$CF19*'Verwerking Bouwdelen'!DS3,$CF19*'Verwerking Bouwdelen'!AA3)</f>
        <v>0</v>
      </c>
      <c r="CO19" s="208">
        <f>IF($CE19=1,$CF19*'Verwerking Bouwdelen'!DT3,$CF19*'Verwerking Bouwdelen'!AB3)</f>
        <v>0</v>
      </c>
      <c r="CP19" s="208">
        <f>IF($CE19=1,$CF19*'Verwerking Bouwdelen'!DU3,$CF19*'Verwerking Bouwdelen'!AC3)</f>
        <v>0</v>
      </c>
      <c r="CQ19" s="208">
        <f>IF($CE19=1,$CF19*'Verwerking Bouwdelen'!DV3,$CF19*'Verwerking Bouwdelen'!AD3)</f>
        <v>0</v>
      </c>
      <c r="CR19" s="208">
        <f>IF($CE19=1,$CF19*'Verwerking Bouwdelen'!DW3,$CF19*'Verwerking Bouwdelen'!AE3)</f>
        <v>0</v>
      </c>
      <c r="CS19" s="10">
        <f>IF(CG19=$B19,0,('Verwerking Bouwdelen'!$D3-'Verwerking Bouwdelen'!G3)*CE19*CF19)</f>
        <v>0</v>
      </c>
      <c r="CT19" s="260">
        <f>CE19*CF19*'Verwerking Bouwdelen'!$GH$3</f>
        <v>0</v>
      </c>
      <c r="CU19" s="260">
        <f>CE19*CF19*'Verwerking Bouwdelen'!GI3</f>
        <v>0</v>
      </c>
      <c r="CW19" s="209">
        <f>$AC19*'Verwerking Bouwdelen'!EE3</f>
        <v>0</v>
      </c>
      <c r="CX19" s="209">
        <f>$AC19*'Verwerking Bouwdelen'!EF3</f>
        <v>0</v>
      </c>
      <c r="CY19" s="209">
        <f>$AC19*'Verwerking Bouwdelen'!EG3</f>
        <v>0</v>
      </c>
      <c r="CZ19" s="209">
        <f>$AC19*'Verwerking Bouwdelen'!EH3</f>
        <v>0</v>
      </c>
      <c r="DA19" s="209">
        <f>$AC19*'Verwerking Bouwdelen'!EI3</f>
        <v>0</v>
      </c>
      <c r="DB19" s="209">
        <f>$AC19*'Verwerking Bouwdelen'!EJ3</f>
        <v>0</v>
      </c>
      <c r="DC19" s="209">
        <f>$AC19*'Verwerking Bouwdelen'!EK3</f>
        <v>0</v>
      </c>
      <c r="DD19" s="209">
        <f>$AC19*'Verwerking Bouwdelen'!EL3</f>
        <v>0</v>
      </c>
      <c r="DE19" s="209">
        <f>$AC19*'Verwerking Bouwdelen'!EM3</f>
        <v>0</v>
      </c>
      <c r="DF19" s="209">
        <f>$AC19*'Verwerking Bouwdelen'!EN3</f>
        <v>0</v>
      </c>
      <c r="DG19" s="209">
        <f>$AC19*'Verwerking Bouwdelen'!EO3</f>
        <v>0</v>
      </c>
      <c r="DH19" s="209">
        <f>$AC19*'Verwerking Bouwdelen'!EP3</f>
        <v>0</v>
      </c>
      <c r="DI19" s="10">
        <f>IF(CW19=$O19,0,'Verwerking Bouwdelen'!G3)</f>
        <v>0</v>
      </c>
      <c r="DJ19" s="259">
        <f>'Verwerking Bouwdelen'!GK3*CF19</f>
        <v>0</v>
      </c>
      <c r="DK19" s="259">
        <f>'Verwerking Bouwdelen'!GL3*CF19</f>
        <v>0</v>
      </c>
      <c r="DL19" s="125"/>
      <c r="DM19" s="245"/>
      <c r="FC19" s="89">
        <f>IF('Verwerken ventilatie'!AJ11=5,1,0)</f>
        <v>0</v>
      </c>
      <c r="FD19" s="89">
        <f>FC19*'Verwerken ventilatie'!BT11</f>
        <v>0</v>
      </c>
      <c r="FE19" s="89">
        <f>FC19*'Verwerken ventilatie'!BU11</f>
        <v>0</v>
      </c>
      <c r="FZ19" s="89">
        <f>IF('Verwerken verlichting'!B15=5,1,0)</f>
        <v>0</v>
      </c>
      <c r="GA19" s="89">
        <f>$FZ19*'Verwerken verlichting'!BX15</f>
        <v>0</v>
      </c>
      <c r="GB19" s="89">
        <f>$FZ19*'Verwerken verlichting'!BY15</f>
        <v>0</v>
      </c>
      <c r="GC19" s="89">
        <f>$FZ19*'Verwerken verlichting'!BZ15</f>
        <v>0</v>
      </c>
      <c r="GD19" s="89">
        <f>$FZ19*'Verwerken verlichting'!CA15</f>
        <v>0</v>
      </c>
      <c r="GE19" s="89">
        <f>$FZ19*'Verwerken verlichting'!CB15</f>
        <v>0</v>
      </c>
      <c r="GF19" s="89">
        <f>$FZ19*'Verwerken verlichting'!CC15</f>
        <v>0</v>
      </c>
      <c r="GG19" s="89">
        <f>FZ19*'Invoer verlichting'!N14</f>
        <v>0</v>
      </c>
      <c r="GH19" s="89">
        <f>FZ19*'Verwerken verlichting'!AH15</f>
        <v>0</v>
      </c>
      <c r="GI19" s="89">
        <f>FZ19*'Verwerken verlichting'!AG15</f>
        <v>0</v>
      </c>
      <c r="GJ19" s="89">
        <f>FZ19*'Verwerken verlichting'!CE15</f>
        <v>0</v>
      </c>
      <c r="GM19" s="89">
        <f>AB19+AT19+BM19+CE19</f>
        <v>0</v>
      </c>
      <c r="GN19" s="89">
        <f>A19</f>
        <v>0</v>
      </c>
      <c r="GO19" s="208">
        <f>IF($GN19=1,$GN19*$GM19*'Verwerking Bouwdelen'!DL3,$GN19*$GM19*'Verwerking Bouwdelen'!T3)</f>
        <v>0</v>
      </c>
      <c r="GP19" s="208">
        <f>IF($GN19=1,$GN19*$GM19*'Verwerking Bouwdelen'!DM3,$GN19*$GM19*'Verwerking Bouwdelen'!U3)</f>
        <v>0</v>
      </c>
      <c r="GQ19" s="208">
        <f>IF($GN19=1,$GN19*$GM19*'Verwerking Bouwdelen'!DN3,$GN19*$GM19*'Verwerking Bouwdelen'!V3)</f>
        <v>0</v>
      </c>
      <c r="GR19" s="208">
        <f>IF($GN19=1,$GN19*$GM19*'Verwerking Bouwdelen'!DO3,$GN19*$GM19*'Verwerking Bouwdelen'!W3)</f>
        <v>0</v>
      </c>
      <c r="GS19" s="208">
        <f>IF($GN19=1,$GN19*$GM19*'Verwerking Bouwdelen'!DP3,$GN19*$GM19*'Verwerking Bouwdelen'!X3)</f>
        <v>0</v>
      </c>
      <c r="GT19" s="208">
        <f>IF($GN19=1,$GN19*$GM19*'Verwerking Bouwdelen'!DQ3,$GN19*$GM19*'Verwerking Bouwdelen'!Y3)</f>
        <v>0</v>
      </c>
      <c r="GU19" s="208">
        <f>IF($GN19=1,$GN19*$GM19*'Verwerking Bouwdelen'!DR3,$GN19*$GM19*'Verwerking Bouwdelen'!Z3)</f>
        <v>0</v>
      </c>
      <c r="GV19" s="208">
        <f>IF($GN19=1,$GN19*$GM19*'Verwerking Bouwdelen'!DS3,$GN19*$GM19*'Verwerking Bouwdelen'!AA3)</f>
        <v>0</v>
      </c>
      <c r="GW19" s="208">
        <f>IF($GN19=1,$GN19*$GM19*'Verwerking Bouwdelen'!DT3,$GN19*$GM19*'Verwerking Bouwdelen'!AB3)</f>
        <v>0</v>
      </c>
      <c r="GX19" s="208">
        <f>IF($GN19=1,$GN19*$GM19*'Verwerking Bouwdelen'!DU3,$GN19*$GM19*'Verwerking Bouwdelen'!AC3)</f>
        <v>0</v>
      </c>
      <c r="GY19" s="208">
        <f>IF($GN19=1,$GN19*$GM19*'Verwerking Bouwdelen'!DV3,$GN19*$GM19*'Verwerking Bouwdelen'!AD3)</f>
        <v>0</v>
      </c>
      <c r="GZ19" s="208">
        <f>IF($GN19=1,$GN19*$GM19*'Verwerking Bouwdelen'!DW3,$GN19*$GM19*'Verwerking Bouwdelen'!AE3)</f>
        <v>0</v>
      </c>
      <c r="HB19" s="89">
        <f t="shared" ref="HB19:HB39" si="1">CW19</f>
        <v>0</v>
      </c>
      <c r="HC19" s="89">
        <f t="shared" ref="HC19:HC39" si="2">CX19</f>
        <v>0</v>
      </c>
      <c r="HD19" s="89">
        <f t="shared" ref="HD19:HD39" si="3">CY19</f>
        <v>0</v>
      </c>
      <c r="HE19" s="89">
        <f t="shared" ref="HE19:HE39" si="4">CZ19</f>
        <v>0</v>
      </c>
      <c r="HF19" s="89">
        <f t="shared" ref="HF19:HF39" si="5">DA19</f>
        <v>0</v>
      </c>
      <c r="HG19" s="89">
        <f t="shared" ref="HG19:HG39" si="6">DB19</f>
        <v>0</v>
      </c>
      <c r="HH19" s="89">
        <f t="shared" ref="HH19:HH39" si="7">DC19</f>
        <v>0</v>
      </c>
      <c r="HI19" s="89">
        <f t="shared" ref="HI19:HI39" si="8">DD19</f>
        <v>0</v>
      </c>
      <c r="HJ19" s="89">
        <f t="shared" ref="HJ19:HJ39" si="9">DE19</f>
        <v>0</v>
      </c>
      <c r="HK19" s="89">
        <f t="shared" ref="HK19:HK39" si="10">DF19</f>
        <v>0</v>
      </c>
      <c r="HL19" s="89">
        <f t="shared" ref="HL19:HL39" si="11">DG19</f>
        <v>0</v>
      </c>
      <c r="HM19" s="89">
        <f t="shared" ref="HM19:HM39" si="12">DH19</f>
        <v>0</v>
      </c>
    </row>
    <row r="20" spans="1:221" x14ac:dyDescent="0.2">
      <c r="A20" s="130">
        <f>IF('Verwerking Bouwdelen'!A4=5,1,0)</f>
        <v>0</v>
      </c>
      <c r="B20" s="208">
        <f>$A20*'Verwerking Bouwdelen'!T4</f>
        <v>0</v>
      </c>
      <c r="C20" s="208">
        <f>$A20*'Verwerking Bouwdelen'!U4</f>
        <v>0</v>
      </c>
      <c r="D20" s="208">
        <f>$A20*'Verwerking Bouwdelen'!V4</f>
        <v>0</v>
      </c>
      <c r="E20" s="208">
        <f>$A20*'Verwerking Bouwdelen'!W4</f>
        <v>0</v>
      </c>
      <c r="F20" s="208">
        <f>$A20*'Verwerking Bouwdelen'!X4</f>
        <v>0</v>
      </c>
      <c r="G20" s="208">
        <f>$A20*'Verwerking Bouwdelen'!Y4</f>
        <v>0</v>
      </c>
      <c r="H20" s="208">
        <f>$A20*'Verwerking Bouwdelen'!Z4</f>
        <v>0</v>
      </c>
      <c r="I20" s="208">
        <f>$A20*'Verwerking Bouwdelen'!AA4</f>
        <v>0</v>
      </c>
      <c r="J20" s="208">
        <f>$A20*'Verwerking Bouwdelen'!AB4</f>
        <v>0</v>
      </c>
      <c r="K20" s="208">
        <f>$A20*'Verwerking Bouwdelen'!AC4</f>
        <v>0</v>
      </c>
      <c r="L20" s="208">
        <f>$A20*'Verwerking Bouwdelen'!AD4</f>
        <v>0</v>
      </c>
      <c r="M20" s="208">
        <f>$A20*'Verwerking Bouwdelen'!AE4</f>
        <v>0</v>
      </c>
      <c r="O20" s="114">
        <f>$A20*'Verwerking Bouwdelen'!AU4</f>
        <v>0</v>
      </c>
      <c r="P20" s="125">
        <f>$A20*'Verwerking Bouwdelen'!AV4</f>
        <v>0</v>
      </c>
      <c r="Q20" s="125">
        <f>$A20*'Verwerking Bouwdelen'!AW4</f>
        <v>0</v>
      </c>
      <c r="R20" s="125">
        <f>$A20*'Verwerking Bouwdelen'!AX4</f>
        <v>0</v>
      </c>
      <c r="S20" s="125">
        <f>$A20*'Verwerking Bouwdelen'!AY4</f>
        <v>0</v>
      </c>
      <c r="T20" s="125">
        <f>$A20*'Verwerking Bouwdelen'!AZ4</f>
        <v>0</v>
      </c>
      <c r="U20" s="125">
        <f>$A20*'Verwerking Bouwdelen'!BA4</f>
        <v>0</v>
      </c>
      <c r="V20" s="125">
        <f>$A20*'Verwerking Bouwdelen'!BB4</f>
        <v>0</v>
      </c>
      <c r="W20" s="125">
        <f>$A20*'Verwerking Bouwdelen'!BC4</f>
        <v>0</v>
      </c>
      <c r="X20" s="125">
        <f>$A20*'Verwerking Bouwdelen'!BD4</f>
        <v>0</v>
      </c>
      <c r="Y20" s="125">
        <f>$A20*'Verwerking Bouwdelen'!BE4</f>
        <v>0</v>
      </c>
      <c r="Z20" s="195">
        <f>$A20*'Verwerking Bouwdelen'!BF4</f>
        <v>0</v>
      </c>
      <c r="AB20" s="125">
        <f>IF(OR('Verwerking Bouwdelen'!C4=3,'Verwerking Bouwdelen'!C4=6),1,0)</f>
        <v>0</v>
      </c>
      <c r="AC20" s="130">
        <f>IF('Verwerking Bouwdelen'!A4=5,1,0)</f>
        <v>0</v>
      </c>
      <c r="AD20" s="208">
        <f>IF($AB20=1,$AC20*'Verwerking Bouwdelen'!DL4,$AC20*'Verwerking Bouwdelen'!T4)</f>
        <v>0</v>
      </c>
      <c r="AE20" s="208">
        <f>IF($AB20=1,$AC20*'Verwerking Bouwdelen'!DM4,$AC20*'Verwerking Bouwdelen'!U4)</f>
        <v>0</v>
      </c>
      <c r="AF20" s="208">
        <f>IF($AB20=1,$AC20*'Verwerking Bouwdelen'!DN4,$AC20*'Verwerking Bouwdelen'!V4)</f>
        <v>0</v>
      </c>
      <c r="AG20" s="208">
        <f>IF($AB20=1,$AC20*'Verwerking Bouwdelen'!DO4,$AC20*'Verwerking Bouwdelen'!W4)</f>
        <v>0</v>
      </c>
      <c r="AH20" s="208">
        <f>IF($AB20=1,$AC20*'Verwerking Bouwdelen'!DP4,$AC20*'Verwerking Bouwdelen'!X4)</f>
        <v>0</v>
      </c>
      <c r="AI20" s="208">
        <f>IF($AB20=1,$AC20*'Verwerking Bouwdelen'!DQ4,$AC20*'Verwerking Bouwdelen'!Y4)</f>
        <v>0</v>
      </c>
      <c r="AJ20" s="208">
        <f>IF($AB20=1,$AC20*'Verwerking Bouwdelen'!DR4,$AC20*'Verwerking Bouwdelen'!Z4)</f>
        <v>0</v>
      </c>
      <c r="AK20" s="208">
        <f>IF($AB20=1,$AC20*'Verwerking Bouwdelen'!DS4,$AC20*'Verwerking Bouwdelen'!AA4)</f>
        <v>0</v>
      </c>
      <c r="AL20" s="208">
        <f>IF($AB20=1,$AC20*'Verwerking Bouwdelen'!DT4,$AC20*'Verwerking Bouwdelen'!AB4)</f>
        <v>0</v>
      </c>
      <c r="AM20" s="208">
        <f>IF($AB20=1,$AC20*'Verwerking Bouwdelen'!DU4,$AC20*'Verwerking Bouwdelen'!AC4)</f>
        <v>0</v>
      </c>
      <c r="AN20" s="208">
        <f>IF($AB20=1,$AC20*'Verwerking Bouwdelen'!DV4,$AC20*'Verwerking Bouwdelen'!AD4)</f>
        <v>0</v>
      </c>
      <c r="AO20" s="208">
        <f>IF($AB20=1,$AC20*'Verwerking Bouwdelen'!DW4,$AC20*'Verwerking Bouwdelen'!AE4)</f>
        <v>0</v>
      </c>
      <c r="AP20" s="10">
        <f>IF(AD20=B20,0,'Verwerking Bouwdelen'!D4*AB20*AC20)</f>
        <v>0</v>
      </c>
      <c r="AQ20" s="10">
        <f>AB20*AC20*'Verwerking Bouwdelen'!GH4</f>
        <v>0</v>
      </c>
      <c r="AR20" s="10"/>
      <c r="AS20" s="248"/>
      <c r="AT20" s="125">
        <f>IF('Verwerking Bouwdelen'!C4=4,1,0)</f>
        <v>0</v>
      </c>
      <c r="AU20" s="130">
        <f>IF('Verwerking Bouwdelen'!A4=5,1,0)</f>
        <v>0</v>
      </c>
      <c r="AV20" s="208">
        <f>IF($AT20=1,$AU20*'Verwerking Bouwdelen'!DL4,$AU20*'Verwerking Bouwdelen'!T4)</f>
        <v>0</v>
      </c>
      <c r="AW20" s="208">
        <f>IF($AT20=1,$AU20*'Verwerking Bouwdelen'!DM4,$AU20*'Verwerking Bouwdelen'!U4)</f>
        <v>0</v>
      </c>
      <c r="AX20" s="208">
        <f>IF($AT20=1,$AU20*'Verwerking Bouwdelen'!DN4,$AU20*'Verwerking Bouwdelen'!V4)</f>
        <v>0</v>
      </c>
      <c r="AY20" s="208">
        <f>IF($AT20=1,$AU20*'Verwerking Bouwdelen'!DO4,$AU20*'Verwerking Bouwdelen'!W4)</f>
        <v>0</v>
      </c>
      <c r="AZ20" s="208">
        <f>IF($AT20=1,$AU20*'Verwerking Bouwdelen'!DP4,$AU20*'Verwerking Bouwdelen'!X4)</f>
        <v>0</v>
      </c>
      <c r="BA20" s="208">
        <f>IF($AT20=1,$AU20*'Verwerking Bouwdelen'!DQ4,$AU20*'Verwerking Bouwdelen'!Y4)</f>
        <v>0</v>
      </c>
      <c r="BB20" s="208">
        <f>IF($AT20=1,$AU20*'Verwerking Bouwdelen'!DR4,$AU20*'Verwerking Bouwdelen'!Z4)</f>
        <v>0</v>
      </c>
      <c r="BC20" s="208">
        <f>IF($AT20=1,$AU20*'Verwerking Bouwdelen'!DS4,$AU20*'Verwerking Bouwdelen'!AA4)</f>
        <v>0</v>
      </c>
      <c r="BD20" s="208">
        <f>IF($AT20=1,$AU20*'Verwerking Bouwdelen'!DT4,$AU20*'Verwerking Bouwdelen'!AB4)</f>
        <v>0</v>
      </c>
      <c r="BE20" s="208">
        <f>IF($AT20=1,$AU20*'Verwerking Bouwdelen'!DU4,$AU20*'Verwerking Bouwdelen'!AC4)</f>
        <v>0</v>
      </c>
      <c r="BF20" s="208">
        <f>IF($AT20=1,$AU20*'Verwerking Bouwdelen'!DV4,$AU20*'Verwerking Bouwdelen'!AD4)</f>
        <v>0</v>
      </c>
      <c r="BG20" s="208">
        <f>IF($AT20=1,$AU20*'Verwerking Bouwdelen'!DW4,$AU20*'Verwerking Bouwdelen'!AE4)</f>
        <v>0</v>
      </c>
      <c r="BH20" s="10">
        <f>IF(AV20=B20,0,'Verwerking Bouwdelen'!D4*AT20*AU20)</f>
        <v>0</v>
      </c>
      <c r="BI20" s="10">
        <f>AT20*AU20*'Verwerking Bouwdelen'!GH4</f>
        <v>0</v>
      </c>
      <c r="BJ20" s="10"/>
      <c r="BK20" s="10"/>
      <c r="BM20" s="125">
        <f>IF('Verwerking Bouwdelen'!C4=5,1,0)</f>
        <v>0</v>
      </c>
      <c r="BN20" s="130">
        <f>IF('Verwerking Bouwdelen'!A4=5,1,0)</f>
        <v>0</v>
      </c>
      <c r="BO20" s="208">
        <f>IF($BM20=1,$BN20*'Verwerking Bouwdelen'!DL4,$BN20*'Verwerking Bouwdelen'!T4)</f>
        <v>0</v>
      </c>
      <c r="BP20" s="208">
        <f>IF($BM20=1,$BN20*'Verwerking Bouwdelen'!DM4,$BN20*'Verwerking Bouwdelen'!U4)</f>
        <v>0</v>
      </c>
      <c r="BQ20" s="208">
        <f>IF($BM20=1,$BN20*'Verwerking Bouwdelen'!DN4,$BN20*'Verwerking Bouwdelen'!V4)</f>
        <v>0</v>
      </c>
      <c r="BR20" s="208">
        <f>IF($BM20=1,$BN20*'Verwerking Bouwdelen'!DO4,$BN20*'Verwerking Bouwdelen'!W4)</f>
        <v>0</v>
      </c>
      <c r="BS20" s="208">
        <f>IF($BM20=1,$BN20*'Verwerking Bouwdelen'!DP4,$BN20*'Verwerking Bouwdelen'!X4)</f>
        <v>0</v>
      </c>
      <c r="BT20" s="208">
        <f>IF($BM20=1,$BN20*'Verwerking Bouwdelen'!DQ4,$BN20*'Verwerking Bouwdelen'!Y4)</f>
        <v>0</v>
      </c>
      <c r="BU20" s="208">
        <f>IF($BM20=1,$BN20*'Verwerking Bouwdelen'!DR4,$BN20*'Verwerking Bouwdelen'!Z4)</f>
        <v>0</v>
      </c>
      <c r="BV20" s="208">
        <f>IF($BM20=1,$BN20*'Verwerking Bouwdelen'!DS4,$BN20*'Verwerking Bouwdelen'!AA4)</f>
        <v>0</v>
      </c>
      <c r="BW20" s="208">
        <f>IF($BM20=1,$BN20*'Verwerking Bouwdelen'!DT4,$BN20*'Verwerking Bouwdelen'!AB4)</f>
        <v>0</v>
      </c>
      <c r="BX20" s="208">
        <f>IF($BM20=1,$BN20*'Verwerking Bouwdelen'!DU4,$BN20*'Verwerking Bouwdelen'!AC4)</f>
        <v>0</v>
      </c>
      <c r="BY20" s="208">
        <f>IF($BM20=1,$BN20*'Verwerking Bouwdelen'!DV4,$BN20*'Verwerking Bouwdelen'!AD4)</f>
        <v>0</v>
      </c>
      <c r="BZ20" s="208">
        <f>IF($BM20=1,$BN20*'Verwerking Bouwdelen'!DW4,$BN20*'Verwerking Bouwdelen'!AE4)</f>
        <v>0</v>
      </c>
      <c r="CA20" s="10">
        <f>IF(BO20=$B20,0,'Verwerking Bouwdelen'!$D4*BM20*BN20)</f>
        <v>0</v>
      </c>
      <c r="CB20" s="10">
        <f>BM20*BN20*'Verwerking Bouwdelen'!GH4</f>
        <v>0</v>
      </c>
      <c r="CC20" s="10"/>
      <c r="CD20" s="248"/>
      <c r="CE20" s="125">
        <f>IF('Verwerking Bouwdelen'!C4=2,1,0)</f>
        <v>0</v>
      </c>
      <c r="CF20" s="130">
        <f>IF('Verwerking Bouwdelen'!A4=5,1,0)</f>
        <v>0</v>
      </c>
      <c r="CG20" s="208">
        <f>IF($CE20=1,$CF20*'Verwerking Bouwdelen'!DL4,$CF20*'Verwerking Bouwdelen'!T4)</f>
        <v>0</v>
      </c>
      <c r="CH20" s="208">
        <f>IF($CE20=1,$CF20*'Verwerking Bouwdelen'!DM4,$CF20*'Verwerking Bouwdelen'!U4)</f>
        <v>0</v>
      </c>
      <c r="CI20" s="208">
        <f>IF($CE20=1,$CF20*'Verwerking Bouwdelen'!DN4,$CF20*'Verwerking Bouwdelen'!V4)</f>
        <v>0</v>
      </c>
      <c r="CJ20" s="208">
        <f>IF($CE20=1,$CF20*'Verwerking Bouwdelen'!DO4,$CF20*'Verwerking Bouwdelen'!W4)</f>
        <v>0</v>
      </c>
      <c r="CK20" s="208">
        <f>IF($CE20=1,$CF20*'Verwerking Bouwdelen'!DP4,$CF20*'Verwerking Bouwdelen'!X4)</f>
        <v>0</v>
      </c>
      <c r="CL20" s="208">
        <f>IF($CE20=1,$CF20*'Verwerking Bouwdelen'!DQ4,$CF20*'Verwerking Bouwdelen'!Y4)</f>
        <v>0</v>
      </c>
      <c r="CM20" s="208">
        <f>IF($CE20=1,$CF20*'Verwerking Bouwdelen'!DR4,$CF20*'Verwerking Bouwdelen'!Z4)</f>
        <v>0</v>
      </c>
      <c r="CN20" s="208">
        <f>IF($CE20=1,$CF20*'Verwerking Bouwdelen'!DS4,$CF20*'Verwerking Bouwdelen'!AA4)</f>
        <v>0</v>
      </c>
      <c r="CO20" s="208">
        <f>IF($CE20=1,$CF20*'Verwerking Bouwdelen'!DT4,$CF20*'Verwerking Bouwdelen'!AB4)</f>
        <v>0</v>
      </c>
      <c r="CP20" s="208">
        <f>IF($CE20=1,$CF20*'Verwerking Bouwdelen'!DU4,$CF20*'Verwerking Bouwdelen'!AC4)</f>
        <v>0</v>
      </c>
      <c r="CQ20" s="208">
        <f>IF($CE20=1,$CF20*'Verwerking Bouwdelen'!DV4,$CF20*'Verwerking Bouwdelen'!AD4)</f>
        <v>0</v>
      </c>
      <c r="CR20" s="208">
        <f>IF($CE20=1,$CF20*'Verwerking Bouwdelen'!DW4,$CF20*'Verwerking Bouwdelen'!AE4)</f>
        <v>0</v>
      </c>
      <c r="CS20" s="10">
        <f>IF(CG20=$B20,0,('Verwerking Bouwdelen'!$D4-'Verwerking Bouwdelen'!G4)*CE20*CF20)</f>
        <v>0</v>
      </c>
      <c r="CT20" s="261">
        <f>CE20*CF20*'Verwerking Bouwdelen'!$GH$3</f>
        <v>0</v>
      </c>
      <c r="CU20" s="261">
        <f>CE20*CF20*'Verwerking Bouwdelen'!GI4</f>
        <v>0</v>
      </c>
      <c r="CW20" s="209">
        <f>$AC20*'Verwerking Bouwdelen'!EE4</f>
        <v>0</v>
      </c>
      <c r="CX20" s="209">
        <f>$AC20*'Verwerking Bouwdelen'!EF4</f>
        <v>0</v>
      </c>
      <c r="CY20" s="209">
        <f>$AC20*'Verwerking Bouwdelen'!EG4</f>
        <v>0</v>
      </c>
      <c r="CZ20" s="209">
        <f>$AC20*'Verwerking Bouwdelen'!EH4</f>
        <v>0</v>
      </c>
      <c r="DA20" s="209">
        <f>$AC20*'Verwerking Bouwdelen'!EI4</f>
        <v>0</v>
      </c>
      <c r="DB20" s="209">
        <f>$AC20*'Verwerking Bouwdelen'!EJ4</f>
        <v>0</v>
      </c>
      <c r="DC20" s="209">
        <f>$AC20*'Verwerking Bouwdelen'!EK4</f>
        <v>0</v>
      </c>
      <c r="DD20" s="209">
        <f>$AC20*'Verwerking Bouwdelen'!EL4</f>
        <v>0</v>
      </c>
      <c r="DE20" s="209">
        <f>$AC20*'Verwerking Bouwdelen'!EM4</f>
        <v>0</v>
      </c>
      <c r="DF20" s="209">
        <f>$AC20*'Verwerking Bouwdelen'!EN4</f>
        <v>0</v>
      </c>
      <c r="DG20" s="209">
        <f>$AC20*'Verwerking Bouwdelen'!EO4</f>
        <v>0</v>
      </c>
      <c r="DH20" s="209">
        <f>$AC20*'Verwerking Bouwdelen'!EP4</f>
        <v>0</v>
      </c>
      <c r="DI20" s="10">
        <f>IF(CW20=$O20,0,'Verwerking Bouwdelen'!G4)</f>
        <v>0</v>
      </c>
      <c r="DJ20" s="259">
        <f>'Verwerking Bouwdelen'!GK4*CF20</f>
        <v>0</v>
      </c>
      <c r="DK20" s="259">
        <f>'Verwerking Bouwdelen'!GL4*CF20</f>
        <v>0</v>
      </c>
      <c r="DL20" s="125"/>
      <c r="FC20" s="89">
        <f>IF('Verwerken ventilatie'!AJ12=5,1,0)</f>
        <v>0</v>
      </c>
      <c r="FD20" s="89">
        <f>FC20*'Verwerken ventilatie'!BT12</f>
        <v>0</v>
      </c>
      <c r="FE20" s="89">
        <f>FC20*'Verwerken ventilatie'!BU12</f>
        <v>0</v>
      </c>
      <c r="FZ20" s="89">
        <f>IF('Verwerken verlichting'!B16=5,1,0)</f>
        <v>0</v>
      </c>
      <c r="GA20" s="89">
        <f>$FZ20*'Verwerken verlichting'!BX16</f>
        <v>0</v>
      </c>
      <c r="GB20" s="89">
        <f>$FZ20*'Verwerken verlichting'!BY16</f>
        <v>0</v>
      </c>
      <c r="GC20" s="89">
        <f>$FZ20*'Verwerken verlichting'!BZ16</f>
        <v>0</v>
      </c>
      <c r="GD20" s="89">
        <f>$FZ20*'Verwerken verlichting'!CA16</f>
        <v>0</v>
      </c>
      <c r="GE20" s="89">
        <f>$FZ20*'Verwerken verlichting'!CB16</f>
        <v>0</v>
      </c>
      <c r="GF20" s="89">
        <f>$FZ20*'Verwerken verlichting'!CC16</f>
        <v>0</v>
      </c>
      <c r="GG20" s="89">
        <f>FZ20*'Invoer verlichting'!N15</f>
        <v>0</v>
      </c>
      <c r="GH20" s="89">
        <f>FZ20*'Verwerken verlichting'!AH16</f>
        <v>0</v>
      </c>
      <c r="GI20" s="89">
        <f>FZ20*'Verwerken verlichting'!AG16</f>
        <v>0</v>
      </c>
      <c r="GJ20" s="89">
        <f>FZ20*'Verwerken verlichting'!CE16</f>
        <v>0</v>
      </c>
      <c r="GM20" s="89">
        <f t="shared" ref="GM20:GM60" si="13">AB20+AT20+BM20+CE20</f>
        <v>0</v>
      </c>
      <c r="GN20" s="89">
        <f t="shared" ref="GN20:GN60" si="14">A20</f>
        <v>0</v>
      </c>
      <c r="GO20" s="208">
        <f>IF($GN20=1,$GN20*$GM20*'Verwerking Bouwdelen'!DL4,$GN20*$GM20*'Verwerking Bouwdelen'!T4)</f>
        <v>0</v>
      </c>
      <c r="GP20" s="208">
        <f>IF($GN20=1,$GN20*$GM20*'Verwerking Bouwdelen'!DM4,$GN20*$GM20*'Verwerking Bouwdelen'!U4)</f>
        <v>0</v>
      </c>
      <c r="GQ20" s="208">
        <f>IF($GN20=1,$GN20*$GM20*'Verwerking Bouwdelen'!DN4,$GN20*$GM20*'Verwerking Bouwdelen'!V4)</f>
        <v>0</v>
      </c>
      <c r="GR20" s="208">
        <f>IF($GN20=1,$GN20*$GM20*'Verwerking Bouwdelen'!DO4,$GN20*$GM20*'Verwerking Bouwdelen'!W4)</f>
        <v>0</v>
      </c>
      <c r="GS20" s="208">
        <f>IF($GN20=1,$GN20*$GM20*'Verwerking Bouwdelen'!DP4,$GN20*$GM20*'Verwerking Bouwdelen'!X4)</f>
        <v>0</v>
      </c>
      <c r="GT20" s="208">
        <f>IF($GN20=1,$GN20*$GM20*'Verwerking Bouwdelen'!DQ4,$GN20*$GM20*'Verwerking Bouwdelen'!Y4)</f>
        <v>0</v>
      </c>
      <c r="GU20" s="208">
        <f>IF($GN20=1,$GN20*$GM20*'Verwerking Bouwdelen'!DR4,$GN20*$GM20*'Verwerking Bouwdelen'!Z4)</f>
        <v>0</v>
      </c>
      <c r="GV20" s="208">
        <f>IF($GN20=1,$GN20*$GM20*'Verwerking Bouwdelen'!DS4,$GN20*$GM20*'Verwerking Bouwdelen'!AA4)</f>
        <v>0</v>
      </c>
      <c r="GW20" s="208">
        <f>IF($GN20=1,$GN20*$GM20*'Verwerking Bouwdelen'!DT4,$GN20*$GM20*'Verwerking Bouwdelen'!AB4)</f>
        <v>0</v>
      </c>
      <c r="GX20" s="208">
        <f>IF($GN20=1,$GN20*$GM20*'Verwerking Bouwdelen'!DU4,$GN20*$GM20*'Verwerking Bouwdelen'!AC4)</f>
        <v>0</v>
      </c>
      <c r="GY20" s="208">
        <f>IF($GN20=1,$GN20*$GM20*'Verwerking Bouwdelen'!DV4,$GN20*$GM20*'Verwerking Bouwdelen'!AD4)</f>
        <v>0</v>
      </c>
      <c r="GZ20" s="208">
        <f>IF($GN20=1,$GN20*$GM20*'Verwerking Bouwdelen'!DW4,$GN20*$GM20*'Verwerking Bouwdelen'!AE4)</f>
        <v>0</v>
      </c>
      <c r="HB20" s="89">
        <f t="shared" si="1"/>
        <v>0</v>
      </c>
      <c r="HC20" s="89">
        <f t="shared" si="2"/>
        <v>0</v>
      </c>
      <c r="HD20" s="89">
        <f t="shared" si="3"/>
        <v>0</v>
      </c>
      <c r="HE20" s="89">
        <f t="shared" si="4"/>
        <v>0</v>
      </c>
      <c r="HF20" s="89">
        <f t="shared" si="5"/>
        <v>0</v>
      </c>
      <c r="HG20" s="89">
        <f t="shared" si="6"/>
        <v>0</v>
      </c>
      <c r="HH20" s="89">
        <f t="shared" si="7"/>
        <v>0</v>
      </c>
      <c r="HI20" s="89">
        <f t="shared" si="8"/>
        <v>0</v>
      </c>
      <c r="HJ20" s="89">
        <f t="shared" si="9"/>
        <v>0</v>
      </c>
      <c r="HK20" s="89">
        <f t="shared" si="10"/>
        <v>0</v>
      </c>
      <c r="HL20" s="89">
        <f t="shared" si="11"/>
        <v>0</v>
      </c>
      <c r="HM20" s="89">
        <f t="shared" si="12"/>
        <v>0</v>
      </c>
    </row>
    <row r="21" spans="1:221" x14ac:dyDescent="0.2">
      <c r="A21" s="130">
        <f>IF('Verwerking Bouwdelen'!A5=5,1,0)</f>
        <v>0</v>
      </c>
      <c r="B21" s="208">
        <f>$A21*'Verwerking Bouwdelen'!T5</f>
        <v>0</v>
      </c>
      <c r="C21" s="208">
        <f>$A21*'Verwerking Bouwdelen'!U5</f>
        <v>0</v>
      </c>
      <c r="D21" s="208">
        <f>$A21*'Verwerking Bouwdelen'!V5</f>
        <v>0</v>
      </c>
      <c r="E21" s="208">
        <f>$A21*'Verwerking Bouwdelen'!W5</f>
        <v>0</v>
      </c>
      <c r="F21" s="208">
        <f>$A21*'Verwerking Bouwdelen'!X5</f>
        <v>0</v>
      </c>
      <c r="G21" s="208">
        <f>$A21*'Verwerking Bouwdelen'!Y5</f>
        <v>0</v>
      </c>
      <c r="H21" s="208">
        <f>$A21*'Verwerking Bouwdelen'!Z5</f>
        <v>0</v>
      </c>
      <c r="I21" s="208">
        <f>$A21*'Verwerking Bouwdelen'!AA5</f>
        <v>0</v>
      </c>
      <c r="J21" s="208">
        <f>$A21*'Verwerking Bouwdelen'!AB5</f>
        <v>0</v>
      </c>
      <c r="K21" s="208">
        <f>$A21*'Verwerking Bouwdelen'!AC5</f>
        <v>0</v>
      </c>
      <c r="L21" s="208">
        <f>$A21*'Verwerking Bouwdelen'!AD5</f>
        <v>0</v>
      </c>
      <c r="M21" s="208">
        <f>$A21*'Verwerking Bouwdelen'!AE5</f>
        <v>0</v>
      </c>
      <c r="O21" s="114">
        <f>$A21*'Verwerking Bouwdelen'!AU5</f>
        <v>0</v>
      </c>
      <c r="P21" s="125">
        <f>$A21*'Verwerking Bouwdelen'!AV5</f>
        <v>0</v>
      </c>
      <c r="Q21" s="125">
        <f>$A21*'Verwerking Bouwdelen'!AW5</f>
        <v>0</v>
      </c>
      <c r="R21" s="125">
        <f>$A21*'Verwerking Bouwdelen'!AX5</f>
        <v>0</v>
      </c>
      <c r="S21" s="125">
        <f>$A21*'Verwerking Bouwdelen'!AY5</f>
        <v>0</v>
      </c>
      <c r="T21" s="125">
        <f>$A21*'Verwerking Bouwdelen'!AZ5</f>
        <v>0</v>
      </c>
      <c r="U21" s="125">
        <f>$A21*'Verwerking Bouwdelen'!BA5</f>
        <v>0</v>
      </c>
      <c r="V21" s="125">
        <f>$A21*'Verwerking Bouwdelen'!BB5</f>
        <v>0</v>
      </c>
      <c r="W21" s="125">
        <f>$A21*'Verwerking Bouwdelen'!BC5</f>
        <v>0</v>
      </c>
      <c r="X21" s="125">
        <f>$A21*'Verwerking Bouwdelen'!BD5</f>
        <v>0</v>
      </c>
      <c r="Y21" s="125">
        <f>$A21*'Verwerking Bouwdelen'!BE5</f>
        <v>0</v>
      </c>
      <c r="Z21" s="195">
        <f>$A21*'Verwerking Bouwdelen'!BF5</f>
        <v>0</v>
      </c>
      <c r="AB21" s="125">
        <f>IF(OR('Verwerking Bouwdelen'!C5=3,'Verwerking Bouwdelen'!C5=6),1,0)</f>
        <v>0</v>
      </c>
      <c r="AC21" s="130">
        <f>IF('Verwerking Bouwdelen'!A5=5,1,0)</f>
        <v>0</v>
      </c>
      <c r="AD21" s="208">
        <f>IF($AB21=1,$AC21*'Verwerking Bouwdelen'!DL5,$AC21*'Verwerking Bouwdelen'!T5)</f>
        <v>0</v>
      </c>
      <c r="AE21" s="208">
        <f>IF($AB21=1,$AC21*'Verwerking Bouwdelen'!DM5,$AC21*'Verwerking Bouwdelen'!U5)</f>
        <v>0</v>
      </c>
      <c r="AF21" s="208">
        <f>IF($AB21=1,$AC21*'Verwerking Bouwdelen'!DN5,$AC21*'Verwerking Bouwdelen'!V5)</f>
        <v>0</v>
      </c>
      <c r="AG21" s="208">
        <f>IF($AB21=1,$AC21*'Verwerking Bouwdelen'!DO5,$AC21*'Verwerking Bouwdelen'!W5)</f>
        <v>0</v>
      </c>
      <c r="AH21" s="208">
        <f>IF($AB21=1,$AC21*'Verwerking Bouwdelen'!DP5,$AC21*'Verwerking Bouwdelen'!X5)</f>
        <v>0</v>
      </c>
      <c r="AI21" s="208">
        <f>IF($AB21=1,$AC21*'Verwerking Bouwdelen'!DQ5,$AC21*'Verwerking Bouwdelen'!Y5)</f>
        <v>0</v>
      </c>
      <c r="AJ21" s="208">
        <f>IF($AB21=1,$AC21*'Verwerking Bouwdelen'!DR5,$AC21*'Verwerking Bouwdelen'!Z5)</f>
        <v>0</v>
      </c>
      <c r="AK21" s="208">
        <f>IF($AB21=1,$AC21*'Verwerking Bouwdelen'!DS5,$AC21*'Verwerking Bouwdelen'!AA5)</f>
        <v>0</v>
      </c>
      <c r="AL21" s="208">
        <f>IF($AB21=1,$AC21*'Verwerking Bouwdelen'!DT5,$AC21*'Verwerking Bouwdelen'!AB5)</f>
        <v>0</v>
      </c>
      <c r="AM21" s="208">
        <f>IF($AB21=1,$AC21*'Verwerking Bouwdelen'!DU5,$AC21*'Verwerking Bouwdelen'!AC5)</f>
        <v>0</v>
      </c>
      <c r="AN21" s="208">
        <f>IF($AB21=1,$AC21*'Verwerking Bouwdelen'!DV5,$AC21*'Verwerking Bouwdelen'!AD5)</f>
        <v>0</v>
      </c>
      <c r="AO21" s="208">
        <f>IF($AB21=1,$AC21*'Verwerking Bouwdelen'!DW5,$AC21*'Verwerking Bouwdelen'!AE5)</f>
        <v>0</v>
      </c>
      <c r="AP21" s="10">
        <f>IF(AD21=B21,0,'Verwerking Bouwdelen'!D5*AB21*AC21)</f>
        <v>0</v>
      </c>
      <c r="AQ21" s="10">
        <f>AB21*AC21*'Verwerking Bouwdelen'!GH5</f>
        <v>0</v>
      </c>
      <c r="AR21" s="10"/>
      <c r="AS21" s="248"/>
      <c r="AT21" s="125">
        <f>IF('Verwerking Bouwdelen'!C5=4,1,0)</f>
        <v>0</v>
      </c>
      <c r="AU21" s="130">
        <f>IF('Verwerking Bouwdelen'!A5=5,1,0)</f>
        <v>0</v>
      </c>
      <c r="AV21" s="208">
        <f>IF($AT21=1,$AU21*'Verwerking Bouwdelen'!DL5,$AU21*'Verwerking Bouwdelen'!T5)</f>
        <v>0</v>
      </c>
      <c r="AW21" s="208">
        <f>IF($AT21=1,$AU21*'Verwerking Bouwdelen'!DM5,$AU21*'Verwerking Bouwdelen'!U5)</f>
        <v>0</v>
      </c>
      <c r="AX21" s="208">
        <f>IF($AT21=1,$AU21*'Verwerking Bouwdelen'!DN5,$AU21*'Verwerking Bouwdelen'!V5)</f>
        <v>0</v>
      </c>
      <c r="AY21" s="208">
        <f>IF($AT21=1,$AU21*'Verwerking Bouwdelen'!DO5,$AU21*'Verwerking Bouwdelen'!W5)</f>
        <v>0</v>
      </c>
      <c r="AZ21" s="208">
        <f>IF($AT21=1,$AU21*'Verwerking Bouwdelen'!DP5,$AU21*'Verwerking Bouwdelen'!X5)</f>
        <v>0</v>
      </c>
      <c r="BA21" s="208">
        <f>IF($AT21=1,$AU21*'Verwerking Bouwdelen'!DQ5,$AU21*'Verwerking Bouwdelen'!Y5)</f>
        <v>0</v>
      </c>
      <c r="BB21" s="208">
        <f>IF($AT21=1,$AU21*'Verwerking Bouwdelen'!DR5,$AU21*'Verwerking Bouwdelen'!Z5)</f>
        <v>0</v>
      </c>
      <c r="BC21" s="208">
        <f>IF($AT21=1,$AU21*'Verwerking Bouwdelen'!DS5,$AU21*'Verwerking Bouwdelen'!AA5)</f>
        <v>0</v>
      </c>
      <c r="BD21" s="208">
        <f>IF($AT21=1,$AU21*'Verwerking Bouwdelen'!DT5,$AU21*'Verwerking Bouwdelen'!AB5)</f>
        <v>0</v>
      </c>
      <c r="BE21" s="208">
        <f>IF($AT21=1,$AU21*'Verwerking Bouwdelen'!DU5,$AU21*'Verwerking Bouwdelen'!AC5)</f>
        <v>0</v>
      </c>
      <c r="BF21" s="208">
        <f>IF($AT21=1,$AU21*'Verwerking Bouwdelen'!DV5,$AU21*'Verwerking Bouwdelen'!AD5)</f>
        <v>0</v>
      </c>
      <c r="BG21" s="208">
        <f>IF($AT21=1,$AU21*'Verwerking Bouwdelen'!DW5,$AU21*'Verwerking Bouwdelen'!AE5)</f>
        <v>0</v>
      </c>
      <c r="BH21" s="10">
        <f>IF(AV21=B21,0,'Verwerking Bouwdelen'!D5*AT21*AU21)</f>
        <v>0</v>
      </c>
      <c r="BI21" s="10">
        <f>AT21*AU21*'Verwerking Bouwdelen'!GH5</f>
        <v>0</v>
      </c>
      <c r="BJ21" s="10"/>
      <c r="BK21" s="10"/>
      <c r="BM21" s="125">
        <f>IF('Verwerking Bouwdelen'!C5=5,1,0)</f>
        <v>0</v>
      </c>
      <c r="BN21" s="130">
        <f>IF('Verwerking Bouwdelen'!A5=5,1,0)</f>
        <v>0</v>
      </c>
      <c r="BO21" s="208">
        <f>IF($BM21=1,$BN21*'Verwerking Bouwdelen'!DL5,$BN21*'Verwerking Bouwdelen'!T5)</f>
        <v>0</v>
      </c>
      <c r="BP21" s="208">
        <f>IF($BM21=1,$BN21*'Verwerking Bouwdelen'!DM5,$BN21*'Verwerking Bouwdelen'!U5)</f>
        <v>0</v>
      </c>
      <c r="BQ21" s="208">
        <f>IF($BM21=1,$BN21*'Verwerking Bouwdelen'!DN5,$BN21*'Verwerking Bouwdelen'!V5)</f>
        <v>0</v>
      </c>
      <c r="BR21" s="208">
        <f>IF($BM21=1,$BN21*'Verwerking Bouwdelen'!DO5,$BN21*'Verwerking Bouwdelen'!W5)</f>
        <v>0</v>
      </c>
      <c r="BS21" s="208">
        <f>IF($BM21=1,$BN21*'Verwerking Bouwdelen'!DP5,$BN21*'Verwerking Bouwdelen'!X5)</f>
        <v>0</v>
      </c>
      <c r="BT21" s="208">
        <f>IF($BM21=1,$BN21*'Verwerking Bouwdelen'!DQ5,$BN21*'Verwerking Bouwdelen'!Y5)</f>
        <v>0</v>
      </c>
      <c r="BU21" s="208">
        <f>IF($BM21=1,$BN21*'Verwerking Bouwdelen'!DR5,$BN21*'Verwerking Bouwdelen'!Z5)</f>
        <v>0</v>
      </c>
      <c r="BV21" s="208">
        <f>IF($BM21=1,$BN21*'Verwerking Bouwdelen'!DS5,$BN21*'Verwerking Bouwdelen'!AA5)</f>
        <v>0</v>
      </c>
      <c r="BW21" s="208">
        <f>IF($BM21=1,$BN21*'Verwerking Bouwdelen'!DT5,$BN21*'Verwerking Bouwdelen'!AB5)</f>
        <v>0</v>
      </c>
      <c r="BX21" s="208">
        <f>IF($BM21=1,$BN21*'Verwerking Bouwdelen'!DU5,$BN21*'Verwerking Bouwdelen'!AC5)</f>
        <v>0</v>
      </c>
      <c r="BY21" s="208">
        <f>IF($BM21=1,$BN21*'Verwerking Bouwdelen'!DV5,$BN21*'Verwerking Bouwdelen'!AD5)</f>
        <v>0</v>
      </c>
      <c r="BZ21" s="208">
        <f>IF($BM21=1,$BN21*'Verwerking Bouwdelen'!DW5,$BN21*'Verwerking Bouwdelen'!AE5)</f>
        <v>0</v>
      </c>
      <c r="CA21" s="10">
        <f>IF(BO21=$B21,0,'Verwerking Bouwdelen'!$D5*BM21*BN21)</f>
        <v>0</v>
      </c>
      <c r="CB21" s="10">
        <f>BM21*BN21*'Verwerking Bouwdelen'!GH5</f>
        <v>0</v>
      </c>
      <c r="CC21" s="10"/>
      <c r="CD21" s="248"/>
      <c r="CE21" s="125">
        <f>IF('Verwerking Bouwdelen'!C5=2,1,0)</f>
        <v>0</v>
      </c>
      <c r="CF21" s="130">
        <f>IF('Verwerking Bouwdelen'!A5=5,1,0)</f>
        <v>0</v>
      </c>
      <c r="CG21" s="208">
        <f>IF($CE21=1,$CF21*'Verwerking Bouwdelen'!DL5,$CF21*'Verwerking Bouwdelen'!T5)</f>
        <v>0</v>
      </c>
      <c r="CH21" s="208">
        <f>IF($CE21=1,$CF21*'Verwerking Bouwdelen'!DM5,$CF21*'Verwerking Bouwdelen'!U5)</f>
        <v>0</v>
      </c>
      <c r="CI21" s="208">
        <f>IF($CE21=1,$CF21*'Verwerking Bouwdelen'!DN5,$CF21*'Verwerking Bouwdelen'!V5)</f>
        <v>0</v>
      </c>
      <c r="CJ21" s="208">
        <f>IF($CE21=1,$CF21*'Verwerking Bouwdelen'!DO5,$CF21*'Verwerking Bouwdelen'!W5)</f>
        <v>0</v>
      </c>
      <c r="CK21" s="208">
        <f>IF($CE21=1,$CF21*'Verwerking Bouwdelen'!DP5,$CF21*'Verwerking Bouwdelen'!X5)</f>
        <v>0</v>
      </c>
      <c r="CL21" s="208">
        <f>IF($CE21=1,$CF21*'Verwerking Bouwdelen'!DQ5,$CF21*'Verwerking Bouwdelen'!Y5)</f>
        <v>0</v>
      </c>
      <c r="CM21" s="208">
        <f>IF($CE21=1,$CF21*'Verwerking Bouwdelen'!DR5,$CF21*'Verwerking Bouwdelen'!Z5)</f>
        <v>0</v>
      </c>
      <c r="CN21" s="208">
        <f>IF($CE21=1,$CF21*'Verwerking Bouwdelen'!DS5,$CF21*'Verwerking Bouwdelen'!AA5)</f>
        <v>0</v>
      </c>
      <c r="CO21" s="208">
        <f>IF($CE21=1,$CF21*'Verwerking Bouwdelen'!DT5,$CF21*'Verwerking Bouwdelen'!AB5)</f>
        <v>0</v>
      </c>
      <c r="CP21" s="208">
        <f>IF($CE21=1,$CF21*'Verwerking Bouwdelen'!DU5,$CF21*'Verwerking Bouwdelen'!AC5)</f>
        <v>0</v>
      </c>
      <c r="CQ21" s="208">
        <f>IF($CE21=1,$CF21*'Verwerking Bouwdelen'!DV5,$CF21*'Verwerking Bouwdelen'!AD5)</f>
        <v>0</v>
      </c>
      <c r="CR21" s="208">
        <f>IF($CE21=1,$CF21*'Verwerking Bouwdelen'!DW5,$CF21*'Verwerking Bouwdelen'!AE5)</f>
        <v>0</v>
      </c>
      <c r="CS21" s="10">
        <f>IF(CG21=$B21,0,('Verwerking Bouwdelen'!$D5-'Verwerking Bouwdelen'!G5)*CE21*CF21)</f>
        <v>0</v>
      </c>
      <c r="CT21" s="261">
        <f>CE21*CF21*'Verwerking Bouwdelen'!$GH$3</f>
        <v>0</v>
      </c>
      <c r="CU21" s="261">
        <f>CE21*CF21*'Verwerking Bouwdelen'!GI5</f>
        <v>0</v>
      </c>
      <c r="CW21" s="209">
        <f>$AC21*'Verwerking Bouwdelen'!EE5</f>
        <v>0</v>
      </c>
      <c r="CX21" s="209">
        <f>$AC21*'Verwerking Bouwdelen'!EF5</f>
        <v>0</v>
      </c>
      <c r="CY21" s="209">
        <f>$AC21*'Verwerking Bouwdelen'!EG5</f>
        <v>0</v>
      </c>
      <c r="CZ21" s="209">
        <f>$AC21*'Verwerking Bouwdelen'!EH5</f>
        <v>0</v>
      </c>
      <c r="DA21" s="209">
        <f>$AC21*'Verwerking Bouwdelen'!EI5</f>
        <v>0</v>
      </c>
      <c r="DB21" s="209">
        <f>$AC21*'Verwerking Bouwdelen'!EJ5</f>
        <v>0</v>
      </c>
      <c r="DC21" s="209">
        <f>$AC21*'Verwerking Bouwdelen'!EK5</f>
        <v>0</v>
      </c>
      <c r="DD21" s="209">
        <f>$AC21*'Verwerking Bouwdelen'!EL5</f>
        <v>0</v>
      </c>
      <c r="DE21" s="209">
        <f>$AC21*'Verwerking Bouwdelen'!EM5</f>
        <v>0</v>
      </c>
      <c r="DF21" s="209">
        <f>$AC21*'Verwerking Bouwdelen'!EN5</f>
        <v>0</v>
      </c>
      <c r="DG21" s="209">
        <f>$AC21*'Verwerking Bouwdelen'!EO5</f>
        <v>0</v>
      </c>
      <c r="DH21" s="209">
        <f>$AC21*'Verwerking Bouwdelen'!EP5</f>
        <v>0</v>
      </c>
      <c r="DI21" s="10">
        <f>IF(CW21=$O21,0,'Verwerking Bouwdelen'!G5)</f>
        <v>0</v>
      </c>
      <c r="DJ21" s="259">
        <f>'Verwerking Bouwdelen'!GK5*CF21</f>
        <v>0</v>
      </c>
      <c r="DK21" s="259">
        <f>'Verwerking Bouwdelen'!GL5*CF21</f>
        <v>0</v>
      </c>
      <c r="DL21" s="125"/>
      <c r="FC21" s="89">
        <f>IF('Verwerken ventilatie'!AJ13=5,1,0)</f>
        <v>0</v>
      </c>
      <c r="FD21" s="89">
        <f>FC21*'Verwerken ventilatie'!BT13</f>
        <v>0</v>
      </c>
      <c r="FE21" s="89">
        <f>FC21*'Verwerken ventilatie'!BU13</f>
        <v>0</v>
      </c>
      <c r="FZ21" s="89">
        <f>IF('Verwerken verlichting'!B17=5,1,0)</f>
        <v>0</v>
      </c>
      <c r="GA21" s="89">
        <f>$FZ21*'Verwerken verlichting'!BX17</f>
        <v>0</v>
      </c>
      <c r="GB21" s="89">
        <f>$FZ21*'Verwerken verlichting'!BY17</f>
        <v>0</v>
      </c>
      <c r="GC21" s="89">
        <f>$FZ21*'Verwerken verlichting'!BZ17</f>
        <v>0</v>
      </c>
      <c r="GD21" s="89">
        <f>$FZ21*'Verwerken verlichting'!CA17</f>
        <v>0</v>
      </c>
      <c r="GE21" s="89">
        <f>$FZ21*'Verwerken verlichting'!CB17</f>
        <v>0</v>
      </c>
      <c r="GF21" s="89">
        <f>$FZ21*'Verwerken verlichting'!CC17</f>
        <v>0</v>
      </c>
      <c r="GG21" s="89">
        <f>FZ21*'Invoer verlichting'!N16</f>
        <v>0</v>
      </c>
      <c r="GH21" s="89">
        <f>FZ21*'Verwerken verlichting'!AH17</f>
        <v>0</v>
      </c>
      <c r="GI21" s="89">
        <f>FZ21*'Verwerken verlichting'!AG17</f>
        <v>0</v>
      </c>
      <c r="GJ21" s="89">
        <f>FZ21*'Verwerken verlichting'!CE17</f>
        <v>0</v>
      </c>
      <c r="GM21" s="89">
        <f t="shared" si="13"/>
        <v>0</v>
      </c>
      <c r="GN21" s="89">
        <f t="shared" si="14"/>
        <v>0</v>
      </c>
      <c r="GO21" s="208">
        <f>IF($GN21=1,$GN21*$GM21*'Verwerking Bouwdelen'!DL5,$GN21*$GM21*'Verwerking Bouwdelen'!T5)</f>
        <v>0</v>
      </c>
      <c r="GP21" s="208">
        <f>IF($GN21=1,$GN21*$GM21*'Verwerking Bouwdelen'!DM5,$GN21*$GM21*'Verwerking Bouwdelen'!U5)</f>
        <v>0</v>
      </c>
      <c r="GQ21" s="208">
        <f>IF($GN21=1,$GN21*$GM21*'Verwerking Bouwdelen'!DN5,$GN21*$GM21*'Verwerking Bouwdelen'!V5)</f>
        <v>0</v>
      </c>
      <c r="GR21" s="208">
        <f>IF($GN21=1,$GN21*$GM21*'Verwerking Bouwdelen'!DO5,$GN21*$GM21*'Verwerking Bouwdelen'!W5)</f>
        <v>0</v>
      </c>
      <c r="GS21" s="208">
        <f>IF($GN21=1,$GN21*$GM21*'Verwerking Bouwdelen'!DP5,$GN21*$GM21*'Verwerking Bouwdelen'!X5)</f>
        <v>0</v>
      </c>
      <c r="GT21" s="208">
        <f>IF($GN21=1,$GN21*$GM21*'Verwerking Bouwdelen'!DQ5,$GN21*$GM21*'Verwerking Bouwdelen'!Y5)</f>
        <v>0</v>
      </c>
      <c r="GU21" s="208">
        <f>IF($GN21=1,$GN21*$GM21*'Verwerking Bouwdelen'!DR5,$GN21*$GM21*'Verwerking Bouwdelen'!Z5)</f>
        <v>0</v>
      </c>
      <c r="GV21" s="208">
        <f>IF($GN21=1,$GN21*$GM21*'Verwerking Bouwdelen'!DS5,$GN21*$GM21*'Verwerking Bouwdelen'!AA5)</f>
        <v>0</v>
      </c>
      <c r="GW21" s="208">
        <f>IF($GN21=1,$GN21*$GM21*'Verwerking Bouwdelen'!DT5,$GN21*$GM21*'Verwerking Bouwdelen'!AB5)</f>
        <v>0</v>
      </c>
      <c r="GX21" s="208">
        <f>IF($GN21=1,$GN21*$GM21*'Verwerking Bouwdelen'!DU5,$GN21*$GM21*'Verwerking Bouwdelen'!AC5)</f>
        <v>0</v>
      </c>
      <c r="GY21" s="208">
        <f>IF($GN21=1,$GN21*$GM21*'Verwerking Bouwdelen'!DV5,$GN21*$GM21*'Verwerking Bouwdelen'!AD5)</f>
        <v>0</v>
      </c>
      <c r="GZ21" s="208">
        <f>IF($GN21=1,$GN21*$GM21*'Verwerking Bouwdelen'!DW5,$GN21*$GM21*'Verwerking Bouwdelen'!AE5)</f>
        <v>0</v>
      </c>
      <c r="HB21" s="89">
        <f t="shared" si="1"/>
        <v>0</v>
      </c>
      <c r="HC21" s="89">
        <f t="shared" si="2"/>
        <v>0</v>
      </c>
      <c r="HD21" s="89">
        <f t="shared" si="3"/>
        <v>0</v>
      </c>
      <c r="HE21" s="89">
        <f t="shared" si="4"/>
        <v>0</v>
      </c>
      <c r="HF21" s="89">
        <f t="shared" si="5"/>
        <v>0</v>
      </c>
      <c r="HG21" s="89">
        <f t="shared" si="6"/>
        <v>0</v>
      </c>
      <c r="HH21" s="89">
        <f t="shared" si="7"/>
        <v>0</v>
      </c>
      <c r="HI21" s="89">
        <f t="shared" si="8"/>
        <v>0</v>
      </c>
      <c r="HJ21" s="89">
        <f t="shared" si="9"/>
        <v>0</v>
      </c>
      <c r="HK21" s="89">
        <f t="shared" si="10"/>
        <v>0</v>
      </c>
      <c r="HL21" s="89">
        <f t="shared" si="11"/>
        <v>0</v>
      </c>
      <c r="HM21" s="89">
        <f t="shared" si="12"/>
        <v>0</v>
      </c>
    </row>
    <row r="22" spans="1:221" x14ac:dyDescent="0.2">
      <c r="A22" s="130">
        <f>IF('Verwerking Bouwdelen'!A6=5,1,0)</f>
        <v>0</v>
      </c>
      <c r="B22" s="208">
        <f>$A22*'Verwerking Bouwdelen'!T6</f>
        <v>0</v>
      </c>
      <c r="C22" s="208">
        <f>$A22*'Verwerking Bouwdelen'!U6</f>
        <v>0</v>
      </c>
      <c r="D22" s="208">
        <f>$A22*'Verwerking Bouwdelen'!V6</f>
        <v>0</v>
      </c>
      <c r="E22" s="208">
        <f>$A22*'Verwerking Bouwdelen'!W6</f>
        <v>0</v>
      </c>
      <c r="F22" s="208">
        <f>$A22*'Verwerking Bouwdelen'!X6</f>
        <v>0</v>
      </c>
      <c r="G22" s="208">
        <f>$A22*'Verwerking Bouwdelen'!Y6</f>
        <v>0</v>
      </c>
      <c r="H22" s="208">
        <f>$A22*'Verwerking Bouwdelen'!Z6</f>
        <v>0</v>
      </c>
      <c r="I22" s="208">
        <f>$A22*'Verwerking Bouwdelen'!AA6</f>
        <v>0</v>
      </c>
      <c r="J22" s="208">
        <f>$A22*'Verwerking Bouwdelen'!AB6</f>
        <v>0</v>
      </c>
      <c r="K22" s="208">
        <f>$A22*'Verwerking Bouwdelen'!AC6</f>
        <v>0</v>
      </c>
      <c r="L22" s="208">
        <f>$A22*'Verwerking Bouwdelen'!AD6</f>
        <v>0</v>
      </c>
      <c r="M22" s="208">
        <f>$A22*'Verwerking Bouwdelen'!AE6</f>
        <v>0</v>
      </c>
      <c r="O22" s="114">
        <f>$A22*'Verwerking Bouwdelen'!AU6</f>
        <v>0</v>
      </c>
      <c r="P22" s="125">
        <f>$A22*'Verwerking Bouwdelen'!AV6</f>
        <v>0</v>
      </c>
      <c r="Q22" s="125">
        <f>$A22*'Verwerking Bouwdelen'!AW6</f>
        <v>0</v>
      </c>
      <c r="R22" s="125">
        <f>$A22*'Verwerking Bouwdelen'!AX6</f>
        <v>0</v>
      </c>
      <c r="S22" s="125">
        <f>$A22*'Verwerking Bouwdelen'!AY6</f>
        <v>0</v>
      </c>
      <c r="T22" s="125">
        <f>$A22*'Verwerking Bouwdelen'!AZ6</f>
        <v>0</v>
      </c>
      <c r="U22" s="125">
        <f>$A22*'Verwerking Bouwdelen'!BA6</f>
        <v>0</v>
      </c>
      <c r="V22" s="125">
        <f>$A22*'Verwerking Bouwdelen'!BB6</f>
        <v>0</v>
      </c>
      <c r="W22" s="125">
        <f>$A22*'Verwerking Bouwdelen'!BC6</f>
        <v>0</v>
      </c>
      <c r="X22" s="125">
        <f>$A22*'Verwerking Bouwdelen'!BD6</f>
        <v>0</v>
      </c>
      <c r="Y22" s="125">
        <f>$A22*'Verwerking Bouwdelen'!BE6</f>
        <v>0</v>
      </c>
      <c r="Z22" s="195">
        <f>$A22*'Verwerking Bouwdelen'!BF6</f>
        <v>0</v>
      </c>
      <c r="AB22" s="125">
        <f>IF(OR('Verwerking Bouwdelen'!C6=3,'Verwerking Bouwdelen'!C6=6),1,0)</f>
        <v>0</v>
      </c>
      <c r="AC22" s="130">
        <f>IF('Verwerking Bouwdelen'!A6=5,1,0)</f>
        <v>0</v>
      </c>
      <c r="AD22" s="208">
        <f>IF($AB22=1,$AC22*'Verwerking Bouwdelen'!DL6,$AC22*'Verwerking Bouwdelen'!T6)</f>
        <v>0</v>
      </c>
      <c r="AE22" s="208">
        <f>IF($AB22=1,$AC22*'Verwerking Bouwdelen'!DM6,$AC22*'Verwerking Bouwdelen'!U6)</f>
        <v>0</v>
      </c>
      <c r="AF22" s="208">
        <f>IF($AB22=1,$AC22*'Verwerking Bouwdelen'!DN6,$AC22*'Verwerking Bouwdelen'!V6)</f>
        <v>0</v>
      </c>
      <c r="AG22" s="208">
        <f>IF($AB22=1,$AC22*'Verwerking Bouwdelen'!DO6,$AC22*'Verwerking Bouwdelen'!W6)</f>
        <v>0</v>
      </c>
      <c r="AH22" s="208">
        <f>IF($AB22=1,$AC22*'Verwerking Bouwdelen'!DP6,$AC22*'Verwerking Bouwdelen'!X6)</f>
        <v>0</v>
      </c>
      <c r="AI22" s="208">
        <f>IF($AB22=1,$AC22*'Verwerking Bouwdelen'!DQ6,$AC22*'Verwerking Bouwdelen'!Y6)</f>
        <v>0</v>
      </c>
      <c r="AJ22" s="208">
        <f>IF($AB22=1,$AC22*'Verwerking Bouwdelen'!DR6,$AC22*'Verwerking Bouwdelen'!Z6)</f>
        <v>0</v>
      </c>
      <c r="AK22" s="208">
        <f>IF($AB22=1,$AC22*'Verwerking Bouwdelen'!DS6,$AC22*'Verwerking Bouwdelen'!AA6)</f>
        <v>0</v>
      </c>
      <c r="AL22" s="208">
        <f>IF($AB22=1,$AC22*'Verwerking Bouwdelen'!DT6,$AC22*'Verwerking Bouwdelen'!AB6)</f>
        <v>0</v>
      </c>
      <c r="AM22" s="208">
        <f>IF($AB22=1,$AC22*'Verwerking Bouwdelen'!DU6,$AC22*'Verwerking Bouwdelen'!AC6)</f>
        <v>0</v>
      </c>
      <c r="AN22" s="208">
        <f>IF($AB22=1,$AC22*'Verwerking Bouwdelen'!DV6,$AC22*'Verwerking Bouwdelen'!AD6)</f>
        <v>0</v>
      </c>
      <c r="AO22" s="208">
        <f>IF($AB22=1,$AC22*'Verwerking Bouwdelen'!DW6,$AC22*'Verwerking Bouwdelen'!AE6)</f>
        <v>0</v>
      </c>
      <c r="AP22" s="10">
        <f>IF(AD22=B22,0,'Verwerking Bouwdelen'!D6*AB22*AC22)</f>
        <v>0</v>
      </c>
      <c r="AQ22" s="10">
        <f>AB22*AC22*'Verwerking Bouwdelen'!GH6</f>
        <v>0</v>
      </c>
      <c r="AR22" s="10"/>
      <c r="AS22" s="248"/>
      <c r="AT22" s="125">
        <f>IF('Verwerking Bouwdelen'!C6=4,1,0)</f>
        <v>0</v>
      </c>
      <c r="AU22" s="130">
        <f>IF('Verwerking Bouwdelen'!A6=5,1,0)</f>
        <v>0</v>
      </c>
      <c r="AV22" s="208">
        <f>IF($AT22=1,$AU22*'Verwerking Bouwdelen'!DL6,$AU22*'Verwerking Bouwdelen'!T6)</f>
        <v>0</v>
      </c>
      <c r="AW22" s="208">
        <f>IF($AT22=1,$AU22*'Verwerking Bouwdelen'!DM6,$AU22*'Verwerking Bouwdelen'!U6)</f>
        <v>0</v>
      </c>
      <c r="AX22" s="208">
        <f>IF($AT22=1,$AU22*'Verwerking Bouwdelen'!DN6,$AU22*'Verwerking Bouwdelen'!V6)</f>
        <v>0</v>
      </c>
      <c r="AY22" s="208">
        <f>IF($AT22=1,$AU22*'Verwerking Bouwdelen'!DO6,$AU22*'Verwerking Bouwdelen'!W6)</f>
        <v>0</v>
      </c>
      <c r="AZ22" s="208">
        <f>IF($AT22=1,$AU22*'Verwerking Bouwdelen'!DP6,$AU22*'Verwerking Bouwdelen'!X6)</f>
        <v>0</v>
      </c>
      <c r="BA22" s="208">
        <f>IF($AT22=1,$AU22*'Verwerking Bouwdelen'!DQ6,$AU22*'Verwerking Bouwdelen'!Y6)</f>
        <v>0</v>
      </c>
      <c r="BB22" s="208">
        <f>IF($AT22=1,$AU22*'Verwerking Bouwdelen'!DR6,$AU22*'Verwerking Bouwdelen'!Z6)</f>
        <v>0</v>
      </c>
      <c r="BC22" s="208">
        <f>IF($AT22=1,$AU22*'Verwerking Bouwdelen'!DS6,$AU22*'Verwerking Bouwdelen'!AA6)</f>
        <v>0</v>
      </c>
      <c r="BD22" s="208">
        <f>IF($AT22=1,$AU22*'Verwerking Bouwdelen'!DT6,$AU22*'Verwerking Bouwdelen'!AB6)</f>
        <v>0</v>
      </c>
      <c r="BE22" s="208">
        <f>IF($AT22=1,$AU22*'Verwerking Bouwdelen'!DU6,$AU22*'Verwerking Bouwdelen'!AC6)</f>
        <v>0</v>
      </c>
      <c r="BF22" s="208">
        <f>IF($AT22=1,$AU22*'Verwerking Bouwdelen'!DV6,$AU22*'Verwerking Bouwdelen'!AD6)</f>
        <v>0</v>
      </c>
      <c r="BG22" s="208">
        <f>IF($AT22=1,$AU22*'Verwerking Bouwdelen'!DW6,$AU22*'Verwerking Bouwdelen'!AE6)</f>
        <v>0</v>
      </c>
      <c r="BH22" s="10">
        <f>IF(AV22=B22,0,'Verwerking Bouwdelen'!D6*AT22*AU22)</f>
        <v>0</v>
      </c>
      <c r="BI22" s="10">
        <f>AT22*AU22*'Verwerking Bouwdelen'!GH6</f>
        <v>0</v>
      </c>
      <c r="BJ22" s="10"/>
      <c r="BK22" s="10"/>
      <c r="BM22" s="125">
        <f>IF('Verwerking Bouwdelen'!C6=5,1,0)</f>
        <v>0</v>
      </c>
      <c r="BN22" s="130">
        <f>IF('Verwerking Bouwdelen'!A6=5,1,0)</f>
        <v>0</v>
      </c>
      <c r="BO22" s="208">
        <f>IF($BM22=1,$BN22*'Verwerking Bouwdelen'!DL6,$BN22*'Verwerking Bouwdelen'!T6)</f>
        <v>0</v>
      </c>
      <c r="BP22" s="208">
        <f>IF($BM22=1,$BN22*'Verwerking Bouwdelen'!DM6,$BN22*'Verwerking Bouwdelen'!U6)</f>
        <v>0</v>
      </c>
      <c r="BQ22" s="208">
        <f>IF($BM22=1,$BN22*'Verwerking Bouwdelen'!DN6,$BN22*'Verwerking Bouwdelen'!V6)</f>
        <v>0</v>
      </c>
      <c r="BR22" s="208">
        <f>IF($BM22=1,$BN22*'Verwerking Bouwdelen'!DO6,$BN22*'Verwerking Bouwdelen'!W6)</f>
        <v>0</v>
      </c>
      <c r="BS22" s="208">
        <f>IF($BM22=1,$BN22*'Verwerking Bouwdelen'!DP6,$BN22*'Verwerking Bouwdelen'!X6)</f>
        <v>0</v>
      </c>
      <c r="BT22" s="208">
        <f>IF($BM22=1,$BN22*'Verwerking Bouwdelen'!DQ6,$BN22*'Verwerking Bouwdelen'!Y6)</f>
        <v>0</v>
      </c>
      <c r="BU22" s="208">
        <f>IF($BM22=1,$BN22*'Verwerking Bouwdelen'!DR6,$BN22*'Verwerking Bouwdelen'!Z6)</f>
        <v>0</v>
      </c>
      <c r="BV22" s="208">
        <f>IF($BM22=1,$BN22*'Verwerking Bouwdelen'!DS6,$BN22*'Verwerking Bouwdelen'!AA6)</f>
        <v>0</v>
      </c>
      <c r="BW22" s="208">
        <f>IF($BM22=1,$BN22*'Verwerking Bouwdelen'!DT6,$BN22*'Verwerking Bouwdelen'!AB6)</f>
        <v>0</v>
      </c>
      <c r="BX22" s="208">
        <f>IF($BM22=1,$BN22*'Verwerking Bouwdelen'!DU6,$BN22*'Verwerking Bouwdelen'!AC6)</f>
        <v>0</v>
      </c>
      <c r="BY22" s="208">
        <f>IF($BM22=1,$BN22*'Verwerking Bouwdelen'!DV6,$BN22*'Verwerking Bouwdelen'!AD6)</f>
        <v>0</v>
      </c>
      <c r="BZ22" s="208">
        <f>IF($BM22=1,$BN22*'Verwerking Bouwdelen'!DW6,$BN22*'Verwerking Bouwdelen'!AE6)</f>
        <v>0</v>
      </c>
      <c r="CA22" s="10">
        <f>IF(BO22=$B22,0,'Verwerking Bouwdelen'!$D6*BM22*BN22)</f>
        <v>0</v>
      </c>
      <c r="CB22" s="10">
        <f>BM22*BN22*'Verwerking Bouwdelen'!GH6</f>
        <v>0</v>
      </c>
      <c r="CC22" s="10"/>
      <c r="CD22" s="248"/>
      <c r="CE22" s="125">
        <f>IF('Verwerking Bouwdelen'!C6=2,1,0)</f>
        <v>0</v>
      </c>
      <c r="CF22" s="130">
        <f>IF('Verwerking Bouwdelen'!A6=5,1,0)</f>
        <v>0</v>
      </c>
      <c r="CG22" s="208">
        <f>IF($CE22=1,$CF22*'Verwerking Bouwdelen'!DL6,$CF22*'Verwerking Bouwdelen'!T6)</f>
        <v>0</v>
      </c>
      <c r="CH22" s="208">
        <f>IF($CE22=1,$CF22*'Verwerking Bouwdelen'!DM6,$CF22*'Verwerking Bouwdelen'!U6)</f>
        <v>0</v>
      </c>
      <c r="CI22" s="208">
        <f>IF($CE22=1,$CF22*'Verwerking Bouwdelen'!DN6,$CF22*'Verwerking Bouwdelen'!V6)</f>
        <v>0</v>
      </c>
      <c r="CJ22" s="208">
        <f>IF($CE22=1,$CF22*'Verwerking Bouwdelen'!DO6,$CF22*'Verwerking Bouwdelen'!W6)</f>
        <v>0</v>
      </c>
      <c r="CK22" s="208">
        <f>IF($CE22=1,$CF22*'Verwerking Bouwdelen'!DP6,$CF22*'Verwerking Bouwdelen'!X6)</f>
        <v>0</v>
      </c>
      <c r="CL22" s="208">
        <f>IF($CE22=1,$CF22*'Verwerking Bouwdelen'!DQ6,$CF22*'Verwerking Bouwdelen'!Y6)</f>
        <v>0</v>
      </c>
      <c r="CM22" s="208">
        <f>IF($CE22=1,$CF22*'Verwerking Bouwdelen'!DR6,$CF22*'Verwerking Bouwdelen'!Z6)</f>
        <v>0</v>
      </c>
      <c r="CN22" s="208">
        <f>IF($CE22=1,$CF22*'Verwerking Bouwdelen'!DS6,$CF22*'Verwerking Bouwdelen'!AA6)</f>
        <v>0</v>
      </c>
      <c r="CO22" s="208">
        <f>IF($CE22=1,$CF22*'Verwerking Bouwdelen'!DT6,$CF22*'Verwerking Bouwdelen'!AB6)</f>
        <v>0</v>
      </c>
      <c r="CP22" s="208">
        <f>IF($CE22=1,$CF22*'Verwerking Bouwdelen'!DU6,$CF22*'Verwerking Bouwdelen'!AC6)</f>
        <v>0</v>
      </c>
      <c r="CQ22" s="208">
        <f>IF($CE22=1,$CF22*'Verwerking Bouwdelen'!DV6,$CF22*'Verwerking Bouwdelen'!AD6)</f>
        <v>0</v>
      </c>
      <c r="CR22" s="208">
        <f>IF($CE22=1,$CF22*'Verwerking Bouwdelen'!DW6,$CF22*'Verwerking Bouwdelen'!AE6)</f>
        <v>0</v>
      </c>
      <c r="CS22" s="10">
        <f>IF(CG22=$B22,0,('Verwerking Bouwdelen'!$D6-'Verwerking Bouwdelen'!G6)*CE22*CF22)</f>
        <v>0</v>
      </c>
      <c r="CT22" s="261">
        <f>CE22*CF22*'Verwerking Bouwdelen'!$GH$3</f>
        <v>0</v>
      </c>
      <c r="CU22" s="261">
        <f>CE22*CF22*'Verwerking Bouwdelen'!GI6</f>
        <v>0</v>
      </c>
      <c r="CW22" s="209">
        <f>$AC22*'Verwerking Bouwdelen'!EE6</f>
        <v>0</v>
      </c>
      <c r="CX22" s="209">
        <f>$AC22*'Verwerking Bouwdelen'!EF6</f>
        <v>0</v>
      </c>
      <c r="CY22" s="209">
        <f>$AC22*'Verwerking Bouwdelen'!EG6</f>
        <v>0</v>
      </c>
      <c r="CZ22" s="209">
        <f>$AC22*'Verwerking Bouwdelen'!EH6</f>
        <v>0</v>
      </c>
      <c r="DA22" s="209">
        <f>$AC22*'Verwerking Bouwdelen'!EI6</f>
        <v>0</v>
      </c>
      <c r="DB22" s="209">
        <f>$AC22*'Verwerking Bouwdelen'!EJ6</f>
        <v>0</v>
      </c>
      <c r="DC22" s="209">
        <f>$AC22*'Verwerking Bouwdelen'!EK6</f>
        <v>0</v>
      </c>
      <c r="DD22" s="209">
        <f>$AC22*'Verwerking Bouwdelen'!EL6</f>
        <v>0</v>
      </c>
      <c r="DE22" s="209">
        <f>$AC22*'Verwerking Bouwdelen'!EM6</f>
        <v>0</v>
      </c>
      <c r="DF22" s="209">
        <f>$AC22*'Verwerking Bouwdelen'!EN6</f>
        <v>0</v>
      </c>
      <c r="DG22" s="209">
        <f>$AC22*'Verwerking Bouwdelen'!EO6</f>
        <v>0</v>
      </c>
      <c r="DH22" s="209">
        <f>$AC22*'Verwerking Bouwdelen'!EP6</f>
        <v>0</v>
      </c>
      <c r="DI22" s="10">
        <f>IF(CW22=$O22,0,'Verwerking Bouwdelen'!G6)</f>
        <v>0</v>
      </c>
      <c r="DJ22" s="259">
        <f>'Verwerking Bouwdelen'!GK6*CF22</f>
        <v>0</v>
      </c>
      <c r="DK22" s="259">
        <f>'Verwerking Bouwdelen'!GL6*CF22</f>
        <v>0</v>
      </c>
      <c r="DL22" s="125"/>
      <c r="FC22" s="89">
        <f>IF('Verwerken ventilatie'!AJ14=5,1,0)</f>
        <v>0</v>
      </c>
      <c r="FD22" s="89">
        <f>FC22*'Verwerken ventilatie'!BT14</f>
        <v>0</v>
      </c>
      <c r="FE22" s="89">
        <f>FC22*'Verwerken ventilatie'!BU14</f>
        <v>0</v>
      </c>
      <c r="FZ22" s="89">
        <f>IF('Verwerken verlichting'!B18=5,1,0)</f>
        <v>0</v>
      </c>
      <c r="GA22" s="89">
        <f>$FZ22*'Verwerken verlichting'!BX18</f>
        <v>0</v>
      </c>
      <c r="GB22" s="89">
        <f>$FZ22*'Verwerken verlichting'!BY18</f>
        <v>0</v>
      </c>
      <c r="GC22" s="89">
        <f>$FZ22*'Verwerken verlichting'!BZ18</f>
        <v>0</v>
      </c>
      <c r="GD22" s="89">
        <f>$FZ22*'Verwerken verlichting'!CA18</f>
        <v>0</v>
      </c>
      <c r="GE22" s="89">
        <f>$FZ22*'Verwerken verlichting'!CB18</f>
        <v>0</v>
      </c>
      <c r="GF22" s="89">
        <f>$FZ22*'Verwerken verlichting'!CC18</f>
        <v>0</v>
      </c>
      <c r="GG22" s="89">
        <f>FZ22*'Invoer verlichting'!N17</f>
        <v>0</v>
      </c>
      <c r="GH22" s="89">
        <f>FZ22*'Verwerken verlichting'!AH18</f>
        <v>0</v>
      </c>
      <c r="GI22" s="89">
        <f>FZ22*'Verwerken verlichting'!AG18</f>
        <v>0</v>
      </c>
      <c r="GJ22" s="89">
        <f>FZ22*'Verwerken verlichting'!CE18</f>
        <v>0</v>
      </c>
      <c r="GM22" s="89">
        <f t="shared" si="13"/>
        <v>0</v>
      </c>
      <c r="GN22" s="89">
        <f t="shared" si="14"/>
        <v>0</v>
      </c>
      <c r="GO22" s="208">
        <f>IF($GN22=1,$GN22*$GM22*'Verwerking Bouwdelen'!DL6,$GN22*$GM22*'Verwerking Bouwdelen'!T6)</f>
        <v>0</v>
      </c>
      <c r="GP22" s="208">
        <f>IF($GN22=1,$GN22*$GM22*'Verwerking Bouwdelen'!DM6,$GN22*$GM22*'Verwerking Bouwdelen'!U6)</f>
        <v>0</v>
      </c>
      <c r="GQ22" s="208">
        <f>IF($GN22=1,$GN22*$GM22*'Verwerking Bouwdelen'!DN6,$GN22*$GM22*'Verwerking Bouwdelen'!V6)</f>
        <v>0</v>
      </c>
      <c r="GR22" s="208">
        <f>IF($GN22=1,$GN22*$GM22*'Verwerking Bouwdelen'!DO6,$GN22*$GM22*'Verwerking Bouwdelen'!W6)</f>
        <v>0</v>
      </c>
      <c r="GS22" s="208">
        <f>IF($GN22=1,$GN22*$GM22*'Verwerking Bouwdelen'!DP6,$GN22*$GM22*'Verwerking Bouwdelen'!X6)</f>
        <v>0</v>
      </c>
      <c r="GT22" s="208">
        <f>IF($GN22=1,$GN22*$GM22*'Verwerking Bouwdelen'!DQ6,$GN22*$GM22*'Verwerking Bouwdelen'!Y6)</f>
        <v>0</v>
      </c>
      <c r="GU22" s="208">
        <f>IF($GN22=1,$GN22*$GM22*'Verwerking Bouwdelen'!DR6,$GN22*$GM22*'Verwerking Bouwdelen'!Z6)</f>
        <v>0</v>
      </c>
      <c r="GV22" s="208">
        <f>IF($GN22=1,$GN22*$GM22*'Verwerking Bouwdelen'!DS6,$GN22*$GM22*'Verwerking Bouwdelen'!AA6)</f>
        <v>0</v>
      </c>
      <c r="GW22" s="208">
        <f>IF($GN22=1,$GN22*$GM22*'Verwerking Bouwdelen'!DT6,$GN22*$GM22*'Verwerking Bouwdelen'!AB6)</f>
        <v>0</v>
      </c>
      <c r="GX22" s="208">
        <f>IF($GN22=1,$GN22*$GM22*'Verwerking Bouwdelen'!DU6,$GN22*$GM22*'Verwerking Bouwdelen'!AC6)</f>
        <v>0</v>
      </c>
      <c r="GY22" s="208">
        <f>IF($GN22=1,$GN22*$GM22*'Verwerking Bouwdelen'!DV6,$GN22*$GM22*'Verwerking Bouwdelen'!AD6)</f>
        <v>0</v>
      </c>
      <c r="GZ22" s="208">
        <f>IF($GN22=1,$GN22*$GM22*'Verwerking Bouwdelen'!DW6,$GN22*$GM22*'Verwerking Bouwdelen'!AE6)</f>
        <v>0</v>
      </c>
      <c r="HB22" s="89">
        <f t="shared" si="1"/>
        <v>0</v>
      </c>
      <c r="HC22" s="89">
        <f t="shared" si="2"/>
        <v>0</v>
      </c>
      <c r="HD22" s="89">
        <f t="shared" si="3"/>
        <v>0</v>
      </c>
      <c r="HE22" s="89">
        <f t="shared" si="4"/>
        <v>0</v>
      </c>
      <c r="HF22" s="89">
        <f t="shared" si="5"/>
        <v>0</v>
      </c>
      <c r="HG22" s="89">
        <f t="shared" si="6"/>
        <v>0</v>
      </c>
      <c r="HH22" s="89">
        <f t="shared" si="7"/>
        <v>0</v>
      </c>
      <c r="HI22" s="89">
        <f t="shared" si="8"/>
        <v>0</v>
      </c>
      <c r="HJ22" s="89">
        <f t="shared" si="9"/>
        <v>0</v>
      </c>
      <c r="HK22" s="89">
        <f t="shared" si="10"/>
        <v>0</v>
      </c>
      <c r="HL22" s="89">
        <f t="shared" si="11"/>
        <v>0</v>
      </c>
      <c r="HM22" s="89">
        <f t="shared" si="12"/>
        <v>0</v>
      </c>
    </row>
    <row r="23" spans="1:221" x14ac:dyDescent="0.2">
      <c r="A23" s="130">
        <f>IF('Verwerking Bouwdelen'!A7=5,1,0)</f>
        <v>0</v>
      </c>
      <c r="B23" s="208">
        <f>$A23*'Verwerking Bouwdelen'!T7</f>
        <v>0</v>
      </c>
      <c r="C23" s="208">
        <f>$A23*'Verwerking Bouwdelen'!U7</f>
        <v>0</v>
      </c>
      <c r="D23" s="208">
        <f>$A23*'Verwerking Bouwdelen'!V7</f>
        <v>0</v>
      </c>
      <c r="E23" s="208">
        <f>$A23*'Verwerking Bouwdelen'!W7</f>
        <v>0</v>
      </c>
      <c r="F23" s="208">
        <f>$A23*'Verwerking Bouwdelen'!X7</f>
        <v>0</v>
      </c>
      <c r="G23" s="208">
        <f>$A23*'Verwerking Bouwdelen'!Y7</f>
        <v>0</v>
      </c>
      <c r="H23" s="208">
        <f>$A23*'Verwerking Bouwdelen'!Z7</f>
        <v>0</v>
      </c>
      <c r="I23" s="208">
        <f>$A23*'Verwerking Bouwdelen'!AA7</f>
        <v>0</v>
      </c>
      <c r="J23" s="208">
        <f>$A23*'Verwerking Bouwdelen'!AB7</f>
        <v>0</v>
      </c>
      <c r="K23" s="208">
        <f>$A23*'Verwerking Bouwdelen'!AC7</f>
        <v>0</v>
      </c>
      <c r="L23" s="208">
        <f>$A23*'Verwerking Bouwdelen'!AD7</f>
        <v>0</v>
      </c>
      <c r="M23" s="208">
        <f>$A23*'Verwerking Bouwdelen'!AE7</f>
        <v>0</v>
      </c>
      <c r="O23" s="114">
        <f>$A23*'Verwerking Bouwdelen'!AU7</f>
        <v>0</v>
      </c>
      <c r="P23" s="125">
        <f>$A23*'Verwerking Bouwdelen'!AV7</f>
        <v>0</v>
      </c>
      <c r="Q23" s="125">
        <f>$A23*'Verwerking Bouwdelen'!AW7</f>
        <v>0</v>
      </c>
      <c r="R23" s="125">
        <f>$A23*'Verwerking Bouwdelen'!AX7</f>
        <v>0</v>
      </c>
      <c r="S23" s="125">
        <f>$A23*'Verwerking Bouwdelen'!AY7</f>
        <v>0</v>
      </c>
      <c r="T23" s="125">
        <f>$A23*'Verwerking Bouwdelen'!AZ7</f>
        <v>0</v>
      </c>
      <c r="U23" s="125">
        <f>$A23*'Verwerking Bouwdelen'!BA7</f>
        <v>0</v>
      </c>
      <c r="V23" s="125">
        <f>$A23*'Verwerking Bouwdelen'!BB7</f>
        <v>0</v>
      </c>
      <c r="W23" s="125">
        <f>$A23*'Verwerking Bouwdelen'!BC7</f>
        <v>0</v>
      </c>
      <c r="X23" s="125">
        <f>$A23*'Verwerking Bouwdelen'!BD7</f>
        <v>0</v>
      </c>
      <c r="Y23" s="125">
        <f>$A23*'Verwerking Bouwdelen'!BE7</f>
        <v>0</v>
      </c>
      <c r="Z23" s="195">
        <f>$A23*'Verwerking Bouwdelen'!BF7</f>
        <v>0</v>
      </c>
      <c r="AB23" s="125">
        <f>IF(OR('Verwerking Bouwdelen'!C7=3,'Verwerking Bouwdelen'!C7=6),1,0)</f>
        <v>0</v>
      </c>
      <c r="AC23" s="130">
        <f>IF('Verwerking Bouwdelen'!A7=5,1,0)</f>
        <v>0</v>
      </c>
      <c r="AD23" s="208">
        <f>IF($AB23=1,$AC23*'Verwerking Bouwdelen'!DL7,$AC23*'Verwerking Bouwdelen'!T7)</f>
        <v>0</v>
      </c>
      <c r="AE23" s="208">
        <f>IF($AB23=1,$AC23*'Verwerking Bouwdelen'!DM7,$AC23*'Verwerking Bouwdelen'!U7)</f>
        <v>0</v>
      </c>
      <c r="AF23" s="208">
        <f>IF($AB23=1,$AC23*'Verwerking Bouwdelen'!DN7,$AC23*'Verwerking Bouwdelen'!V7)</f>
        <v>0</v>
      </c>
      <c r="AG23" s="208">
        <f>IF($AB23=1,$AC23*'Verwerking Bouwdelen'!DO7,$AC23*'Verwerking Bouwdelen'!W7)</f>
        <v>0</v>
      </c>
      <c r="AH23" s="208">
        <f>IF($AB23=1,$AC23*'Verwerking Bouwdelen'!DP7,$AC23*'Verwerking Bouwdelen'!X7)</f>
        <v>0</v>
      </c>
      <c r="AI23" s="208">
        <f>IF($AB23=1,$AC23*'Verwerking Bouwdelen'!DQ7,$AC23*'Verwerking Bouwdelen'!Y7)</f>
        <v>0</v>
      </c>
      <c r="AJ23" s="208">
        <f>IF($AB23=1,$AC23*'Verwerking Bouwdelen'!DR7,$AC23*'Verwerking Bouwdelen'!Z7)</f>
        <v>0</v>
      </c>
      <c r="AK23" s="208">
        <f>IF($AB23=1,$AC23*'Verwerking Bouwdelen'!DS7,$AC23*'Verwerking Bouwdelen'!AA7)</f>
        <v>0</v>
      </c>
      <c r="AL23" s="208">
        <f>IF($AB23=1,$AC23*'Verwerking Bouwdelen'!DT7,$AC23*'Verwerking Bouwdelen'!AB7)</f>
        <v>0</v>
      </c>
      <c r="AM23" s="208">
        <f>IF($AB23=1,$AC23*'Verwerking Bouwdelen'!DU7,$AC23*'Verwerking Bouwdelen'!AC7)</f>
        <v>0</v>
      </c>
      <c r="AN23" s="208">
        <f>IF($AB23=1,$AC23*'Verwerking Bouwdelen'!DV7,$AC23*'Verwerking Bouwdelen'!AD7)</f>
        <v>0</v>
      </c>
      <c r="AO23" s="208">
        <f>IF($AB23=1,$AC23*'Verwerking Bouwdelen'!DW7,$AC23*'Verwerking Bouwdelen'!AE7)</f>
        <v>0</v>
      </c>
      <c r="AP23" s="10">
        <f>IF(AD23=B23,0,'Verwerking Bouwdelen'!D7*AB23*AC23)</f>
        <v>0</v>
      </c>
      <c r="AQ23" s="10">
        <f>AB23*AC23*'Verwerking Bouwdelen'!GH7</f>
        <v>0</v>
      </c>
      <c r="AR23" s="10"/>
      <c r="AS23" s="248"/>
      <c r="AT23" s="125">
        <f>IF('Verwerking Bouwdelen'!C7=4,1,0)</f>
        <v>0</v>
      </c>
      <c r="AU23" s="130">
        <f>IF('Verwerking Bouwdelen'!A7=5,1,0)</f>
        <v>0</v>
      </c>
      <c r="AV23" s="208">
        <f>IF($AT23=1,$AU23*'Verwerking Bouwdelen'!DL7,$AU23*'Verwerking Bouwdelen'!T7)</f>
        <v>0</v>
      </c>
      <c r="AW23" s="208">
        <f>IF($AT23=1,$AU23*'Verwerking Bouwdelen'!DM7,$AU23*'Verwerking Bouwdelen'!U7)</f>
        <v>0</v>
      </c>
      <c r="AX23" s="208">
        <f>IF($AT23=1,$AU23*'Verwerking Bouwdelen'!DN7,$AU23*'Verwerking Bouwdelen'!V7)</f>
        <v>0</v>
      </c>
      <c r="AY23" s="208">
        <f>IF($AT23=1,$AU23*'Verwerking Bouwdelen'!DO7,$AU23*'Verwerking Bouwdelen'!W7)</f>
        <v>0</v>
      </c>
      <c r="AZ23" s="208">
        <f>IF($AT23=1,$AU23*'Verwerking Bouwdelen'!DP7,$AU23*'Verwerking Bouwdelen'!X7)</f>
        <v>0</v>
      </c>
      <c r="BA23" s="208">
        <f>IF($AT23=1,$AU23*'Verwerking Bouwdelen'!DQ7,$AU23*'Verwerking Bouwdelen'!Y7)</f>
        <v>0</v>
      </c>
      <c r="BB23" s="208">
        <f>IF($AT23=1,$AU23*'Verwerking Bouwdelen'!DR7,$AU23*'Verwerking Bouwdelen'!Z7)</f>
        <v>0</v>
      </c>
      <c r="BC23" s="208">
        <f>IF($AT23=1,$AU23*'Verwerking Bouwdelen'!DS7,$AU23*'Verwerking Bouwdelen'!AA7)</f>
        <v>0</v>
      </c>
      <c r="BD23" s="208">
        <f>IF($AT23=1,$AU23*'Verwerking Bouwdelen'!DT7,$AU23*'Verwerking Bouwdelen'!AB7)</f>
        <v>0</v>
      </c>
      <c r="BE23" s="208">
        <f>IF($AT23=1,$AU23*'Verwerking Bouwdelen'!DU7,$AU23*'Verwerking Bouwdelen'!AC7)</f>
        <v>0</v>
      </c>
      <c r="BF23" s="208">
        <f>IF($AT23=1,$AU23*'Verwerking Bouwdelen'!DV7,$AU23*'Verwerking Bouwdelen'!AD7)</f>
        <v>0</v>
      </c>
      <c r="BG23" s="208">
        <f>IF($AT23=1,$AU23*'Verwerking Bouwdelen'!DW7,$AU23*'Verwerking Bouwdelen'!AE7)</f>
        <v>0</v>
      </c>
      <c r="BH23" s="10">
        <f>IF(AV23=B23,0,'Verwerking Bouwdelen'!D7*AT23*AU23)</f>
        <v>0</v>
      </c>
      <c r="BI23" s="10">
        <f>AT23*AU23*'Verwerking Bouwdelen'!GH7</f>
        <v>0</v>
      </c>
      <c r="BJ23" s="10"/>
      <c r="BK23" s="10"/>
      <c r="BM23" s="125">
        <f>IF('Verwerking Bouwdelen'!C7=5,1,0)</f>
        <v>0</v>
      </c>
      <c r="BN23" s="130">
        <f>IF('Verwerking Bouwdelen'!A7=5,1,0)</f>
        <v>0</v>
      </c>
      <c r="BO23" s="208">
        <f>IF($BM23=1,$BN23*'Verwerking Bouwdelen'!DL7,$BN23*'Verwerking Bouwdelen'!T7)</f>
        <v>0</v>
      </c>
      <c r="BP23" s="208">
        <f>IF($BM23=1,$BN23*'Verwerking Bouwdelen'!DM7,$BN23*'Verwerking Bouwdelen'!U7)</f>
        <v>0</v>
      </c>
      <c r="BQ23" s="208">
        <f>IF($BM23=1,$BN23*'Verwerking Bouwdelen'!DN7,$BN23*'Verwerking Bouwdelen'!V7)</f>
        <v>0</v>
      </c>
      <c r="BR23" s="208">
        <f>IF($BM23=1,$BN23*'Verwerking Bouwdelen'!DO7,$BN23*'Verwerking Bouwdelen'!W7)</f>
        <v>0</v>
      </c>
      <c r="BS23" s="208">
        <f>IF($BM23=1,$BN23*'Verwerking Bouwdelen'!DP7,$BN23*'Verwerking Bouwdelen'!X7)</f>
        <v>0</v>
      </c>
      <c r="BT23" s="208">
        <f>IF($BM23=1,$BN23*'Verwerking Bouwdelen'!DQ7,$BN23*'Verwerking Bouwdelen'!Y7)</f>
        <v>0</v>
      </c>
      <c r="BU23" s="208">
        <f>IF($BM23=1,$BN23*'Verwerking Bouwdelen'!DR7,$BN23*'Verwerking Bouwdelen'!Z7)</f>
        <v>0</v>
      </c>
      <c r="BV23" s="208">
        <f>IF($BM23=1,$BN23*'Verwerking Bouwdelen'!DS7,$BN23*'Verwerking Bouwdelen'!AA7)</f>
        <v>0</v>
      </c>
      <c r="BW23" s="208">
        <f>IF($BM23=1,$BN23*'Verwerking Bouwdelen'!DT7,$BN23*'Verwerking Bouwdelen'!AB7)</f>
        <v>0</v>
      </c>
      <c r="BX23" s="208">
        <f>IF($BM23=1,$BN23*'Verwerking Bouwdelen'!DU7,$BN23*'Verwerking Bouwdelen'!AC7)</f>
        <v>0</v>
      </c>
      <c r="BY23" s="208">
        <f>IF($BM23=1,$BN23*'Verwerking Bouwdelen'!DV7,$BN23*'Verwerking Bouwdelen'!AD7)</f>
        <v>0</v>
      </c>
      <c r="BZ23" s="208">
        <f>IF($BM23=1,$BN23*'Verwerking Bouwdelen'!DW7,$BN23*'Verwerking Bouwdelen'!AE7)</f>
        <v>0</v>
      </c>
      <c r="CA23" s="10">
        <f>IF(BO23=$B23,0,'Verwerking Bouwdelen'!$D7*BM23*BN23)</f>
        <v>0</v>
      </c>
      <c r="CB23" s="10">
        <f>BM23*BN23*'Verwerking Bouwdelen'!GH7</f>
        <v>0</v>
      </c>
      <c r="CC23" s="10"/>
      <c r="CD23" s="248"/>
      <c r="CE23" s="125">
        <f>IF('Verwerking Bouwdelen'!C7=2,1,0)</f>
        <v>0</v>
      </c>
      <c r="CF23" s="130">
        <f>IF('Verwerking Bouwdelen'!A7=5,1,0)</f>
        <v>0</v>
      </c>
      <c r="CG23" s="208">
        <f>IF($CE23=1,$CF23*'Verwerking Bouwdelen'!DL7,$CF23*'Verwerking Bouwdelen'!T7)</f>
        <v>0</v>
      </c>
      <c r="CH23" s="208">
        <f>IF($CE23=1,$CF23*'Verwerking Bouwdelen'!DM7,$CF23*'Verwerking Bouwdelen'!U7)</f>
        <v>0</v>
      </c>
      <c r="CI23" s="208">
        <f>IF($CE23=1,$CF23*'Verwerking Bouwdelen'!DN7,$CF23*'Verwerking Bouwdelen'!V7)</f>
        <v>0</v>
      </c>
      <c r="CJ23" s="208">
        <f>IF($CE23=1,$CF23*'Verwerking Bouwdelen'!DO7,$CF23*'Verwerking Bouwdelen'!W7)</f>
        <v>0</v>
      </c>
      <c r="CK23" s="208">
        <f>IF($CE23=1,$CF23*'Verwerking Bouwdelen'!DP7,$CF23*'Verwerking Bouwdelen'!X7)</f>
        <v>0</v>
      </c>
      <c r="CL23" s="208">
        <f>IF($CE23=1,$CF23*'Verwerking Bouwdelen'!DQ7,$CF23*'Verwerking Bouwdelen'!Y7)</f>
        <v>0</v>
      </c>
      <c r="CM23" s="208">
        <f>IF($CE23=1,$CF23*'Verwerking Bouwdelen'!DR7,$CF23*'Verwerking Bouwdelen'!Z7)</f>
        <v>0</v>
      </c>
      <c r="CN23" s="208">
        <f>IF($CE23=1,$CF23*'Verwerking Bouwdelen'!DS7,$CF23*'Verwerking Bouwdelen'!AA7)</f>
        <v>0</v>
      </c>
      <c r="CO23" s="208">
        <f>IF($CE23=1,$CF23*'Verwerking Bouwdelen'!DT7,$CF23*'Verwerking Bouwdelen'!AB7)</f>
        <v>0</v>
      </c>
      <c r="CP23" s="208">
        <f>IF($CE23=1,$CF23*'Verwerking Bouwdelen'!DU7,$CF23*'Verwerking Bouwdelen'!AC7)</f>
        <v>0</v>
      </c>
      <c r="CQ23" s="208">
        <f>IF($CE23=1,$CF23*'Verwerking Bouwdelen'!DV7,$CF23*'Verwerking Bouwdelen'!AD7)</f>
        <v>0</v>
      </c>
      <c r="CR23" s="208">
        <f>IF($CE23=1,$CF23*'Verwerking Bouwdelen'!DW7,$CF23*'Verwerking Bouwdelen'!AE7)</f>
        <v>0</v>
      </c>
      <c r="CS23" s="10">
        <f>IF(CG23=$B23,0,('Verwerking Bouwdelen'!$D7-'Verwerking Bouwdelen'!G7)*CE23*CF23)</f>
        <v>0</v>
      </c>
      <c r="CT23" s="261">
        <f>CE23*CF23*'Verwerking Bouwdelen'!$GH$3</f>
        <v>0</v>
      </c>
      <c r="CU23" s="261">
        <f>CE23*CF23*'Verwerking Bouwdelen'!GI7</f>
        <v>0</v>
      </c>
      <c r="CW23" s="209">
        <f>$AC23*'Verwerking Bouwdelen'!EE7</f>
        <v>0</v>
      </c>
      <c r="CX23" s="209">
        <f>$AC23*'Verwerking Bouwdelen'!EF7</f>
        <v>0</v>
      </c>
      <c r="CY23" s="209">
        <f>$AC23*'Verwerking Bouwdelen'!EG7</f>
        <v>0</v>
      </c>
      <c r="CZ23" s="209">
        <f>$AC23*'Verwerking Bouwdelen'!EH7</f>
        <v>0</v>
      </c>
      <c r="DA23" s="209">
        <f>$AC23*'Verwerking Bouwdelen'!EI7</f>
        <v>0</v>
      </c>
      <c r="DB23" s="209">
        <f>$AC23*'Verwerking Bouwdelen'!EJ7</f>
        <v>0</v>
      </c>
      <c r="DC23" s="209">
        <f>$AC23*'Verwerking Bouwdelen'!EK7</f>
        <v>0</v>
      </c>
      <c r="DD23" s="209">
        <f>$AC23*'Verwerking Bouwdelen'!EL7</f>
        <v>0</v>
      </c>
      <c r="DE23" s="209">
        <f>$AC23*'Verwerking Bouwdelen'!EM7</f>
        <v>0</v>
      </c>
      <c r="DF23" s="209">
        <f>$AC23*'Verwerking Bouwdelen'!EN7</f>
        <v>0</v>
      </c>
      <c r="DG23" s="209">
        <f>$AC23*'Verwerking Bouwdelen'!EO7</f>
        <v>0</v>
      </c>
      <c r="DH23" s="209">
        <f>$AC23*'Verwerking Bouwdelen'!EP7</f>
        <v>0</v>
      </c>
      <c r="DI23" s="10">
        <f>IF(CW23=$O23,0,'Verwerking Bouwdelen'!G7)</f>
        <v>0</v>
      </c>
      <c r="DJ23" s="259">
        <f>'Verwerking Bouwdelen'!GK7*CF23</f>
        <v>0</v>
      </c>
      <c r="DK23" s="259">
        <f>'Verwerking Bouwdelen'!GL7*CF23</f>
        <v>0</v>
      </c>
      <c r="DL23" s="125"/>
      <c r="FC23" s="89">
        <f>IF('Verwerken ventilatie'!AJ15=5,1,0)</f>
        <v>0</v>
      </c>
      <c r="FD23" s="89">
        <f>FC23*'Verwerken ventilatie'!BT15</f>
        <v>0</v>
      </c>
      <c r="FE23" s="89">
        <f>FC23*'Verwerken ventilatie'!BU15</f>
        <v>0</v>
      </c>
      <c r="FZ23" s="89">
        <f>IF('Verwerken verlichting'!B19=5,1,0)</f>
        <v>0</v>
      </c>
      <c r="GA23" s="89">
        <f>$FZ23*'Verwerken verlichting'!BX19</f>
        <v>0</v>
      </c>
      <c r="GB23" s="89">
        <f>$FZ23*'Verwerken verlichting'!BY19</f>
        <v>0</v>
      </c>
      <c r="GC23" s="89">
        <f>$FZ23*'Verwerken verlichting'!BZ19</f>
        <v>0</v>
      </c>
      <c r="GD23" s="89">
        <f>$FZ23*'Verwerken verlichting'!CA19</f>
        <v>0</v>
      </c>
      <c r="GE23" s="89">
        <f>$FZ23*'Verwerken verlichting'!CB19</f>
        <v>0</v>
      </c>
      <c r="GF23" s="89">
        <f>$FZ23*'Verwerken verlichting'!CC19</f>
        <v>0</v>
      </c>
      <c r="GG23" s="89">
        <f>FZ23*'Invoer verlichting'!N18</f>
        <v>0</v>
      </c>
      <c r="GH23" s="89">
        <f>FZ23*'Verwerken verlichting'!AH19</f>
        <v>0</v>
      </c>
      <c r="GI23" s="89">
        <f>FZ23*'Verwerken verlichting'!AG19</f>
        <v>0</v>
      </c>
      <c r="GJ23" s="89">
        <f>FZ23*'Verwerken verlichting'!CE19</f>
        <v>0</v>
      </c>
      <c r="GM23" s="89">
        <f t="shared" si="13"/>
        <v>0</v>
      </c>
      <c r="GN23" s="89">
        <f t="shared" si="14"/>
        <v>0</v>
      </c>
      <c r="GO23" s="208">
        <f>IF($GN23=1,$GN23*$GM23*'Verwerking Bouwdelen'!DL7,$GN23*$GM23*'Verwerking Bouwdelen'!T7)</f>
        <v>0</v>
      </c>
      <c r="GP23" s="208">
        <f>IF($GN23=1,$GN23*$GM23*'Verwerking Bouwdelen'!DM7,$GN23*$GM23*'Verwerking Bouwdelen'!U7)</f>
        <v>0</v>
      </c>
      <c r="GQ23" s="208">
        <f>IF($GN23=1,$GN23*$GM23*'Verwerking Bouwdelen'!DN7,$GN23*$GM23*'Verwerking Bouwdelen'!V7)</f>
        <v>0</v>
      </c>
      <c r="GR23" s="208">
        <f>IF($GN23=1,$GN23*$GM23*'Verwerking Bouwdelen'!DO7,$GN23*$GM23*'Verwerking Bouwdelen'!W7)</f>
        <v>0</v>
      </c>
      <c r="GS23" s="208">
        <f>IF($GN23=1,$GN23*$GM23*'Verwerking Bouwdelen'!DP7,$GN23*$GM23*'Verwerking Bouwdelen'!X7)</f>
        <v>0</v>
      </c>
      <c r="GT23" s="208">
        <f>IF($GN23=1,$GN23*$GM23*'Verwerking Bouwdelen'!DQ7,$GN23*$GM23*'Verwerking Bouwdelen'!Y7)</f>
        <v>0</v>
      </c>
      <c r="GU23" s="208">
        <f>IF($GN23=1,$GN23*$GM23*'Verwerking Bouwdelen'!DR7,$GN23*$GM23*'Verwerking Bouwdelen'!Z7)</f>
        <v>0</v>
      </c>
      <c r="GV23" s="208">
        <f>IF($GN23=1,$GN23*$GM23*'Verwerking Bouwdelen'!DS7,$GN23*$GM23*'Verwerking Bouwdelen'!AA7)</f>
        <v>0</v>
      </c>
      <c r="GW23" s="208">
        <f>IF($GN23=1,$GN23*$GM23*'Verwerking Bouwdelen'!DT7,$GN23*$GM23*'Verwerking Bouwdelen'!AB7)</f>
        <v>0</v>
      </c>
      <c r="GX23" s="208">
        <f>IF($GN23=1,$GN23*$GM23*'Verwerking Bouwdelen'!DU7,$GN23*$GM23*'Verwerking Bouwdelen'!AC7)</f>
        <v>0</v>
      </c>
      <c r="GY23" s="208">
        <f>IF($GN23=1,$GN23*$GM23*'Verwerking Bouwdelen'!DV7,$GN23*$GM23*'Verwerking Bouwdelen'!AD7)</f>
        <v>0</v>
      </c>
      <c r="GZ23" s="208">
        <f>IF($GN23=1,$GN23*$GM23*'Verwerking Bouwdelen'!DW7,$GN23*$GM23*'Verwerking Bouwdelen'!AE7)</f>
        <v>0</v>
      </c>
      <c r="HB23" s="89">
        <f t="shared" si="1"/>
        <v>0</v>
      </c>
      <c r="HC23" s="89">
        <f t="shared" si="2"/>
        <v>0</v>
      </c>
      <c r="HD23" s="89">
        <f t="shared" si="3"/>
        <v>0</v>
      </c>
      <c r="HE23" s="89">
        <f t="shared" si="4"/>
        <v>0</v>
      </c>
      <c r="HF23" s="89">
        <f t="shared" si="5"/>
        <v>0</v>
      </c>
      <c r="HG23" s="89">
        <f t="shared" si="6"/>
        <v>0</v>
      </c>
      <c r="HH23" s="89">
        <f t="shared" si="7"/>
        <v>0</v>
      </c>
      <c r="HI23" s="89">
        <f t="shared" si="8"/>
        <v>0</v>
      </c>
      <c r="HJ23" s="89">
        <f t="shared" si="9"/>
        <v>0</v>
      </c>
      <c r="HK23" s="89">
        <f t="shared" si="10"/>
        <v>0</v>
      </c>
      <c r="HL23" s="89">
        <f t="shared" si="11"/>
        <v>0</v>
      </c>
      <c r="HM23" s="89">
        <f t="shared" si="12"/>
        <v>0</v>
      </c>
    </row>
    <row r="24" spans="1:221" x14ac:dyDescent="0.2">
      <c r="A24" s="130">
        <f>IF('Verwerking Bouwdelen'!A8=5,1,0)</f>
        <v>0</v>
      </c>
      <c r="B24" s="208">
        <f>$A24*'Verwerking Bouwdelen'!T8</f>
        <v>0</v>
      </c>
      <c r="C24" s="208">
        <f>$A24*'Verwerking Bouwdelen'!U8</f>
        <v>0</v>
      </c>
      <c r="D24" s="208">
        <f>$A24*'Verwerking Bouwdelen'!V8</f>
        <v>0</v>
      </c>
      <c r="E24" s="208">
        <f>$A24*'Verwerking Bouwdelen'!W8</f>
        <v>0</v>
      </c>
      <c r="F24" s="208">
        <f>$A24*'Verwerking Bouwdelen'!X8</f>
        <v>0</v>
      </c>
      <c r="G24" s="208">
        <f>$A24*'Verwerking Bouwdelen'!Y8</f>
        <v>0</v>
      </c>
      <c r="H24" s="208">
        <f>$A24*'Verwerking Bouwdelen'!Z8</f>
        <v>0</v>
      </c>
      <c r="I24" s="208">
        <f>$A24*'Verwerking Bouwdelen'!AA8</f>
        <v>0</v>
      </c>
      <c r="J24" s="208">
        <f>$A24*'Verwerking Bouwdelen'!AB8</f>
        <v>0</v>
      </c>
      <c r="K24" s="208">
        <f>$A24*'Verwerking Bouwdelen'!AC8</f>
        <v>0</v>
      </c>
      <c r="L24" s="208">
        <f>$A24*'Verwerking Bouwdelen'!AD8</f>
        <v>0</v>
      </c>
      <c r="M24" s="208">
        <f>$A24*'Verwerking Bouwdelen'!AE8</f>
        <v>0</v>
      </c>
      <c r="O24" s="114">
        <f>$A24*'Verwerking Bouwdelen'!AU8</f>
        <v>0</v>
      </c>
      <c r="P24" s="125">
        <f>$A24*'Verwerking Bouwdelen'!AV8</f>
        <v>0</v>
      </c>
      <c r="Q24" s="125">
        <f>$A24*'Verwerking Bouwdelen'!AW8</f>
        <v>0</v>
      </c>
      <c r="R24" s="125">
        <f>$A24*'Verwerking Bouwdelen'!AX8</f>
        <v>0</v>
      </c>
      <c r="S24" s="125">
        <f>$A24*'Verwerking Bouwdelen'!AY8</f>
        <v>0</v>
      </c>
      <c r="T24" s="125">
        <f>$A24*'Verwerking Bouwdelen'!AZ8</f>
        <v>0</v>
      </c>
      <c r="U24" s="125">
        <f>$A24*'Verwerking Bouwdelen'!BA8</f>
        <v>0</v>
      </c>
      <c r="V24" s="125">
        <f>$A24*'Verwerking Bouwdelen'!BB8</f>
        <v>0</v>
      </c>
      <c r="W24" s="125">
        <f>$A24*'Verwerking Bouwdelen'!BC8</f>
        <v>0</v>
      </c>
      <c r="X24" s="125">
        <f>$A24*'Verwerking Bouwdelen'!BD8</f>
        <v>0</v>
      </c>
      <c r="Y24" s="125">
        <f>$A24*'Verwerking Bouwdelen'!BE8</f>
        <v>0</v>
      </c>
      <c r="Z24" s="195">
        <f>$A24*'Verwerking Bouwdelen'!BF8</f>
        <v>0</v>
      </c>
      <c r="AB24" s="125">
        <f>IF(OR('Verwerking Bouwdelen'!C8=3,'Verwerking Bouwdelen'!C8=6),1,0)</f>
        <v>0</v>
      </c>
      <c r="AC24" s="130">
        <f>IF('Verwerking Bouwdelen'!A8=5,1,0)</f>
        <v>0</v>
      </c>
      <c r="AD24" s="208">
        <f>IF($AB24=1,$AC24*'Verwerking Bouwdelen'!DL8,$AC24*'Verwerking Bouwdelen'!T8)</f>
        <v>0</v>
      </c>
      <c r="AE24" s="208">
        <f>IF($AB24=1,$AC24*'Verwerking Bouwdelen'!DM8,$AC24*'Verwerking Bouwdelen'!U8)</f>
        <v>0</v>
      </c>
      <c r="AF24" s="208">
        <f>IF($AB24=1,$AC24*'Verwerking Bouwdelen'!DN8,$AC24*'Verwerking Bouwdelen'!V8)</f>
        <v>0</v>
      </c>
      <c r="AG24" s="208">
        <f>IF($AB24=1,$AC24*'Verwerking Bouwdelen'!DO8,$AC24*'Verwerking Bouwdelen'!W8)</f>
        <v>0</v>
      </c>
      <c r="AH24" s="208">
        <f>IF($AB24=1,$AC24*'Verwerking Bouwdelen'!DP8,$AC24*'Verwerking Bouwdelen'!X8)</f>
        <v>0</v>
      </c>
      <c r="AI24" s="208">
        <f>IF($AB24=1,$AC24*'Verwerking Bouwdelen'!DQ8,$AC24*'Verwerking Bouwdelen'!Y8)</f>
        <v>0</v>
      </c>
      <c r="AJ24" s="208">
        <f>IF($AB24=1,$AC24*'Verwerking Bouwdelen'!DR8,$AC24*'Verwerking Bouwdelen'!Z8)</f>
        <v>0</v>
      </c>
      <c r="AK24" s="208">
        <f>IF($AB24=1,$AC24*'Verwerking Bouwdelen'!DS8,$AC24*'Verwerking Bouwdelen'!AA8)</f>
        <v>0</v>
      </c>
      <c r="AL24" s="208">
        <f>IF($AB24=1,$AC24*'Verwerking Bouwdelen'!DT8,$AC24*'Verwerking Bouwdelen'!AB8)</f>
        <v>0</v>
      </c>
      <c r="AM24" s="208">
        <f>IF($AB24=1,$AC24*'Verwerking Bouwdelen'!DU8,$AC24*'Verwerking Bouwdelen'!AC8)</f>
        <v>0</v>
      </c>
      <c r="AN24" s="208">
        <f>IF($AB24=1,$AC24*'Verwerking Bouwdelen'!DV8,$AC24*'Verwerking Bouwdelen'!AD8)</f>
        <v>0</v>
      </c>
      <c r="AO24" s="208">
        <f>IF($AB24=1,$AC24*'Verwerking Bouwdelen'!DW8,$AC24*'Verwerking Bouwdelen'!AE8)</f>
        <v>0</v>
      </c>
      <c r="AP24" s="10">
        <f>IF(AD24=B24,0,'Verwerking Bouwdelen'!D8*AB24*AC24)</f>
        <v>0</v>
      </c>
      <c r="AQ24" s="10">
        <f>AB24*AC24*'Verwerking Bouwdelen'!GH8</f>
        <v>0</v>
      </c>
      <c r="AR24" s="10"/>
      <c r="AS24" s="248"/>
      <c r="AT24" s="125">
        <f>IF('Verwerking Bouwdelen'!C8=4,1,0)</f>
        <v>0</v>
      </c>
      <c r="AU24" s="130">
        <f>IF('Verwerking Bouwdelen'!A8=5,1,0)</f>
        <v>0</v>
      </c>
      <c r="AV24" s="208">
        <f>IF($AT24=1,$AU24*'Verwerking Bouwdelen'!DL8,$AU24*'Verwerking Bouwdelen'!T8)</f>
        <v>0</v>
      </c>
      <c r="AW24" s="208">
        <f>IF($AT24=1,$AU24*'Verwerking Bouwdelen'!DM8,$AU24*'Verwerking Bouwdelen'!U8)</f>
        <v>0</v>
      </c>
      <c r="AX24" s="208">
        <f>IF($AT24=1,$AU24*'Verwerking Bouwdelen'!DN8,$AU24*'Verwerking Bouwdelen'!V8)</f>
        <v>0</v>
      </c>
      <c r="AY24" s="208">
        <f>IF($AT24=1,$AU24*'Verwerking Bouwdelen'!DO8,$AU24*'Verwerking Bouwdelen'!W8)</f>
        <v>0</v>
      </c>
      <c r="AZ24" s="208">
        <f>IF($AT24=1,$AU24*'Verwerking Bouwdelen'!DP8,$AU24*'Verwerking Bouwdelen'!X8)</f>
        <v>0</v>
      </c>
      <c r="BA24" s="208">
        <f>IF($AT24=1,$AU24*'Verwerking Bouwdelen'!DQ8,$AU24*'Verwerking Bouwdelen'!Y8)</f>
        <v>0</v>
      </c>
      <c r="BB24" s="208">
        <f>IF($AT24=1,$AU24*'Verwerking Bouwdelen'!DR8,$AU24*'Verwerking Bouwdelen'!Z8)</f>
        <v>0</v>
      </c>
      <c r="BC24" s="208">
        <f>IF($AT24=1,$AU24*'Verwerking Bouwdelen'!DS8,$AU24*'Verwerking Bouwdelen'!AA8)</f>
        <v>0</v>
      </c>
      <c r="BD24" s="208">
        <f>IF($AT24=1,$AU24*'Verwerking Bouwdelen'!DT8,$AU24*'Verwerking Bouwdelen'!AB8)</f>
        <v>0</v>
      </c>
      <c r="BE24" s="208">
        <f>IF($AT24=1,$AU24*'Verwerking Bouwdelen'!DU8,$AU24*'Verwerking Bouwdelen'!AC8)</f>
        <v>0</v>
      </c>
      <c r="BF24" s="208">
        <f>IF($AT24=1,$AU24*'Verwerking Bouwdelen'!DV8,$AU24*'Verwerking Bouwdelen'!AD8)</f>
        <v>0</v>
      </c>
      <c r="BG24" s="208">
        <f>IF($AT24=1,$AU24*'Verwerking Bouwdelen'!DW8,$AU24*'Verwerking Bouwdelen'!AE8)</f>
        <v>0</v>
      </c>
      <c r="BH24" s="10">
        <f>IF(AV24=B24,0,'Verwerking Bouwdelen'!D8*AT24*AU24)</f>
        <v>0</v>
      </c>
      <c r="BI24" s="10">
        <f>AT24*AU24*'Verwerking Bouwdelen'!GH8</f>
        <v>0</v>
      </c>
      <c r="BJ24" s="10"/>
      <c r="BK24" s="10"/>
      <c r="BM24" s="125">
        <f>IF('Verwerking Bouwdelen'!C8=5,1,0)</f>
        <v>0</v>
      </c>
      <c r="BN24" s="130">
        <f>IF('Verwerking Bouwdelen'!A8=5,1,0)</f>
        <v>0</v>
      </c>
      <c r="BO24" s="208">
        <f>IF($BM24=1,$BN24*'Verwerking Bouwdelen'!DL8,$BN24*'Verwerking Bouwdelen'!T8)</f>
        <v>0</v>
      </c>
      <c r="BP24" s="208">
        <f>IF($BM24=1,$BN24*'Verwerking Bouwdelen'!DM8,$BN24*'Verwerking Bouwdelen'!U8)</f>
        <v>0</v>
      </c>
      <c r="BQ24" s="208">
        <f>IF($BM24=1,$BN24*'Verwerking Bouwdelen'!DN8,$BN24*'Verwerking Bouwdelen'!V8)</f>
        <v>0</v>
      </c>
      <c r="BR24" s="208">
        <f>IF($BM24=1,$BN24*'Verwerking Bouwdelen'!DO8,$BN24*'Verwerking Bouwdelen'!W8)</f>
        <v>0</v>
      </c>
      <c r="BS24" s="208">
        <f>IF($BM24=1,$BN24*'Verwerking Bouwdelen'!DP8,$BN24*'Verwerking Bouwdelen'!X8)</f>
        <v>0</v>
      </c>
      <c r="BT24" s="208">
        <f>IF($BM24=1,$BN24*'Verwerking Bouwdelen'!DQ8,$BN24*'Verwerking Bouwdelen'!Y8)</f>
        <v>0</v>
      </c>
      <c r="BU24" s="208">
        <f>IF($BM24=1,$BN24*'Verwerking Bouwdelen'!DR8,$BN24*'Verwerking Bouwdelen'!Z8)</f>
        <v>0</v>
      </c>
      <c r="BV24" s="208">
        <f>IF($BM24=1,$BN24*'Verwerking Bouwdelen'!DS8,$BN24*'Verwerking Bouwdelen'!AA8)</f>
        <v>0</v>
      </c>
      <c r="BW24" s="208">
        <f>IF($BM24=1,$BN24*'Verwerking Bouwdelen'!DT8,$BN24*'Verwerking Bouwdelen'!AB8)</f>
        <v>0</v>
      </c>
      <c r="BX24" s="208">
        <f>IF($BM24=1,$BN24*'Verwerking Bouwdelen'!DU8,$BN24*'Verwerking Bouwdelen'!AC8)</f>
        <v>0</v>
      </c>
      <c r="BY24" s="208">
        <f>IF($BM24=1,$BN24*'Verwerking Bouwdelen'!DV8,$BN24*'Verwerking Bouwdelen'!AD8)</f>
        <v>0</v>
      </c>
      <c r="BZ24" s="208">
        <f>IF($BM24=1,$BN24*'Verwerking Bouwdelen'!DW8,$BN24*'Verwerking Bouwdelen'!AE8)</f>
        <v>0</v>
      </c>
      <c r="CA24" s="10">
        <f>IF(BO24=$B24,0,'Verwerking Bouwdelen'!$D8*BM24*BN24)</f>
        <v>0</v>
      </c>
      <c r="CB24" s="10">
        <f>BM24*BN24*'Verwerking Bouwdelen'!GH8</f>
        <v>0</v>
      </c>
      <c r="CC24" s="10"/>
      <c r="CD24" s="248"/>
      <c r="CE24" s="125">
        <f>IF('Verwerking Bouwdelen'!C8=2,1,0)</f>
        <v>0</v>
      </c>
      <c r="CF24" s="130">
        <f>IF('Verwerking Bouwdelen'!A8=5,1,0)</f>
        <v>0</v>
      </c>
      <c r="CG24" s="208">
        <f>IF($CE24=1,$CF24*'Verwerking Bouwdelen'!DL8,$CF24*'Verwerking Bouwdelen'!T8)</f>
        <v>0</v>
      </c>
      <c r="CH24" s="208">
        <f>IF($CE24=1,$CF24*'Verwerking Bouwdelen'!DM8,$CF24*'Verwerking Bouwdelen'!U8)</f>
        <v>0</v>
      </c>
      <c r="CI24" s="208">
        <f>IF($CE24=1,$CF24*'Verwerking Bouwdelen'!DN8,$CF24*'Verwerking Bouwdelen'!V8)</f>
        <v>0</v>
      </c>
      <c r="CJ24" s="208">
        <f>IF($CE24=1,$CF24*'Verwerking Bouwdelen'!DO8,$CF24*'Verwerking Bouwdelen'!W8)</f>
        <v>0</v>
      </c>
      <c r="CK24" s="208">
        <f>IF($CE24=1,$CF24*'Verwerking Bouwdelen'!DP8,$CF24*'Verwerking Bouwdelen'!X8)</f>
        <v>0</v>
      </c>
      <c r="CL24" s="208">
        <f>IF($CE24=1,$CF24*'Verwerking Bouwdelen'!DQ8,$CF24*'Verwerking Bouwdelen'!Y8)</f>
        <v>0</v>
      </c>
      <c r="CM24" s="208">
        <f>IF($CE24=1,$CF24*'Verwerking Bouwdelen'!DR8,$CF24*'Verwerking Bouwdelen'!Z8)</f>
        <v>0</v>
      </c>
      <c r="CN24" s="208">
        <f>IF($CE24=1,$CF24*'Verwerking Bouwdelen'!DS8,$CF24*'Verwerking Bouwdelen'!AA8)</f>
        <v>0</v>
      </c>
      <c r="CO24" s="208">
        <f>IF($CE24=1,$CF24*'Verwerking Bouwdelen'!DT8,$CF24*'Verwerking Bouwdelen'!AB8)</f>
        <v>0</v>
      </c>
      <c r="CP24" s="208">
        <f>IF($CE24=1,$CF24*'Verwerking Bouwdelen'!DU8,$CF24*'Verwerking Bouwdelen'!AC8)</f>
        <v>0</v>
      </c>
      <c r="CQ24" s="208">
        <f>IF($CE24=1,$CF24*'Verwerking Bouwdelen'!DV8,$CF24*'Verwerking Bouwdelen'!AD8)</f>
        <v>0</v>
      </c>
      <c r="CR24" s="208">
        <f>IF($CE24=1,$CF24*'Verwerking Bouwdelen'!DW8,$CF24*'Verwerking Bouwdelen'!AE8)</f>
        <v>0</v>
      </c>
      <c r="CS24" s="10">
        <f>IF(CG24=$B24,0,('Verwerking Bouwdelen'!$D8-'Verwerking Bouwdelen'!G8)*CE24*CF24)</f>
        <v>0</v>
      </c>
      <c r="CT24" s="261">
        <f>CE24*CF24*'Verwerking Bouwdelen'!$GH$3</f>
        <v>0</v>
      </c>
      <c r="CU24" s="261">
        <f>CE24*CF24*'Verwerking Bouwdelen'!GI8</f>
        <v>0</v>
      </c>
      <c r="CW24" s="209">
        <f>$AC24*'Verwerking Bouwdelen'!EE8</f>
        <v>0</v>
      </c>
      <c r="CX24" s="209">
        <f>$AC24*'Verwerking Bouwdelen'!EF8</f>
        <v>0</v>
      </c>
      <c r="CY24" s="209">
        <f>$AC24*'Verwerking Bouwdelen'!EG8</f>
        <v>0</v>
      </c>
      <c r="CZ24" s="209">
        <f>$AC24*'Verwerking Bouwdelen'!EH8</f>
        <v>0</v>
      </c>
      <c r="DA24" s="209">
        <f>$AC24*'Verwerking Bouwdelen'!EI8</f>
        <v>0</v>
      </c>
      <c r="DB24" s="209">
        <f>$AC24*'Verwerking Bouwdelen'!EJ8</f>
        <v>0</v>
      </c>
      <c r="DC24" s="209">
        <f>$AC24*'Verwerking Bouwdelen'!EK8</f>
        <v>0</v>
      </c>
      <c r="DD24" s="209">
        <f>$AC24*'Verwerking Bouwdelen'!EL8</f>
        <v>0</v>
      </c>
      <c r="DE24" s="209">
        <f>$AC24*'Verwerking Bouwdelen'!EM8</f>
        <v>0</v>
      </c>
      <c r="DF24" s="209">
        <f>$AC24*'Verwerking Bouwdelen'!EN8</f>
        <v>0</v>
      </c>
      <c r="DG24" s="209">
        <f>$AC24*'Verwerking Bouwdelen'!EO8</f>
        <v>0</v>
      </c>
      <c r="DH24" s="209">
        <f>$AC24*'Verwerking Bouwdelen'!EP8</f>
        <v>0</v>
      </c>
      <c r="DI24" s="10">
        <f>IF(CW24=$O24,0,'Verwerking Bouwdelen'!G8)</f>
        <v>0</v>
      </c>
      <c r="DJ24" s="259">
        <f>'Verwerking Bouwdelen'!GK8*CF24</f>
        <v>0</v>
      </c>
      <c r="DK24" s="259">
        <f>'Verwerking Bouwdelen'!GL8*CF24</f>
        <v>0</v>
      </c>
      <c r="DL24" s="125"/>
      <c r="FC24" s="89">
        <f>IF('Verwerken ventilatie'!AJ16=5,1,0)</f>
        <v>0</v>
      </c>
      <c r="FD24" s="89">
        <f>FC24*'Verwerken ventilatie'!BT16</f>
        <v>0</v>
      </c>
      <c r="FE24" s="89">
        <f>FC24*'Verwerken ventilatie'!BU16</f>
        <v>0</v>
      </c>
      <c r="FZ24" s="89">
        <f>IF('Verwerken verlichting'!B20=5,1,0)</f>
        <v>0</v>
      </c>
      <c r="GA24" s="89">
        <f>$FZ24*'Verwerken verlichting'!BX20</f>
        <v>0</v>
      </c>
      <c r="GB24" s="89">
        <f>$FZ24*'Verwerken verlichting'!BY20</f>
        <v>0</v>
      </c>
      <c r="GC24" s="89">
        <f>$FZ24*'Verwerken verlichting'!BZ20</f>
        <v>0</v>
      </c>
      <c r="GD24" s="89">
        <f>$FZ24*'Verwerken verlichting'!CA20</f>
        <v>0</v>
      </c>
      <c r="GE24" s="89">
        <f>$FZ24*'Verwerken verlichting'!CB20</f>
        <v>0</v>
      </c>
      <c r="GF24" s="89">
        <f>$FZ24*'Verwerken verlichting'!CC20</f>
        <v>0</v>
      </c>
      <c r="GG24" s="89">
        <f>FZ24*'Invoer verlichting'!N19</f>
        <v>0</v>
      </c>
      <c r="GH24" s="89">
        <f>FZ24*'Verwerken verlichting'!AH20</f>
        <v>0</v>
      </c>
      <c r="GI24" s="89">
        <f>FZ24*'Verwerken verlichting'!AG20</f>
        <v>0</v>
      </c>
      <c r="GJ24" s="89">
        <f>FZ24*'Verwerken verlichting'!CE20</f>
        <v>0</v>
      </c>
      <c r="GM24" s="89">
        <f t="shared" si="13"/>
        <v>0</v>
      </c>
      <c r="GN24" s="89">
        <f t="shared" si="14"/>
        <v>0</v>
      </c>
      <c r="GO24" s="208">
        <f>IF($GN24=1,$GN24*$GM24*'Verwerking Bouwdelen'!DL8,$GN24*$GM24*'Verwerking Bouwdelen'!T8)</f>
        <v>0</v>
      </c>
      <c r="GP24" s="208">
        <f>IF($GN24=1,$GN24*$GM24*'Verwerking Bouwdelen'!DM8,$GN24*$GM24*'Verwerking Bouwdelen'!U8)</f>
        <v>0</v>
      </c>
      <c r="GQ24" s="208">
        <f>IF($GN24=1,$GN24*$GM24*'Verwerking Bouwdelen'!DN8,$GN24*$GM24*'Verwerking Bouwdelen'!V8)</f>
        <v>0</v>
      </c>
      <c r="GR24" s="208">
        <f>IF($GN24=1,$GN24*$GM24*'Verwerking Bouwdelen'!DO8,$GN24*$GM24*'Verwerking Bouwdelen'!W8)</f>
        <v>0</v>
      </c>
      <c r="GS24" s="208">
        <f>IF($GN24=1,$GN24*$GM24*'Verwerking Bouwdelen'!DP8,$GN24*$GM24*'Verwerking Bouwdelen'!X8)</f>
        <v>0</v>
      </c>
      <c r="GT24" s="208">
        <f>IF($GN24=1,$GN24*$GM24*'Verwerking Bouwdelen'!DQ8,$GN24*$GM24*'Verwerking Bouwdelen'!Y8)</f>
        <v>0</v>
      </c>
      <c r="GU24" s="208">
        <f>IF($GN24=1,$GN24*$GM24*'Verwerking Bouwdelen'!DR8,$GN24*$GM24*'Verwerking Bouwdelen'!Z8)</f>
        <v>0</v>
      </c>
      <c r="GV24" s="208">
        <f>IF($GN24=1,$GN24*$GM24*'Verwerking Bouwdelen'!DS8,$GN24*$GM24*'Verwerking Bouwdelen'!AA8)</f>
        <v>0</v>
      </c>
      <c r="GW24" s="208">
        <f>IF($GN24=1,$GN24*$GM24*'Verwerking Bouwdelen'!DT8,$GN24*$GM24*'Verwerking Bouwdelen'!AB8)</f>
        <v>0</v>
      </c>
      <c r="GX24" s="208">
        <f>IF($GN24=1,$GN24*$GM24*'Verwerking Bouwdelen'!DU8,$GN24*$GM24*'Verwerking Bouwdelen'!AC8)</f>
        <v>0</v>
      </c>
      <c r="GY24" s="208">
        <f>IF($GN24=1,$GN24*$GM24*'Verwerking Bouwdelen'!DV8,$GN24*$GM24*'Verwerking Bouwdelen'!AD8)</f>
        <v>0</v>
      </c>
      <c r="GZ24" s="208">
        <f>IF($GN24=1,$GN24*$GM24*'Verwerking Bouwdelen'!DW8,$GN24*$GM24*'Verwerking Bouwdelen'!AE8)</f>
        <v>0</v>
      </c>
      <c r="HB24" s="89">
        <f t="shared" si="1"/>
        <v>0</v>
      </c>
      <c r="HC24" s="89">
        <f t="shared" si="2"/>
        <v>0</v>
      </c>
      <c r="HD24" s="89">
        <f t="shared" si="3"/>
        <v>0</v>
      </c>
      <c r="HE24" s="89">
        <f t="shared" si="4"/>
        <v>0</v>
      </c>
      <c r="HF24" s="89">
        <f t="shared" si="5"/>
        <v>0</v>
      </c>
      <c r="HG24" s="89">
        <f t="shared" si="6"/>
        <v>0</v>
      </c>
      <c r="HH24" s="89">
        <f t="shared" si="7"/>
        <v>0</v>
      </c>
      <c r="HI24" s="89">
        <f t="shared" si="8"/>
        <v>0</v>
      </c>
      <c r="HJ24" s="89">
        <f t="shared" si="9"/>
        <v>0</v>
      </c>
      <c r="HK24" s="89">
        <f t="shared" si="10"/>
        <v>0</v>
      </c>
      <c r="HL24" s="89">
        <f t="shared" si="11"/>
        <v>0</v>
      </c>
      <c r="HM24" s="89">
        <f t="shared" si="12"/>
        <v>0</v>
      </c>
    </row>
    <row r="25" spans="1:221" x14ac:dyDescent="0.2">
      <c r="A25" s="130">
        <f>IF('Verwerking Bouwdelen'!A9=5,1,0)</f>
        <v>0</v>
      </c>
      <c r="B25" s="208">
        <f>$A25*'Verwerking Bouwdelen'!T9</f>
        <v>0</v>
      </c>
      <c r="C25" s="208">
        <f>$A25*'Verwerking Bouwdelen'!U9</f>
        <v>0</v>
      </c>
      <c r="D25" s="208">
        <f>$A25*'Verwerking Bouwdelen'!V9</f>
        <v>0</v>
      </c>
      <c r="E25" s="208">
        <f>$A25*'Verwerking Bouwdelen'!W9</f>
        <v>0</v>
      </c>
      <c r="F25" s="208">
        <f>$A25*'Verwerking Bouwdelen'!X9</f>
        <v>0</v>
      </c>
      <c r="G25" s="208">
        <f>$A25*'Verwerking Bouwdelen'!Y9</f>
        <v>0</v>
      </c>
      <c r="H25" s="208">
        <f>$A25*'Verwerking Bouwdelen'!Z9</f>
        <v>0</v>
      </c>
      <c r="I25" s="208">
        <f>$A25*'Verwerking Bouwdelen'!AA9</f>
        <v>0</v>
      </c>
      <c r="J25" s="208">
        <f>$A25*'Verwerking Bouwdelen'!AB9</f>
        <v>0</v>
      </c>
      <c r="K25" s="208">
        <f>$A25*'Verwerking Bouwdelen'!AC9</f>
        <v>0</v>
      </c>
      <c r="L25" s="208">
        <f>$A25*'Verwerking Bouwdelen'!AD9</f>
        <v>0</v>
      </c>
      <c r="M25" s="208">
        <f>$A25*'Verwerking Bouwdelen'!AE9</f>
        <v>0</v>
      </c>
      <c r="O25" s="114">
        <f>$A25*'Verwerking Bouwdelen'!AU9</f>
        <v>0</v>
      </c>
      <c r="P25" s="125">
        <f>$A25*'Verwerking Bouwdelen'!AV9</f>
        <v>0</v>
      </c>
      <c r="Q25" s="125">
        <f>$A25*'Verwerking Bouwdelen'!AW9</f>
        <v>0</v>
      </c>
      <c r="R25" s="125">
        <f>$A25*'Verwerking Bouwdelen'!AX9</f>
        <v>0</v>
      </c>
      <c r="S25" s="125">
        <f>$A25*'Verwerking Bouwdelen'!AY9</f>
        <v>0</v>
      </c>
      <c r="T25" s="125">
        <f>$A25*'Verwerking Bouwdelen'!AZ9</f>
        <v>0</v>
      </c>
      <c r="U25" s="125">
        <f>$A25*'Verwerking Bouwdelen'!BA9</f>
        <v>0</v>
      </c>
      <c r="V25" s="125">
        <f>$A25*'Verwerking Bouwdelen'!BB9</f>
        <v>0</v>
      </c>
      <c r="W25" s="125">
        <f>$A25*'Verwerking Bouwdelen'!BC9</f>
        <v>0</v>
      </c>
      <c r="X25" s="125">
        <f>$A25*'Verwerking Bouwdelen'!BD9</f>
        <v>0</v>
      </c>
      <c r="Y25" s="125">
        <f>$A25*'Verwerking Bouwdelen'!BE9</f>
        <v>0</v>
      </c>
      <c r="Z25" s="195">
        <f>$A25*'Verwerking Bouwdelen'!BF9</f>
        <v>0</v>
      </c>
      <c r="AB25" s="125">
        <f>IF(OR('Verwerking Bouwdelen'!C9=3,'Verwerking Bouwdelen'!C9=6),1,0)</f>
        <v>0</v>
      </c>
      <c r="AC25" s="130">
        <f>IF('Verwerking Bouwdelen'!A9=5,1,0)</f>
        <v>0</v>
      </c>
      <c r="AD25" s="208">
        <f>IF($AB25=1,$AC25*'Verwerking Bouwdelen'!DL9,$AC25*'Verwerking Bouwdelen'!T9)</f>
        <v>0</v>
      </c>
      <c r="AE25" s="208">
        <f>IF($AB25=1,$AC25*'Verwerking Bouwdelen'!DM9,$AC25*'Verwerking Bouwdelen'!U9)</f>
        <v>0</v>
      </c>
      <c r="AF25" s="208">
        <f>IF($AB25=1,$AC25*'Verwerking Bouwdelen'!DN9,$AC25*'Verwerking Bouwdelen'!V9)</f>
        <v>0</v>
      </c>
      <c r="AG25" s="208">
        <f>IF($AB25=1,$AC25*'Verwerking Bouwdelen'!DO9,$AC25*'Verwerking Bouwdelen'!W9)</f>
        <v>0</v>
      </c>
      <c r="AH25" s="208">
        <f>IF($AB25=1,$AC25*'Verwerking Bouwdelen'!DP9,$AC25*'Verwerking Bouwdelen'!X9)</f>
        <v>0</v>
      </c>
      <c r="AI25" s="208">
        <f>IF($AB25=1,$AC25*'Verwerking Bouwdelen'!DQ9,$AC25*'Verwerking Bouwdelen'!Y9)</f>
        <v>0</v>
      </c>
      <c r="AJ25" s="208">
        <f>IF($AB25=1,$AC25*'Verwerking Bouwdelen'!DR9,$AC25*'Verwerking Bouwdelen'!Z9)</f>
        <v>0</v>
      </c>
      <c r="AK25" s="208">
        <f>IF($AB25=1,$AC25*'Verwerking Bouwdelen'!DS9,$AC25*'Verwerking Bouwdelen'!AA9)</f>
        <v>0</v>
      </c>
      <c r="AL25" s="208">
        <f>IF($AB25=1,$AC25*'Verwerking Bouwdelen'!DT9,$AC25*'Verwerking Bouwdelen'!AB9)</f>
        <v>0</v>
      </c>
      <c r="AM25" s="208">
        <f>IF($AB25=1,$AC25*'Verwerking Bouwdelen'!DU9,$AC25*'Verwerking Bouwdelen'!AC9)</f>
        <v>0</v>
      </c>
      <c r="AN25" s="208">
        <f>IF($AB25=1,$AC25*'Verwerking Bouwdelen'!DV9,$AC25*'Verwerking Bouwdelen'!AD9)</f>
        <v>0</v>
      </c>
      <c r="AO25" s="208">
        <f>IF($AB25=1,$AC25*'Verwerking Bouwdelen'!DW9,$AC25*'Verwerking Bouwdelen'!AE9)</f>
        <v>0</v>
      </c>
      <c r="AP25" s="10">
        <f>IF(AD25=B25,0,'Verwerking Bouwdelen'!D9*AB25*AC25)</f>
        <v>0</v>
      </c>
      <c r="AQ25" s="10">
        <f>AB25*AC25*'Verwerking Bouwdelen'!GH9</f>
        <v>0</v>
      </c>
      <c r="AR25" s="10"/>
      <c r="AS25" s="248"/>
      <c r="AT25" s="125">
        <f>IF('Verwerking Bouwdelen'!C9=4,1,0)</f>
        <v>0</v>
      </c>
      <c r="AU25" s="130">
        <f>IF('Verwerking Bouwdelen'!A9=5,1,0)</f>
        <v>0</v>
      </c>
      <c r="AV25" s="208">
        <f>IF($AT25=1,$AU25*'Verwerking Bouwdelen'!DL9,$AU25*'Verwerking Bouwdelen'!T9)</f>
        <v>0</v>
      </c>
      <c r="AW25" s="208">
        <f>IF($AT25=1,$AU25*'Verwerking Bouwdelen'!DM9,$AU25*'Verwerking Bouwdelen'!U9)</f>
        <v>0</v>
      </c>
      <c r="AX25" s="208">
        <f>IF($AT25=1,$AU25*'Verwerking Bouwdelen'!DN9,$AU25*'Verwerking Bouwdelen'!V9)</f>
        <v>0</v>
      </c>
      <c r="AY25" s="208">
        <f>IF($AT25=1,$AU25*'Verwerking Bouwdelen'!DO9,$AU25*'Verwerking Bouwdelen'!W9)</f>
        <v>0</v>
      </c>
      <c r="AZ25" s="208">
        <f>IF($AT25=1,$AU25*'Verwerking Bouwdelen'!DP9,$AU25*'Verwerking Bouwdelen'!X9)</f>
        <v>0</v>
      </c>
      <c r="BA25" s="208">
        <f>IF($AT25=1,$AU25*'Verwerking Bouwdelen'!DQ9,$AU25*'Verwerking Bouwdelen'!Y9)</f>
        <v>0</v>
      </c>
      <c r="BB25" s="208">
        <f>IF($AT25=1,$AU25*'Verwerking Bouwdelen'!DR9,$AU25*'Verwerking Bouwdelen'!Z9)</f>
        <v>0</v>
      </c>
      <c r="BC25" s="208">
        <f>IF($AT25=1,$AU25*'Verwerking Bouwdelen'!DS9,$AU25*'Verwerking Bouwdelen'!AA9)</f>
        <v>0</v>
      </c>
      <c r="BD25" s="208">
        <f>IF($AT25=1,$AU25*'Verwerking Bouwdelen'!DT9,$AU25*'Verwerking Bouwdelen'!AB9)</f>
        <v>0</v>
      </c>
      <c r="BE25" s="208">
        <f>IF($AT25=1,$AU25*'Verwerking Bouwdelen'!DU9,$AU25*'Verwerking Bouwdelen'!AC9)</f>
        <v>0</v>
      </c>
      <c r="BF25" s="208">
        <f>IF($AT25=1,$AU25*'Verwerking Bouwdelen'!DV9,$AU25*'Verwerking Bouwdelen'!AD9)</f>
        <v>0</v>
      </c>
      <c r="BG25" s="208">
        <f>IF($AT25=1,$AU25*'Verwerking Bouwdelen'!DW9,$AU25*'Verwerking Bouwdelen'!AE9)</f>
        <v>0</v>
      </c>
      <c r="BH25" s="10">
        <f>IF(AV25=B25,0,'Verwerking Bouwdelen'!D9*AT25*AU25)</f>
        <v>0</v>
      </c>
      <c r="BI25" s="10">
        <f>AT25*AU25*'Verwerking Bouwdelen'!GH9</f>
        <v>0</v>
      </c>
      <c r="BJ25" s="10"/>
      <c r="BK25" s="10"/>
      <c r="BM25" s="125">
        <f>IF('Verwerking Bouwdelen'!C9=5,1,0)</f>
        <v>0</v>
      </c>
      <c r="BN25" s="130">
        <f>IF('Verwerking Bouwdelen'!A9=5,1,0)</f>
        <v>0</v>
      </c>
      <c r="BO25" s="208">
        <f>IF($BM25=1,$BN25*'Verwerking Bouwdelen'!DL9,$BN25*'Verwerking Bouwdelen'!T9)</f>
        <v>0</v>
      </c>
      <c r="BP25" s="208">
        <f>IF($BM25=1,$BN25*'Verwerking Bouwdelen'!DM9,$BN25*'Verwerking Bouwdelen'!U9)</f>
        <v>0</v>
      </c>
      <c r="BQ25" s="208">
        <f>IF($BM25=1,$BN25*'Verwerking Bouwdelen'!DN9,$BN25*'Verwerking Bouwdelen'!V9)</f>
        <v>0</v>
      </c>
      <c r="BR25" s="208">
        <f>IF($BM25=1,$BN25*'Verwerking Bouwdelen'!DO9,$BN25*'Verwerking Bouwdelen'!W9)</f>
        <v>0</v>
      </c>
      <c r="BS25" s="208">
        <f>IF($BM25=1,$BN25*'Verwerking Bouwdelen'!DP9,$BN25*'Verwerking Bouwdelen'!X9)</f>
        <v>0</v>
      </c>
      <c r="BT25" s="208">
        <f>IF($BM25=1,$BN25*'Verwerking Bouwdelen'!DQ9,$BN25*'Verwerking Bouwdelen'!Y9)</f>
        <v>0</v>
      </c>
      <c r="BU25" s="208">
        <f>IF($BM25=1,$BN25*'Verwerking Bouwdelen'!DR9,$BN25*'Verwerking Bouwdelen'!Z9)</f>
        <v>0</v>
      </c>
      <c r="BV25" s="208">
        <f>IF($BM25=1,$BN25*'Verwerking Bouwdelen'!DS9,$BN25*'Verwerking Bouwdelen'!AA9)</f>
        <v>0</v>
      </c>
      <c r="BW25" s="208">
        <f>IF($BM25=1,$BN25*'Verwerking Bouwdelen'!DT9,$BN25*'Verwerking Bouwdelen'!AB9)</f>
        <v>0</v>
      </c>
      <c r="BX25" s="208">
        <f>IF($BM25=1,$BN25*'Verwerking Bouwdelen'!DU9,$BN25*'Verwerking Bouwdelen'!AC9)</f>
        <v>0</v>
      </c>
      <c r="BY25" s="208">
        <f>IF($BM25=1,$BN25*'Verwerking Bouwdelen'!DV9,$BN25*'Verwerking Bouwdelen'!AD9)</f>
        <v>0</v>
      </c>
      <c r="BZ25" s="208">
        <f>IF($BM25=1,$BN25*'Verwerking Bouwdelen'!DW9,$BN25*'Verwerking Bouwdelen'!AE9)</f>
        <v>0</v>
      </c>
      <c r="CA25" s="10">
        <f>IF(BO25=$B25,0,'Verwerking Bouwdelen'!$D9*BM25*BN25)</f>
        <v>0</v>
      </c>
      <c r="CB25" s="10">
        <f>BM25*BN25*'Verwerking Bouwdelen'!GH9</f>
        <v>0</v>
      </c>
      <c r="CC25" s="10"/>
      <c r="CD25" s="248"/>
      <c r="CE25" s="125">
        <f>IF('Verwerking Bouwdelen'!C9=2,1,0)</f>
        <v>0</v>
      </c>
      <c r="CF25" s="130">
        <f>IF('Verwerking Bouwdelen'!A9=5,1,0)</f>
        <v>0</v>
      </c>
      <c r="CG25" s="208">
        <f>IF($CE25=1,$CF25*'Verwerking Bouwdelen'!DL9,$CF25*'Verwerking Bouwdelen'!T9)</f>
        <v>0</v>
      </c>
      <c r="CH25" s="208">
        <f>IF($CE25=1,$CF25*'Verwerking Bouwdelen'!DM9,$CF25*'Verwerking Bouwdelen'!U9)</f>
        <v>0</v>
      </c>
      <c r="CI25" s="208">
        <f>IF($CE25=1,$CF25*'Verwerking Bouwdelen'!DN9,$CF25*'Verwerking Bouwdelen'!V9)</f>
        <v>0</v>
      </c>
      <c r="CJ25" s="208">
        <f>IF($CE25=1,$CF25*'Verwerking Bouwdelen'!DO9,$CF25*'Verwerking Bouwdelen'!W9)</f>
        <v>0</v>
      </c>
      <c r="CK25" s="208">
        <f>IF($CE25=1,$CF25*'Verwerking Bouwdelen'!DP9,$CF25*'Verwerking Bouwdelen'!X9)</f>
        <v>0</v>
      </c>
      <c r="CL25" s="208">
        <f>IF($CE25=1,$CF25*'Verwerking Bouwdelen'!DQ9,$CF25*'Verwerking Bouwdelen'!Y9)</f>
        <v>0</v>
      </c>
      <c r="CM25" s="208">
        <f>IF($CE25=1,$CF25*'Verwerking Bouwdelen'!DR9,$CF25*'Verwerking Bouwdelen'!Z9)</f>
        <v>0</v>
      </c>
      <c r="CN25" s="208">
        <f>IF($CE25=1,$CF25*'Verwerking Bouwdelen'!DS9,$CF25*'Verwerking Bouwdelen'!AA9)</f>
        <v>0</v>
      </c>
      <c r="CO25" s="208">
        <f>IF($CE25=1,$CF25*'Verwerking Bouwdelen'!DT9,$CF25*'Verwerking Bouwdelen'!AB9)</f>
        <v>0</v>
      </c>
      <c r="CP25" s="208">
        <f>IF($CE25=1,$CF25*'Verwerking Bouwdelen'!DU9,$CF25*'Verwerking Bouwdelen'!AC9)</f>
        <v>0</v>
      </c>
      <c r="CQ25" s="208">
        <f>IF($CE25=1,$CF25*'Verwerking Bouwdelen'!DV9,$CF25*'Verwerking Bouwdelen'!AD9)</f>
        <v>0</v>
      </c>
      <c r="CR25" s="208">
        <f>IF($CE25=1,$CF25*'Verwerking Bouwdelen'!DW9,$CF25*'Verwerking Bouwdelen'!AE9)</f>
        <v>0</v>
      </c>
      <c r="CS25" s="10">
        <f>IF(CG25=$B25,0,('Verwerking Bouwdelen'!$D9-'Verwerking Bouwdelen'!G9)*CE25*CF25)</f>
        <v>0</v>
      </c>
      <c r="CT25" s="261">
        <f>CE25*CF25*'Verwerking Bouwdelen'!$GH$3</f>
        <v>0</v>
      </c>
      <c r="CU25" s="261">
        <f>CE25*CF25*'Verwerking Bouwdelen'!GI9</f>
        <v>0</v>
      </c>
      <c r="CW25" s="209">
        <f>$AC25*'Verwerking Bouwdelen'!EE9</f>
        <v>0</v>
      </c>
      <c r="CX25" s="209">
        <f>$AC25*'Verwerking Bouwdelen'!EF9</f>
        <v>0</v>
      </c>
      <c r="CY25" s="209">
        <f>$AC25*'Verwerking Bouwdelen'!EG9</f>
        <v>0</v>
      </c>
      <c r="CZ25" s="209">
        <f>$AC25*'Verwerking Bouwdelen'!EH9</f>
        <v>0</v>
      </c>
      <c r="DA25" s="209">
        <f>$AC25*'Verwerking Bouwdelen'!EI9</f>
        <v>0</v>
      </c>
      <c r="DB25" s="209">
        <f>$AC25*'Verwerking Bouwdelen'!EJ9</f>
        <v>0</v>
      </c>
      <c r="DC25" s="209">
        <f>$AC25*'Verwerking Bouwdelen'!EK9</f>
        <v>0</v>
      </c>
      <c r="DD25" s="209">
        <f>$AC25*'Verwerking Bouwdelen'!EL9</f>
        <v>0</v>
      </c>
      <c r="DE25" s="209">
        <f>$AC25*'Verwerking Bouwdelen'!EM9</f>
        <v>0</v>
      </c>
      <c r="DF25" s="209">
        <f>$AC25*'Verwerking Bouwdelen'!EN9</f>
        <v>0</v>
      </c>
      <c r="DG25" s="209">
        <f>$AC25*'Verwerking Bouwdelen'!EO9</f>
        <v>0</v>
      </c>
      <c r="DH25" s="209">
        <f>$AC25*'Verwerking Bouwdelen'!EP9</f>
        <v>0</v>
      </c>
      <c r="DI25" s="10">
        <f>IF(CW25=$O25,0,'Verwerking Bouwdelen'!G9)</f>
        <v>0</v>
      </c>
      <c r="DJ25" s="259">
        <f>'Verwerking Bouwdelen'!GK9*CF25</f>
        <v>0</v>
      </c>
      <c r="DK25" s="259">
        <f>'Verwerking Bouwdelen'!GL9*CF25</f>
        <v>0</v>
      </c>
      <c r="DL25" s="125"/>
      <c r="FC25" s="89">
        <f>IF('Verwerken ventilatie'!AJ17=5,1,0)</f>
        <v>0</v>
      </c>
      <c r="FD25" s="89">
        <f>FC25*'Verwerken ventilatie'!BT17</f>
        <v>0</v>
      </c>
      <c r="FE25" s="89">
        <f>FC25*'Verwerken ventilatie'!BU17</f>
        <v>0</v>
      </c>
      <c r="FZ25" s="89">
        <f>IF('Verwerken verlichting'!B21=5,1,0)</f>
        <v>0</v>
      </c>
      <c r="GA25" s="89">
        <f>$FZ25*'Verwerken verlichting'!BX21</f>
        <v>0</v>
      </c>
      <c r="GB25" s="89">
        <f>$FZ25*'Verwerken verlichting'!BY21</f>
        <v>0</v>
      </c>
      <c r="GC25" s="89">
        <f>$FZ25*'Verwerken verlichting'!BZ21</f>
        <v>0</v>
      </c>
      <c r="GD25" s="89">
        <f>$FZ25*'Verwerken verlichting'!CA21</f>
        <v>0</v>
      </c>
      <c r="GE25" s="89">
        <f>$FZ25*'Verwerken verlichting'!CB21</f>
        <v>0</v>
      </c>
      <c r="GF25" s="89">
        <f>$FZ25*'Verwerken verlichting'!CC21</f>
        <v>0</v>
      </c>
      <c r="GG25" s="89">
        <f>FZ25*'Invoer verlichting'!N20</f>
        <v>0</v>
      </c>
      <c r="GH25" s="89">
        <f>FZ25*'Verwerken verlichting'!AH21</f>
        <v>0</v>
      </c>
      <c r="GI25" s="89">
        <f>FZ25*'Verwerken verlichting'!AG21</f>
        <v>0</v>
      </c>
      <c r="GJ25" s="89">
        <f>FZ25*'Verwerken verlichting'!CE21</f>
        <v>0</v>
      </c>
      <c r="GM25" s="89">
        <f t="shared" si="13"/>
        <v>0</v>
      </c>
      <c r="GN25" s="89">
        <f t="shared" si="14"/>
        <v>0</v>
      </c>
      <c r="GO25" s="208">
        <f>IF($GN25=1,$GN25*$GM25*'Verwerking Bouwdelen'!DL9,$GN25*$GM25*'Verwerking Bouwdelen'!T9)</f>
        <v>0</v>
      </c>
      <c r="GP25" s="208">
        <f>IF($GN25=1,$GN25*$GM25*'Verwerking Bouwdelen'!DM9,$GN25*$GM25*'Verwerking Bouwdelen'!U9)</f>
        <v>0</v>
      </c>
      <c r="GQ25" s="208">
        <f>IF($GN25=1,$GN25*$GM25*'Verwerking Bouwdelen'!DN9,$GN25*$GM25*'Verwerking Bouwdelen'!V9)</f>
        <v>0</v>
      </c>
      <c r="GR25" s="208">
        <f>IF($GN25=1,$GN25*$GM25*'Verwerking Bouwdelen'!DO9,$GN25*$GM25*'Verwerking Bouwdelen'!W9)</f>
        <v>0</v>
      </c>
      <c r="GS25" s="208">
        <f>IF($GN25=1,$GN25*$GM25*'Verwerking Bouwdelen'!DP9,$GN25*$GM25*'Verwerking Bouwdelen'!X9)</f>
        <v>0</v>
      </c>
      <c r="GT25" s="208">
        <f>IF($GN25=1,$GN25*$GM25*'Verwerking Bouwdelen'!DQ9,$GN25*$GM25*'Verwerking Bouwdelen'!Y9)</f>
        <v>0</v>
      </c>
      <c r="GU25" s="208">
        <f>IF($GN25=1,$GN25*$GM25*'Verwerking Bouwdelen'!DR9,$GN25*$GM25*'Verwerking Bouwdelen'!Z9)</f>
        <v>0</v>
      </c>
      <c r="GV25" s="208">
        <f>IF($GN25=1,$GN25*$GM25*'Verwerking Bouwdelen'!DS9,$GN25*$GM25*'Verwerking Bouwdelen'!AA9)</f>
        <v>0</v>
      </c>
      <c r="GW25" s="208">
        <f>IF($GN25=1,$GN25*$GM25*'Verwerking Bouwdelen'!DT9,$GN25*$GM25*'Verwerking Bouwdelen'!AB9)</f>
        <v>0</v>
      </c>
      <c r="GX25" s="208">
        <f>IF($GN25=1,$GN25*$GM25*'Verwerking Bouwdelen'!DU9,$GN25*$GM25*'Verwerking Bouwdelen'!AC9)</f>
        <v>0</v>
      </c>
      <c r="GY25" s="208">
        <f>IF($GN25=1,$GN25*$GM25*'Verwerking Bouwdelen'!DV9,$GN25*$GM25*'Verwerking Bouwdelen'!AD9)</f>
        <v>0</v>
      </c>
      <c r="GZ25" s="208">
        <f>IF($GN25=1,$GN25*$GM25*'Verwerking Bouwdelen'!DW9,$GN25*$GM25*'Verwerking Bouwdelen'!AE9)</f>
        <v>0</v>
      </c>
      <c r="HB25" s="89">
        <f t="shared" si="1"/>
        <v>0</v>
      </c>
      <c r="HC25" s="89">
        <f t="shared" si="2"/>
        <v>0</v>
      </c>
      <c r="HD25" s="89">
        <f t="shared" si="3"/>
        <v>0</v>
      </c>
      <c r="HE25" s="89">
        <f t="shared" si="4"/>
        <v>0</v>
      </c>
      <c r="HF25" s="89">
        <f t="shared" si="5"/>
        <v>0</v>
      </c>
      <c r="HG25" s="89">
        <f t="shared" si="6"/>
        <v>0</v>
      </c>
      <c r="HH25" s="89">
        <f t="shared" si="7"/>
        <v>0</v>
      </c>
      <c r="HI25" s="89">
        <f t="shared" si="8"/>
        <v>0</v>
      </c>
      <c r="HJ25" s="89">
        <f t="shared" si="9"/>
        <v>0</v>
      </c>
      <c r="HK25" s="89">
        <f t="shared" si="10"/>
        <v>0</v>
      </c>
      <c r="HL25" s="89">
        <f t="shared" si="11"/>
        <v>0</v>
      </c>
      <c r="HM25" s="89">
        <f t="shared" si="12"/>
        <v>0</v>
      </c>
    </row>
    <row r="26" spans="1:221" x14ac:dyDescent="0.2">
      <c r="A26" s="130">
        <f>IF('Verwerking Bouwdelen'!A10=5,1,0)</f>
        <v>0</v>
      </c>
      <c r="B26" s="208">
        <f>$A26*'Verwerking Bouwdelen'!T10</f>
        <v>0</v>
      </c>
      <c r="C26" s="208">
        <f>$A26*'Verwerking Bouwdelen'!U10</f>
        <v>0</v>
      </c>
      <c r="D26" s="208">
        <f>$A26*'Verwerking Bouwdelen'!V10</f>
        <v>0</v>
      </c>
      <c r="E26" s="208">
        <f>$A26*'Verwerking Bouwdelen'!W10</f>
        <v>0</v>
      </c>
      <c r="F26" s="208">
        <f>$A26*'Verwerking Bouwdelen'!X10</f>
        <v>0</v>
      </c>
      <c r="G26" s="208">
        <f>$A26*'Verwerking Bouwdelen'!Y10</f>
        <v>0</v>
      </c>
      <c r="H26" s="208">
        <f>$A26*'Verwerking Bouwdelen'!Z10</f>
        <v>0</v>
      </c>
      <c r="I26" s="208">
        <f>$A26*'Verwerking Bouwdelen'!AA10</f>
        <v>0</v>
      </c>
      <c r="J26" s="208">
        <f>$A26*'Verwerking Bouwdelen'!AB10</f>
        <v>0</v>
      </c>
      <c r="K26" s="208">
        <f>$A26*'Verwerking Bouwdelen'!AC10</f>
        <v>0</v>
      </c>
      <c r="L26" s="208">
        <f>$A26*'Verwerking Bouwdelen'!AD10</f>
        <v>0</v>
      </c>
      <c r="M26" s="208">
        <f>$A26*'Verwerking Bouwdelen'!AE10</f>
        <v>0</v>
      </c>
      <c r="O26" s="114">
        <f>$A26*'Verwerking Bouwdelen'!AU10</f>
        <v>0</v>
      </c>
      <c r="P26" s="125">
        <f>$A26*'Verwerking Bouwdelen'!AV10</f>
        <v>0</v>
      </c>
      <c r="Q26" s="125">
        <f>$A26*'Verwerking Bouwdelen'!AW10</f>
        <v>0</v>
      </c>
      <c r="R26" s="125">
        <f>$A26*'Verwerking Bouwdelen'!AX10</f>
        <v>0</v>
      </c>
      <c r="S26" s="125">
        <f>$A26*'Verwerking Bouwdelen'!AY10</f>
        <v>0</v>
      </c>
      <c r="T26" s="125">
        <f>$A26*'Verwerking Bouwdelen'!AZ10</f>
        <v>0</v>
      </c>
      <c r="U26" s="125">
        <f>$A26*'Verwerking Bouwdelen'!BA10</f>
        <v>0</v>
      </c>
      <c r="V26" s="125">
        <f>$A26*'Verwerking Bouwdelen'!BB10</f>
        <v>0</v>
      </c>
      <c r="W26" s="125">
        <f>$A26*'Verwerking Bouwdelen'!BC10</f>
        <v>0</v>
      </c>
      <c r="X26" s="125">
        <f>$A26*'Verwerking Bouwdelen'!BD10</f>
        <v>0</v>
      </c>
      <c r="Y26" s="125">
        <f>$A26*'Verwerking Bouwdelen'!BE10</f>
        <v>0</v>
      </c>
      <c r="Z26" s="195">
        <f>$A26*'Verwerking Bouwdelen'!BF10</f>
        <v>0</v>
      </c>
      <c r="AB26" s="125">
        <f>IF(OR('Verwerking Bouwdelen'!C10=3,'Verwerking Bouwdelen'!C10=6),1,0)</f>
        <v>0</v>
      </c>
      <c r="AC26" s="130">
        <f>IF('Verwerking Bouwdelen'!A10=5,1,0)</f>
        <v>0</v>
      </c>
      <c r="AD26" s="208">
        <f>IF($AB26=1,$AC26*'Verwerking Bouwdelen'!DL10,$AC26*'Verwerking Bouwdelen'!T10)</f>
        <v>0</v>
      </c>
      <c r="AE26" s="208">
        <f>IF($AB26=1,$AC26*'Verwerking Bouwdelen'!DM10,$AC26*'Verwerking Bouwdelen'!U10)</f>
        <v>0</v>
      </c>
      <c r="AF26" s="208">
        <f>IF($AB26=1,$AC26*'Verwerking Bouwdelen'!DN10,$AC26*'Verwerking Bouwdelen'!V10)</f>
        <v>0</v>
      </c>
      <c r="AG26" s="208">
        <f>IF($AB26=1,$AC26*'Verwerking Bouwdelen'!DO10,$AC26*'Verwerking Bouwdelen'!W10)</f>
        <v>0</v>
      </c>
      <c r="AH26" s="208">
        <f>IF($AB26=1,$AC26*'Verwerking Bouwdelen'!DP10,$AC26*'Verwerking Bouwdelen'!X10)</f>
        <v>0</v>
      </c>
      <c r="AI26" s="208">
        <f>IF($AB26=1,$AC26*'Verwerking Bouwdelen'!DQ10,$AC26*'Verwerking Bouwdelen'!Y10)</f>
        <v>0</v>
      </c>
      <c r="AJ26" s="208">
        <f>IF($AB26=1,$AC26*'Verwerking Bouwdelen'!DR10,$AC26*'Verwerking Bouwdelen'!Z10)</f>
        <v>0</v>
      </c>
      <c r="AK26" s="208">
        <f>IF($AB26=1,$AC26*'Verwerking Bouwdelen'!DS10,$AC26*'Verwerking Bouwdelen'!AA10)</f>
        <v>0</v>
      </c>
      <c r="AL26" s="208">
        <f>IF($AB26=1,$AC26*'Verwerking Bouwdelen'!DT10,$AC26*'Verwerking Bouwdelen'!AB10)</f>
        <v>0</v>
      </c>
      <c r="AM26" s="208">
        <f>IF($AB26=1,$AC26*'Verwerking Bouwdelen'!DU10,$AC26*'Verwerking Bouwdelen'!AC10)</f>
        <v>0</v>
      </c>
      <c r="AN26" s="208">
        <f>IF($AB26=1,$AC26*'Verwerking Bouwdelen'!DV10,$AC26*'Verwerking Bouwdelen'!AD10)</f>
        <v>0</v>
      </c>
      <c r="AO26" s="208">
        <f>IF($AB26=1,$AC26*'Verwerking Bouwdelen'!DW10,$AC26*'Verwerking Bouwdelen'!AE10)</f>
        <v>0</v>
      </c>
      <c r="AP26" s="10">
        <f>IF(AD26=B26,0,'Verwerking Bouwdelen'!D10*AB26*AC26)</f>
        <v>0</v>
      </c>
      <c r="AQ26" s="10">
        <f>AB26*AC26*'Verwerking Bouwdelen'!GH10</f>
        <v>0</v>
      </c>
      <c r="AR26" s="10"/>
      <c r="AS26" s="248"/>
      <c r="AT26" s="125">
        <f>IF('Verwerking Bouwdelen'!C10=4,1,0)</f>
        <v>0</v>
      </c>
      <c r="AU26" s="130">
        <f>IF('Verwerking Bouwdelen'!A10=5,1,0)</f>
        <v>0</v>
      </c>
      <c r="AV26" s="208">
        <f>IF($AT26=1,$AU26*'Verwerking Bouwdelen'!DL10,$AU26*'Verwerking Bouwdelen'!T10)</f>
        <v>0</v>
      </c>
      <c r="AW26" s="208">
        <f>IF($AT26=1,$AU26*'Verwerking Bouwdelen'!DM10,$AU26*'Verwerking Bouwdelen'!U10)</f>
        <v>0</v>
      </c>
      <c r="AX26" s="208">
        <f>IF($AT26=1,$AU26*'Verwerking Bouwdelen'!DN10,$AU26*'Verwerking Bouwdelen'!V10)</f>
        <v>0</v>
      </c>
      <c r="AY26" s="208">
        <f>IF($AT26=1,$AU26*'Verwerking Bouwdelen'!DO10,$AU26*'Verwerking Bouwdelen'!W10)</f>
        <v>0</v>
      </c>
      <c r="AZ26" s="208">
        <f>IF($AT26=1,$AU26*'Verwerking Bouwdelen'!DP10,$AU26*'Verwerking Bouwdelen'!X10)</f>
        <v>0</v>
      </c>
      <c r="BA26" s="208">
        <f>IF($AT26=1,$AU26*'Verwerking Bouwdelen'!DQ10,$AU26*'Verwerking Bouwdelen'!Y10)</f>
        <v>0</v>
      </c>
      <c r="BB26" s="208">
        <f>IF($AT26=1,$AU26*'Verwerking Bouwdelen'!DR10,$AU26*'Verwerking Bouwdelen'!Z10)</f>
        <v>0</v>
      </c>
      <c r="BC26" s="208">
        <f>IF($AT26=1,$AU26*'Verwerking Bouwdelen'!DS10,$AU26*'Verwerking Bouwdelen'!AA10)</f>
        <v>0</v>
      </c>
      <c r="BD26" s="208">
        <f>IF($AT26=1,$AU26*'Verwerking Bouwdelen'!DT10,$AU26*'Verwerking Bouwdelen'!AB10)</f>
        <v>0</v>
      </c>
      <c r="BE26" s="208">
        <f>IF($AT26=1,$AU26*'Verwerking Bouwdelen'!DU10,$AU26*'Verwerking Bouwdelen'!AC10)</f>
        <v>0</v>
      </c>
      <c r="BF26" s="208">
        <f>IF($AT26=1,$AU26*'Verwerking Bouwdelen'!DV10,$AU26*'Verwerking Bouwdelen'!AD10)</f>
        <v>0</v>
      </c>
      <c r="BG26" s="208">
        <f>IF($AT26=1,$AU26*'Verwerking Bouwdelen'!DW10,$AU26*'Verwerking Bouwdelen'!AE10)</f>
        <v>0</v>
      </c>
      <c r="BH26" s="10">
        <f>IF(AV26=B26,0,'Verwerking Bouwdelen'!D10*AT26*AU26)</f>
        <v>0</v>
      </c>
      <c r="BI26" s="10">
        <f>AT26*AU26*'Verwerking Bouwdelen'!GH10</f>
        <v>0</v>
      </c>
      <c r="BJ26" s="10"/>
      <c r="BK26" s="10"/>
      <c r="BM26" s="125">
        <f>IF('Verwerking Bouwdelen'!C10=5,1,0)</f>
        <v>0</v>
      </c>
      <c r="BN26" s="130">
        <f>IF('Verwerking Bouwdelen'!A10=5,1,0)</f>
        <v>0</v>
      </c>
      <c r="BO26" s="208">
        <f>IF($BM26=1,$BN26*'Verwerking Bouwdelen'!DL10,$BN26*'Verwerking Bouwdelen'!T10)</f>
        <v>0</v>
      </c>
      <c r="BP26" s="208">
        <f>IF($BM26=1,$BN26*'Verwerking Bouwdelen'!DM10,$BN26*'Verwerking Bouwdelen'!U10)</f>
        <v>0</v>
      </c>
      <c r="BQ26" s="208">
        <f>IF($BM26=1,$BN26*'Verwerking Bouwdelen'!DN10,$BN26*'Verwerking Bouwdelen'!V10)</f>
        <v>0</v>
      </c>
      <c r="BR26" s="208">
        <f>IF($BM26=1,$BN26*'Verwerking Bouwdelen'!DO10,$BN26*'Verwerking Bouwdelen'!W10)</f>
        <v>0</v>
      </c>
      <c r="BS26" s="208">
        <f>IF($BM26=1,$BN26*'Verwerking Bouwdelen'!DP10,$BN26*'Verwerking Bouwdelen'!X10)</f>
        <v>0</v>
      </c>
      <c r="BT26" s="208">
        <f>IF($BM26=1,$BN26*'Verwerking Bouwdelen'!DQ10,$BN26*'Verwerking Bouwdelen'!Y10)</f>
        <v>0</v>
      </c>
      <c r="BU26" s="208">
        <f>IF($BM26=1,$BN26*'Verwerking Bouwdelen'!DR10,$BN26*'Verwerking Bouwdelen'!Z10)</f>
        <v>0</v>
      </c>
      <c r="BV26" s="208">
        <f>IF($BM26=1,$BN26*'Verwerking Bouwdelen'!DS10,$BN26*'Verwerking Bouwdelen'!AA10)</f>
        <v>0</v>
      </c>
      <c r="BW26" s="208">
        <f>IF($BM26=1,$BN26*'Verwerking Bouwdelen'!DT10,$BN26*'Verwerking Bouwdelen'!AB10)</f>
        <v>0</v>
      </c>
      <c r="BX26" s="208">
        <f>IF($BM26=1,$BN26*'Verwerking Bouwdelen'!DU10,$BN26*'Verwerking Bouwdelen'!AC10)</f>
        <v>0</v>
      </c>
      <c r="BY26" s="208">
        <f>IF($BM26=1,$BN26*'Verwerking Bouwdelen'!DV10,$BN26*'Verwerking Bouwdelen'!AD10)</f>
        <v>0</v>
      </c>
      <c r="BZ26" s="208">
        <f>IF($BM26=1,$BN26*'Verwerking Bouwdelen'!DW10,$BN26*'Verwerking Bouwdelen'!AE10)</f>
        <v>0</v>
      </c>
      <c r="CA26" s="10">
        <f>IF(BO26=$B26,0,'Verwerking Bouwdelen'!$D10*BM26*BN26)</f>
        <v>0</v>
      </c>
      <c r="CB26" s="10">
        <f>BM26*BN26*'Verwerking Bouwdelen'!GH10</f>
        <v>0</v>
      </c>
      <c r="CC26" s="10"/>
      <c r="CD26" s="248"/>
      <c r="CE26" s="125">
        <f>IF('Verwerking Bouwdelen'!C10=2,1,0)</f>
        <v>0</v>
      </c>
      <c r="CF26" s="130">
        <f>IF('Verwerking Bouwdelen'!A10=5,1,0)</f>
        <v>0</v>
      </c>
      <c r="CG26" s="208">
        <f>IF($CE26=1,$CF26*'Verwerking Bouwdelen'!DL10,$CF26*'Verwerking Bouwdelen'!T10)</f>
        <v>0</v>
      </c>
      <c r="CH26" s="208">
        <f>IF($CE26=1,$CF26*'Verwerking Bouwdelen'!DM10,$CF26*'Verwerking Bouwdelen'!U10)</f>
        <v>0</v>
      </c>
      <c r="CI26" s="208">
        <f>IF($CE26=1,$CF26*'Verwerking Bouwdelen'!DN10,$CF26*'Verwerking Bouwdelen'!V10)</f>
        <v>0</v>
      </c>
      <c r="CJ26" s="208">
        <f>IF($CE26=1,$CF26*'Verwerking Bouwdelen'!DO10,$CF26*'Verwerking Bouwdelen'!W10)</f>
        <v>0</v>
      </c>
      <c r="CK26" s="208">
        <f>IF($CE26=1,$CF26*'Verwerking Bouwdelen'!DP10,$CF26*'Verwerking Bouwdelen'!X10)</f>
        <v>0</v>
      </c>
      <c r="CL26" s="208">
        <f>IF($CE26=1,$CF26*'Verwerking Bouwdelen'!DQ10,$CF26*'Verwerking Bouwdelen'!Y10)</f>
        <v>0</v>
      </c>
      <c r="CM26" s="208">
        <f>IF($CE26=1,$CF26*'Verwerking Bouwdelen'!DR10,$CF26*'Verwerking Bouwdelen'!Z10)</f>
        <v>0</v>
      </c>
      <c r="CN26" s="208">
        <f>IF($CE26=1,$CF26*'Verwerking Bouwdelen'!DS10,$CF26*'Verwerking Bouwdelen'!AA10)</f>
        <v>0</v>
      </c>
      <c r="CO26" s="208">
        <f>IF($CE26=1,$CF26*'Verwerking Bouwdelen'!DT10,$CF26*'Verwerking Bouwdelen'!AB10)</f>
        <v>0</v>
      </c>
      <c r="CP26" s="208">
        <f>IF($CE26=1,$CF26*'Verwerking Bouwdelen'!DU10,$CF26*'Verwerking Bouwdelen'!AC10)</f>
        <v>0</v>
      </c>
      <c r="CQ26" s="208">
        <f>IF($CE26=1,$CF26*'Verwerking Bouwdelen'!DV10,$CF26*'Verwerking Bouwdelen'!AD10)</f>
        <v>0</v>
      </c>
      <c r="CR26" s="208">
        <f>IF($CE26=1,$CF26*'Verwerking Bouwdelen'!DW10,$CF26*'Verwerking Bouwdelen'!AE10)</f>
        <v>0</v>
      </c>
      <c r="CS26" s="10">
        <f>IF(CG26=$B26,0,('Verwerking Bouwdelen'!$D10-'Verwerking Bouwdelen'!G10)*CE26*CF26)</f>
        <v>0</v>
      </c>
      <c r="CT26" s="261">
        <f>CE26*CF26*'Verwerking Bouwdelen'!$GH$3</f>
        <v>0</v>
      </c>
      <c r="CU26" s="261">
        <f>CE26*CF26*'Verwerking Bouwdelen'!GI10</f>
        <v>0</v>
      </c>
      <c r="CW26" s="209">
        <f>$AC26*'Verwerking Bouwdelen'!EE10</f>
        <v>0</v>
      </c>
      <c r="CX26" s="209">
        <f>$AC26*'Verwerking Bouwdelen'!EF10</f>
        <v>0</v>
      </c>
      <c r="CY26" s="209">
        <f>$AC26*'Verwerking Bouwdelen'!EG10</f>
        <v>0</v>
      </c>
      <c r="CZ26" s="209">
        <f>$AC26*'Verwerking Bouwdelen'!EH10</f>
        <v>0</v>
      </c>
      <c r="DA26" s="209">
        <f>$AC26*'Verwerking Bouwdelen'!EI10</f>
        <v>0</v>
      </c>
      <c r="DB26" s="209">
        <f>$AC26*'Verwerking Bouwdelen'!EJ10</f>
        <v>0</v>
      </c>
      <c r="DC26" s="209">
        <f>$AC26*'Verwerking Bouwdelen'!EK10</f>
        <v>0</v>
      </c>
      <c r="DD26" s="209">
        <f>$AC26*'Verwerking Bouwdelen'!EL10</f>
        <v>0</v>
      </c>
      <c r="DE26" s="209">
        <f>$AC26*'Verwerking Bouwdelen'!EM10</f>
        <v>0</v>
      </c>
      <c r="DF26" s="209">
        <f>$AC26*'Verwerking Bouwdelen'!EN10</f>
        <v>0</v>
      </c>
      <c r="DG26" s="209">
        <f>$AC26*'Verwerking Bouwdelen'!EO10</f>
        <v>0</v>
      </c>
      <c r="DH26" s="209">
        <f>$AC26*'Verwerking Bouwdelen'!EP10</f>
        <v>0</v>
      </c>
      <c r="DI26" s="10">
        <f>IF(CW26=$O26,0,'Verwerking Bouwdelen'!G10)</f>
        <v>0</v>
      </c>
      <c r="DJ26" s="259">
        <f>'Verwerking Bouwdelen'!GK10*CF26</f>
        <v>0</v>
      </c>
      <c r="DK26" s="259">
        <f>'Verwerking Bouwdelen'!GL10*CF26</f>
        <v>0</v>
      </c>
      <c r="DL26" s="125"/>
      <c r="FC26" s="89">
        <f>IF('Verwerken ventilatie'!AJ18=5,1,0)</f>
        <v>0</v>
      </c>
      <c r="FD26" s="89">
        <f>FC26*'Verwerken ventilatie'!BT18</f>
        <v>0</v>
      </c>
      <c r="FE26" s="89">
        <f>FC26*'Verwerken ventilatie'!BU18</f>
        <v>0</v>
      </c>
      <c r="FZ26" s="89">
        <f>IF('Verwerken verlichting'!B22=5,1,0)</f>
        <v>0</v>
      </c>
      <c r="GA26" s="89">
        <f>$FZ26*'Verwerken verlichting'!BX22</f>
        <v>0</v>
      </c>
      <c r="GB26" s="89">
        <f>$FZ26*'Verwerken verlichting'!BY22</f>
        <v>0</v>
      </c>
      <c r="GC26" s="89">
        <f>$FZ26*'Verwerken verlichting'!BZ22</f>
        <v>0</v>
      </c>
      <c r="GD26" s="89">
        <f>$FZ26*'Verwerken verlichting'!CA22</f>
        <v>0</v>
      </c>
      <c r="GE26" s="89">
        <f>$FZ26*'Verwerken verlichting'!CB22</f>
        <v>0</v>
      </c>
      <c r="GF26" s="89">
        <f>$FZ26*'Verwerken verlichting'!CC22</f>
        <v>0</v>
      </c>
      <c r="GG26" s="89">
        <f>FZ26*'Invoer verlichting'!N21</f>
        <v>0</v>
      </c>
      <c r="GH26" s="89">
        <f>FZ26*'Verwerken verlichting'!AH22</f>
        <v>0</v>
      </c>
      <c r="GI26" s="89">
        <f>FZ26*'Verwerken verlichting'!AG22</f>
        <v>0</v>
      </c>
      <c r="GJ26" s="89">
        <f>FZ26*'Verwerken verlichting'!CE22</f>
        <v>0</v>
      </c>
      <c r="GM26" s="89">
        <f t="shared" si="13"/>
        <v>0</v>
      </c>
      <c r="GN26" s="89">
        <f t="shared" si="14"/>
        <v>0</v>
      </c>
      <c r="GO26" s="208">
        <f>IF($GN26=1,$GN26*$GM26*'Verwerking Bouwdelen'!DL10,$GN26*$GM26*'Verwerking Bouwdelen'!T10)</f>
        <v>0</v>
      </c>
      <c r="GP26" s="208">
        <f>IF($GN26=1,$GN26*$GM26*'Verwerking Bouwdelen'!DM10,$GN26*$GM26*'Verwerking Bouwdelen'!U10)</f>
        <v>0</v>
      </c>
      <c r="GQ26" s="208">
        <f>IF($GN26=1,$GN26*$GM26*'Verwerking Bouwdelen'!DN10,$GN26*$GM26*'Verwerking Bouwdelen'!V10)</f>
        <v>0</v>
      </c>
      <c r="GR26" s="208">
        <f>IF($GN26=1,$GN26*$GM26*'Verwerking Bouwdelen'!DO10,$GN26*$GM26*'Verwerking Bouwdelen'!W10)</f>
        <v>0</v>
      </c>
      <c r="GS26" s="208">
        <f>IF($GN26=1,$GN26*$GM26*'Verwerking Bouwdelen'!DP10,$GN26*$GM26*'Verwerking Bouwdelen'!X10)</f>
        <v>0</v>
      </c>
      <c r="GT26" s="208">
        <f>IF($GN26=1,$GN26*$GM26*'Verwerking Bouwdelen'!DQ10,$GN26*$GM26*'Verwerking Bouwdelen'!Y10)</f>
        <v>0</v>
      </c>
      <c r="GU26" s="208">
        <f>IF($GN26=1,$GN26*$GM26*'Verwerking Bouwdelen'!DR10,$GN26*$GM26*'Verwerking Bouwdelen'!Z10)</f>
        <v>0</v>
      </c>
      <c r="GV26" s="208">
        <f>IF($GN26=1,$GN26*$GM26*'Verwerking Bouwdelen'!DS10,$GN26*$GM26*'Verwerking Bouwdelen'!AA10)</f>
        <v>0</v>
      </c>
      <c r="GW26" s="208">
        <f>IF($GN26=1,$GN26*$GM26*'Verwerking Bouwdelen'!DT10,$GN26*$GM26*'Verwerking Bouwdelen'!AB10)</f>
        <v>0</v>
      </c>
      <c r="GX26" s="208">
        <f>IF($GN26=1,$GN26*$GM26*'Verwerking Bouwdelen'!DU10,$GN26*$GM26*'Verwerking Bouwdelen'!AC10)</f>
        <v>0</v>
      </c>
      <c r="GY26" s="208">
        <f>IF($GN26=1,$GN26*$GM26*'Verwerking Bouwdelen'!DV10,$GN26*$GM26*'Verwerking Bouwdelen'!AD10)</f>
        <v>0</v>
      </c>
      <c r="GZ26" s="208">
        <f>IF($GN26=1,$GN26*$GM26*'Verwerking Bouwdelen'!DW10,$GN26*$GM26*'Verwerking Bouwdelen'!AE10)</f>
        <v>0</v>
      </c>
      <c r="HB26" s="89">
        <f t="shared" si="1"/>
        <v>0</v>
      </c>
      <c r="HC26" s="89">
        <f t="shared" si="2"/>
        <v>0</v>
      </c>
      <c r="HD26" s="89">
        <f t="shared" si="3"/>
        <v>0</v>
      </c>
      <c r="HE26" s="89">
        <f t="shared" si="4"/>
        <v>0</v>
      </c>
      <c r="HF26" s="89">
        <f t="shared" si="5"/>
        <v>0</v>
      </c>
      <c r="HG26" s="89">
        <f t="shared" si="6"/>
        <v>0</v>
      </c>
      <c r="HH26" s="89">
        <f t="shared" si="7"/>
        <v>0</v>
      </c>
      <c r="HI26" s="89">
        <f t="shared" si="8"/>
        <v>0</v>
      </c>
      <c r="HJ26" s="89">
        <f t="shared" si="9"/>
        <v>0</v>
      </c>
      <c r="HK26" s="89">
        <f t="shared" si="10"/>
        <v>0</v>
      </c>
      <c r="HL26" s="89">
        <f t="shared" si="11"/>
        <v>0</v>
      </c>
      <c r="HM26" s="89">
        <f t="shared" si="12"/>
        <v>0</v>
      </c>
    </row>
    <row r="27" spans="1:221" x14ac:dyDescent="0.2">
      <c r="A27" s="130">
        <f>IF('Verwerking Bouwdelen'!A11=5,1,0)</f>
        <v>0</v>
      </c>
      <c r="B27" s="208">
        <f>$A27*'Verwerking Bouwdelen'!T11</f>
        <v>0</v>
      </c>
      <c r="C27" s="208">
        <f>$A27*'Verwerking Bouwdelen'!U11</f>
        <v>0</v>
      </c>
      <c r="D27" s="208">
        <f>$A27*'Verwerking Bouwdelen'!V11</f>
        <v>0</v>
      </c>
      <c r="E27" s="208">
        <f>$A27*'Verwerking Bouwdelen'!W11</f>
        <v>0</v>
      </c>
      <c r="F27" s="208">
        <f>$A27*'Verwerking Bouwdelen'!X11</f>
        <v>0</v>
      </c>
      <c r="G27" s="208">
        <f>$A27*'Verwerking Bouwdelen'!Y11</f>
        <v>0</v>
      </c>
      <c r="H27" s="208">
        <f>$A27*'Verwerking Bouwdelen'!Z11</f>
        <v>0</v>
      </c>
      <c r="I27" s="208">
        <f>$A27*'Verwerking Bouwdelen'!AA11</f>
        <v>0</v>
      </c>
      <c r="J27" s="208">
        <f>$A27*'Verwerking Bouwdelen'!AB11</f>
        <v>0</v>
      </c>
      <c r="K27" s="208">
        <f>$A27*'Verwerking Bouwdelen'!AC11</f>
        <v>0</v>
      </c>
      <c r="L27" s="208">
        <f>$A27*'Verwerking Bouwdelen'!AD11</f>
        <v>0</v>
      </c>
      <c r="M27" s="208">
        <f>$A27*'Verwerking Bouwdelen'!AE11</f>
        <v>0</v>
      </c>
      <c r="O27" s="114">
        <f>$A27*'Verwerking Bouwdelen'!AU11</f>
        <v>0</v>
      </c>
      <c r="P27" s="125">
        <f>$A27*'Verwerking Bouwdelen'!AV11</f>
        <v>0</v>
      </c>
      <c r="Q27" s="125">
        <f>$A27*'Verwerking Bouwdelen'!AW11</f>
        <v>0</v>
      </c>
      <c r="R27" s="125">
        <f>$A27*'Verwerking Bouwdelen'!AX11</f>
        <v>0</v>
      </c>
      <c r="S27" s="125">
        <f>$A27*'Verwerking Bouwdelen'!AY11</f>
        <v>0</v>
      </c>
      <c r="T27" s="125">
        <f>$A27*'Verwerking Bouwdelen'!AZ11</f>
        <v>0</v>
      </c>
      <c r="U27" s="125">
        <f>$A27*'Verwerking Bouwdelen'!BA11</f>
        <v>0</v>
      </c>
      <c r="V27" s="125">
        <f>$A27*'Verwerking Bouwdelen'!BB11</f>
        <v>0</v>
      </c>
      <c r="W27" s="125">
        <f>$A27*'Verwerking Bouwdelen'!BC11</f>
        <v>0</v>
      </c>
      <c r="X27" s="125">
        <f>$A27*'Verwerking Bouwdelen'!BD11</f>
        <v>0</v>
      </c>
      <c r="Y27" s="125">
        <f>$A27*'Verwerking Bouwdelen'!BE11</f>
        <v>0</v>
      </c>
      <c r="Z27" s="195">
        <f>$A27*'Verwerking Bouwdelen'!BF11</f>
        <v>0</v>
      </c>
      <c r="AB27" s="125">
        <f>IF(OR('Verwerking Bouwdelen'!C11=3,'Verwerking Bouwdelen'!C11=6),1,0)</f>
        <v>0</v>
      </c>
      <c r="AC27" s="130">
        <f>IF('Verwerking Bouwdelen'!A11=5,1,0)</f>
        <v>0</v>
      </c>
      <c r="AD27" s="208">
        <f>IF($AB27=1,$AC27*'Verwerking Bouwdelen'!DL11,$AC27*'Verwerking Bouwdelen'!T11)</f>
        <v>0</v>
      </c>
      <c r="AE27" s="208">
        <f>IF($AB27=1,$AC27*'Verwerking Bouwdelen'!DM11,$AC27*'Verwerking Bouwdelen'!U11)</f>
        <v>0</v>
      </c>
      <c r="AF27" s="208">
        <f>IF($AB27=1,$AC27*'Verwerking Bouwdelen'!DN11,$AC27*'Verwerking Bouwdelen'!V11)</f>
        <v>0</v>
      </c>
      <c r="AG27" s="208">
        <f>IF($AB27=1,$AC27*'Verwerking Bouwdelen'!DO11,$AC27*'Verwerking Bouwdelen'!W11)</f>
        <v>0</v>
      </c>
      <c r="AH27" s="208">
        <f>IF($AB27=1,$AC27*'Verwerking Bouwdelen'!DP11,$AC27*'Verwerking Bouwdelen'!X11)</f>
        <v>0</v>
      </c>
      <c r="AI27" s="208">
        <f>IF($AB27=1,$AC27*'Verwerking Bouwdelen'!DQ11,$AC27*'Verwerking Bouwdelen'!Y11)</f>
        <v>0</v>
      </c>
      <c r="AJ27" s="208">
        <f>IF($AB27=1,$AC27*'Verwerking Bouwdelen'!DR11,$AC27*'Verwerking Bouwdelen'!Z11)</f>
        <v>0</v>
      </c>
      <c r="AK27" s="208">
        <f>IF($AB27=1,$AC27*'Verwerking Bouwdelen'!DS11,$AC27*'Verwerking Bouwdelen'!AA11)</f>
        <v>0</v>
      </c>
      <c r="AL27" s="208">
        <f>IF($AB27=1,$AC27*'Verwerking Bouwdelen'!DT11,$AC27*'Verwerking Bouwdelen'!AB11)</f>
        <v>0</v>
      </c>
      <c r="AM27" s="208">
        <f>IF($AB27=1,$AC27*'Verwerking Bouwdelen'!DU11,$AC27*'Verwerking Bouwdelen'!AC11)</f>
        <v>0</v>
      </c>
      <c r="AN27" s="208">
        <f>IF($AB27=1,$AC27*'Verwerking Bouwdelen'!DV11,$AC27*'Verwerking Bouwdelen'!AD11)</f>
        <v>0</v>
      </c>
      <c r="AO27" s="208">
        <f>IF($AB27=1,$AC27*'Verwerking Bouwdelen'!DW11,$AC27*'Verwerking Bouwdelen'!AE11)</f>
        <v>0</v>
      </c>
      <c r="AP27" s="10">
        <f>IF(AD27=B27,0,'Verwerking Bouwdelen'!D11*AB27*AC27)</f>
        <v>0</v>
      </c>
      <c r="AQ27" s="10">
        <f>AB27*AC27*'Verwerking Bouwdelen'!GH11</f>
        <v>0</v>
      </c>
      <c r="AR27" s="10"/>
      <c r="AS27" s="248"/>
      <c r="AT27" s="125">
        <f>IF('Verwerking Bouwdelen'!C11=4,1,0)</f>
        <v>0</v>
      </c>
      <c r="AU27" s="130">
        <f>IF('Verwerking Bouwdelen'!A11=5,1,0)</f>
        <v>0</v>
      </c>
      <c r="AV27" s="208">
        <f>IF($AT27=1,$AU27*'Verwerking Bouwdelen'!DL11,$AU27*'Verwerking Bouwdelen'!T11)</f>
        <v>0</v>
      </c>
      <c r="AW27" s="208">
        <f>IF($AT27=1,$AU27*'Verwerking Bouwdelen'!DM11,$AU27*'Verwerking Bouwdelen'!U11)</f>
        <v>0</v>
      </c>
      <c r="AX27" s="208">
        <f>IF($AT27=1,$AU27*'Verwerking Bouwdelen'!DN11,$AU27*'Verwerking Bouwdelen'!V11)</f>
        <v>0</v>
      </c>
      <c r="AY27" s="208">
        <f>IF($AT27=1,$AU27*'Verwerking Bouwdelen'!DO11,$AU27*'Verwerking Bouwdelen'!W11)</f>
        <v>0</v>
      </c>
      <c r="AZ27" s="208">
        <f>IF($AT27=1,$AU27*'Verwerking Bouwdelen'!DP11,$AU27*'Verwerking Bouwdelen'!X11)</f>
        <v>0</v>
      </c>
      <c r="BA27" s="208">
        <f>IF($AT27=1,$AU27*'Verwerking Bouwdelen'!DQ11,$AU27*'Verwerking Bouwdelen'!Y11)</f>
        <v>0</v>
      </c>
      <c r="BB27" s="208">
        <f>IF($AT27=1,$AU27*'Verwerking Bouwdelen'!DR11,$AU27*'Verwerking Bouwdelen'!Z11)</f>
        <v>0</v>
      </c>
      <c r="BC27" s="208">
        <f>IF($AT27=1,$AU27*'Verwerking Bouwdelen'!DS11,$AU27*'Verwerking Bouwdelen'!AA11)</f>
        <v>0</v>
      </c>
      <c r="BD27" s="208">
        <f>IF($AT27=1,$AU27*'Verwerking Bouwdelen'!DT11,$AU27*'Verwerking Bouwdelen'!AB11)</f>
        <v>0</v>
      </c>
      <c r="BE27" s="208">
        <f>IF($AT27=1,$AU27*'Verwerking Bouwdelen'!DU11,$AU27*'Verwerking Bouwdelen'!AC11)</f>
        <v>0</v>
      </c>
      <c r="BF27" s="208">
        <f>IF($AT27=1,$AU27*'Verwerking Bouwdelen'!DV11,$AU27*'Verwerking Bouwdelen'!AD11)</f>
        <v>0</v>
      </c>
      <c r="BG27" s="208">
        <f>IF($AT27=1,$AU27*'Verwerking Bouwdelen'!DW11,$AU27*'Verwerking Bouwdelen'!AE11)</f>
        <v>0</v>
      </c>
      <c r="BH27" s="10">
        <f>IF(AV27=B27,0,'Verwerking Bouwdelen'!D11*AT27*AU27)</f>
        <v>0</v>
      </c>
      <c r="BI27" s="10">
        <f>AT27*AU27*'Verwerking Bouwdelen'!GH11</f>
        <v>0</v>
      </c>
      <c r="BJ27" s="10"/>
      <c r="BK27" s="10"/>
      <c r="BM27" s="125">
        <f>IF('Verwerking Bouwdelen'!C11=5,1,0)</f>
        <v>0</v>
      </c>
      <c r="BN27" s="130">
        <f>IF('Verwerking Bouwdelen'!A11=5,1,0)</f>
        <v>0</v>
      </c>
      <c r="BO27" s="208">
        <f>IF($BM27=1,$BN27*'Verwerking Bouwdelen'!DL11,$BN27*'Verwerking Bouwdelen'!T11)</f>
        <v>0</v>
      </c>
      <c r="BP27" s="208">
        <f>IF($BM27=1,$BN27*'Verwerking Bouwdelen'!DM11,$BN27*'Verwerking Bouwdelen'!U11)</f>
        <v>0</v>
      </c>
      <c r="BQ27" s="208">
        <f>IF($BM27=1,$BN27*'Verwerking Bouwdelen'!DN11,$BN27*'Verwerking Bouwdelen'!V11)</f>
        <v>0</v>
      </c>
      <c r="BR27" s="208">
        <f>IF($BM27=1,$BN27*'Verwerking Bouwdelen'!DO11,$BN27*'Verwerking Bouwdelen'!W11)</f>
        <v>0</v>
      </c>
      <c r="BS27" s="208">
        <f>IF($BM27=1,$BN27*'Verwerking Bouwdelen'!DP11,$BN27*'Verwerking Bouwdelen'!X11)</f>
        <v>0</v>
      </c>
      <c r="BT27" s="208">
        <f>IF($BM27=1,$BN27*'Verwerking Bouwdelen'!DQ11,$BN27*'Verwerking Bouwdelen'!Y11)</f>
        <v>0</v>
      </c>
      <c r="BU27" s="208">
        <f>IF($BM27=1,$BN27*'Verwerking Bouwdelen'!DR11,$BN27*'Verwerking Bouwdelen'!Z11)</f>
        <v>0</v>
      </c>
      <c r="BV27" s="208">
        <f>IF($BM27=1,$BN27*'Verwerking Bouwdelen'!DS11,$BN27*'Verwerking Bouwdelen'!AA11)</f>
        <v>0</v>
      </c>
      <c r="BW27" s="208">
        <f>IF($BM27=1,$BN27*'Verwerking Bouwdelen'!DT11,$BN27*'Verwerking Bouwdelen'!AB11)</f>
        <v>0</v>
      </c>
      <c r="BX27" s="208">
        <f>IF($BM27=1,$BN27*'Verwerking Bouwdelen'!DU11,$BN27*'Verwerking Bouwdelen'!AC11)</f>
        <v>0</v>
      </c>
      <c r="BY27" s="208">
        <f>IF($BM27=1,$BN27*'Verwerking Bouwdelen'!DV11,$BN27*'Verwerking Bouwdelen'!AD11)</f>
        <v>0</v>
      </c>
      <c r="BZ27" s="208">
        <f>IF($BM27=1,$BN27*'Verwerking Bouwdelen'!DW11,$BN27*'Verwerking Bouwdelen'!AE11)</f>
        <v>0</v>
      </c>
      <c r="CA27" s="10">
        <f>IF(BO27=$B27,0,'Verwerking Bouwdelen'!$D11*BM27*BN27)</f>
        <v>0</v>
      </c>
      <c r="CB27" s="10">
        <f>BM27*BN27*'Verwerking Bouwdelen'!GH11</f>
        <v>0</v>
      </c>
      <c r="CC27" s="10"/>
      <c r="CD27" s="248"/>
      <c r="CE27" s="125">
        <f>IF('Verwerking Bouwdelen'!C11=2,1,0)</f>
        <v>0</v>
      </c>
      <c r="CF27" s="130">
        <f>IF('Verwerking Bouwdelen'!A11=5,1,0)</f>
        <v>0</v>
      </c>
      <c r="CG27" s="208">
        <f>IF($CE27=1,$CF27*'Verwerking Bouwdelen'!DL11,$CF27*'Verwerking Bouwdelen'!T11)</f>
        <v>0</v>
      </c>
      <c r="CH27" s="208">
        <f>IF($CE27=1,$CF27*'Verwerking Bouwdelen'!DM11,$CF27*'Verwerking Bouwdelen'!U11)</f>
        <v>0</v>
      </c>
      <c r="CI27" s="208">
        <f>IF($CE27=1,$CF27*'Verwerking Bouwdelen'!DN11,$CF27*'Verwerking Bouwdelen'!V11)</f>
        <v>0</v>
      </c>
      <c r="CJ27" s="208">
        <f>IF($CE27=1,$CF27*'Verwerking Bouwdelen'!DO11,$CF27*'Verwerking Bouwdelen'!W11)</f>
        <v>0</v>
      </c>
      <c r="CK27" s="208">
        <f>IF($CE27=1,$CF27*'Verwerking Bouwdelen'!DP11,$CF27*'Verwerking Bouwdelen'!X11)</f>
        <v>0</v>
      </c>
      <c r="CL27" s="208">
        <f>IF($CE27=1,$CF27*'Verwerking Bouwdelen'!DQ11,$CF27*'Verwerking Bouwdelen'!Y11)</f>
        <v>0</v>
      </c>
      <c r="CM27" s="208">
        <f>IF($CE27=1,$CF27*'Verwerking Bouwdelen'!DR11,$CF27*'Verwerking Bouwdelen'!Z11)</f>
        <v>0</v>
      </c>
      <c r="CN27" s="208">
        <f>IF($CE27=1,$CF27*'Verwerking Bouwdelen'!DS11,$CF27*'Verwerking Bouwdelen'!AA11)</f>
        <v>0</v>
      </c>
      <c r="CO27" s="208">
        <f>IF($CE27=1,$CF27*'Verwerking Bouwdelen'!DT11,$CF27*'Verwerking Bouwdelen'!AB11)</f>
        <v>0</v>
      </c>
      <c r="CP27" s="208">
        <f>IF($CE27=1,$CF27*'Verwerking Bouwdelen'!DU11,$CF27*'Verwerking Bouwdelen'!AC11)</f>
        <v>0</v>
      </c>
      <c r="CQ27" s="208">
        <f>IF($CE27=1,$CF27*'Verwerking Bouwdelen'!DV11,$CF27*'Verwerking Bouwdelen'!AD11)</f>
        <v>0</v>
      </c>
      <c r="CR27" s="208">
        <f>IF($CE27=1,$CF27*'Verwerking Bouwdelen'!DW11,$CF27*'Verwerking Bouwdelen'!AE11)</f>
        <v>0</v>
      </c>
      <c r="CS27" s="10">
        <f>IF(CG27=$B27,0,('Verwerking Bouwdelen'!$D11-'Verwerking Bouwdelen'!G11)*CE27*CF27)</f>
        <v>0</v>
      </c>
      <c r="CT27" s="261">
        <f>CE27*CF27*'Verwerking Bouwdelen'!$GH$3</f>
        <v>0</v>
      </c>
      <c r="CU27" s="261">
        <f>CE27*CF27*'Verwerking Bouwdelen'!GI11</f>
        <v>0</v>
      </c>
      <c r="CW27" s="209">
        <f>$AC27*'Verwerking Bouwdelen'!EE11</f>
        <v>0</v>
      </c>
      <c r="CX27" s="209">
        <f>$AC27*'Verwerking Bouwdelen'!EF11</f>
        <v>0</v>
      </c>
      <c r="CY27" s="209">
        <f>$AC27*'Verwerking Bouwdelen'!EG11</f>
        <v>0</v>
      </c>
      <c r="CZ27" s="209">
        <f>$AC27*'Verwerking Bouwdelen'!EH11</f>
        <v>0</v>
      </c>
      <c r="DA27" s="209">
        <f>$AC27*'Verwerking Bouwdelen'!EI11</f>
        <v>0</v>
      </c>
      <c r="DB27" s="209">
        <f>$AC27*'Verwerking Bouwdelen'!EJ11</f>
        <v>0</v>
      </c>
      <c r="DC27" s="209">
        <f>$AC27*'Verwerking Bouwdelen'!EK11</f>
        <v>0</v>
      </c>
      <c r="DD27" s="209">
        <f>$AC27*'Verwerking Bouwdelen'!EL11</f>
        <v>0</v>
      </c>
      <c r="DE27" s="209">
        <f>$AC27*'Verwerking Bouwdelen'!EM11</f>
        <v>0</v>
      </c>
      <c r="DF27" s="209">
        <f>$AC27*'Verwerking Bouwdelen'!EN11</f>
        <v>0</v>
      </c>
      <c r="DG27" s="209">
        <f>$AC27*'Verwerking Bouwdelen'!EO11</f>
        <v>0</v>
      </c>
      <c r="DH27" s="209">
        <f>$AC27*'Verwerking Bouwdelen'!EP11</f>
        <v>0</v>
      </c>
      <c r="DI27" s="10">
        <f>IF(CW27=$O27,0,'Verwerking Bouwdelen'!G11)</f>
        <v>0</v>
      </c>
      <c r="DJ27" s="259">
        <f>'Verwerking Bouwdelen'!GK11*CF27</f>
        <v>0</v>
      </c>
      <c r="DK27" s="259">
        <f>'Verwerking Bouwdelen'!GL11*CF27</f>
        <v>0</v>
      </c>
      <c r="DL27" s="125"/>
      <c r="FC27" s="89">
        <f>IF('Verwerken ventilatie'!AJ19=5,1,0)</f>
        <v>0</v>
      </c>
      <c r="FD27" s="89">
        <f>FC27*'Verwerken ventilatie'!BT19</f>
        <v>0</v>
      </c>
      <c r="FE27" s="89">
        <f>FC27*'Verwerken ventilatie'!BU19</f>
        <v>0</v>
      </c>
      <c r="FZ27" s="89">
        <f>IF('Verwerken verlichting'!B23=5,1,0)</f>
        <v>0</v>
      </c>
      <c r="GA27" s="89">
        <f>$FZ27*'Verwerken verlichting'!BX23</f>
        <v>0</v>
      </c>
      <c r="GB27" s="89">
        <f>$FZ27*'Verwerken verlichting'!BY23</f>
        <v>0</v>
      </c>
      <c r="GC27" s="89">
        <f>$FZ27*'Verwerken verlichting'!BZ23</f>
        <v>0</v>
      </c>
      <c r="GD27" s="89">
        <f>$FZ27*'Verwerken verlichting'!CA23</f>
        <v>0</v>
      </c>
      <c r="GE27" s="89">
        <f>$FZ27*'Verwerken verlichting'!CB23</f>
        <v>0</v>
      </c>
      <c r="GF27" s="89">
        <f>$FZ27*'Verwerken verlichting'!CC23</f>
        <v>0</v>
      </c>
      <c r="GG27" s="89">
        <f>FZ27*'Invoer verlichting'!N22</f>
        <v>0</v>
      </c>
      <c r="GH27" s="89">
        <f>FZ27*'Verwerken verlichting'!AH23</f>
        <v>0</v>
      </c>
      <c r="GI27" s="89">
        <f>FZ27*'Verwerken verlichting'!AG23</f>
        <v>0</v>
      </c>
      <c r="GJ27" s="89">
        <f>FZ27*'Verwerken verlichting'!CE23</f>
        <v>0</v>
      </c>
      <c r="GM27" s="89">
        <f t="shared" si="13"/>
        <v>0</v>
      </c>
      <c r="GN27" s="89">
        <f t="shared" si="14"/>
        <v>0</v>
      </c>
      <c r="GO27" s="208">
        <f>IF($GN27=1,$GN27*$GM27*'Verwerking Bouwdelen'!DL11,$GN27*$GM27*'Verwerking Bouwdelen'!T11)</f>
        <v>0</v>
      </c>
      <c r="GP27" s="208">
        <f>IF($GN27=1,$GN27*$GM27*'Verwerking Bouwdelen'!DM11,$GN27*$GM27*'Verwerking Bouwdelen'!U11)</f>
        <v>0</v>
      </c>
      <c r="GQ27" s="208">
        <f>IF($GN27=1,$GN27*$GM27*'Verwerking Bouwdelen'!DN11,$GN27*$GM27*'Verwerking Bouwdelen'!V11)</f>
        <v>0</v>
      </c>
      <c r="GR27" s="208">
        <f>IF($GN27=1,$GN27*$GM27*'Verwerking Bouwdelen'!DO11,$GN27*$GM27*'Verwerking Bouwdelen'!W11)</f>
        <v>0</v>
      </c>
      <c r="GS27" s="208">
        <f>IF($GN27=1,$GN27*$GM27*'Verwerking Bouwdelen'!DP11,$GN27*$GM27*'Verwerking Bouwdelen'!X11)</f>
        <v>0</v>
      </c>
      <c r="GT27" s="208">
        <f>IF($GN27=1,$GN27*$GM27*'Verwerking Bouwdelen'!DQ11,$GN27*$GM27*'Verwerking Bouwdelen'!Y11)</f>
        <v>0</v>
      </c>
      <c r="GU27" s="208">
        <f>IF($GN27=1,$GN27*$GM27*'Verwerking Bouwdelen'!DR11,$GN27*$GM27*'Verwerking Bouwdelen'!Z11)</f>
        <v>0</v>
      </c>
      <c r="GV27" s="208">
        <f>IF($GN27=1,$GN27*$GM27*'Verwerking Bouwdelen'!DS11,$GN27*$GM27*'Verwerking Bouwdelen'!AA11)</f>
        <v>0</v>
      </c>
      <c r="GW27" s="208">
        <f>IF($GN27=1,$GN27*$GM27*'Verwerking Bouwdelen'!DT11,$GN27*$GM27*'Verwerking Bouwdelen'!AB11)</f>
        <v>0</v>
      </c>
      <c r="GX27" s="208">
        <f>IF($GN27=1,$GN27*$GM27*'Verwerking Bouwdelen'!DU11,$GN27*$GM27*'Verwerking Bouwdelen'!AC11)</f>
        <v>0</v>
      </c>
      <c r="GY27" s="208">
        <f>IF($GN27=1,$GN27*$GM27*'Verwerking Bouwdelen'!DV11,$GN27*$GM27*'Verwerking Bouwdelen'!AD11)</f>
        <v>0</v>
      </c>
      <c r="GZ27" s="208">
        <f>IF($GN27=1,$GN27*$GM27*'Verwerking Bouwdelen'!DW11,$GN27*$GM27*'Verwerking Bouwdelen'!AE11)</f>
        <v>0</v>
      </c>
      <c r="HB27" s="89">
        <f t="shared" si="1"/>
        <v>0</v>
      </c>
      <c r="HC27" s="89">
        <f t="shared" si="2"/>
        <v>0</v>
      </c>
      <c r="HD27" s="89">
        <f t="shared" si="3"/>
        <v>0</v>
      </c>
      <c r="HE27" s="89">
        <f t="shared" si="4"/>
        <v>0</v>
      </c>
      <c r="HF27" s="89">
        <f t="shared" si="5"/>
        <v>0</v>
      </c>
      <c r="HG27" s="89">
        <f t="shared" si="6"/>
        <v>0</v>
      </c>
      <c r="HH27" s="89">
        <f t="shared" si="7"/>
        <v>0</v>
      </c>
      <c r="HI27" s="89">
        <f t="shared" si="8"/>
        <v>0</v>
      </c>
      <c r="HJ27" s="89">
        <f t="shared" si="9"/>
        <v>0</v>
      </c>
      <c r="HK27" s="89">
        <f t="shared" si="10"/>
        <v>0</v>
      </c>
      <c r="HL27" s="89">
        <f t="shared" si="11"/>
        <v>0</v>
      </c>
      <c r="HM27" s="89">
        <f t="shared" si="12"/>
        <v>0</v>
      </c>
    </row>
    <row r="28" spans="1:221" x14ac:dyDescent="0.2">
      <c r="A28" s="130">
        <f>IF('Verwerking Bouwdelen'!A12=5,1,0)</f>
        <v>0</v>
      </c>
      <c r="B28" s="208">
        <f>$A28*'Verwerking Bouwdelen'!T12</f>
        <v>0</v>
      </c>
      <c r="C28" s="208">
        <f>$A28*'Verwerking Bouwdelen'!U12</f>
        <v>0</v>
      </c>
      <c r="D28" s="208">
        <f>$A28*'Verwerking Bouwdelen'!V12</f>
        <v>0</v>
      </c>
      <c r="E28" s="208">
        <f>$A28*'Verwerking Bouwdelen'!W12</f>
        <v>0</v>
      </c>
      <c r="F28" s="208">
        <f>$A28*'Verwerking Bouwdelen'!X12</f>
        <v>0</v>
      </c>
      <c r="G28" s="208">
        <f>$A28*'Verwerking Bouwdelen'!Y12</f>
        <v>0</v>
      </c>
      <c r="H28" s="208">
        <f>$A28*'Verwerking Bouwdelen'!Z12</f>
        <v>0</v>
      </c>
      <c r="I28" s="208">
        <f>$A28*'Verwerking Bouwdelen'!AA12</f>
        <v>0</v>
      </c>
      <c r="J28" s="208">
        <f>$A28*'Verwerking Bouwdelen'!AB12</f>
        <v>0</v>
      </c>
      <c r="K28" s="208">
        <f>$A28*'Verwerking Bouwdelen'!AC12</f>
        <v>0</v>
      </c>
      <c r="L28" s="208">
        <f>$A28*'Verwerking Bouwdelen'!AD12</f>
        <v>0</v>
      </c>
      <c r="M28" s="208">
        <f>$A28*'Verwerking Bouwdelen'!AE12</f>
        <v>0</v>
      </c>
      <c r="O28" s="114">
        <f>$A28*'Verwerking Bouwdelen'!AU12</f>
        <v>0</v>
      </c>
      <c r="P28" s="125">
        <f>$A28*'Verwerking Bouwdelen'!AV12</f>
        <v>0</v>
      </c>
      <c r="Q28" s="125">
        <f>$A28*'Verwerking Bouwdelen'!AW12</f>
        <v>0</v>
      </c>
      <c r="R28" s="125">
        <f>$A28*'Verwerking Bouwdelen'!AX12</f>
        <v>0</v>
      </c>
      <c r="S28" s="125">
        <f>$A28*'Verwerking Bouwdelen'!AY12</f>
        <v>0</v>
      </c>
      <c r="T28" s="125">
        <f>$A28*'Verwerking Bouwdelen'!AZ12</f>
        <v>0</v>
      </c>
      <c r="U28" s="125">
        <f>$A28*'Verwerking Bouwdelen'!BA12</f>
        <v>0</v>
      </c>
      <c r="V28" s="125">
        <f>$A28*'Verwerking Bouwdelen'!BB12</f>
        <v>0</v>
      </c>
      <c r="W28" s="125">
        <f>$A28*'Verwerking Bouwdelen'!BC12</f>
        <v>0</v>
      </c>
      <c r="X28" s="125">
        <f>$A28*'Verwerking Bouwdelen'!BD12</f>
        <v>0</v>
      </c>
      <c r="Y28" s="125">
        <f>$A28*'Verwerking Bouwdelen'!BE12</f>
        <v>0</v>
      </c>
      <c r="Z28" s="195">
        <f>$A28*'Verwerking Bouwdelen'!BF12</f>
        <v>0</v>
      </c>
      <c r="AB28" s="125">
        <f>IF(OR('Verwerking Bouwdelen'!C12=3,'Verwerking Bouwdelen'!C12=6),1,0)</f>
        <v>0</v>
      </c>
      <c r="AC28" s="130">
        <f>IF('Verwerking Bouwdelen'!A12=5,1,0)</f>
        <v>0</v>
      </c>
      <c r="AD28" s="208">
        <f>IF($AB28=1,$AC28*'Verwerking Bouwdelen'!DL12,$AC28*'Verwerking Bouwdelen'!T12)</f>
        <v>0</v>
      </c>
      <c r="AE28" s="208">
        <f>IF($AB28=1,$AC28*'Verwerking Bouwdelen'!DM12,$AC28*'Verwerking Bouwdelen'!U12)</f>
        <v>0</v>
      </c>
      <c r="AF28" s="208">
        <f>IF($AB28=1,$AC28*'Verwerking Bouwdelen'!DN12,$AC28*'Verwerking Bouwdelen'!V12)</f>
        <v>0</v>
      </c>
      <c r="AG28" s="208">
        <f>IF($AB28=1,$AC28*'Verwerking Bouwdelen'!DO12,$AC28*'Verwerking Bouwdelen'!W12)</f>
        <v>0</v>
      </c>
      <c r="AH28" s="208">
        <f>IF($AB28=1,$AC28*'Verwerking Bouwdelen'!DP12,$AC28*'Verwerking Bouwdelen'!X12)</f>
        <v>0</v>
      </c>
      <c r="AI28" s="208">
        <f>IF($AB28=1,$AC28*'Verwerking Bouwdelen'!DQ12,$AC28*'Verwerking Bouwdelen'!Y12)</f>
        <v>0</v>
      </c>
      <c r="AJ28" s="208">
        <f>IF($AB28=1,$AC28*'Verwerking Bouwdelen'!DR12,$AC28*'Verwerking Bouwdelen'!Z12)</f>
        <v>0</v>
      </c>
      <c r="AK28" s="208">
        <f>IF($AB28=1,$AC28*'Verwerking Bouwdelen'!DS12,$AC28*'Verwerking Bouwdelen'!AA12)</f>
        <v>0</v>
      </c>
      <c r="AL28" s="208">
        <f>IF($AB28=1,$AC28*'Verwerking Bouwdelen'!DT12,$AC28*'Verwerking Bouwdelen'!AB12)</f>
        <v>0</v>
      </c>
      <c r="AM28" s="208">
        <f>IF($AB28=1,$AC28*'Verwerking Bouwdelen'!DU12,$AC28*'Verwerking Bouwdelen'!AC12)</f>
        <v>0</v>
      </c>
      <c r="AN28" s="208">
        <f>IF($AB28=1,$AC28*'Verwerking Bouwdelen'!DV12,$AC28*'Verwerking Bouwdelen'!AD12)</f>
        <v>0</v>
      </c>
      <c r="AO28" s="208">
        <f>IF($AB28=1,$AC28*'Verwerking Bouwdelen'!DW12,$AC28*'Verwerking Bouwdelen'!AE12)</f>
        <v>0</v>
      </c>
      <c r="AP28" s="10">
        <f>IF(AD28=B28,0,'Verwerking Bouwdelen'!D12*AB28*AC28)</f>
        <v>0</v>
      </c>
      <c r="AQ28" s="10">
        <f>AB28*AC28*'Verwerking Bouwdelen'!GH12</f>
        <v>0</v>
      </c>
      <c r="AR28" s="10"/>
      <c r="AS28" s="248"/>
      <c r="AT28" s="125">
        <f>IF('Verwerking Bouwdelen'!C12=4,1,0)</f>
        <v>0</v>
      </c>
      <c r="AU28" s="130">
        <f>IF('Verwerking Bouwdelen'!A12=5,1,0)</f>
        <v>0</v>
      </c>
      <c r="AV28" s="208">
        <f>IF($AT28=1,$AU28*'Verwerking Bouwdelen'!DL12,$AU28*'Verwerking Bouwdelen'!T12)</f>
        <v>0</v>
      </c>
      <c r="AW28" s="208">
        <f>IF($AT28=1,$AU28*'Verwerking Bouwdelen'!DM12,$AU28*'Verwerking Bouwdelen'!U12)</f>
        <v>0</v>
      </c>
      <c r="AX28" s="208">
        <f>IF($AT28=1,$AU28*'Verwerking Bouwdelen'!DN12,$AU28*'Verwerking Bouwdelen'!V12)</f>
        <v>0</v>
      </c>
      <c r="AY28" s="208">
        <f>IF($AT28=1,$AU28*'Verwerking Bouwdelen'!DO12,$AU28*'Verwerking Bouwdelen'!W12)</f>
        <v>0</v>
      </c>
      <c r="AZ28" s="208">
        <f>IF($AT28=1,$AU28*'Verwerking Bouwdelen'!DP12,$AU28*'Verwerking Bouwdelen'!X12)</f>
        <v>0</v>
      </c>
      <c r="BA28" s="208">
        <f>IF($AT28=1,$AU28*'Verwerking Bouwdelen'!DQ12,$AU28*'Verwerking Bouwdelen'!Y12)</f>
        <v>0</v>
      </c>
      <c r="BB28" s="208">
        <f>IF($AT28=1,$AU28*'Verwerking Bouwdelen'!DR12,$AU28*'Verwerking Bouwdelen'!Z12)</f>
        <v>0</v>
      </c>
      <c r="BC28" s="208">
        <f>IF($AT28=1,$AU28*'Verwerking Bouwdelen'!DS12,$AU28*'Verwerking Bouwdelen'!AA12)</f>
        <v>0</v>
      </c>
      <c r="BD28" s="208">
        <f>IF($AT28=1,$AU28*'Verwerking Bouwdelen'!DT12,$AU28*'Verwerking Bouwdelen'!AB12)</f>
        <v>0</v>
      </c>
      <c r="BE28" s="208">
        <f>IF($AT28=1,$AU28*'Verwerking Bouwdelen'!DU12,$AU28*'Verwerking Bouwdelen'!AC12)</f>
        <v>0</v>
      </c>
      <c r="BF28" s="208">
        <f>IF($AT28=1,$AU28*'Verwerking Bouwdelen'!DV12,$AU28*'Verwerking Bouwdelen'!AD12)</f>
        <v>0</v>
      </c>
      <c r="BG28" s="208">
        <f>IF($AT28=1,$AU28*'Verwerking Bouwdelen'!DW12,$AU28*'Verwerking Bouwdelen'!AE12)</f>
        <v>0</v>
      </c>
      <c r="BH28" s="10">
        <f>IF(AV28=B28,0,'Verwerking Bouwdelen'!D12*AT28*AU28)</f>
        <v>0</v>
      </c>
      <c r="BI28" s="10">
        <f>AT28*AU28*'Verwerking Bouwdelen'!GH12</f>
        <v>0</v>
      </c>
      <c r="BJ28" s="10"/>
      <c r="BK28" s="10"/>
      <c r="BM28" s="125">
        <f>IF('Verwerking Bouwdelen'!C12=5,1,0)</f>
        <v>0</v>
      </c>
      <c r="BN28" s="130">
        <f>IF('Verwerking Bouwdelen'!A12=5,1,0)</f>
        <v>0</v>
      </c>
      <c r="BO28" s="208">
        <f>IF($BM28=1,$BN28*'Verwerking Bouwdelen'!DL12,$BN28*'Verwerking Bouwdelen'!T12)</f>
        <v>0</v>
      </c>
      <c r="BP28" s="208">
        <f>IF($BM28=1,$BN28*'Verwerking Bouwdelen'!DM12,$BN28*'Verwerking Bouwdelen'!U12)</f>
        <v>0</v>
      </c>
      <c r="BQ28" s="208">
        <f>IF($BM28=1,$BN28*'Verwerking Bouwdelen'!DN12,$BN28*'Verwerking Bouwdelen'!V12)</f>
        <v>0</v>
      </c>
      <c r="BR28" s="208">
        <f>IF($BM28=1,$BN28*'Verwerking Bouwdelen'!DO12,$BN28*'Verwerking Bouwdelen'!W12)</f>
        <v>0</v>
      </c>
      <c r="BS28" s="208">
        <f>IF($BM28=1,$BN28*'Verwerking Bouwdelen'!DP12,$BN28*'Verwerking Bouwdelen'!X12)</f>
        <v>0</v>
      </c>
      <c r="BT28" s="208">
        <f>IF($BM28=1,$BN28*'Verwerking Bouwdelen'!DQ12,$BN28*'Verwerking Bouwdelen'!Y12)</f>
        <v>0</v>
      </c>
      <c r="BU28" s="208">
        <f>IF($BM28=1,$BN28*'Verwerking Bouwdelen'!DR12,$BN28*'Verwerking Bouwdelen'!Z12)</f>
        <v>0</v>
      </c>
      <c r="BV28" s="208">
        <f>IF($BM28=1,$BN28*'Verwerking Bouwdelen'!DS12,$BN28*'Verwerking Bouwdelen'!AA12)</f>
        <v>0</v>
      </c>
      <c r="BW28" s="208">
        <f>IF($BM28=1,$BN28*'Verwerking Bouwdelen'!DT12,$BN28*'Verwerking Bouwdelen'!AB12)</f>
        <v>0</v>
      </c>
      <c r="BX28" s="208">
        <f>IF($BM28=1,$BN28*'Verwerking Bouwdelen'!DU12,$BN28*'Verwerking Bouwdelen'!AC12)</f>
        <v>0</v>
      </c>
      <c r="BY28" s="208">
        <f>IF($BM28=1,$BN28*'Verwerking Bouwdelen'!DV12,$BN28*'Verwerking Bouwdelen'!AD12)</f>
        <v>0</v>
      </c>
      <c r="BZ28" s="208">
        <f>IF($BM28=1,$BN28*'Verwerking Bouwdelen'!DW12,$BN28*'Verwerking Bouwdelen'!AE12)</f>
        <v>0</v>
      </c>
      <c r="CA28" s="10">
        <f>IF(BO28=$B28,0,'Verwerking Bouwdelen'!$D12*BM28*BN28)</f>
        <v>0</v>
      </c>
      <c r="CB28" s="10">
        <f>BM28*BN28*'Verwerking Bouwdelen'!GH12</f>
        <v>0</v>
      </c>
      <c r="CC28" s="10"/>
      <c r="CD28" s="248"/>
      <c r="CE28" s="125">
        <f>IF('Verwerking Bouwdelen'!C12=2,1,0)</f>
        <v>0</v>
      </c>
      <c r="CF28" s="130">
        <f>IF('Verwerking Bouwdelen'!A12=5,1,0)</f>
        <v>0</v>
      </c>
      <c r="CG28" s="208">
        <f>IF($CE28=1,$CF28*'Verwerking Bouwdelen'!DL12,$CF28*'Verwerking Bouwdelen'!T12)</f>
        <v>0</v>
      </c>
      <c r="CH28" s="208">
        <f>IF($CE28=1,$CF28*'Verwerking Bouwdelen'!DM12,$CF28*'Verwerking Bouwdelen'!U12)</f>
        <v>0</v>
      </c>
      <c r="CI28" s="208">
        <f>IF($CE28=1,$CF28*'Verwerking Bouwdelen'!DN12,$CF28*'Verwerking Bouwdelen'!V12)</f>
        <v>0</v>
      </c>
      <c r="CJ28" s="208">
        <f>IF($CE28=1,$CF28*'Verwerking Bouwdelen'!DO12,$CF28*'Verwerking Bouwdelen'!W12)</f>
        <v>0</v>
      </c>
      <c r="CK28" s="208">
        <f>IF($CE28=1,$CF28*'Verwerking Bouwdelen'!DP12,$CF28*'Verwerking Bouwdelen'!X12)</f>
        <v>0</v>
      </c>
      <c r="CL28" s="208">
        <f>IF($CE28=1,$CF28*'Verwerking Bouwdelen'!DQ12,$CF28*'Verwerking Bouwdelen'!Y12)</f>
        <v>0</v>
      </c>
      <c r="CM28" s="208">
        <f>IF($CE28=1,$CF28*'Verwerking Bouwdelen'!DR12,$CF28*'Verwerking Bouwdelen'!Z12)</f>
        <v>0</v>
      </c>
      <c r="CN28" s="208">
        <f>IF($CE28=1,$CF28*'Verwerking Bouwdelen'!DS12,$CF28*'Verwerking Bouwdelen'!AA12)</f>
        <v>0</v>
      </c>
      <c r="CO28" s="208">
        <f>IF($CE28=1,$CF28*'Verwerking Bouwdelen'!DT12,$CF28*'Verwerking Bouwdelen'!AB12)</f>
        <v>0</v>
      </c>
      <c r="CP28" s="208">
        <f>IF($CE28=1,$CF28*'Verwerking Bouwdelen'!DU12,$CF28*'Verwerking Bouwdelen'!AC12)</f>
        <v>0</v>
      </c>
      <c r="CQ28" s="208">
        <f>IF($CE28=1,$CF28*'Verwerking Bouwdelen'!DV12,$CF28*'Verwerking Bouwdelen'!AD12)</f>
        <v>0</v>
      </c>
      <c r="CR28" s="208">
        <f>IF($CE28=1,$CF28*'Verwerking Bouwdelen'!DW12,$CF28*'Verwerking Bouwdelen'!AE12)</f>
        <v>0</v>
      </c>
      <c r="CS28" s="10">
        <f>IF(CG28=$B28,0,('Verwerking Bouwdelen'!$D12-'Verwerking Bouwdelen'!G12)*CE28*CF28)</f>
        <v>0</v>
      </c>
      <c r="CT28" s="261">
        <f>CE28*CF28*'Verwerking Bouwdelen'!$GH$3</f>
        <v>0</v>
      </c>
      <c r="CU28" s="261">
        <f>CE28*CF28*'Verwerking Bouwdelen'!GI12</f>
        <v>0</v>
      </c>
      <c r="CW28" s="209">
        <f>$AC28*'Verwerking Bouwdelen'!EE12</f>
        <v>0</v>
      </c>
      <c r="CX28" s="209">
        <f>$AC28*'Verwerking Bouwdelen'!EF12</f>
        <v>0</v>
      </c>
      <c r="CY28" s="209">
        <f>$AC28*'Verwerking Bouwdelen'!EG12</f>
        <v>0</v>
      </c>
      <c r="CZ28" s="209">
        <f>$AC28*'Verwerking Bouwdelen'!EH12</f>
        <v>0</v>
      </c>
      <c r="DA28" s="209">
        <f>$AC28*'Verwerking Bouwdelen'!EI12</f>
        <v>0</v>
      </c>
      <c r="DB28" s="209">
        <f>$AC28*'Verwerking Bouwdelen'!EJ12</f>
        <v>0</v>
      </c>
      <c r="DC28" s="209">
        <f>$AC28*'Verwerking Bouwdelen'!EK12</f>
        <v>0</v>
      </c>
      <c r="DD28" s="209">
        <f>$AC28*'Verwerking Bouwdelen'!EL12</f>
        <v>0</v>
      </c>
      <c r="DE28" s="209">
        <f>$AC28*'Verwerking Bouwdelen'!EM12</f>
        <v>0</v>
      </c>
      <c r="DF28" s="209">
        <f>$AC28*'Verwerking Bouwdelen'!EN12</f>
        <v>0</v>
      </c>
      <c r="DG28" s="209">
        <f>$AC28*'Verwerking Bouwdelen'!EO12</f>
        <v>0</v>
      </c>
      <c r="DH28" s="209">
        <f>$AC28*'Verwerking Bouwdelen'!EP12</f>
        <v>0</v>
      </c>
      <c r="DI28" s="10">
        <f>IF(CW28=$O28,0,'Verwerking Bouwdelen'!G12)</f>
        <v>0</v>
      </c>
      <c r="DJ28" s="259">
        <f>'Verwerking Bouwdelen'!GK12*CF28</f>
        <v>0</v>
      </c>
      <c r="DK28" s="259">
        <f>'Verwerking Bouwdelen'!GL12*CF28</f>
        <v>0</v>
      </c>
      <c r="DL28" s="125"/>
      <c r="FD28" s="89">
        <f>SUM(FD16:FD27)</f>
        <v>0</v>
      </c>
      <c r="FE28" s="155">
        <f>SUM(FE16:FE27)</f>
        <v>0</v>
      </c>
      <c r="FZ28" s="89">
        <f>IF('Verwerken verlichting'!B24=5,1,0)</f>
        <v>0</v>
      </c>
      <c r="GA28" s="89">
        <f>$FZ28*'Verwerken verlichting'!BX24</f>
        <v>0</v>
      </c>
      <c r="GB28" s="89">
        <f>$FZ28*'Verwerken verlichting'!BY24</f>
        <v>0</v>
      </c>
      <c r="GC28" s="89">
        <f>$FZ28*'Verwerken verlichting'!BZ24</f>
        <v>0</v>
      </c>
      <c r="GD28" s="89">
        <f>$FZ28*'Verwerken verlichting'!CA24</f>
        <v>0</v>
      </c>
      <c r="GE28" s="89">
        <f>$FZ28*'Verwerken verlichting'!CB24</f>
        <v>0</v>
      </c>
      <c r="GF28" s="89">
        <f>$FZ28*'Verwerken verlichting'!CC24</f>
        <v>0</v>
      </c>
      <c r="GG28" s="89">
        <f>FZ28*'Invoer verlichting'!N23</f>
        <v>0</v>
      </c>
      <c r="GH28" s="89">
        <f>FZ28*'Verwerken verlichting'!AH24</f>
        <v>0</v>
      </c>
      <c r="GI28" s="89">
        <f>FZ28*'Verwerken verlichting'!AG24</f>
        <v>0</v>
      </c>
      <c r="GJ28" s="89">
        <f>FZ28*'Verwerken verlichting'!CE24</f>
        <v>0</v>
      </c>
      <c r="GM28" s="89">
        <f t="shared" si="13"/>
        <v>0</v>
      </c>
      <c r="GN28" s="89">
        <f t="shared" si="14"/>
        <v>0</v>
      </c>
      <c r="GO28" s="208">
        <f>IF($GN28=1,$GN28*$GM28*'Verwerking Bouwdelen'!DL12,$GN28*$GM28*'Verwerking Bouwdelen'!T12)</f>
        <v>0</v>
      </c>
      <c r="GP28" s="208">
        <f>IF($GN28=1,$GN28*$GM28*'Verwerking Bouwdelen'!DM12,$GN28*$GM28*'Verwerking Bouwdelen'!U12)</f>
        <v>0</v>
      </c>
      <c r="GQ28" s="208">
        <f>IF($GN28=1,$GN28*$GM28*'Verwerking Bouwdelen'!DN12,$GN28*$GM28*'Verwerking Bouwdelen'!V12)</f>
        <v>0</v>
      </c>
      <c r="GR28" s="208">
        <f>IF($GN28=1,$GN28*$GM28*'Verwerking Bouwdelen'!DO12,$GN28*$GM28*'Verwerking Bouwdelen'!W12)</f>
        <v>0</v>
      </c>
      <c r="GS28" s="208">
        <f>IF($GN28=1,$GN28*$GM28*'Verwerking Bouwdelen'!DP12,$GN28*$GM28*'Verwerking Bouwdelen'!X12)</f>
        <v>0</v>
      </c>
      <c r="GT28" s="208">
        <f>IF($GN28=1,$GN28*$GM28*'Verwerking Bouwdelen'!DQ12,$GN28*$GM28*'Verwerking Bouwdelen'!Y12)</f>
        <v>0</v>
      </c>
      <c r="GU28" s="208">
        <f>IF($GN28=1,$GN28*$GM28*'Verwerking Bouwdelen'!DR12,$GN28*$GM28*'Verwerking Bouwdelen'!Z12)</f>
        <v>0</v>
      </c>
      <c r="GV28" s="208">
        <f>IF($GN28=1,$GN28*$GM28*'Verwerking Bouwdelen'!DS12,$GN28*$GM28*'Verwerking Bouwdelen'!AA12)</f>
        <v>0</v>
      </c>
      <c r="GW28" s="208">
        <f>IF($GN28=1,$GN28*$GM28*'Verwerking Bouwdelen'!DT12,$GN28*$GM28*'Verwerking Bouwdelen'!AB12)</f>
        <v>0</v>
      </c>
      <c r="GX28" s="208">
        <f>IF($GN28=1,$GN28*$GM28*'Verwerking Bouwdelen'!DU12,$GN28*$GM28*'Verwerking Bouwdelen'!AC12)</f>
        <v>0</v>
      </c>
      <c r="GY28" s="208">
        <f>IF($GN28=1,$GN28*$GM28*'Verwerking Bouwdelen'!DV12,$GN28*$GM28*'Verwerking Bouwdelen'!AD12)</f>
        <v>0</v>
      </c>
      <c r="GZ28" s="208">
        <f>IF($GN28=1,$GN28*$GM28*'Verwerking Bouwdelen'!DW12,$GN28*$GM28*'Verwerking Bouwdelen'!AE12)</f>
        <v>0</v>
      </c>
      <c r="HB28" s="89">
        <f t="shared" si="1"/>
        <v>0</v>
      </c>
      <c r="HC28" s="89">
        <f t="shared" si="2"/>
        <v>0</v>
      </c>
      <c r="HD28" s="89">
        <f t="shared" si="3"/>
        <v>0</v>
      </c>
      <c r="HE28" s="89">
        <f t="shared" si="4"/>
        <v>0</v>
      </c>
      <c r="HF28" s="89">
        <f t="shared" si="5"/>
        <v>0</v>
      </c>
      <c r="HG28" s="89">
        <f t="shared" si="6"/>
        <v>0</v>
      </c>
      <c r="HH28" s="89">
        <f t="shared" si="7"/>
        <v>0</v>
      </c>
      <c r="HI28" s="89">
        <f t="shared" si="8"/>
        <v>0</v>
      </c>
      <c r="HJ28" s="89">
        <f t="shared" si="9"/>
        <v>0</v>
      </c>
      <c r="HK28" s="89">
        <f t="shared" si="10"/>
        <v>0</v>
      </c>
      <c r="HL28" s="89">
        <f t="shared" si="11"/>
        <v>0</v>
      </c>
      <c r="HM28" s="89">
        <f t="shared" si="12"/>
        <v>0</v>
      </c>
    </row>
    <row r="29" spans="1:221" x14ac:dyDescent="0.2">
      <c r="A29" s="130">
        <f>IF('Verwerking Bouwdelen'!A13=5,1,0)</f>
        <v>0</v>
      </c>
      <c r="B29" s="208">
        <f>$A29*'Verwerking Bouwdelen'!T13</f>
        <v>0</v>
      </c>
      <c r="C29" s="208">
        <f>$A29*'Verwerking Bouwdelen'!U13</f>
        <v>0</v>
      </c>
      <c r="D29" s="208">
        <f>$A29*'Verwerking Bouwdelen'!V13</f>
        <v>0</v>
      </c>
      <c r="E29" s="208">
        <f>$A29*'Verwerking Bouwdelen'!W13</f>
        <v>0</v>
      </c>
      <c r="F29" s="208">
        <f>$A29*'Verwerking Bouwdelen'!X13</f>
        <v>0</v>
      </c>
      <c r="G29" s="208">
        <f>$A29*'Verwerking Bouwdelen'!Y13</f>
        <v>0</v>
      </c>
      <c r="H29" s="208">
        <f>$A29*'Verwerking Bouwdelen'!Z13</f>
        <v>0</v>
      </c>
      <c r="I29" s="208">
        <f>$A29*'Verwerking Bouwdelen'!AA13</f>
        <v>0</v>
      </c>
      <c r="J29" s="208">
        <f>$A29*'Verwerking Bouwdelen'!AB13</f>
        <v>0</v>
      </c>
      <c r="K29" s="208">
        <f>$A29*'Verwerking Bouwdelen'!AC13</f>
        <v>0</v>
      </c>
      <c r="L29" s="208">
        <f>$A29*'Verwerking Bouwdelen'!AD13</f>
        <v>0</v>
      </c>
      <c r="M29" s="208">
        <f>$A29*'Verwerking Bouwdelen'!AE13</f>
        <v>0</v>
      </c>
      <c r="O29" s="114">
        <f>$A29*'Verwerking Bouwdelen'!AU13</f>
        <v>0</v>
      </c>
      <c r="P29" s="125">
        <f>$A29*'Verwerking Bouwdelen'!AV13</f>
        <v>0</v>
      </c>
      <c r="Q29" s="125">
        <f>$A29*'Verwerking Bouwdelen'!AW13</f>
        <v>0</v>
      </c>
      <c r="R29" s="125">
        <f>$A29*'Verwerking Bouwdelen'!AX13</f>
        <v>0</v>
      </c>
      <c r="S29" s="125">
        <f>$A29*'Verwerking Bouwdelen'!AY13</f>
        <v>0</v>
      </c>
      <c r="T29" s="125">
        <f>$A29*'Verwerking Bouwdelen'!AZ13</f>
        <v>0</v>
      </c>
      <c r="U29" s="125">
        <f>$A29*'Verwerking Bouwdelen'!BA13</f>
        <v>0</v>
      </c>
      <c r="V29" s="125">
        <f>$A29*'Verwerking Bouwdelen'!BB13</f>
        <v>0</v>
      </c>
      <c r="W29" s="125">
        <f>$A29*'Verwerking Bouwdelen'!BC13</f>
        <v>0</v>
      </c>
      <c r="X29" s="125">
        <f>$A29*'Verwerking Bouwdelen'!BD13</f>
        <v>0</v>
      </c>
      <c r="Y29" s="125">
        <f>$A29*'Verwerking Bouwdelen'!BE13</f>
        <v>0</v>
      </c>
      <c r="Z29" s="195">
        <f>$A29*'Verwerking Bouwdelen'!BF13</f>
        <v>0</v>
      </c>
      <c r="AB29" s="125">
        <f>IF(OR('Verwerking Bouwdelen'!C13=3,'Verwerking Bouwdelen'!C13=6),1,0)</f>
        <v>0</v>
      </c>
      <c r="AC29" s="130">
        <f>IF('Verwerking Bouwdelen'!A13=5,1,0)</f>
        <v>0</v>
      </c>
      <c r="AD29" s="208">
        <f>IF($AB29=1,$AC29*'Verwerking Bouwdelen'!DL13,$AC29*'Verwerking Bouwdelen'!T13)</f>
        <v>0</v>
      </c>
      <c r="AE29" s="208">
        <f>IF($AB29=1,$AC29*'Verwerking Bouwdelen'!DM13,$AC29*'Verwerking Bouwdelen'!U13)</f>
        <v>0</v>
      </c>
      <c r="AF29" s="208">
        <f>IF($AB29=1,$AC29*'Verwerking Bouwdelen'!DN13,$AC29*'Verwerking Bouwdelen'!V13)</f>
        <v>0</v>
      </c>
      <c r="AG29" s="208">
        <f>IF($AB29=1,$AC29*'Verwerking Bouwdelen'!DO13,$AC29*'Verwerking Bouwdelen'!W13)</f>
        <v>0</v>
      </c>
      <c r="AH29" s="208">
        <f>IF($AB29=1,$AC29*'Verwerking Bouwdelen'!DP13,$AC29*'Verwerking Bouwdelen'!X13)</f>
        <v>0</v>
      </c>
      <c r="AI29" s="208">
        <f>IF($AB29=1,$AC29*'Verwerking Bouwdelen'!DQ13,$AC29*'Verwerking Bouwdelen'!Y13)</f>
        <v>0</v>
      </c>
      <c r="AJ29" s="208">
        <f>IF($AB29=1,$AC29*'Verwerking Bouwdelen'!DR13,$AC29*'Verwerking Bouwdelen'!Z13)</f>
        <v>0</v>
      </c>
      <c r="AK29" s="208">
        <f>IF($AB29=1,$AC29*'Verwerking Bouwdelen'!DS13,$AC29*'Verwerking Bouwdelen'!AA13)</f>
        <v>0</v>
      </c>
      <c r="AL29" s="208">
        <f>IF($AB29=1,$AC29*'Verwerking Bouwdelen'!DT13,$AC29*'Verwerking Bouwdelen'!AB13)</f>
        <v>0</v>
      </c>
      <c r="AM29" s="208">
        <f>IF($AB29=1,$AC29*'Verwerking Bouwdelen'!DU13,$AC29*'Verwerking Bouwdelen'!AC13)</f>
        <v>0</v>
      </c>
      <c r="AN29" s="208">
        <f>IF($AB29=1,$AC29*'Verwerking Bouwdelen'!DV13,$AC29*'Verwerking Bouwdelen'!AD13)</f>
        <v>0</v>
      </c>
      <c r="AO29" s="208">
        <f>IF($AB29=1,$AC29*'Verwerking Bouwdelen'!DW13,$AC29*'Verwerking Bouwdelen'!AE13)</f>
        <v>0</v>
      </c>
      <c r="AP29" s="10">
        <f>IF(AD29=B29,0,'Verwerking Bouwdelen'!D13*AB29*AC29)</f>
        <v>0</v>
      </c>
      <c r="AQ29" s="10">
        <f>AB29*AC29*'Verwerking Bouwdelen'!GH13</f>
        <v>0</v>
      </c>
      <c r="AR29" s="10"/>
      <c r="AS29" s="248"/>
      <c r="AT29" s="125">
        <f>IF('Verwerking Bouwdelen'!C13=4,1,0)</f>
        <v>0</v>
      </c>
      <c r="AU29" s="130">
        <f>IF('Verwerking Bouwdelen'!A13=5,1,0)</f>
        <v>0</v>
      </c>
      <c r="AV29" s="208">
        <f>IF($AT29=1,$AU29*'Verwerking Bouwdelen'!DL13,$AU29*'Verwerking Bouwdelen'!T13)</f>
        <v>0</v>
      </c>
      <c r="AW29" s="208">
        <f>IF($AT29=1,$AU29*'Verwerking Bouwdelen'!DM13,$AU29*'Verwerking Bouwdelen'!U13)</f>
        <v>0</v>
      </c>
      <c r="AX29" s="208">
        <f>IF($AT29=1,$AU29*'Verwerking Bouwdelen'!DN13,$AU29*'Verwerking Bouwdelen'!V13)</f>
        <v>0</v>
      </c>
      <c r="AY29" s="208">
        <f>IF($AT29=1,$AU29*'Verwerking Bouwdelen'!DO13,$AU29*'Verwerking Bouwdelen'!W13)</f>
        <v>0</v>
      </c>
      <c r="AZ29" s="208">
        <f>IF($AT29=1,$AU29*'Verwerking Bouwdelen'!DP13,$AU29*'Verwerking Bouwdelen'!X13)</f>
        <v>0</v>
      </c>
      <c r="BA29" s="208">
        <f>IF($AT29=1,$AU29*'Verwerking Bouwdelen'!DQ13,$AU29*'Verwerking Bouwdelen'!Y13)</f>
        <v>0</v>
      </c>
      <c r="BB29" s="208">
        <f>IF($AT29=1,$AU29*'Verwerking Bouwdelen'!DR13,$AU29*'Verwerking Bouwdelen'!Z13)</f>
        <v>0</v>
      </c>
      <c r="BC29" s="208">
        <f>IF($AT29=1,$AU29*'Verwerking Bouwdelen'!DS13,$AU29*'Verwerking Bouwdelen'!AA13)</f>
        <v>0</v>
      </c>
      <c r="BD29" s="208">
        <f>IF($AT29=1,$AU29*'Verwerking Bouwdelen'!DT13,$AU29*'Verwerking Bouwdelen'!AB13)</f>
        <v>0</v>
      </c>
      <c r="BE29" s="208">
        <f>IF($AT29=1,$AU29*'Verwerking Bouwdelen'!DU13,$AU29*'Verwerking Bouwdelen'!AC13)</f>
        <v>0</v>
      </c>
      <c r="BF29" s="208">
        <f>IF($AT29=1,$AU29*'Verwerking Bouwdelen'!DV13,$AU29*'Verwerking Bouwdelen'!AD13)</f>
        <v>0</v>
      </c>
      <c r="BG29" s="208">
        <f>IF($AT29=1,$AU29*'Verwerking Bouwdelen'!DW13,$AU29*'Verwerking Bouwdelen'!AE13)</f>
        <v>0</v>
      </c>
      <c r="BH29" s="10">
        <f>IF(AV29=B29,0,'Verwerking Bouwdelen'!D13*AT29*AU29)</f>
        <v>0</v>
      </c>
      <c r="BI29" s="10">
        <f>AT29*AU29*'Verwerking Bouwdelen'!GH13</f>
        <v>0</v>
      </c>
      <c r="BJ29" s="10"/>
      <c r="BK29" s="10"/>
      <c r="BM29" s="125">
        <f>IF('Verwerking Bouwdelen'!C13=5,1,0)</f>
        <v>0</v>
      </c>
      <c r="BN29" s="130">
        <f>IF('Verwerking Bouwdelen'!A13=5,1,0)</f>
        <v>0</v>
      </c>
      <c r="BO29" s="208">
        <f>IF($BM29=1,$BN29*'Verwerking Bouwdelen'!DL13,$BN29*'Verwerking Bouwdelen'!T13)</f>
        <v>0</v>
      </c>
      <c r="BP29" s="208">
        <f>IF($BM29=1,$BN29*'Verwerking Bouwdelen'!DM13,$BN29*'Verwerking Bouwdelen'!U13)</f>
        <v>0</v>
      </c>
      <c r="BQ29" s="208">
        <f>IF($BM29=1,$BN29*'Verwerking Bouwdelen'!DN13,$BN29*'Verwerking Bouwdelen'!V13)</f>
        <v>0</v>
      </c>
      <c r="BR29" s="208">
        <f>IF($BM29=1,$BN29*'Verwerking Bouwdelen'!DO13,$BN29*'Verwerking Bouwdelen'!W13)</f>
        <v>0</v>
      </c>
      <c r="BS29" s="208">
        <f>IF($BM29=1,$BN29*'Verwerking Bouwdelen'!DP13,$BN29*'Verwerking Bouwdelen'!X13)</f>
        <v>0</v>
      </c>
      <c r="BT29" s="208">
        <f>IF($BM29=1,$BN29*'Verwerking Bouwdelen'!DQ13,$BN29*'Verwerking Bouwdelen'!Y13)</f>
        <v>0</v>
      </c>
      <c r="BU29" s="208">
        <f>IF($BM29=1,$BN29*'Verwerking Bouwdelen'!DR13,$BN29*'Verwerking Bouwdelen'!Z13)</f>
        <v>0</v>
      </c>
      <c r="BV29" s="208">
        <f>IF($BM29=1,$BN29*'Verwerking Bouwdelen'!DS13,$BN29*'Verwerking Bouwdelen'!AA13)</f>
        <v>0</v>
      </c>
      <c r="BW29" s="208">
        <f>IF($BM29=1,$BN29*'Verwerking Bouwdelen'!DT13,$BN29*'Verwerking Bouwdelen'!AB13)</f>
        <v>0</v>
      </c>
      <c r="BX29" s="208">
        <f>IF($BM29=1,$BN29*'Verwerking Bouwdelen'!DU13,$BN29*'Verwerking Bouwdelen'!AC13)</f>
        <v>0</v>
      </c>
      <c r="BY29" s="208">
        <f>IF($BM29=1,$BN29*'Verwerking Bouwdelen'!DV13,$BN29*'Verwerking Bouwdelen'!AD13)</f>
        <v>0</v>
      </c>
      <c r="BZ29" s="208">
        <f>IF($BM29=1,$BN29*'Verwerking Bouwdelen'!DW13,$BN29*'Verwerking Bouwdelen'!AE13)</f>
        <v>0</v>
      </c>
      <c r="CA29" s="10">
        <f>IF(BO29=$B29,0,'Verwerking Bouwdelen'!$D13*BM29*BN29)</f>
        <v>0</v>
      </c>
      <c r="CB29" s="10">
        <f>BM29*BN29*'Verwerking Bouwdelen'!GH13</f>
        <v>0</v>
      </c>
      <c r="CC29" s="10"/>
      <c r="CD29" s="248"/>
      <c r="CE29" s="125">
        <f>IF('Verwerking Bouwdelen'!C13=2,1,0)</f>
        <v>0</v>
      </c>
      <c r="CF29" s="130">
        <f>IF('Verwerking Bouwdelen'!A13=5,1,0)</f>
        <v>0</v>
      </c>
      <c r="CG29" s="208">
        <f>IF($CE29=1,$CF29*'Verwerking Bouwdelen'!DL13,$CF29*'Verwerking Bouwdelen'!T13)</f>
        <v>0</v>
      </c>
      <c r="CH29" s="208">
        <f>IF($CE29=1,$CF29*'Verwerking Bouwdelen'!DM13,$CF29*'Verwerking Bouwdelen'!U13)</f>
        <v>0</v>
      </c>
      <c r="CI29" s="208">
        <f>IF($CE29=1,$CF29*'Verwerking Bouwdelen'!DN13,$CF29*'Verwerking Bouwdelen'!V13)</f>
        <v>0</v>
      </c>
      <c r="CJ29" s="208">
        <f>IF($CE29=1,$CF29*'Verwerking Bouwdelen'!DO13,$CF29*'Verwerking Bouwdelen'!W13)</f>
        <v>0</v>
      </c>
      <c r="CK29" s="208">
        <f>IF($CE29=1,$CF29*'Verwerking Bouwdelen'!DP13,$CF29*'Verwerking Bouwdelen'!X13)</f>
        <v>0</v>
      </c>
      <c r="CL29" s="208">
        <f>IF($CE29=1,$CF29*'Verwerking Bouwdelen'!DQ13,$CF29*'Verwerking Bouwdelen'!Y13)</f>
        <v>0</v>
      </c>
      <c r="CM29" s="208">
        <f>IF($CE29=1,$CF29*'Verwerking Bouwdelen'!DR13,$CF29*'Verwerking Bouwdelen'!Z13)</f>
        <v>0</v>
      </c>
      <c r="CN29" s="208">
        <f>IF($CE29=1,$CF29*'Verwerking Bouwdelen'!DS13,$CF29*'Verwerking Bouwdelen'!AA13)</f>
        <v>0</v>
      </c>
      <c r="CO29" s="208">
        <f>IF($CE29=1,$CF29*'Verwerking Bouwdelen'!DT13,$CF29*'Verwerking Bouwdelen'!AB13)</f>
        <v>0</v>
      </c>
      <c r="CP29" s="208">
        <f>IF($CE29=1,$CF29*'Verwerking Bouwdelen'!DU13,$CF29*'Verwerking Bouwdelen'!AC13)</f>
        <v>0</v>
      </c>
      <c r="CQ29" s="208">
        <f>IF($CE29=1,$CF29*'Verwerking Bouwdelen'!DV13,$CF29*'Verwerking Bouwdelen'!AD13)</f>
        <v>0</v>
      </c>
      <c r="CR29" s="208">
        <f>IF($CE29=1,$CF29*'Verwerking Bouwdelen'!DW13,$CF29*'Verwerking Bouwdelen'!AE13)</f>
        <v>0</v>
      </c>
      <c r="CS29" s="10">
        <f>IF(CG29=$B29,0,('Verwerking Bouwdelen'!$D13-'Verwerking Bouwdelen'!G13)*CE29*CF29)</f>
        <v>0</v>
      </c>
      <c r="CT29" s="261">
        <f>CE29*CF29*'Verwerking Bouwdelen'!$GH$3</f>
        <v>0</v>
      </c>
      <c r="CU29" s="261">
        <f>CE29*CF29*'Verwerking Bouwdelen'!GI13</f>
        <v>0</v>
      </c>
      <c r="CW29" s="209">
        <f>$AC29*'Verwerking Bouwdelen'!EE13</f>
        <v>0</v>
      </c>
      <c r="CX29" s="209">
        <f>$AC29*'Verwerking Bouwdelen'!EF13</f>
        <v>0</v>
      </c>
      <c r="CY29" s="209">
        <f>$AC29*'Verwerking Bouwdelen'!EG13</f>
        <v>0</v>
      </c>
      <c r="CZ29" s="209">
        <f>$AC29*'Verwerking Bouwdelen'!EH13</f>
        <v>0</v>
      </c>
      <c r="DA29" s="209">
        <f>$AC29*'Verwerking Bouwdelen'!EI13</f>
        <v>0</v>
      </c>
      <c r="DB29" s="209">
        <f>$AC29*'Verwerking Bouwdelen'!EJ13</f>
        <v>0</v>
      </c>
      <c r="DC29" s="209">
        <f>$AC29*'Verwerking Bouwdelen'!EK13</f>
        <v>0</v>
      </c>
      <c r="DD29" s="209">
        <f>$AC29*'Verwerking Bouwdelen'!EL13</f>
        <v>0</v>
      </c>
      <c r="DE29" s="209">
        <f>$AC29*'Verwerking Bouwdelen'!EM13</f>
        <v>0</v>
      </c>
      <c r="DF29" s="209">
        <f>$AC29*'Verwerking Bouwdelen'!EN13</f>
        <v>0</v>
      </c>
      <c r="DG29" s="209">
        <f>$AC29*'Verwerking Bouwdelen'!EO13</f>
        <v>0</v>
      </c>
      <c r="DH29" s="209">
        <f>$AC29*'Verwerking Bouwdelen'!EP13</f>
        <v>0</v>
      </c>
      <c r="DI29" s="10">
        <f>IF(CW29=$O29,0,'Verwerking Bouwdelen'!G13)</f>
        <v>0</v>
      </c>
      <c r="DJ29" s="259">
        <f>'Verwerking Bouwdelen'!GK13*CF29</f>
        <v>0</v>
      </c>
      <c r="DK29" s="259">
        <f>'Verwerking Bouwdelen'!GL13*CF29</f>
        <v>0</v>
      </c>
      <c r="DL29" s="125"/>
      <c r="FZ29" s="89">
        <f>IF('Verwerken verlichting'!B25=5,1,0)</f>
        <v>0</v>
      </c>
      <c r="GA29" s="89">
        <f>$FZ29*'Verwerken verlichting'!BX25</f>
        <v>0</v>
      </c>
      <c r="GB29" s="89">
        <f>$FZ29*'Verwerken verlichting'!BY25</f>
        <v>0</v>
      </c>
      <c r="GC29" s="89">
        <f>$FZ29*'Verwerken verlichting'!BZ25</f>
        <v>0</v>
      </c>
      <c r="GD29" s="89">
        <f>$FZ29*'Verwerken verlichting'!CA25</f>
        <v>0</v>
      </c>
      <c r="GE29" s="89">
        <f>$FZ29*'Verwerken verlichting'!CB25</f>
        <v>0</v>
      </c>
      <c r="GF29" s="89">
        <f>$FZ29*'Verwerken verlichting'!CC25</f>
        <v>0</v>
      </c>
      <c r="GG29" s="89">
        <f>FZ29*'Invoer verlichting'!N24</f>
        <v>0</v>
      </c>
      <c r="GH29" s="89">
        <f>FZ29*'Verwerken verlichting'!AH25</f>
        <v>0</v>
      </c>
      <c r="GI29" s="89">
        <f>FZ29*'Verwerken verlichting'!AG25</f>
        <v>0</v>
      </c>
      <c r="GJ29" s="89">
        <f>FZ29*'Verwerken verlichting'!CE25</f>
        <v>0</v>
      </c>
      <c r="GM29" s="89">
        <f t="shared" si="13"/>
        <v>0</v>
      </c>
      <c r="GN29" s="89">
        <f t="shared" si="14"/>
        <v>0</v>
      </c>
      <c r="GO29" s="208">
        <f>IF($GN29=1,$GN29*$GM29*'Verwerking Bouwdelen'!DL13,$GN29*$GM29*'Verwerking Bouwdelen'!T13)</f>
        <v>0</v>
      </c>
      <c r="GP29" s="208">
        <f>IF($GN29=1,$GN29*$GM29*'Verwerking Bouwdelen'!DM13,$GN29*$GM29*'Verwerking Bouwdelen'!U13)</f>
        <v>0</v>
      </c>
      <c r="GQ29" s="208">
        <f>IF($GN29=1,$GN29*$GM29*'Verwerking Bouwdelen'!DN13,$GN29*$GM29*'Verwerking Bouwdelen'!V13)</f>
        <v>0</v>
      </c>
      <c r="GR29" s="208">
        <f>IF($GN29=1,$GN29*$GM29*'Verwerking Bouwdelen'!DO13,$GN29*$GM29*'Verwerking Bouwdelen'!W13)</f>
        <v>0</v>
      </c>
      <c r="GS29" s="208">
        <f>IF($GN29=1,$GN29*$GM29*'Verwerking Bouwdelen'!DP13,$GN29*$GM29*'Verwerking Bouwdelen'!X13)</f>
        <v>0</v>
      </c>
      <c r="GT29" s="208">
        <f>IF($GN29=1,$GN29*$GM29*'Verwerking Bouwdelen'!DQ13,$GN29*$GM29*'Verwerking Bouwdelen'!Y13)</f>
        <v>0</v>
      </c>
      <c r="GU29" s="208">
        <f>IF($GN29=1,$GN29*$GM29*'Verwerking Bouwdelen'!DR13,$GN29*$GM29*'Verwerking Bouwdelen'!Z13)</f>
        <v>0</v>
      </c>
      <c r="GV29" s="208">
        <f>IF($GN29=1,$GN29*$GM29*'Verwerking Bouwdelen'!DS13,$GN29*$GM29*'Verwerking Bouwdelen'!AA13)</f>
        <v>0</v>
      </c>
      <c r="GW29" s="208">
        <f>IF($GN29=1,$GN29*$GM29*'Verwerking Bouwdelen'!DT13,$GN29*$GM29*'Verwerking Bouwdelen'!AB13)</f>
        <v>0</v>
      </c>
      <c r="GX29" s="208">
        <f>IF($GN29=1,$GN29*$GM29*'Verwerking Bouwdelen'!DU13,$GN29*$GM29*'Verwerking Bouwdelen'!AC13)</f>
        <v>0</v>
      </c>
      <c r="GY29" s="208">
        <f>IF($GN29=1,$GN29*$GM29*'Verwerking Bouwdelen'!DV13,$GN29*$GM29*'Verwerking Bouwdelen'!AD13)</f>
        <v>0</v>
      </c>
      <c r="GZ29" s="208">
        <f>IF($GN29=1,$GN29*$GM29*'Verwerking Bouwdelen'!DW13,$GN29*$GM29*'Verwerking Bouwdelen'!AE13)</f>
        <v>0</v>
      </c>
      <c r="HB29" s="89">
        <f t="shared" si="1"/>
        <v>0</v>
      </c>
      <c r="HC29" s="89">
        <f t="shared" si="2"/>
        <v>0</v>
      </c>
      <c r="HD29" s="89">
        <f t="shared" si="3"/>
        <v>0</v>
      </c>
      <c r="HE29" s="89">
        <f t="shared" si="4"/>
        <v>0</v>
      </c>
      <c r="HF29" s="89">
        <f t="shared" si="5"/>
        <v>0</v>
      </c>
      <c r="HG29" s="89">
        <f t="shared" si="6"/>
        <v>0</v>
      </c>
      <c r="HH29" s="89">
        <f t="shared" si="7"/>
        <v>0</v>
      </c>
      <c r="HI29" s="89">
        <f t="shared" si="8"/>
        <v>0</v>
      </c>
      <c r="HJ29" s="89">
        <f t="shared" si="9"/>
        <v>0</v>
      </c>
      <c r="HK29" s="89">
        <f t="shared" si="10"/>
        <v>0</v>
      </c>
      <c r="HL29" s="89">
        <f t="shared" si="11"/>
        <v>0</v>
      </c>
      <c r="HM29" s="89">
        <f t="shared" si="12"/>
        <v>0</v>
      </c>
    </row>
    <row r="30" spans="1:221" x14ac:dyDescent="0.2">
      <c r="A30" s="130">
        <f>IF('Verwerking Bouwdelen'!A14=5,1,0)</f>
        <v>0</v>
      </c>
      <c r="B30" s="208">
        <f>$A30*'Verwerking Bouwdelen'!T14</f>
        <v>0</v>
      </c>
      <c r="C30" s="208">
        <f>$A30*'Verwerking Bouwdelen'!U14</f>
        <v>0</v>
      </c>
      <c r="D30" s="208">
        <f>$A30*'Verwerking Bouwdelen'!V14</f>
        <v>0</v>
      </c>
      <c r="E30" s="208">
        <f>$A30*'Verwerking Bouwdelen'!W14</f>
        <v>0</v>
      </c>
      <c r="F30" s="208">
        <f>$A30*'Verwerking Bouwdelen'!X14</f>
        <v>0</v>
      </c>
      <c r="G30" s="208">
        <f>$A30*'Verwerking Bouwdelen'!Y14</f>
        <v>0</v>
      </c>
      <c r="H30" s="208">
        <f>$A30*'Verwerking Bouwdelen'!Z14</f>
        <v>0</v>
      </c>
      <c r="I30" s="208">
        <f>$A30*'Verwerking Bouwdelen'!AA14</f>
        <v>0</v>
      </c>
      <c r="J30" s="208">
        <f>$A30*'Verwerking Bouwdelen'!AB14</f>
        <v>0</v>
      </c>
      <c r="K30" s="208">
        <f>$A30*'Verwerking Bouwdelen'!AC14</f>
        <v>0</v>
      </c>
      <c r="L30" s="208">
        <f>$A30*'Verwerking Bouwdelen'!AD14</f>
        <v>0</v>
      </c>
      <c r="M30" s="208">
        <f>$A30*'Verwerking Bouwdelen'!AE14</f>
        <v>0</v>
      </c>
      <c r="O30" s="114">
        <f>$A30*'Verwerking Bouwdelen'!AU14</f>
        <v>0</v>
      </c>
      <c r="P30" s="125">
        <f>$A30*'Verwerking Bouwdelen'!AV14</f>
        <v>0</v>
      </c>
      <c r="Q30" s="125">
        <f>$A30*'Verwerking Bouwdelen'!AW14</f>
        <v>0</v>
      </c>
      <c r="R30" s="125">
        <f>$A30*'Verwerking Bouwdelen'!AX14</f>
        <v>0</v>
      </c>
      <c r="S30" s="125">
        <f>$A30*'Verwerking Bouwdelen'!AY14</f>
        <v>0</v>
      </c>
      <c r="T30" s="125">
        <f>$A30*'Verwerking Bouwdelen'!AZ14</f>
        <v>0</v>
      </c>
      <c r="U30" s="125">
        <f>$A30*'Verwerking Bouwdelen'!BA14</f>
        <v>0</v>
      </c>
      <c r="V30" s="125">
        <f>$A30*'Verwerking Bouwdelen'!BB14</f>
        <v>0</v>
      </c>
      <c r="W30" s="125">
        <f>$A30*'Verwerking Bouwdelen'!BC14</f>
        <v>0</v>
      </c>
      <c r="X30" s="125">
        <f>$A30*'Verwerking Bouwdelen'!BD14</f>
        <v>0</v>
      </c>
      <c r="Y30" s="125">
        <f>$A30*'Verwerking Bouwdelen'!BE14</f>
        <v>0</v>
      </c>
      <c r="Z30" s="195">
        <f>$A30*'Verwerking Bouwdelen'!BF14</f>
        <v>0</v>
      </c>
      <c r="AB30" s="125">
        <f>IF(OR('Verwerking Bouwdelen'!C14=3,'Verwerking Bouwdelen'!C14=6),1,0)</f>
        <v>0</v>
      </c>
      <c r="AC30" s="130">
        <f>IF('Verwerking Bouwdelen'!A14=5,1,0)</f>
        <v>0</v>
      </c>
      <c r="AD30" s="208">
        <f>IF($AB30=1,$AC30*'Verwerking Bouwdelen'!DL14,$AC30*'Verwerking Bouwdelen'!T14)</f>
        <v>0</v>
      </c>
      <c r="AE30" s="208">
        <f>IF($AB30=1,$AC30*'Verwerking Bouwdelen'!DM14,$AC30*'Verwerking Bouwdelen'!U14)</f>
        <v>0</v>
      </c>
      <c r="AF30" s="208">
        <f>IF($AB30=1,$AC30*'Verwerking Bouwdelen'!DN14,$AC30*'Verwerking Bouwdelen'!V14)</f>
        <v>0</v>
      </c>
      <c r="AG30" s="208">
        <f>IF($AB30=1,$AC30*'Verwerking Bouwdelen'!DO14,$AC30*'Verwerking Bouwdelen'!W14)</f>
        <v>0</v>
      </c>
      <c r="AH30" s="208">
        <f>IF($AB30=1,$AC30*'Verwerking Bouwdelen'!DP14,$AC30*'Verwerking Bouwdelen'!X14)</f>
        <v>0</v>
      </c>
      <c r="AI30" s="208">
        <f>IF($AB30=1,$AC30*'Verwerking Bouwdelen'!DQ14,$AC30*'Verwerking Bouwdelen'!Y14)</f>
        <v>0</v>
      </c>
      <c r="AJ30" s="208">
        <f>IF($AB30=1,$AC30*'Verwerking Bouwdelen'!DR14,$AC30*'Verwerking Bouwdelen'!Z14)</f>
        <v>0</v>
      </c>
      <c r="AK30" s="208">
        <f>IF($AB30=1,$AC30*'Verwerking Bouwdelen'!DS14,$AC30*'Verwerking Bouwdelen'!AA14)</f>
        <v>0</v>
      </c>
      <c r="AL30" s="208">
        <f>IF($AB30=1,$AC30*'Verwerking Bouwdelen'!DT14,$AC30*'Verwerking Bouwdelen'!AB14)</f>
        <v>0</v>
      </c>
      <c r="AM30" s="208">
        <f>IF($AB30=1,$AC30*'Verwerking Bouwdelen'!DU14,$AC30*'Verwerking Bouwdelen'!AC14)</f>
        <v>0</v>
      </c>
      <c r="AN30" s="208">
        <f>IF($AB30=1,$AC30*'Verwerking Bouwdelen'!DV14,$AC30*'Verwerking Bouwdelen'!AD14)</f>
        <v>0</v>
      </c>
      <c r="AO30" s="208">
        <f>IF($AB30=1,$AC30*'Verwerking Bouwdelen'!DW14,$AC30*'Verwerking Bouwdelen'!AE14)</f>
        <v>0</v>
      </c>
      <c r="AP30" s="10">
        <f>IF(AD30=B30,0,'Verwerking Bouwdelen'!D14*AB30*AC30)</f>
        <v>0</v>
      </c>
      <c r="AQ30" s="10">
        <f>AB30*AC30*'Verwerking Bouwdelen'!GH14</f>
        <v>0</v>
      </c>
      <c r="AR30" s="10"/>
      <c r="AS30" s="248"/>
      <c r="AT30" s="125">
        <f>IF('Verwerking Bouwdelen'!C14=4,1,0)</f>
        <v>0</v>
      </c>
      <c r="AU30" s="130">
        <f>IF('Verwerking Bouwdelen'!A14=5,1,0)</f>
        <v>0</v>
      </c>
      <c r="AV30" s="208">
        <f>IF($AT30=1,$AU30*'Verwerking Bouwdelen'!DL14,$AU30*'Verwerking Bouwdelen'!T14)</f>
        <v>0</v>
      </c>
      <c r="AW30" s="208">
        <f>IF($AT30=1,$AU30*'Verwerking Bouwdelen'!DM14,$AU30*'Verwerking Bouwdelen'!U14)</f>
        <v>0</v>
      </c>
      <c r="AX30" s="208">
        <f>IF($AT30=1,$AU30*'Verwerking Bouwdelen'!DN14,$AU30*'Verwerking Bouwdelen'!V14)</f>
        <v>0</v>
      </c>
      <c r="AY30" s="208">
        <f>IF($AT30=1,$AU30*'Verwerking Bouwdelen'!DO14,$AU30*'Verwerking Bouwdelen'!W14)</f>
        <v>0</v>
      </c>
      <c r="AZ30" s="208">
        <f>IF($AT30=1,$AU30*'Verwerking Bouwdelen'!DP14,$AU30*'Verwerking Bouwdelen'!X14)</f>
        <v>0</v>
      </c>
      <c r="BA30" s="208">
        <f>IF($AT30=1,$AU30*'Verwerking Bouwdelen'!DQ14,$AU30*'Verwerking Bouwdelen'!Y14)</f>
        <v>0</v>
      </c>
      <c r="BB30" s="208">
        <f>IF($AT30=1,$AU30*'Verwerking Bouwdelen'!DR14,$AU30*'Verwerking Bouwdelen'!Z14)</f>
        <v>0</v>
      </c>
      <c r="BC30" s="208">
        <f>IF($AT30=1,$AU30*'Verwerking Bouwdelen'!DS14,$AU30*'Verwerking Bouwdelen'!AA14)</f>
        <v>0</v>
      </c>
      <c r="BD30" s="208">
        <f>IF($AT30=1,$AU30*'Verwerking Bouwdelen'!DT14,$AU30*'Verwerking Bouwdelen'!AB14)</f>
        <v>0</v>
      </c>
      <c r="BE30" s="208">
        <f>IF($AT30=1,$AU30*'Verwerking Bouwdelen'!DU14,$AU30*'Verwerking Bouwdelen'!AC14)</f>
        <v>0</v>
      </c>
      <c r="BF30" s="208">
        <f>IF($AT30=1,$AU30*'Verwerking Bouwdelen'!DV14,$AU30*'Verwerking Bouwdelen'!AD14)</f>
        <v>0</v>
      </c>
      <c r="BG30" s="208">
        <f>IF($AT30=1,$AU30*'Verwerking Bouwdelen'!DW14,$AU30*'Verwerking Bouwdelen'!AE14)</f>
        <v>0</v>
      </c>
      <c r="BH30" s="10">
        <f>IF(AV30=B30,0,'Verwerking Bouwdelen'!D14*AT30*AU30)</f>
        <v>0</v>
      </c>
      <c r="BI30" s="10">
        <f>AT30*AU30*'Verwerking Bouwdelen'!GH14</f>
        <v>0</v>
      </c>
      <c r="BJ30" s="10"/>
      <c r="BK30" s="10"/>
      <c r="BM30" s="125">
        <f>IF('Verwerking Bouwdelen'!C14=5,1,0)</f>
        <v>0</v>
      </c>
      <c r="BN30" s="130">
        <f>IF('Verwerking Bouwdelen'!A14=5,1,0)</f>
        <v>0</v>
      </c>
      <c r="BO30" s="208">
        <f>IF($BM30=1,$BN30*'Verwerking Bouwdelen'!DL14,$BN30*'Verwerking Bouwdelen'!T14)</f>
        <v>0</v>
      </c>
      <c r="BP30" s="208">
        <f>IF($BM30=1,$BN30*'Verwerking Bouwdelen'!DM14,$BN30*'Verwerking Bouwdelen'!U14)</f>
        <v>0</v>
      </c>
      <c r="BQ30" s="208">
        <f>IF($BM30=1,$BN30*'Verwerking Bouwdelen'!DN14,$BN30*'Verwerking Bouwdelen'!V14)</f>
        <v>0</v>
      </c>
      <c r="BR30" s="208">
        <f>IF($BM30=1,$BN30*'Verwerking Bouwdelen'!DO14,$BN30*'Verwerking Bouwdelen'!W14)</f>
        <v>0</v>
      </c>
      <c r="BS30" s="208">
        <f>IF($BM30=1,$BN30*'Verwerking Bouwdelen'!DP14,$BN30*'Verwerking Bouwdelen'!X14)</f>
        <v>0</v>
      </c>
      <c r="BT30" s="208">
        <f>IF($BM30=1,$BN30*'Verwerking Bouwdelen'!DQ14,$BN30*'Verwerking Bouwdelen'!Y14)</f>
        <v>0</v>
      </c>
      <c r="BU30" s="208">
        <f>IF($BM30=1,$BN30*'Verwerking Bouwdelen'!DR14,$BN30*'Verwerking Bouwdelen'!Z14)</f>
        <v>0</v>
      </c>
      <c r="BV30" s="208">
        <f>IF($BM30=1,$BN30*'Verwerking Bouwdelen'!DS14,$BN30*'Verwerking Bouwdelen'!AA14)</f>
        <v>0</v>
      </c>
      <c r="BW30" s="208">
        <f>IF($BM30=1,$BN30*'Verwerking Bouwdelen'!DT14,$BN30*'Verwerking Bouwdelen'!AB14)</f>
        <v>0</v>
      </c>
      <c r="BX30" s="208">
        <f>IF($BM30=1,$BN30*'Verwerking Bouwdelen'!DU14,$BN30*'Verwerking Bouwdelen'!AC14)</f>
        <v>0</v>
      </c>
      <c r="BY30" s="208">
        <f>IF($BM30=1,$BN30*'Verwerking Bouwdelen'!DV14,$BN30*'Verwerking Bouwdelen'!AD14)</f>
        <v>0</v>
      </c>
      <c r="BZ30" s="208">
        <f>IF($BM30=1,$BN30*'Verwerking Bouwdelen'!DW14,$BN30*'Verwerking Bouwdelen'!AE14)</f>
        <v>0</v>
      </c>
      <c r="CA30" s="10">
        <f>IF(BO30=$B30,0,'Verwerking Bouwdelen'!$D14*BM30*BN30)</f>
        <v>0</v>
      </c>
      <c r="CB30" s="10">
        <f>BM30*BN30*'Verwerking Bouwdelen'!GH14</f>
        <v>0</v>
      </c>
      <c r="CC30" s="10"/>
      <c r="CD30" s="248"/>
      <c r="CE30" s="125">
        <f>IF('Verwerking Bouwdelen'!C14=2,1,0)</f>
        <v>0</v>
      </c>
      <c r="CF30" s="130">
        <f>IF('Verwerking Bouwdelen'!A14=5,1,0)</f>
        <v>0</v>
      </c>
      <c r="CG30" s="208">
        <f>IF($CE30=1,$CF30*'Verwerking Bouwdelen'!DL14,$CF30*'Verwerking Bouwdelen'!T14)</f>
        <v>0</v>
      </c>
      <c r="CH30" s="208">
        <f>IF($CE30=1,$CF30*'Verwerking Bouwdelen'!DM14,$CF30*'Verwerking Bouwdelen'!U14)</f>
        <v>0</v>
      </c>
      <c r="CI30" s="208">
        <f>IF($CE30=1,$CF30*'Verwerking Bouwdelen'!DN14,$CF30*'Verwerking Bouwdelen'!V14)</f>
        <v>0</v>
      </c>
      <c r="CJ30" s="208">
        <f>IF($CE30=1,$CF30*'Verwerking Bouwdelen'!DO14,$CF30*'Verwerking Bouwdelen'!W14)</f>
        <v>0</v>
      </c>
      <c r="CK30" s="208">
        <f>IF($CE30=1,$CF30*'Verwerking Bouwdelen'!DP14,$CF30*'Verwerking Bouwdelen'!X14)</f>
        <v>0</v>
      </c>
      <c r="CL30" s="208">
        <f>IF($CE30=1,$CF30*'Verwerking Bouwdelen'!DQ14,$CF30*'Verwerking Bouwdelen'!Y14)</f>
        <v>0</v>
      </c>
      <c r="CM30" s="208">
        <f>IF($CE30=1,$CF30*'Verwerking Bouwdelen'!DR14,$CF30*'Verwerking Bouwdelen'!Z14)</f>
        <v>0</v>
      </c>
      <c r="CN30" s="208">
        <f>IF($CE30=1,$CF30*'Verwerking Bouwdelen'!DS14,$CF30*'Verwerking Bouwdelen'!AA14)</f>
        <v>0</v>
      </c>
      <c r="CO30" s="208">
        <f>IF($CE30=1,$CF30*'Verwerking Bouwdelen'!DT14,$CF30*'Verwerking Bouwdelen'!AB14)</f>
        <v>0</v>
      </c>
      <c r="CP30" s="208">
        <f>IF($CE30=1,$CF30*'Verwerking Bouwdelen'!DU14,$CF30*'Verwerking Bouwdelen'!AC14)</f>
        <v>0</v>
      </c>
      <c r="CQ30" s="208">
        <f>IF($CE30=1,$CF30*'Verwerking Bouwdelen'!DV14,$CF30*'Verwerking Bouwdelen'!AD14)</f>
        <v>0</v>
      </c>
      <c r="CR30" s="208">
        <f>IF($CE30=1,$CF30*'Verwerking Bouwdelen'!DW14,$CF30*'Verwerking Bouwdelen'!AE14)</f>
        <v>0</v>
      </c>
      <c r="CS30" s="10">
        <f>IF(CG30=$B30,0,('Verwerking Bouwdelen'!$D14-'Verwerking Bouwdelen'!G14)*CE30*CF30)</f>
        <v>0</v>
      </c>
      <c r="CT30" s="261">
        <f>CE30*CF30*'Verwerking Bouwdelen'!$GH$3</f>
        <v>0</v>
      </c>
      <c r="CU30" s="261">
        <f>CE30*CF30*'Verwerking Bouwdelen'!GI14</f>
        <v>0</v>
      </c>
      <c r="CW30" s="209">
        <f>$AC30*'Verwerking Bouwdelen'!EE14</f>
        <v>0</v>
      </c>
      <c r="CX30" s="209">
        <f>$AC30*'Verwerking Bouwdelen'!EF14</f>
        <v>0</v>
      </c>
      <c r="CY30" s="209">
        <f>$AC30*'Verwerking Bouwdelen'!EG14</f>
        <v>0</v>
      </c>
      <c r="CZ30" s="209">
        <f>$AC30*'Verwerking Bouwdelen'!EH14</f>
        <v>0</v>
      </c>
      <c r="DA30" s="209">
        <f>$AC30*'Verwerking Bouwdelen'!EI14</f>
        <v>0</v>
      </c>
      <c r="DB30" s="209">
        <f>$AC30*'Verwerking Bouwdelen'!EJ14</f>
        <v>0</v>
      </c>
      <c r="DC30" s="209">
        <f>$AC30*'Verwerking Bouwdelen'!EK14</f>
        <v>0</v>
      </c>
      <c r="DD30" s="209">
        <f>$AC30*'Verwerking Bouwdelen'!EL14</f>
        <v>0</v>
      </c>
      <c r="DE30" s="209">
        <f>$AC30*'Verwerking Bouwdelen'!EM14</f>
        <v>0</v>
      </c>
      <c r="DF30" s="209">
        <f>$AC30*'Verwerking Bouwdelen'!EN14</f>
        <v>0</v>
      </c>
      <c r="DG30" s="209">
        <f>$AC30*'Verwerking Bouwdelen'!EO14</f>
        <v>0</v>
      </c>
      <c r="DH30" s="209">
        <f>$AC30*'Verwerking Bouwdelen'!EP14</f>
        <v>0</v>
      </c>
      <c r="DI30" s="10">
        <f>IF(CW30=$O30,0,'Verwerking Bouwdelen'!G14)</f>
        <v>0</v>
      </c>
      <c r="DJ30" s="259">
        <f>'Verwerking Bouwdelen'!GK14*CF30</f>
        <v>0</v>
      </c>
      <c r="DK30" s="259">
        <f>'Verwerking Bouwdelen'!GL14*CF30</f>
        <v>0</v>
      </c>
      <c r="DL30" s="125"/>
      <c r="FZ30" s="89">
        <f>IF('Verwerken verlichting'!B26=5,1,0)</f>
        <v>0</v>
      </c>
      <c r="GA30" s="89">
        <f>$FZ30*'Verwerken verlichting'!BX26</f>
        <v>0</v>
      </c>
      <c r="GB30" s="89">
        <f>$FZ30*'Verwerken verlichting'!BY26</f>
        <v>0</v>
      </c>
      <c r="GC30" s="89">
        <f>$FZ30*'Verwerken verlichting'!BZ26</f>
        <v>0</v>
      </c>
      <c r="GD30" s="89">
        <f>$FZ30*'Verwerken verlichting'!CA26</f>
        <v>0</v>
      </c>
      <c r="GE30" s="89">
        <f>$FZ30*'Verwerken verlichting'!CB26</f>
        <v>0</v>
      </c>
      <c r="GF30" s="89">
        <f>$FZ30*'Verwerken verlichting'!CC26</f>
        <v>0</v>
      </c>
      <c r="GG30" s="89">
        <f>FZ30*'Invoer verlichting'!N25</f>
        <v>0</v>
      </c>
      <c r="GH30" s="89">
        <f>FZ30*'Verwerken verlichting'!AH26</f>
        <v>0</v>
      </c>
      <c r="GI30" s="89">
        <f>FZ30*'Verwerken verlichting'!AG26</f>
        <v>0</v>
      </c>
      <c r="GJ30" s="89">
        <f>FZ30*'Verwerken verlichting'!CE26</f>
        <v>0</v>
      </c>
      <c r="GM30" s="89">
        <f t="shared" si="13"/>
        <v>0</v>
      </c>
      <c r="GN30" s="89">
        <f t="shared" si="14"/>
        <v>0</v>
      </c>
      <c r="GO30" s="208">
        <f>IF($GN30=1,$GN30*$GM30*'Verwerking Bouwdelen'!DL14,$GN30*$GM30*'Verwerking Bouwdelen'!T14)</f>
        <v>0</v>
      </c>
      <c r="GP30" s="208">
        <f>IF($GN30=1,$GN30*$GM30*'Verwerking Bouwdelen'!DM14,$GN30*$GM30*'Verwerking Bouwdelen'!U14)</f>
        <v>0</v>
      </c>
      <c r="GQ30" s="208">
        <f>IF($GN30=1,$GN30*$GM30*'Verwerking Bouwdelen'!DN14,$GN30*$GM30*'Verwerking Bouwdelen'!V14)</f>
        <v>0</v>
      </c>
      <c r="GR30" s="208">
        <f>IF($GN30=1,$GN30*$GM30*'Verwerking Bouwdelen'!DO14,$GN30*$GM30*'Verwerking Bouwdelen'!W14)</f>
        <v>0</v>
      </c>
      <c r="GS30" s="208">
        <f>IF($GN30=1,$GN30*$GM30*'Verwerking Bouwdelen'!DP14,$GN30*$GM30*'Verwerking Bouwdelen'!X14)</f>
        <v>0</v>
      </c>
      <c r="GT30" s="208">
        <f>IF($GN30=1,$GN30*$GM30*'Verwerking Bouwdelen'!DQ14,$GN30*$GM30*'Verwerking Bouwdelen'!Y14)</f>
        <v>0</v>
      </c>
      <c r="GU30" s="208">
        <f>IF($GN30=1,$GN30*$GM30*'Verwerking Bouwdelen'!DR14,$GN30*$GM30*'Verwerking Bouwdelen'!Z14)</f>
        <v>0</v>
      </c>
      <c r="GV30" s="208">
        <f>IF($GN30=1,$GN30*$GM30*'Verwerking Bouwdelen'!DS14,$GN30*$GM30*'Verwerking Bouwdelen'!AA14)</f>
        <v>0</v>
      </c>
      <c r="GW30" s="208">
        <f>IF($GN30=1,$GN30*$GM30*'Verwerking Bouwdelen'!DT14,$GN30*$GM30*'Verwerking Bouwdelen'!AB14)</f>
        <v>0</v>
      </c>
      <c r="GX30" s="208">
        <f>IF($GN30=1,$GN30*$GM30*'Verwerking Bouwdelen'!DU14,$GN30*$GM30*'Verwerking Bouwdelen'!AC14)</f>
        <v>0</v>
      </c>
      <c r="GY30" s="208">
        <f>IF($GN30=1,$GN30*$GM30*'Verwerking Bouwdelen'!DV14,$GN30*$GM30*'Verwerking Bouwdelen'!AD14)</f>
        <v>0</v>
      </c>
      <c r="GZ30" s="208">
        <f>IF($GN30=1,$GN30*$GM30*'Verwerking Bouwdelen'!DW14,$GN30*$GM30*'Verwerking Bouwdelen'!AE14)</f>
        <v>0</v>
      </c>
      <c r="HB30" s="89">
        <f t="shared" si="1"/>
        <v>0</v>
      </c>
      <c r="HC30" s="89">
        <f t="shared" si="2"/>
        <v>0</v>
      </c>
      <c r="HD30" s="89">
        <f t="shared" si="3"/>
        <v>0</v>
      </c>
      <c r="HE30" s="89">
        <f t="shared" si="4"/>
        <v>0</v>
      </c>
      <c r="HF30" s="89">
        <f t="shared" si="5"/>
        <v>0</v>
      </c>
      <c r="HG30" s="89">
        <f t="shared" si="6"/>
        <v>0</v>
      </c>
      <c r="HH30" s="89">
        <f t="shared" si="7"/>
        <v>0</v>
      </c>
      <c r="HI30" s="89">
        <f t="shared" si="8"/>
        <v>0</v>
      </c>
      <c r="HJ30" s="89">
        <f t="shared" si="9"/>
        <v>0</v>
      </c>
      <c r="HK30" s="89">
        <f t="shared" si="10"/>
        <v>0</v>
      </c>
      <c r="HL30" s="89">
        <f t="shared" si="11"/>
        <v>0</v>
      </c>
      <c r="HM30" s="89">
        <f t="shared" si="12"/>
        <v>0</v>
      </c>
    </row>
    <row r="31" spans="1:221" x14ac:dyDescent="0.2">
      <c r="A31" s="130">
        <f>IF('Verwerking Bouwdelen'!A15=5,1,0)</f>
        <v>0</v>
      </c>
      <c r="B31" s="208">
        <f>$A31*'Verwerking Bouwdelen'!T15</f>
        <v>0</v>
      </c>
      <c r="C31" s="208">
        <f>$A31*'Verwerking Bouwdelen'!U15</f>
        <v>0</v>
      </c>
      <c r="D31" s="208">
        <f>$A31*'Verwerking Bouwdelen'!V15</f>
        <v>0</v>
      </c>
      <c r="E31" s="208">
        <f>$A31*'Verwerking Bouwdelen'!W15</f>
        <v>0</v>
      </c>
      <c r="F31" s="208">
        <f>$A31*'Verwerking Bouwdelen'!X15</f>
        <v>0</v>
      </c>
      <c r="G31" s="208">
        <f>$A31*'Verwerking Bouwdelen'!Y15</f>
        <v>0</v>
      </c>
      <c r="H31" s="208">
        <f>$A31*'Verwerking Bouwdelen'!Z15</f>
        <v>0</v>
      </c>
      <c r="I31" s="208">
        <f>$A31*'Verwerking Bouwdelen'!AA15</f>
        <v>0</v>
      </c>
      <c r="J31" s="208">
        <f>$A31*'Verwerking Bouwdelen'!AB15</f>
        <v>0</v>
      </c>
      <c r="K31" s="208">
        <f>$A31*'Verwerking Bouwdelen'!AC15</f>
        <v>0</v>
      </c>
      <c r="L31" s="208">
        <f>$A31*'Verwerking Bouwdelen'!AD15</f>
        <v>0</v>
      </c>
      <c r="M31" s="208">
        <f>$A31*'Verwerking Bouwdelen'!AE15</f>
        <v>0</v>
      </c>
      <c r="O31" s="114">
        <f>$A31*'Verwerking Bouwdelen'!AU15</f>
        <v>0</v>
      </c>
      <c r="P31" s="125">
        <f>$A31*'Verwerking Bouwdelen'!AV15</f>
        <v>0</v>
      </c>
      <c r="Q31" s="125">
        <f>$A31*'Verwerking Bouwdelen'!AW15</f>
        <v>0</v>
      </c>
      <c r="R31" s="125">
        <f>$A31*'Verwerking Bouwdelen'!AX15</f>
        <v>0</v>
      </c>
      <c r="S31" s="125">
        <f>$A31*'Verwerking Bouwdelen'!AY15</f>
        <v>0</v>
      </c>
      <c r="T31" s="125">
        <f>$A31*'Verwerking Bouwdelen'!AZ15</f>
        <v>0</v>
      </c>
      <c r="U31" s="125">
        <f>$A31*'Verwerking Bouwdelen'!BA15</f>
        <v>0</v>
      </c>
      <c r="V31" s="125">
        <f>$A31*'Verwerking Bouwdelen'!BB15</f>
        <v>0</v>
      </c>
      <c r="W31" s="125">
        <f>$A31*'Verwerking Bouwdelen'!BC15</f>
        <v>0</v>
      </c>
      <c r="X31" s="125">
        <f>$A31*'Verwerking Bouwdelen'!BD15</f>
        <v>0</v>
      </c>
      <c r="Y31" s="125">
        <f>$A31*'Verwerking Bouwdelen'!BE15</f>
        <v>0</v>
      </c>
      <c r="Z31" s="195">
        <f>$A31*'Verwerking Bouwdelen'!BF15</f>
        <v>0</v>
      </c>
      <c r="AB31" s="125">
        <f>IF(OR('Verwerking Bouwdelen'!C15=3,'Verwerking Bouwdelen'!C15=6),1,0)</f>
        <v>0</v>
      </c>
      <c r="AC31" s="130">
        <f>IF('Verwerking Bouwdelen'!A15=5,1,0)</f>
        <v>0</v>
      </c>
      <c r="AD31" s="208">
        <f>IF($AB31=1,$AC31*'Verwerking Bouwdelen'!DL15,$AC31*'Verwerking Bouwdelen'!T15)</f>
        <v>0</v>
      </c>
      <c r="AE31" s="208">
        <f>IF($AB31=1,$AC31*'Verwerking Bouwdelen'!DM15,$AC31*'Verwerking Bouwdelen'!U15)</f>
        <v>0</v>
      </c>
      <c r="AF31" s="208">
        <f>IF($AB31=1,$AC31*'Verwerking Bouwdelen'!DN15,$AC31*'Verwerking Bouwdelen'!V15)</f>
        <v>0</v>
      </c>
      <c r="AG31" s="208">
        <f>IF($AB31=1,$AC31*'Verwerking Bouwdelen'!DO15,$AC31*'Verwerking Bouwdelen'!W15)</f>
        <v>0</v>
      </c>
      <c r="AH31" s="208">
        <f>IF($AB31=1,$AC31*'Verwerking Bouwdelen'!DP15,$AC31*'Verwerking Bouwdelen'!X15)</f>
        <v>0</v>
      </c>
      <c r="AI31" s="208">
        <f>IF($AB31=1,$AC31*'Verwerking Bouwdelen'!DQ15,$AC31*'Verwerking Bouwdelen'!Y15)</f>
        <v>0</v>
      </c>
      <c r="AJ31" s="208">
        <f>IF($AB31=1,$AC31*'Verwerking Bouwdelen'!DR15,$AC31*'Verwerking Bouwdelen'!Z15)</f>
        <v>0</v>
      </c>
      <c r="AK31" s="208">
        <f>IF($AB31=1,$AC31*'Verwerking Bouwdelen'!DS15,$AC31*'Verwerking Bouwdelen'!AA15)</f>
        <v>0</v>
      </c>
      <c r="AL31" s="208">
        <f>IF($AB31=1,$AC31*'Verwerking Bouwdelen'!DT15,$AC31*'Verwerking Bouwdelen'!AB15)</f>
        <v>0</v>
      </c>
      <c r="AM31" s="208">
        <f>IF($AB31=1,$AC31*'Verwerking Bouwdelen'!DU15,$AC31*'Verwerking Bouwdelen'!AC15)</f>
        <v>0</v>
      </c>
      <c r="AN31" s="208">
        <f>IF($AB31=1,$AC31*'Verwerking Bouwdelen'!DV15,$AC31*'Verwerking Bouwdelen'!AD15)</f>
        <v>0</v>
      </c>
      <c r="AO31" s="208">
        <f>IF($AB31=1,$AC31*'Verwerking Bouwdelen'!DW15,$AC31*'Verwerking Bouwdelen'!AE15)</f>
        <v>0</v>
      </c>
      <c r="AP31" s="10">
        <f>IF(AD31=B31,0,'Verwerking Bouwdelen'!D15*AB31*AC31)</f>
        <v>0</v>
      </c>
      <c r="AQ31" s="10">
        <f>AB31*AC31*'Verwerking Bouwdelen'!GH15</f>
        <v>0</v>
      </c>
      <c r="AR31" s="10"/>
      <c r="AS31" s="248"/>
      <c r="AT31" s="125">
        <f>IF('Verwerking Bouwdelen'!C15=4,1,0)</f>
        <v>0</v>
      </c>
      <c r="AU31" s="130">
        <f>IF('Verwerking Bouwdelen'!A15=5,1,0)</f>
        <v>0</v>
      </c>
      <c r="AV31" s="208">
        <f>IF($AT31=1,$AU31*'Verwerking Bouwdelen'!DL15,$AU31*'Verwerking Bouwdelen'!T15)</f>
        <v>0</v>
      </c>
      <c r="AW31" s="208">
        <f>IF($AT31=1,$AU31*'Verwerking Bouwdelen'!DM15,$AU31*'Verwerking Bouwdelen'!U15)</f>
        <v>0</v>
      </c>
      <c r="AX31" s="208">
        <f>IF($AT31=1,$AU31*'Verwerking Bouwdelen'!DN15,$AU31*'Verwerking Bouwdelen'!V15)</f>
        <v>0</v>
      </c>
      <c r="AY31" s="208">
        <f>IF($AT31=1,$AU31*'Verwerking Bouwdelen'!DO15,$AU31*'Verwerking Bouwdelen'!W15)</f>
        <v>0</v>
      </c>
      <c r="AZ31" s="208">
        <f>IF($AT31=1,$AU31*'Verwerking Bouwdelen'!DP15,$AU31*'Verwerking Bouwdelen'!X15)</f>
        <v>0</v>
      </c>
      <c r="BA31" s="208">
        <f>IF($AT31=1,$AU31*'Verwerking Bouwdelen'!DQ15,$AU31*'Verwerking Bouwdelen'!Y15)</f>
        <v>0</v>
      </c>
      <c r="BB31" s="208">
        <f>IF($AT31=1,$AU31*'Verwerking Bouwdelen'!DR15,$AU31*'Verwerking Bouwdelen'!Z15)</f>
        <v>0</v>
      </c>
      <c r="BC31" s="208">
        <f>IF($AT31=1,$AU31*'Verwerking Bouwdelen'!DS15,$AU31*'Verwerking Bouwdelen'!AA15)</f>
        <v>0</v>
      </c>
      <c r="BD31" s="208">
        <f>IF($AT31=1,$AU31*'Verwerking Bouwdelen'!DT15,$AU31*'Verwerking Bouwdelen'!AB15)</f>
        <v>0</v>
      </c>
      <c r="BE31" s="208">
        <f>IF($AT31=1,$AU31*'Verwerking Bouwdelen'!DU15,$AU31*'Verwerking Bouwdelen'!AC15)</f>
        <v>0</v>
      </c>
      <c r="BF31" s="208">
        <f>IF($AT31=1,$AU31*'Verwerking Bouwdelen'!DV15,$AU31*'Verwerking Bouwdelen'!AD15)</f>
        <v>0</v>
      </c>
      <c r="BG31" s="208">
        <f>IF($AT31=1,$AU31*'Verwerking Bouwdelen'!DW15,$AU31*'Verwerking Bouwdelen'!AE15)</f>
        <v>0</v>
      </c>
      <c r="BH31" s="10">
        <f>IF(AV31=B31,0,'Verwerking Bouwdelen'!D15*AT31*AU31)</f>
        <v>0</v>
      </c>
      <c r="BI31" s="10">
        <f>AT31*AU31*'Verwerking Bouwdelen'!GH15</f>
        <v>0</v>
      </c>
      <c r="BJ31" s="10"/>
      <c r="BK31" s="10"/>
      <c r="BM31" s="125">
        <f>IF('Verwerking Bouwdelen'!C15=5,1,0)</f>
        <v>0</v>
      </c>
      <c r="BN31" s="130">
        <f>IF('Verwerking Bouwdelen'!A15=5,1,0)</f>
        <v>0</v>
      </c>
      <c r="BO31" s="208">
        <f>IF($BM31=1,$BN31*'Verwerking Bouwdelen'!DL15,$BN31*'Verwerking Bouwdelen'!T15)</f>
        <v>0</v>
      </c>
      <c r="BP31" s="208">
        <f>IF($BM31=1,$BN31*'Verwerking Bouwdelen'!DM15,$BN31*'Verwerking Bouwdelen'!U15)</f>
        <v>0</v>
      </c>
      <c r="BQ31" s="208">
        <f>IF($BM31=1,$BN31*'Verwerking Bouwdelen'!DN15,$BN31*'Verwerking Bouwdelen'!V15)</f>
        <v>0</v>
      </c>
      <c r="BR31" s="208">
        <f>IF($BM31=1,$BN31*'Verwerking Bouwdelen'!DO15,$BN31*'Verwerking Bouwdelen'!W15)</f>
        <v>0</v>
      </c>
      <c r="BS31" s="208">
        <f>IF($BM31=1,$BN31*'Verwerking Bouwdelen'!DP15,$BN31*'Verwerking Bouwdelen'!X15)</f>
        <v>0</v>
      </c>
      <c r="BT31" s="208">
        <f>IF($BM31=1,$BN31*'Verwerking Bouwdelen'!DQ15,$BN31*'Verwerking Bouwdelen'!Y15)</f>
        <v>0</v>
      </c>
      <c r="BU31" s="208">
        <f>IF($BM31=1,$BN31*'Verwerking Bouwdelen'!DR15,$BN31*'Verwerking Bouwdelen'!Z15)</f>
        <v>0</v>
      </c>
      <c r="BV31" s="208">
        <f>IF($BM31=1,$BN31*'Verwerking Bouwdelen'!DS15,$BN31*'Verwerking Bouwdelen'!AA15)</f>
        <v>0</v>
      </c>
      <c r="BW31" s="208">
        <f>IF($BM31=1,$BN31*'Verwerking Bouwdelen'!DT15,$BN31*'Verwerking Bouwdelen'!AB15)</f>
        <v>0</v>
      </c>
      <c r="BX31" s="208">
        <f>IF($BM31=1,$BN31*'Verwerking Bouwdelen'!DU15,$BN31*'Verwerking Bouwdelen'!AC15)</f>
        <v>0</v>
      </c>
      <c r="BY31" s="208">
        <f>IF($BM31=1,$BN31*'Verwerking Bouwdelen'!DV15,$BN31*'Verwerking Bouwdelen'!AD15)</f>
        <v>0</v>
      </c>
      <c r="BZ31" s="208">
        <f>IF($BM31=1,$BN31*'Verwerking Bouwdelen'!DW15,$BN31*'Verwerking Bouwdelen'!AE15)</f>
        <v>0</v>
      </c>
      <c r="CA31" s="10">
        <f>IF(BO31=$B31,0,'Verwerking Bouwdelen'!$D15*BM31*BN31)</f>
        <v>0</v>
      </c>
      <c r="CB31" s="10">
        <f>BM31*BN31*'Verwerking Bouwdelen'!GH15</f>
        <v>0</v>
      </c>
      <c r="CC31" s="10"/>
      <c r="CD31" s="248"/>
      <c r="CE31" s="125">
        <f>IF('Verwerking Bouwdelen'!C15=2,1,0)</f>
        <v>0</v>
      </c>
      <c r="CF31" s="130">
        <f>IF('Verwerking Bouwdelen'!A15=5,1,0)</f>
        <v>0</v>
      </c>
      <c r="CG31" s="208">
        <f>IF($CE31=1,$CF31*'Verwerking Bouwdelen'!DL15,$CF31*'Verwerking Bouwdelen'!T15)</f>
        <v>0</v>
      </c>
      <c r="CH31" s="208">
        <f>IF($CE31=1,$CF31*'Verwerking Bouwdelen'!DM15,$CF31*'Verwerking Bouwdelen'!U15)</f>
        <v>0</v>
      </c>
      <c r="CI31" s="208">
        <f>IF($CE31=1,$CF31*'Verwerking Bouwdelen'!DN15,$CF31*'Verwerking Bouwdelen'!V15)</f>
        <v>0</v>
      </c>
      <c r="CJ31" s="208">
        <f>IF($CE31=1,$CF31*'Verwerking Bouwdelen'!DO15,$CF31*'Verwerking Bouwdelen'!W15)</f>
        <v>0</v>
      </c>
      <c r="CK31" s="208">
        <f>IF($CE31=1,$CF31*'Verwerking Bouwdelen'!DP15,$CF31*'Verwerking Bouwdelen'!X15)</f>
        <v>0</v>
      </c>
      <c r="CL31" s="208">
        <f>IF($CE31=1,$CF31*'Verwerking Bouwdelen'!DQ15,$CF31*'Verwerking Bouwdelen'!Y15)</f>
        <v>0</v>
      </c>
      <c r="CM31" s="208">
        <f>IF($CE31=1,$CF31*'Verwerking Bouwdelen'!DR15,$CF31*'Verwerking Bouwdelen'!Z15)</f>
        <v>0</v>
      </c>
      <c r="CN31" s="208">
        <f>IF($CE31=1,$CF31*'Verwerking Bouwdelen'!DS15,$CF31*'Verwerking Bouwdelen'!AA15)</f>
        <v>0</v>
      </c>
      <c r="CO31" s="208">
        <f>IF($CE31=1,$CF31*'Verwerking Bouwdelen'!DT15,$CF31*'Verwerking Bouwdelen'!AB15)</f>
        <v>0</v>
      </c>
      <c r="CP31" s="208">
        <f>IF($CE31=1,$CF31*'Verwerking Bouwdelen'!DU15,$CF31*'Verwerking Bouwdelen'!AC15)</f>
        <v>0</v>
      </c>
      <c r="CQ31" s="208">
        <f>IF($CE31=1,$CF31*'Verwerking Bouwdelen'!DV15,$CF31*'Verwerking Bouwdelen'!AD15)</f>
        <v>0</v>
      </c>
      <c r="CR31" s="208">
        <f>IF($CE31=1,$CF31*'Verwerking Bouwdelen'!DW15,$CF31*'Verwerking Bouwdelen'!AE15)</f>
        <v>0</v>
      </c>
      <c r="CS31" s="10">
        <f>IF(CG31=$B31,0,('Verwerking Bouwdelen'!$D15-'Verwerking Bouwdelen'!G15)*CE31*CF31)</f>
        <v>0</v>
      </c>
      <c r="CT31" s="261">
        <f>CE31*CF31*'Verwerking Bouwdelen'!$GH$3</f>
        <v>0</v>
      </c>
      <c r="CU31" s="261">
        <f>CE31*CF31*'Verwerking Bouwdelen'!GI15</f>
        <v>0</v>
      </c>
      <c r="CW31" s="209">
        <f>$AC31*'Verwerking Bouwdelen'!EE15</f>
        <v>0</v>
      </c>
      <c r="CX31" s="209">
        <f>$AC31*'Verwerking Bouwdelen'!EF15</f>
        <v>0</v>
      </c>
      <c r="CY31" s="209">
        <f>$AC31*'Verwerking Bouwdelen'!EG15</f>
        <v>0</v>
      </c>
      <c r="CZ31" s="209">
        <f>$AC31*'Verwerking Bouwdelen'!EH15</f>
        <v>0</v>
      </c>
      <c r="DA31" s="209">
        <f>$AC31*'Verwerking Bouwdelen'!EI15</f>
        <v>0</v>
      </c>
      <c r="DB31" s="209">
        <f>$AC31*'Verwerking Bouwdelen'!EJ15</f>
        <v>0</v>
      </c>
      <c r="DC31" s="209">
        <f>$AC31*'Verwerking Bouwdelen'!EK15</f>
        <v>0</v>
      </c>
      <c r="DD31" s="209">
        <f>$AC31*'Verwerking Bouwdelen'!EL15</f>
        <v>0</v>
      </c>
      <c r="DE31" s="209">
        <f>$AC31*'Verwerking Bouwdelen'!EM15</f>
        <v>0</v>
      </c>
      <c r="DF31" s="209">
        <f>$AC31*'Verwerking Bouwdelen'!EN15</f>
        <v>0</v>
      </c>
      <c r="DG31" s="209">
        <f>$AC31*'Verwerking Bouwdelen'!EO15</f>
        <v>0</v>
      </c>
      <c r="DH31" s="209">
        <f>$AC31*'Verwerking Bouwdelen'!EP15</f>
        <v>0</v>
      </c>
      <c r="DI31" s="10">
        <f>IF(CW31=$O31,0,'Verwerking Bouwdelen'!G15)</f>
        <v>0</v>
      </c>
      <c r="DJ31" s="259">
        <f>'Verwerking Bouwdelen'!GK15*CF31</f>
        <v>0</v>
      </c>
      <c r="DK31" s="259">
        <f>'Verwerking Bouwdelen'!GL15*CF31</f>
        <v>0</v>
      </c>
      <c r="DL31" s="125"/>
      <c r="FZ31" s="89">
        <f>IF('Verwerken verlichting'!B27=5,1,0)</f>
        <v>0</v>
      </c>
      <c r="GA31" s="89">
        <f>$FZ31*'Verwerken verlichting'!BX27</f>
        <v>0</v>
      </c>
      <c r="GB31" s="89">
        <f>$FZ31*'Verwerken verlichting'!BY27</f>
        <v>0</v>
      </c>
      <c r="GC31" s="89">
        <f>$FZ31*'Verwerken verlichting'!BZ27</f>
        <v>0</v>
      </c>
      <c r="GD31" s="89">
        <f>$FZ31*'Verwerken verlichting'!CA27</f>
        <v>0</v>
      </c>
      <c r="GE31" s="89">
        <f>$FZ31*'Verwerken verlichting'!CB27</f>
        <v>0</v>
      </c>
      <c r="GF31" s="89">
        <f>$FZ31*'Verwerken verlichting'!CC27</f>
        <v>0</v>
      </c>
      <c r="GG31" s="89">
        <f>FZ31*'Invoer verlichting'!N26</f>
        <v>0</v>
      </c>
      <c r="GH31" s="89">
        <f>FZ31*'Verwerken verlichting'!AH27</f>
        <v>0</v>
      </c>
      <c r="GI31" s="89">
        <f>FZ31*'Verwerken verlichting'!AG27</f>
        <v>0</v>
      </c>
      <c r="GJ31" s="89">
        <f>FZ31*'Verwerken verlichting'!CE27</f>
        <v>0</v>
      </c>
      <c r="GM31" s="89">
        <f t="shared" si="13"/>
        <v>0</v>
      </c>
      <c r="GN31" s="89">
        <f t="shared" si="14"/>
        <v>0</v>
      </c>
      <c r="GO31" s="208">
        <f>IF($GN31=1,$GN31*$GM31*'Verwerking Bouwdelen'!DL15,$GN31*$GM31*'Verwerking Bouwdelen'!T15)</f>
        <v>0</v>
      </c>
      <c r="GP31" s="208">
        <f>IF($GN31=1,$GN31*$GM31*'Verwerking Bouwdelen'!DM15,$GN31*$GM31*'Verwerking Bouwdelen'!U15)</f>
        <v>0</v>
      </c>
      <c r="GQ31" s="208">
        <f>IF($GN31=1,$GN31*$GM31*'Verwerking Bouwdelen'!DN15,$GN31*$GM31*'Verwerking Bouwdelen'!V15)</f>
        <v>0</v>
      </c>
      <c r="GR31" s="208">
        <f>IF($GN31=1,$GN31*$GM31*'Verwerking Bouwdelen'!DO15,$GN31*$GM31*'Verwerking Bouwdelen'!W15)</f>
        <v>0</v>
      </c>
      <c r="GS31" s="208">
        <f>IF($GN31=1,$GN31*$GM31*'Verwerking Bouwdelen'!DP15,$GN31*$GM31*'Verwerking Bouwdelen'!X15)</f>
        <v>0</v>
      </c>
      <c r="GT31" s="208">
        <f>IF($GN31=1,$GN31*$GM31*'Verwerking Bouwdelen'!DQ15,$GN31*$GM31*'Verwerking Bouwdelen'!Y15)</f>
        <v>0</v>
      </c>
      <c r="GU31" s="208">
        <f>IF($GN31=1,$GN31*$GM31*'Verwerking Bouwdelen'!DR15,$GN31*$GM31*'Verwerking Bouwdelen'!Z15)</f>
        <v>0</v>
      </c>
      <c r="GV31" s="208">
        <f>IF($GN31=1,$GN31*$GM31*'Verwerking Bouwdelen'!DS15,$GN31*$GM31*'Verwerking Bouwdelen'!AA15)</f>
        <v>0</v>
      </c>
      <c r="GW31" s="208">
        <f>IF($GN31=1,$GN31*$GM31*'Verwerking Bouwdelen'!DT15,$GN31*$GM31*'Verwerking Bouwdelen'!AB15)</f>
        <v>0</v>
      </c>
      <c r="GX31" s="208">
        <f>IF($GN31=1,$GN31*$GM31*'Verwerking Bouwdelen'!DU15,$GN31*$GM31*'Verwerking Bouwdelen'!AC15)</f>
        <v>0</v>
      </c>
      <c r="GY31" s="208">
        <f>IF($GN31=1,$GN31*$GM31*'Verwerking Bouwdelen'!DV15,$GN31*$GM31*'Verwerking Bouwdelen'!AD15)</f>
        <v>0</v>
      </c>
      <c r="GZ31" s="208">
        <f>IF($GN31=1,$GN31*$GM31*'Verwerking Bouwdelen'!DW15,$GN31*$GM31*'Verwerking Bouwdelen'!AE15)</f>
        <v>0</v>
      </c>
      <c r="HB31" s="89">
        <f t="shared" si="1"/>
        <v>0</v>
      </c>
      <c r="HC31" s="89">
        <f t="shared" si="2"/>
        <v>0</v>
      </c>
      <c r="HD31" s="89">
        <f t="shared" si="3"/>
        <v>0</v>
      </c>
      <c r="HE31" s="89">
        <f t="shared" si="4"/>
        <v>0</v>
      </c>
      <c r="HF31" s="89">
        <f t="shared" si="5"/>
        <v>0</v>
      </c>
      <c r="HG31" s="89">
        <f t="shared" si="6"/>
        <v>0</v>
      </c>
      <c r="HH31" s="89">
        <f t="shared" si="7"/>
        <v>0</v>
      </c>
      <c r="HI31" s="89">
        <f t="shared" si="8"/>
        <v>0</v>
      </c>
      <c r="HJ31" s="89">
        <f t="shared" si="9"/>
        <v>0</v>
      </c>
      <c r="HK31" s="89">
        <f t="shared" si="10"/>
        <v>0</v>
      </c>
      <c r="HL31" s="89">
        <f t="shared" si="11"/>
        <v>0</v>
      </c>
      <c r="HM31" s="89">
        <f t="shared" si="12"/>
        <v>0</v>
      </c>
    </row>
    <row r="32" spans="1:221" x14ac:dyDescent="0.2">
      <c r="A32" s="130">
        <f>IF('Verwerking Bouwdelen'!A16=5,1,0)</f>
        <v>0</v>
      </c>
      <c r="B32" s="208">
        <f>$A32*'Verwerking Bouwdelen'!T16</f>
        <v>0</v>
      </c>
      <c r="C32" s="208">
        <f>$A32*'Verwerking Bouwdelen'!U16</f>
        <v>0</v>
      </c>
      <c r="D32" s="208">
        <f>$A32*'Verwerking Bouwdelen'!V16</f>
        <v>0</v>
      </c>
      <c r="E32" s="208">
        <f>$A32*'Verwerking Bouwdelen'!W16</f>
        <v>0</v>
      </c>
      <c r="F32" s="208">
        <f>$A32*'Verwerking Bouwdelen'!X16</f>
        <v>0</v>
      </c>
      <c r="G32" s="208">
        <f>$A32*'Verwerking Bouwdelen'!Y16</f>
        <v>0</v>
      </c>
      <c r="H32" s="208">
        <f>$A32*'Verwerking Bouwdelen'!Z16</f>
        <v>0</v>
      </c>
      <c r="I32" s="208">
        <f>$A32*'Verwerking Bouwdelen'!AA16</f>
        <v>0</v>
      </c>
      <c r="J32" s="208">
        <f>$A32*'Verwerking Bouwdelen'!AB16</f>
        <v>0</v>
      </c>
      <c r="K32" s="208">
        <f>$A32*'Verwerking Bouwdelen'!AC16</f>
        <v>0</v>
      </c>
      <c r="L32" s="208">
        <f>$A32*'Verwerking Bouwdelen'!AD16</f>
        <v>0</v>
      </c>
      <c r="M32" s="208">
        <f>$A32*'Verwerking Bouwdelen'!AE16</f>
        <v>0</v>
      </c>
      <c r="O32" s="114">
        <f>$A32*'Verwerking Bouwdelen'!AU16</f>
        <v>0</v>
      </c>
      <c r="P32" s="125">
        <f>$A32*'Verwerking Bouwdelen'!AV16</f>
        <v>0</v>
      </c>
      <c r="Q32" s="125">
        <f>$A32*'Verwerking Bouwdelen'!AW16</f>
        <v>0</v>
      </c>
      <c r="R32" s="125">
        <f>$A32*'Verwerking Bouwdelen'!AX16</f>
        <v>0</v>
      </c>
      <c r="S32" s="125">
        <f>$A32*'Verwerking Bouwdelen'!AY16</f>
        <v>0</v>
      </c>
      <c r="T32" s="125">
        <f>$A32*'Verwerking Bouwdelen'!AZ16</f>
        <v>0</v>
      </c>
      <c r="U32" s="125">
        <f>$A32*'Verwerking Bouwdelen'!BA16</f>
        <v>0</v>
      </c>
      <c r="V32" s="125">
        <f>$A32*'Verwerking Bouwdelen'!BB16</f>
        <v>0</v>
      </c>
      <c r="W32" s="125">
        <f>$A32*'Verwerking Bouwdelen'!BC16</f>
        <v>0</v>
      </c>
      <c r="X32" s="125">
        <f>$A32*'Verwerking Bouwdelen'!BD16</f>
        <v>0</v>
      </c>
      <c r="Y32" s="125">
        <f>$A32*'Verwerking Bouwdelen'!BE16</f>
        <v>0</v>
      </c>
      <c r="Z32" s="195">
        <f>$A32*'Verwerking Bouwdelen'!BF16</f>
        <v>0</v>
      </c>
      <c r="AB32" s="125">
        <f>IF(OR('Verwerking Bouwdelen'!C16=3,'Verwerking Bouwdelen'!C16=6),1,0)</f>
        <v>0</v>
      </c>
      <c r="AC32" s="130">
        <f>IF('Verwerking Bouwdelen'!A16=5,1,0)</f>
        <v>0</v>
      </c>
      <c r="AD32" s="208">
        <f>IF($AB32=1,$AC32*'Verwerking Bouwdelen'!DL16,$AC32*'Verwerking Bouwdelen'!T16)</f>
        <v>0</v>
      </c>
      <c r="AE32" s="208">
        <f>IF($AB32=1,$AC32*'Verwerking Bouwdelen'!DM16,$AC32*'Verwerking Bouwdelen'!U16)</f>
        <v>0</v>
      </c>
      <c r="AF32" s="208">
        <f>IF($AB32=1,$AC32*'Verwerking Bouwdelen'!DN16,$AC32*'Verwerking Bouwdelen'!V16)</f>
        <v>0</v>
      </c>
      <c r="AG32" s="208">
        <f>IF($AB32=1,$AC32*'Verwerking Bouwdelen'!DO16,$AC32*'Verwerking Bouwdelen'!W16)</f>
        <v>0</v>
      </c>
      <c r="AH32" s="208">
        <f>IF($AB32=1,$AC32*'Verwerking Bouwdelen'!DP16,$AC32*'Verwerking Bouwdelen'!X16)</f>
        <v>0</v>
      </c>
      <c r="AI32" s="208">
        <f>IF($AB32=1,$AC32*'Verwerking Bouwdelen'!DQ16,$AC32*'Verwerking Bouwdelen'!Y16)</f>
        <v>0</v>
      </c>
      <c r="AJ32" s="208">
        <f>IF($AB32=1,$AC32*'Verwerking Bouwdelen'!DR16,$AC32*'Verwerking Bouwdelen'!Z16)</f>
        <v>0</v>
      </c>
      <c r="AK32" s="208">
        <f>IF($AB32=1,$AC32*'Verwerking Bouwdelen'!DS16,$AC32*'Verwerking Bouwdelen'!AA16)</f>
        <v>0</v>
      </c>
      <c r="AL32" s="208">
        <f>IF($AB32=1,$AC32*'Verwerking Bouwdelen'!DT16,$AC32*'Verwerking Bouwdelen'!AB16)</f>
        <v>0</v>
      </c>
      <c r="AM32" s="208">
        <f>IF($AB32=1,$AC32*'Verwerking Bouwdelen'!DU16,$AC32*'Verwerking Bouwdelen'!AC16)</f>
        <v>0</v>
      </c>
      <c r="AN32" s="208">
        <f>IF($AB32=1,$AC32*'Verwerking Bouwdelen'!DV16,$AC32*'Verwerking Bouwdelen'!AD16)</f>
        <v>0</v>
      </c>
      <c r="AO32" s="208">
        <f>IF($AB32=1,$AC32*'Verwerking Bouwdelen'!DW16,$AC32*'Verwerking Bouwdelen'!AE16)</f>
        <v>0</v>
      </c>
      <c r="AP32" s="10">
        <f>IF(AD32=B32,0,'Verwerking Bouwdelen'!D16*AB32*AC32)</f>
        <v>0</v>
      </c>
      <c r="AQ32" s="10">
        <f>AB32*AC32*'Verwerking Bouwdelen'!GH16</f>
        <v>0</v>
      </c>
      <c r="AR32" s="10"/>
      <c r="AS32" s="248"/>
      <c r="AT32" s="125">
        <f>IF('Verwerking Bouwdelen'!C16=4,1,0)</f>
        <v>0</v>
      </c>
      <c r="AU32" s="130">
        <f>IF('Verwerking Bouwdelen'!A16=5,1,0)</f>
        <v>0</v>
      </c>
      <c r="AV32" s="208">
        <f>IF($AT32=1,$AU32*'Verwerking Bouwdelen'!DL16,$AU32*'Verwerking Bouwdelen'!T16)</f>
        <v>0</v>
      </c>
      <c r="AW32" s="208">
        <f>IF($AT32=1,$AU32*'Verwerking Bouwdelen'!DM16,$AU32*'Verwerking Bouwdelen'!U16)</f>
        <v>0</v>
      </c>
      <c r="AX32" s="208">
        <f>IF($AT32=1,$AU32*'Verwerking Bouwdelen'!DN16,$AU32*'Verwerking Bouwdelen'!V16)</f>
        <v>0</v>
      </c>
      <c r="AY32" s="208">
        <f>IF($AT32=1,$AU32*'Verwerking Bouwdelen'!DO16,$AU32*'Verwerking Bouwdelen'!W16)</f>
        <v>0</v>
      </c>
      <c r="AZ32" s="208">
        <f>IF($AT32=1,$AU32*'Verwerking Bouwdelen'!DP16,$AU32*'Verwerking Bouwdelen'!X16)</f>
        <v>0</v>
      </c>
      <c r="BA32" s="208">
        <f>IF($AT32=1,$AU32*'Verwerking Bouwdelen'!DQ16,$AU32*'Verwerking Bouwdelen'!Y16)</f>
        <v>0</v>
      </c>
      <c r="BB32" s="208">
        <f>IF($AT32=1,$AU32*'Verwerking Bouwdelen'!DR16,$AU32*'Verwerking Bouwdelen'!Z16)</f>
        <v>0</v>
      </c>
      <c r="BC32" s="208">
        <f>IF($AT32=1,$AU32*'Verwerking Bouwdelen'!DS16,$AU32*'Verwerking Bouwdelen'!AA16)</f>
        <v>0</v>
      </c>
      <c r="BD32" s="208">
        <f>IF($AT32=1,$AU32*'Verwerking Bouwdelen'!DT16,$AU32*'Verwerking Bouwdelen'!AB16)</f>
        <v>0</v>
      </c>
      <c r="BE32" s="208">
        <f>IF($AT32=1,$AU32*'Verwerking Bouwdelen'!DU16,$AU32*'Verwerking Bouwdelen'!AC16)</f>
        <v>0</v>
      </c>
      <c r="BF32" s="208">
        <f>IF($AT32=1,$AU32*'Verwerking Bouwdelen'!DV16,$AU32*'Verwerking Bouwdelen'!AD16)</f>
        <v>0</v>
      </c>
      <c r="BG32" s="208">
        <f>IF($AT32=1,$AU32*'Verwerking Bouwdelen'!DW16,$AU32*'Verwerking Bouwdelen'!AE16)</f>
        <v>0</v>
      </c>
      <c r="BH32" s="10">
        <f>IF(AV32=B32,0,'Verwerking Bouwdelen'!D16*AT32*AU32)</f>
        <v>0</v>
      </c>
      <c r="BI32" s="10">
        <f>AT32*AU32*'Verwerking Bouwdelen'!GH16</f>
        <v>0</v>
      </c>
      <c r="BJ32" s="10"/>
      <c r="BK32" s="10"/>
      <c r="BM32" s="125">
        <f>IF('Verwerking Bouwdelen'!C16=5,1,0)</f>
        <v>0</v>
      </c>
      <c r="BN32" s="130">
        <f>IF('Verwerking Bouwdelen'!A16=5,1,0)</f>
        <v>0</v>
      </c>
      <c r="BO32" s="208">
        <f>IF($BM32=1,$BN32*'Verwerking Bouwdelen'!DL16,$BN32*'Verwerking Bouwdelen'!T16)</f>
        <v>0</v>
      </c>
      <c r="BP32" s="208">
        <f>IF($BM32=1,$BN32*'Verwerking Bouwdelen'!DM16,$BN32*'Verwerking Bouwdelen'!U16)</f>
        <v>0</v>
      </c>
      <c r="BQ32" s="208">
        <f>IF($BM32=1,$BN32*'Verwerking Bouwdelen'!DN16,$BN32*'Verwerking Bouwdelen'!V16)</f>
        <v>0</v>
      </c>
      <c r="BR32" s="208">
        <f>IF($BM32=1,$BN32*'Verwerking Bouwdelen'!DO16,$BN32*'Verwerking Bouwdelen'!W16)</f>
        <v>0</v>
      </c>
      <c r="BS32" s="208">
        <f>IF($BM32=1,$BN32*'Verwerking Bouwdelen'!DP16,$BN32*'Verwerking Bouwdelen'!X16)</f>
        <v>0</v>
      </c>
      <c r="BT32" s="208">
        <f>IF($BM32=1,$BN32*'Verwerking Bouwdelen'!DQ16,$BN32*'Verwerking Bouwdelen'!Y16)</f>
        <v>0</v>
      </c>
      <c r="BU32" s="208">
        <f>IF($BM32=1,$BN32*'Verwerking Bouwdelen'!DR16,$BN32*'Verwerking Bouwdelen'!Z16)</f>
        <v>0</v>
      </c>
      <c r="BV32" s="208">
        <f>IF($BM32=1,$BN32*'Verwerking Bouwdelen'!DS16,$BN32*'Verwerking Bouwdelen'!AA16)</f>
        <v>0</v>
      </c>
      <c r="BW32" s="208">
        <f>IF($BM32=1,$BN32*'Verwerking Bouwdelen'!DT16,$BN32*'Verwerking Bouwdelen'!AB16)</f>
        <v>0</v>
      </c>
      <c r="BX32" s="208">
        <f>IF($BM32=1,$BN32*'Verwerking Bouwdelen'!DU16,$BN32*'Verwerking Bouwdelen'!AC16)</f>
        <v>0</v>
      </c>
      <c r="BY32" s="208">
        <f>IF($BM32=1,$BN32*'Verwerking Bouwdelen'!DV16,$BN32*'Verwerking Bouwdelen'!AD16)</f>
        <v>0</v>
      </c>
      <c r="BZ32" s="208">
        <f>IF($BM32=1,$BN32*'Verwerking Bouwdelen'!DW16,$BN32*'Verwerking Bouwdelen'!AE16)</f>
        <v>0</v>
      </c>
      <c r="CA32" s="10">
        <f>IF(BO32=$B32,0,'Verwerking Bouwdelen'!$D16*BM32*BN32)</f>
        <v>0</v>
      </c>
      <c r="CB32" s="10">
        <f>BM32*BN32*'Verwerking Bouwdelen'!GH16</f>
        <v>0</v>
      </c>
      <c r="CC32" s="10"/>
      <c r="CD32" s="248"/>
      <c r="CE32" s="125">
        <f>IF('Verwerking Bouwdelen'!C16=2,1,0)</f>
        <v>0</v>
      </c>
      <c r="CF32" s="130">
        <f>IF('Verwerking Bouwdelen'!A16=5,1,0)</f>
        <v>0</v>
      </c>
      <c r="CG32" s="208">
        <f>IF($CE32=1,$CF32*'Verwerking Bouwdelen'!DL16,$CF32*'Verwerking Bouwdelen'!T16)</f>
        <v>0</v>
      </c>
      <c r="CH32" s="208">
        <f>IF($CE32=1,$CF32*'Verwerking Bouwdelen'!DM16,$CF32*'Verwerking Bouwdelen'!U16)</f>
        <v>0</v>
      </c>
      <c r="CI32" s="208">
        <f>IF($CE32=1,$CF32*'Verwerking Bouwdelen'!DN16,$CF32*'Verwerking Bouwdelen'!V16)</f>
        <v>0</v>
      </c>
      <c r="CJ32" s="208">
        <f>IF($CE32=1,$CF32*'Verwerking Bouwdelen'!DO16,$CF32*'Verwerking Bouwdelen'!W16)</f>
        <v>0</v>
      </c>
      <c r="CK32" s="208">
        <f>IF($CE32=1,$CF32*'Verwerking Bouwdelen'!DP16,$CF32*'Verwerking Bouwdelen'!X16)</f>
        <v>0</v>
      </c>
      <c r="CL32" s="208">
        <f>IF($CE32=1,$CF32*'Verwerking Bouwdelen'!DQ16,$CF32*'Verwerking Bouwdelen'!Y16)</f>
        <v>0</v>
      </c>
      <c r="CM32" s="208">
        <f>IF($CE32=1,$CF32*'Verwerking Bouwdelen'!DR16,$CF32*'Verwerking Bouwdelen'!Z16)</f>
        <v>0</v>
      </c>
      <c r="CN32" s="208">
        <f>IF($CE32=1,$CF32*'Verwerking Bouwdelen'!DS16,$CF32*'Verwerking Bouwdelen'!AA16)</f>
        <v>0</v>
      </c>
      <c r="CO32" s="208">
        <f>IF($CE32=1,$CF32*'Verwerking Bouwdelen'!DT16,$CF32*'Verwerking Bouwdelen'!AB16)</f>
        <v>0</v>
      </c>
      <c r="CP32" s="208">
        <f>IF($CE32=1,$CF32*'Verwerking Bouwdelen'!DU16,$CF32*'Verwerking Bouwdelen'!AC16)</f>
        <v>0</v>
      </c>
      <c r="CQ32" s="208">
        <f>IF($CE32=1,$CF32*'Verwerking Bouwdelen'!DV16,$CF32*'Verwerking Bouwdelen'!AD16)</f>
        <v>0</v>
      </c>
      <c r="CR32" s="208">
        <f>IF($CE32=1,$CF32*'Verwerking Bouwdelen'!DW16,$CF32*'Verwerking Bouwdelen'!AE16)</f>
        <v>0</v>
      </c>
      <c r="CS32" s="10">
        <f>IF(CG32=$B32,0,('Verwerking Bouwdelen'!$D16-'Verwerking Bouwdelen'!G16)*CE32*CF32)</f>
        <v>0</v>
      </c>
      <c r="CT32" s="261">
        <f>CE32*CF32*'Verwerking Bouwdelen'!$GH$3</f>
        <v>0</v>
      </c>
      <c r="CU32" s="261">
        <f>CE32*CF32*'Verwerking Bouwdelen'!GI16</f>
        <v>0</v>
      </c>
      <c r="CW32" s="209">
        <f>$AC32*'Verwerking Bouwdelen'!EE16</f>
        <v>0</v>
      </c>
      <c r="CX32" s="209">
        <f>$AC32*'Verwerking Bouwdelen'!EF16</f>
        <v>0</v>
      </c>
      <c r="CY32" s="209">
        <f>$AC32*'Verwerking Bouwdelen'!EG16</f>
        <v>0</v>
      </c>
      <c r="CZ32" s="209">
        <f>$AC32*'Verwerking Bouwdelen'!EH16</f>
        <v>0</v>
      </c>
      <c r="DA32" s="209">
        <f>$AC32*'Verwerking Bouwdelen'!EI16</f>
        <v>0</v>
      </c>
      <c r="DB32" s="209">
        <f>$AC32*'Verwerking Bouwdelen'!EJ16</f>
        <v>0</v>
      </c>
      <c r="DC32" s="209">
        <f>$AC32*'Verwerking Bouwdelen'!EK16</f>
        <v>0</v>
      </c>
      <c r="DD32" s="209">
        <f>$AC32*'Verwerking Bouwdelen'!EL16</f>
        <v>0</v>
      </c>
      <c r="DE32" s="209">
        <f>$AC32*'Verwerking Bouwdelen'!EM16</f>
        <v>0</v>
      </c>
      <c r="DF32" s="209">
        <f>$AC32*'Verwerking Bouwdelen'!EN16</f>
        <v>0</v>
      </c>
      <c r="DG32" s="209">
        <f>$AC32*'Verwerking Bouwdelen'!EO16</f>
        <v>0</v>
      </c>
      <c r="DH32" s="209">
        <f>$AC32*'Verwerking Bouwdelen'!EP16</f>
        <v>0</v>
      </c>
      <c r="DI32" s="10">
        <f>IF(CW32=$O32,0,'Verwerking Bouwdelen'!G16)</f>
        <v>0</v>
      </c>
      <c r="DJ32" s="259">
        <f>'Verwerking Bouwdelen'!GK16*CF32</f>
        <v>0</v>
      </c>
      <c r="DK32" s="259">
        <f>'Verwerking Bouwdelen'!GL16*CF32</f>
        <v>0</v>
      </c>
      <c r="DL32" s="125"/>
      <c r="FZ32" s="89">
        <f>IF('Verwerken verlichting'!B28=5,1,0)</f>
        <v>0</v>
      </c>
      <c r="GA32" s="89">
        <f>$FZ32*'Verwerken verlichting'!BX28</f>
        <v>0</v>
      </c>
      <c r="GB32" s="89">
        <f>$FZ32*'Verwerken verlichting'!BY28</f>
        <v>0</v>
      </c>
      <c r="GC32" s="89">
        <f>$FZ32*'Verwerken verlichting'!BZ28</f>
        <v>0</v>
      </c>
      <c r="GD32" s="89">
        <f>$FZ32*'Verwerken verlichting'!CA28</f>
        <v>0</v>
      </c>
      <c r="GE32" s="89">
        <f>$FZ32*'Verwerken verlichting'!CB28</f>
        <v>0</v>
      </c>
      <c r="GF32" s="89">
        <f>$FZ32*'Verwerken verlichting'!CC28</f>
        <v>0</v>
      </c>
      <c r="GG32" s="89">
        <f>FZ32*'Invoer verlichting'!N27</f>
        <v>0</v>
      </c>
      <c r="GH32" s="89">
        <f>FZ32*'Verwerken verlichting'!AH28</f>
        <v>0</v>
      </c>
      <c r="GI32" s="89">
        <f>FZ32*'Verwerken verlichting'!AG28</f>
        <v>0</v>
      </c>
      <c r="GJ32" s="89">
        <f>FZ32*'Verwerken verlichting'!CE28</f>
        <v>0</v>
      </c>
      <c r="GM32" s="89">
        <f t="shared" si="13"/>
        <v>0</v>
      </c>
      <c r="GN32" s="89">
        <f t="shared" si="14"/>
        <v>0</v>
      </c>
      <c r="GO32" s="208">
        <f>IF($GN32=1,$GN32*$GM32*'Verwerking Bouwdelen'!DL16,$GN32*$GM32*'Verwerking Bouwdelen'!T16)</f>
        <v>0</v>
      </c>
      <c r="GP32" s="208">
        <f>IF($GN32=1,$GN32*$GM32*'Verwerking Bouwdelen'!DM16,$GN32*$GM32*'Verwerking Bouwdelen'!U16)</f>
        <v>0</v>
      </c>
      <c r="GQ32" s="208">
        <f>IF($GN32=1,$GN32*$GM32*'Verwerking Bouwdelen'!DN16,$GN32*$GM32*'Verwerking Bouwdelen'!V16)</f>
        <v>0</v>
      </c>
      <c r="GR32" s="208">
        <f>IF($GN32=1,$GN32*$GM32*'Verwerking Bouwdelen'!DO16,$GN32*$GM32*'Verwerking Bouwdelen'!W16)</f>
        <v>0</v>
      </c>
      <c r="GS32" s="208">
        <f>IF($GN32=1,$GN32*$GM32*'Verwerking Bouwdelen'!DP16,$GN32*$GM32*'Verwerking Bouwdelen'!X16)</f>
        <v>0</v>
      </c>
      <c r="GT32" s="208">
        <f>IF($GN32=1,$GN32*$GM32*'Verwerking Bouwdelen'!DQ16,$GN32*$GM32*'Verwerking Bouwdelen'!Y16)</f>
        <v>0</v>
      </c>
      <c r="GU32" s="208">
        <f>IF($GN32=1,$GN32*$GM32*'Verwerking Bouwdelen'!DR16,$GN32*$GM32*'Verwerking Bouwdelen'!Z16)</f>
        <v>0</v>
      </c>
      <c r="GV32" s="208">
        <f>IF($GN32=1,$GN32*$GM32*'Verwerking Bouwdelen'!DS16,$GN32*$GM32*'Verwerking Bouwdelen'!AA16)</f>
        <v>0</v>
      </c>
      <c r="GW32" s="208">
        <f>IF($GN32=1,$GN32*$GM32*'Verwerking Bouwdelen'!DT16,$GN32*$GM32*'Verwerking Bouwdelen'!AB16)</f>
        <v>0</v>
      </c>
      <c r="GX32" s="208">
        <f>IF($GN32=1,$GN32*$GM32*'Verwerking Bouwdelen'!DU16,$GN32*$GM32*'Verwerking Bouwdelen'!AC16)</f>
        <v>0</v>
      </c>
      <c r="GY32" s="208">
        <f>IF($GN32=1,$GN32*$GM32*'Verwerking Bouwdelen'!DV16,$GN32*$GM32*'Verwerking Bouwdelen'!AD16)</f>
        <v>0</v>
      </c>
      <c r="GZ32" s="208">
        <f>IF($GN32=1,$GN32*$GM32*'Verwerking Bouwdelen'!DW16,$GN32*$GM32*'Verwerking Bouwdelen'!AE16)</f>
        <v>0</v>
      </c>
      <c r="HB32" s="89">
        <f t="shared" si="1"/>
        <v>0</v>
      </c>
      <c r="HC32" s="89">
        <f t="shared" si="2"/>
        <v>0</v>
      </c>
      <c r="HD32" s="89">
        <f t="shared" si="3"/>
        <v>0</v>
      </c>
      <c r="HE32" s="89">
        <f t="shared" si="4"/>
        <v>0</v>
      </c>
      <c r="HF32" s="89">
        <f t="shared" si="5"/>
        <v>0</v>
      </c>
      <c r="HG32" s="89">
        <f t="shared" si="6"/>
        <v>0</v>
      </c>
      <c r="HH32" s="89">
        <f t="shared" si="7"/>
        <v>0</v>
      </c>
      <c r="HI32" s="89">
        <f t="shared" si="8"/>
        <v>0</v>
      </c>
      <c r="HJ32" s="89">
        <f t="shared" si="9"/>
        <v>0</v>
      </c>
      <c r="HK32" s="89">
        <f t="shared" si="10"/>
        <v>0</v>
      </c>
      <c r="HL32" s="89">
        <f t="shared" si="11"/>
        <v>0</v>
      </c>
      <c r="HM32" s="89">
        <f t="shared" si="12"/>
        <v>0</v>
      </c>
    </row>
    <row r="33" spans="1:221" x14ac:dyDescent="0.2">
      <c r="A33" s="130">
        <f>IF('Verwerking Bouwdelen'!A17=5,1,0)</f>
        <v>0</v>
      </c>
      <c r="B33" s="208">
        <f>$A33*'Verwerking Bouwdelen'!T17</f>
        <v>0</v>
      </c>
      <c r="C33" s="208">
        <f>$A33*'Verwerking Bouwdelen'!U17</f>
        <v>0</v>
      </c>
      <c r="D33" s="208">
        <f>$A33*'Verwerking Bouwdelen'!V17</f>
        <v>0</v>
      </c>
      <c r="E33" s="208">
        <f>$A33*'Verwerking Bouwdelen'!W17</f>
        <v>0</v>
      </c>
      <c r="F33" s="208">
        <f>$A33*'Verwerking Bouwdelen'!X17</f>
        <v>0</v>
      </c>
      <c r="G33" s="208">
        <f>$A33*'Verwerking Bouwdelen'!Y17</f>
        <v>0</v>
      </c>
      <c r="H33" s="208">
        <f>$A33*'Verwerking Bouwdelen'!Z17</f>
        <v>0</v>
      </c>
      <c r="I33" s="208">
        <f>$A33*'Verwerking Bouwdelen'!AA17</f>
        <v>0</v>
      </c>
      <c r="J33" s="208">
        <f>$A33*'Verwerking Bouwdelen'!AB17</f>
        <v>0</v>
      </c>
      <c r="K33" s="208">
        <f>$A33*'Verwerking Bouwdelen'!AC17</f>
        <v>0</v>
      </c>
      <c r="L33" s="208">
        <f>$A33*'Verwerking Bouwdelen'!AD17</f>
        <v>0</v>
      </c>
      <c r="M33" s="208">
        <f>$A33*'Verwerking Bouwdelen'!AE17</f>
        <v>0</v>
      </c>
      <c r="O33" s="114">
        <f>$A33*'Verwerking Bouwdelen'!AU17</f>
        <v>0</v>
      </c>
      <c r="P33" s="125">
        <f>$A33*'Verwerking Bouwdelen'!AV17</f>
        <v>0</v>
      </c>
      <c r="Q33" s="125">
        <f>$A33*'Verwerking Bouwdelen'!AW17</f>
        <v>0</v>
      </c>
      <c r="R33" s="125">
        <f>$A33*'Verwerking Bouwdelen'!AX17</f>
        <v>0</v>
      </c>
      <c r="S33" s="125">
        <f>$A33*'Verwerking Bouwdelen'!AY17</f>
        <v>0</v>
      </c>
      <c r="T33" s="125">
        <f>$A33*'Verwerking Bouwdelen'!AZ17</f>
        <v>0</v>
      </c>
      <c r="U33" s="125">
        <f>$A33*'Verwerking Bouwdelen'!BA17</f>
        <v>0</v>
      </c>
      <c r="V33" s="125">
        <f>$A33*'Verwerking Bouwdelen'!BB17</f>
        <v>0</v>
      </c>
      <c r="W33" s="125">
        <f>$A33*'Verwerking Bouwdelen'!BC17</f>
        <v>0</v>
      </c>
      <c r="X33" s="125">
        <f>$A33*'Verwerking Bouwdelen'!BD17</f>
        <v>0</v>
      </c>
      <c r="Y33" s="125">
        <f>$A33*'Verwerking Bouwdelen'!BE17</f>
        <v>0</v>
      </c>
      <c r="Z33" s="195">
        <f>$A33*'Verwerking Bouwdelen'!BF17</f>
        <v>0</v>
      </c>
      <c r="AB33" s="125">
        <f>IF(OR('Verwerking Bouwdelen'!C17=3,'Verwerking Bouwdelen'!C17=6),1,0)</f>
        <v>0</v>
      </c>
      <c r="AC33" s="130">
        <f>IF('Verwerking Bouwdelen'!A17=5,1,0)</f>
        <v>0</v>
      </c>
      <c r="AD33" s="208">
        <f>IF($AB33=1,$AC33*'Verwerking Bouwdelen'!DL17,$AC33*'Verwerking Bouwdelen'!T17)</f>
        <v>0</v>
      </c>
      <c r="AE33" s="208">
        <f>IF($AB33=1,$AC33*'Verwerking Bouwdelen'!DM17,$AC33*'Verwerking Bouwdelen'!U17)</f>
        <v>0</v>
      </c>
      <c r="AF33" s="208">
        <f>IF($AB33=1,$AC33*'Verwerking Bouwdelen'!DN17,$AC33*'Verwerking Bouwdelen'!V17)</f>
        <v>0</v>
      </c>
      <c r="AG33" s="208">
        <f>IF($AB33=1,$AC33*'Verwerking Bouwdelen'!DO17,$AC33*'Verwerking Bouwdelen'!W17)</f>
        <v>0</v>
      </c>
      <c r="AH33" s="208">
        <f>IF($AB33=1,$AC33*'Verwerking Bouwdelen'!DP17,$AC33*'Verwerking Bouwdelen'!X17)</f>
        <v>0</v>
      </c>
      <c r="AI33" s="208">
        <f>IF($AB33=1,$AC33*'Verwerking Bouwdelen'!DQ17,$AC33*'Verwerking Bouwdelen'!Y17)</f>
        <v>0</v>
      </c>
      <c r="AJ33" s="208">
        <f>IF($AB33=1,$AC33*'Verwerking Bouwdelen'!DR17,$AC33*'Verwerking Bouwdelen'!Z17)</f>
        <v>0</v>
      </c>
      <c r="AK33" s="208">
        <f>IF($AB33=1,$AC33*'Verwerking Bouwdelen'!DS17,$AC33*'Verwerking Bouwdelen'!AA17)</f>
        <v>0</v>
      </c>
      <c r="AL33" s="208">
        <f>IF($AB33=1,$AC33*'Verwerking Bouwdelen'!DT17,$AC33*'Verwerking Bouwdelen'!AB17)</f>
        <v>0</v>
      </c>
      <c r="AM33" s="208">
        <f>IF($AB33=1,$AC33*'Verwerking Bouwdelen'!DU17,$AC33*'Verwerking Bouwdelen'!AC17)</f>
        <v>0</v>
      </c>
      <c r="AN33" s="208">
        <f>IF($AB33=1,$AC33*'Verwerking Bouwdelen'!DV17,$AC33*'Verwerking Bouwdelen'!AD17)</f>
        <v>0</v>
      </c>
      <c r="AO33" s="208">
        <f>IF($AB33=1,$AC33*'Verwerking Bouwdelen'!DW17,$AC33*'Verwerking Bouwdelen'!AE17)</f>
        <v>0</v>
      </c>
      <c r="AP33" s="10">
        <f>IF(AD33=B33,0,'Verwerking Bouwdelen'!D17*AB33*AC33)</f>
        <v>0</v>
      </c>
      <c r="AQ33" s="10">
        <f>AB33*AC33*'Verwerking Bouwdelen'!GH17</f>
        <v>0</v>
      </c>
      <c r="AR33" s="10"/>
      <c r="AS33" s="248"/>
      <c r="AT33" s="125">
        <f>IF('Verwerking Bouwdelen'!C17=4,1,0)</f>
        <v>0</v>
      </c>
      <c r="AU33" s="130">
        <f>IF('Verwerking Bouwdelen'!A17=5,1,0)</f>
        <v>0</v>
      </c>
      <c r="AV33" s="208">
        <f>IF($AT33=1,$AU33*'Verwerking Bouwdelen'!DL17,$AU33*'Verwerking Bouwdelen'!T17)</f>
        <v>0</v>
      </c>
      <c r="AW33" s="208">
        <f>IF($AT33=1,$AU33*'Verwerking Bouwdelen'!DM17,$AU33*'Verwerking Bouwdelen'!U17)</f>
        <v>0</v>
      </c>
      <c r="AX33" s="208">
        <f>IF($AT33=1,$AU33*'Verwerking Bouwdelen'!DN17,$AU33*'Verwerking Bouwdelen'!V17)</f>
        <v>0</v>
      </c>
      <c r="AY33" s="208">
        <f>IF($AT33=1,$AU33*'Verwerking Bouwdelen'!DO17,$AU33*'Verwerking Bouwdelen'!W17)</f>
        <v>0</v>
      </c>
      <c r="AZ33" s="208">
        <f>IF($AT33=1,$AU33*'Verwerking Bouwdelen'!DP17,$AU33*'Verwerking Bouwdelen'!X17)</f>
        <v>0</v>
      </c>
      <c r="BA33" s="208">
        <f>IF($AT33=1,$AU33*'Verwerking Bouwdelen'!DQ17,$AU33*'Verwerking Bouwdelen'!Y17)</f>
        <v>0</v>
      </c>
      <c r="BB33" s="208">
        <f>IF($AT33=1,$AU33*'Verwerking Bouwdelen'!DR17,$AU33*'Verwerking Bouwdelen'!Z17)</f>
        <v>0</v>
      </c>
      <c r="BC33" s="208">
        <f>IF($AT33=1,$AU33*'Verwerking Bouwdelen'!DS17,$AU33*'Verwerking Bouwdelen'!AA17)</f>
        <v>0</v>
      </c>
      <c r="BD33" s="208">
        <f>IF($AT33=1,$AU33*'Verwerking Bouwdelen'!DT17,$AU33*'Verwerking Bouwdelen'!AB17)</f>
        <v>0</v>
      </c>
      <c r="BE33" s="208">
        <f>IF($AT33=1,$AU33*'Verwerking Bouwdelen'!DU17,$AU33*'Verwerking Bouwdelen'!AC17)</f>
        <v>0</v>
      </c>
      <c r="BF33" s="208">
        <f>IF($AT33=1,$AU33*'Verwerking Bouwdelen'!DV17,$AU33*'Verwerking Bouwdelen'!AD17)</f>
        <v>0</v>
      </c>
      <c r="BG33" s="208">
        <f>IF($AT33=1,$AU33*'Verwerking Bouwdelen'!DW17,$AU33*'Verwerking Bouwdelen'!AE17)</f>
        <v>0</v>
      </c>
      <c r="BH33" s="10">
        <f>IF(AV33=B33,0,'Verwerking Bouwdelen'!D17*AT33*AU33)</f>
        <v>0</v>
      </c>
      <c r="BI33" s="10">
        <f>AT33*AU33*'Verwerking Bouwdelen'!GH17</f>
        <v>0</v>
      </c>
      <c r="BJ33" s="10"/>
      <c r="BK33" s="10"/>
      <c r="BM33" s="125">
        <f>IF('Verwerking Bouwdelen'!C17=5,1,0)</f>
        <v>0</v>
      </c>
      <c r="BN33" s="130">
        <f>IF('Verwerking Bouwdelen'!A17=5,1,0)</f>
        <v>0</v>
      </c>
      <c r="BO33" s="208">
        <f>IF($BM33=1,$BN33*'Verwerking Bouwdelen'!DL17,$BN33*'Verwerking Bouwdelen'!T17)</f>
        <v>0</v>
      </c>
      <c r="BP33" s="208">
        <f>IF($BM33=1,$BN33*'Verwerking Bouwdelen'!DM17,$BN33*'Verwerking Bouwdelen'!U17)</f>
        <v>0</v>
      </c>
      <c r="BQ33" s="208">
        <f>IF($BM33=1,$BN33*'Verwerking Bouwdelen'!DN17,$BN33*'Verwerking Bouwdelen'!V17)</f>
        <v>0</v>
      </c>
      <c r="BR33" s="208">
        <f>IF($BM33=1,$BN33*'Verwerking Bouwdelen'!DO17,$BN33*'Verwerking Bouwdelen'!W17)</f>
        <v>0</v>
      </c>
      <c r="BS33" s="208">
        <f>IF($BM33=1,$BN33*'Verwerking Bouwdelen'!DP17,$BN33*'Verwerking Bouwdelen'!X17)</f>
        <v>0</v>
      </c>
      <c r="BT33" s="208">
        <f>IF($BM33=1,$BN33*'Verwerking Bouwdelen'!DQ17,$BN33*'Verwerking Bouwdelen'!Y17)</f>
        <v>0</v>
      </c>
      <c r="BU33" s="208">
        <f>IF($BM33=1,$BN33*'Verwerking Bouwdelen'!DR17,$BN33*'Verwerking Bouwdelen'!Z17)</f>
        <v>0</v>
      </c>
      <c r="BV33" s="208">
        <f>IF($BM33=1,$BN33*'Verwerking Bouwdelen'!DS17,$BN33*'Verwerking Bouwdelen'!AA17)</f>
        <v>0</v>
      </c>
      <c r="BW33" s="208">
        <f>IF($BM33=1,$BN33*'Verwerking Bouwdelen'!DT17,$BN33*'Verwerking Bouwdelen'!AB17)</f>
        <v>0</v>
      </c>
      <c r="BX33" s="208">
        <f>IF($BM33=1,$BN33*'Verwerking Bouwdelen'!DU17,$BN33*'Verwerking Bouwdelen'!AC17)</f>
        <v>0</v>
      </c>
      <c r="BY33" s="208">
        <f>IF($BM33=1,$BN33*'Verwerking Bouwdelen'!DV17,$BN33*'Verwerking Bouwdelen'!AD17)</f>
        <v>0</v>
      </c>
      <c r="BZ33" s="208">
        <f>IF($BM33=1,$BN33*'Verwerking Bouwdelen'!DW17,$BN33*'Verwerking Bouwdelen'!AE17)</f>
        <v>0</v>
      </c>
      <c r="CA33" s="10">
        <f>IF(BO33=$B33,0,'Verwerking Bouwdelen'!$D17*BM33*BN33)</f>
        <v>0</v>
      </c>
      <c r="CB33" s="10">
        <f>BM33*BN33*'Verwerking Bouwdelen'!GH17</f>
        <v>0</v>
      </c>
      <c r="CC33" s="10"/>
      <c r="CD33" s="248"/>
      <c r="CE33" s="125">
        <f>IF('Verwerking Bouwdelen'!C17=2,1,0)</f>
        <v>0</v>
      </c>
      <c r="CF33" s="130">
        <f>IF('Verwerking Bouwdelen'!A17=5,1,0)</f>
        <v>0</v>
      </c>
      <c r="CG33" s="208">
        <f>IF($CE33=1,$CF33*'Verwerking Bouwdelen'!DL17,$CF33*'Verwerking Bouwdelen'!T17)</f>
        <v>0</v>
      </c>
      <c r="CH33" s="208">
        <f>IF($CE33=1,$CF33*'Verwerking Bouwdelen'!DM17,$CF33*'Verwerking Bouwdelen'!U17)</f>
        <v>0</v>
      </c>
      <c r="CI33" s="208">
        <f>IF($CE33=1,$CF33*'Verwerking Bouwdelen'!DN17,$CF33*'Verwerking Bouwdelen'!V17)</f>
        <v>0</v>
      </c>
      <c r="CJ33" s="208">
        <f>IF($CE33=1,$CF33*'Verwerking Bouwdelen'!DO17,$CF33*'Verwerking Bouwdelen'!W17)</f>
        <v>0</v>
      </c>
      <c r="CK33" s="208">
        <f>IF($CE33=1,$CF33*'Verwerking Bouwdelen'!DP17,$CF33*'Verwerking Bouwdelen'!X17)</f>
        <v>0</v>
      </c>
      <c r="CL33" s="208">
        <f>IF($CE33=1,$CF33*'Verwerking Bouwdelen'!DQ17,$CF33*'Verwerking Bouwdelen'!Y17)</f>
        <v>0</v>
      </c>
      <c r="CM33" s="208">
        <f>IF($CE33=1,$CF33*'Verwerking Bouwdelen'!DR17,$CF33*'Verwerking Bouwdelen'!Z17)</f>
        <v>0</v>
      </c>
      <c r="CN33" s="208">
        <f>IF($CE33=1,$CF33*'Verwerking Bouwdelen'!DS17,$CF33*'Verwerking Bouwdelen'!AA17)</f>
        <v>0</v>
      </c>
      <c r="CO33" s="208">
        <f>IF($CE33=1,$CF33*'Verwerking Bouwdelen'!DT17,$CF33*'Verwerking Bouwdelen'!AB17)</f>
        <v>0</v>
      </c>
      <c r="CP33" s="208">
        <f>IF($CE33=1,$CF33*'Verwerking Bouwdelen'!DU17,$CF33*'Verwerking Bouwdelen'!AC17)</f>
        <v>0</v>
      </c>
      <c r="CQ33" s="208">
        <f>IF($CE33=1,$CF33*'Verwerking Bouwdelen'!DV17,$CF33*'Verwerking Bouwdelen'!AD17)</f>
        <v>0</v>
      </c>
      <c r="CR33" s="208">
        <f>IF($CE33=1,$CF33*'Verwerking Bouwdelen'!DW17,$CF33*'Verwerking Bouwdelen'!AE17)</f>
        <v>0</v>
      </c>
      <c r="CS33" s="10">
        <f>IF(CG33=$B33,0,('Verwerking Bouwdelen'!$D17-'Verwerking Bouwdelen'!G17)*CE33*CF33)</f>
        <v>0</v>
      </c>
      <c r="CT33" s="261">
        <f>CE33*CF33*'Verwerking Bouwdelen'!$GH$3</f>
        <v>0</v>
      </c>
      <c r="CU33" s="261">
        <f>CE33*CF33*'Verwerking Bouwdelen'!GI17</f>
        <v>0</v>
      </c>
      <c r="CW33" s="209">
        <f>$AC33*'Verwerking Bouwdelen'!EE17</f>
        <v>0</v>
      </c>
      <c r="CX33" s="209">
        <f>$AC33*'Verwerking Bouwdelen'!EF17</f>
        <v>0</v>
      </c>
      <c r="CY33" s="209">
        <f>$AC33*'Verwerking Bouwdelen'!EG17</f>
        <v>0</v>
      </c>
      <c r="CZ33" s="209">
        <f>$AC33*'Verwerking Bouwdelen'!EH17</f>
        <v>0</v>
      </c>
      <c r="DA33" s="209">
        <f>$AC33*'Verwerking Bouwdelen'!EI17</f>
        <v>0</v>
      </c>
      <c r="DB33" s="209">
        <f>$AC33*'Verwerking Bouwdelen'!EJ17</f>
        <v>0</v>
      </c>
      <c r="DC33" s="209">
        <f>$AC33*'Verwerking Bouwdelen'!EK17</f>
        <v>0</v>
      </c>
      <c r="DD33" s="209">
        <f>$AC33*'Verwerking Bouwdelen'!EL17</f>
        <v>0</v>
      </c>
      <c r="DE33" s="209">
        <f>$AC33*'Verwerking Bouwdelen'!EM17</f>
        <v>0</v>
      </c>
      <c r="DF33" s="209">
        <f>$AC33*'Verwerking Bouwdelen'!EN17</f>
        <v>0</v>
      </c>
      <c r="DG33" s="209">
        <f>$AC33*'Verwerking Bouwdelen'!EO17</f>
        <v>0</v>
      </c>
      <c r="DH33" s="209">
        <f>$AC33*'Verwerking Bouwdelen'!EP17</f>
        <v>0</v>
      </c>
      <c r="DI33" s="10">
        <f>IF(CW33=$O33,0,'Verwerking Bouwdelen'!G17)</f>
        <v>0</v>
      </c>
      <c r="DJ33" s="259">
        <f>'Verwerking Bouwdelen'!GK17*CF33</f>
        <v>0</v>
      </c>
      <c r="DK33" s="259">
        <f>'Verwerking Bouwdelen'!GL17*CF33</f>
        <v>0</v>
      </c>
      <c r="DL33" s="125"/>
      <c r="GA33" s="89">
        <f t="shared" ref="GA33:GH33" si="15">SUM(GA9:GA32)</f>
        <v>0</v>
      </c>
      <c r="GB33" s="89">
        <f t="shared" si="15"/>
        <v>0</v>
      </c>
      <c r="GC33" s="89">
        <f t="shared" si="15"/>
        <v>0</v>
      </c>
      <c r="GD33" s="89">
        <f t="shared" si="15"/>
        <v>0</v>
      </c>
      <c r="GE33" s="89">
        <f t="shared" si="15"/>
        <v>0</v>
      </c>
      <c r="GF33" s="89">
        <f t="shared" si="15"/>
        <v>0</v>
      </c>
      <c r="GG33" s="89">
        <f t="shared" si="15"/>
        <v>0</v>
      </c>
      <c r="GH33" s="89">
        <f t="shared" si="15"/>
        <v>0</v>
      </c>
      <c r="GI33" s="89">
        <f>SUM(GI9:GI32)</f>
        <v>0</v>
      </c>
      <c r="GJ33" s="89">
        <f>SUM(GJ9:GJ32)</f>
        <v>0</v>
      </c>
      <c r="GM33" s="89">
        <f t="shared" si="13"/>
        <v>0</v>
      </c>
      <c r="GN33" s="89">
        <f t="shared" si="14"/>
        <v>0</v>
      </c>
      <c r="GO33" s="208">
        <f>IF($GN33=1,$GN33*$GM33*'Verwerking Bouwdelen'!DL17,$GN33*$GM33*'Verwerking Bouwdelen'!T17)</f>
        <v>0</v>
      </c>
      <c r="GP33" s="208">
        <f>IF($GN33=1,$GN33*$GM33*'Verwerking Bouwdelen'!DM17,$GN33*$GM33*'Verwerking Bouwdelen'!U17)</f>
        <v>0</v>
      </c>
      <c r="GQ33" s="208">
        <f>IF($GN33=1,$GN33*$GM33*'Verwerking Bouwdelen'!DN17,$GN33*$GM33*'Verwerking Bouwdelen'!V17)</f>
        <v>0</v>
      </c>
      <c r="GR33" s="208">
        <f>IF($GN33=1,$GN33*$GM33*'Verwerking Bouwdelen'!DO17,$GN33*$GM33*'Verwerking Bouwdelen'!W17)</f>
        <v>0</v>
      </c>
      <c r="GS33" s="208">
        <f>IF($GN33=1,$GN33*$GM33*'Verwerking Bouwdelen'!DP17,$GN33*$GM33*'Verwerking Bouwdelen'!X17)</f>
        <v>0</v>
      </c>
      <c r="GT33" s="208">
        <f>IF($GN33=1,$GN33*$GM33*'Verwerking Bouwdelen'!DQ17,$GN33*$GM33*'Verwerking Bouwdelen'!Y17)</f>
        <v>0</v>
      </c>
      <c r="GU33" s="208">
        <f>IF($GN33=1,$GN33*$GM33*'Verwerking Bouwdelen'!DR17,$GN33*$GM33*'Verwerking Bouwdelen'!Z17)</f>
        <v>0</v>
      </c>
      <c r="GV33" s="208">
        <f>IF($GN33=1,$GN33*$GM33*'Verwerking Bouwdelen'!DS17,$GN33*$GM33*'Verwerking Bouwdelen'!AA17)</f>
        <v>0</v>
      </c>
      <c r="GW33" s="208">
        <f>IF($GN33=1,$GN33*$GM33*'Verwerking Bouwdelen'!DT17,$GN33*$GM33*'Verwerking Bouwdelen'!AB17)</f>
        <v>0</v>
      </c>
      <c r="GX33" s="208">
        <f>IF($GN33=1,$GN33*$GM33*'Verwerking Bouwdelen'!DU17,$GN33*$GM33*'Verwerking Bouwdelen'!AC17)</f>
        <v>0</v>
      </c>
      <c r="GY33" s="208">
        <f>IF($GN33=1,$GN33*$GM33*'Verwerking Bouwdelen'!DV17,$GN33*$GM33*'Verwerking Bouwdelen'!AD17)</f>
        <v>0</v>
      </c>
      <c r="GZ33" s="208">
        <f>IF($GN33=1,$GN33*$GM33*'Verwerking Bouwdelen'!DW17,$GN33*$GM33*'Verwerking Bouwdelen'!AE17)</f>
        <v>0</v>
      </c>
      <c r="HB33" s="89">
        <f t="shared" si="1"/>
        <v>0</v>
      </c>
      <c r="HC33" s="89">
        <f t="shared" si="2"/>
        <v>0</v>
      </c>
      <c r="HD33" s="89">
        <f t="shared" si="3"/>
        <v>0</v>
      </c>
      <c r="HE33" s="89">
        <f t="shared" si="4"/>
        <v>0</v>
      </c>
      <c r="HF33" s="89">
        <f t="shared" si="5"/>
        <v>0</v>
      </c>
      <c r="HG33" s="89">
        <f t="shared" si="6"/>
        <v>0</v>
      </c>
      <c r="HH33" s="89">
        <f t="shared" si="7"/>
        <v>0</v>
      </c>
      <c r="HI33" s="89">
        <f t="shared" si="8"/>
        <v>0</v>
      </c>
      <c r="HJ33" s="89">
        <f t="shared" si="9"/>
        <v>0</v>
      </c>
      <c r="HK33" s="89">
        <f t="shared" si="10"/>
        <v>0</v>
      </c>
      <c r="HL33" s="89">
        <f t="shared" si="11"/>
        <v>0</v>
      </c>
      <c r="HM33" s="89">
        <f t="shared" si="12"/>
        <v>0</v>
      </c>
    </row>
    <row r="34" spans="1:221" x14ac:dyDescent="0.2">
      <c r="A34" s="130">
        <f>IF('Verwerking Bouwdelen'!A18=5,1,0)</f>
        <v>0</v>
      </c>
      <c r="B34" s="208">
        <f>$A34*'Verwerking Bouwdelen'!T18</f>
        <v>0</v>
      </c>
      <c r="C34" s="208">
        <f>$A34*'Verwerking Bouwdelen'!U18</f>
        <v>0</v>
      </c>
      <c r="D34" s="208">
        <f>$A34*'Verwerking Bouwdelen'!V18</f>
        <v>0</v>
      </c>
      <c r="E34" s="208">
        <f>$A34*'Verwerking Bouwdelen'!W18</f>
        <v>0</v>
      </c>
      <c r="F34" s="208">
        <f>$A34*'Verwerking Bouwdelen'!X18</f>
        <v>0</v>
      </c>
      <c r="G34" s="208">
        <f>$A34*'Verwerking Bouwdelen'!Y18</f>
        <v>0</v>
      </c>
      <c r="H34" s="208">
        <f>$A34*'Verwerking Bouwdelen'!Z18</f>
        <v>0</v>
      </c>
      <c r="I34" s="208">
        <f>$A34*'Verwerking Bouwdelen'!AA18</f>
        <v>0</v>
      </c>
      <c r="J34" s="208">
        <f>$A34*'Verwerking Bouwdelen'!AB18</f>
        <v>0</v>
      </c>
      <c r="K34" s="208">
        <f>$A34*'Verwerking Bouwdelen'!AC18</f>
        <v>0</v>
      </c>
      <c r="L34" s="208">
        <f>$A34*'Verwerking Bouwdelen'!AD18</f>
        <v>0</v>
      </c>
      <c r="M34" s="208">
        <f>$A34*'Verwerking Bouwdelen'!AE18</f>
        <v>0</v>
      </c>
      <c r="O34" s="114">
        <f>$A34*'Verwerking Bouwdelen'!AU18</f>
        <v>0</v>
      </c>
      <c r="P34" s="125">
        <f>$A34*'Verwerking Bouwdelen'!AV18</f>
        <v>0</v>
      </c>
      <c r="Q34" s="125">
        <f>$A34*'Verwerking Bouwdelen'!AW18</f>
        <v>0</v>
      </c>
      <c r="R34" s="125">
        <f>$A34*'Verwerking Bouwdelen'!AX18</f>
        <v>0</v>
      </c>
      <c r="S34" s="125">
        <f>$A34*'Verwerking Bouwdelen'!AY18</f>
        <v>0</v>
      </c>
      <c r="T34" s="125">
        <f>$A34*'Verwerking Bouwdelen'!AZ18</f>
        <v>0</v>
      </c>
      <c r="U34" s="125">
        <f>$A34*'Verwerking Bouwdelen'!BA18</f>
        <v>0</v>
      </c>
      <c r="V34" s="125">
        <f>$A34*'Verwerking Bouwdelen'!BB18</f>
        <v>0</v>
      </c>
      <c r="W34" s="125">
        <f>$A34*'Verwerking Bouwdelen'!BC18</f>
        <v>0</v>
      </c>
      <c r="X34" s="125">
        <f>$A34*'Verwerking Bouwdelen'!BD18</f>
        <v>0</v>
      </c>
      <c r="Y34" s="125">
        <f>$A34*'Verwerking Bouwdelen'!BE18</f>
        <v>0</v>
      </c>
      <c r="Z34" s="195">
        <f>$A34*'Verwerking Bouwdelen'!BF18</f>
        <v>0</v>
      </c>
      <c r="AB34" s="125">
        <f>IF(OR('Verwerking Bouwdelen'!C18=3,'Verwerking Bouwdelen'!C18=6),1,0)</f>
        <v>0</v>
      </c>
      <c r="AC34" s="130">
        <f>IF('Verwerking Bouwdelen'!A18=5,1,0)</f>
        <v>0</v>
      </c>
      <c r="AD34" s="208">
        <f>IF($AB34=1,$AC34*'Verwerking Bouwdelen'!DL18,$AC34*'Verwerking Bouwdelen'!T18)</f>
        <v>0</v>
      </c>
      <c r="AE34" s="208">
        <f>IF($AB34=1,$AC34*'Verwerking Bouwdelen'!DM18,$AC34*'Verwerking Bouwdelen'!U18)</f>
        <v>0</v>
      </c>
      <c r="AF34" s="208">
        <f>IF($AB34=1,$AC34*'Verwerking Bouwdelen'!DN18,$AC34*'Verwerking Bouwdelen'!V18)</f>
        <v>0</v>
      </c>
      <c r="AG34" s="208">
        <f>IF($AB34=1,$AC34*'Verwerking Bouwdelen'!DO18,$AC34*'Verwerking Bouwdelen'!W18)</f>
        <v>0</v>
      </c>
      <c r="AH34" s="208">
        <f>IF($AB34=1,$AC34*'Verwerking Bouwdelen'!DP18,$AC34*'Verwerking Bouwdelen'!X18)</f>
        <v>0</v>
      </c>
      <c r="AI34" s="208">
        <f>IF($AB34=1,$AC34*'Verwerking Bouwdelen'!DQ18,$AC34*'Verwerking Bouwdelen'!Y18)</f>
        <v>0</v>
      </c>
      <c r="AJ34" s="208">
        <f>IF($AB34=1,$AC34*'Verwerking Bouwdelen'!DR18,$AC34*'Verwerking Bouwdelen'!Z18)</f>
        <v>0</v>
      </c>
      <c r="AK34" s="208">
        <f>IF($AB34=1,$AC34*'Verwerking Bouwdelen'!DS18,$AC34*'Verwerking Bouwdelen'!AA18)</f>
        <v>0</v>
      </c>
      <c r="AL34" s="208">
        <f>IF($AB34=1,$AC34*'Verwerking Bouwdelen'!DT18,$AC34*'Verwerking Bouwdelen'!AB18)</f>
        <v>0</v>
      </c>
      <c r="AM34" s="208">
        <f>IF($AB34=1,$AC34*'Verwerking Bouwdelen'!DU18,$AC34*'Verwerking Bouwdelen'!AC18)</f>
        <v>0</v>
      </c>
      <c r="AN34" s="208">
        <f>IF($AB34=1,$AC34*'Verwerking Bouwdelen'!DV18,$AC34*'Verwerking Bouwdelen'!AD18)</f>
        <v>0</v>
      </c>
      <c r="AO34" s="208">
        <f>IF($AB34=1,$AC34*'Verwerking Bouwdelen'!DW18,$AC34*'Verwerking Bouwdelen'!AE18)</f>
        <v>0</v>
      </c>
      <c r="AP34" s="10">
        <f>IF(AD34=B34,0,'Verwerking Bouwdelen'!D18*AB34*AC34)</f>
        <v>0</v>
      </c>
      <c r="AQ34" s="10">
        <f>AB34*AC34*'Verwerking Bouwdelen'!GH18</f>
        <v>0</v>
      </c>
      <c r="AR34" s="10"/>
      <c r="AS34" s="248"/>
      <c r="AT34" s="125">
        <f>IF('Verwerking Bouwdelen'!C18=4,1,0)</f>
        <v>0</v>
      </c>
      <c r="AU34" s="130">
        <f>IF('Verwerking Bouwdelen'!A18=5,1,0)</f>
        <v>0</v>
      </c>
      <c r="AV34" s="208">
        <f>IF($AT34=1,$AU34*'Verwerking Bouwdelen'!DL18,$AU34*'Verwerking Bouwdelen'!T18)</f>
        <v>0</v>
      </c>
      <c r="AW34" s="208">
        <f>IF($AT34=1,$AU34*'Verwerking Bouwdelen'!DM18,$AU34*'Verwerking Bouwdelen'!U18)</f>
        <v>0</v>
      </c>
      <c r="AX34" s="208">
        <f>IF($AT34=1,$AU34*'Verwerking Bouwdelen'!DN18,$AU34*'Verwerking Bouwdelen'!V18)</f>
        <v>0</v>
      </c>
      <c r="AY34" s="208">
        <f>IF($AT34=1,$AU34*'Verwerking Bouwdelen'!DO18,$AU34*'Verwerking Bouwdelen'!W18)</f>
        <v>0</v>
      </c>
      <c r="AZ34" s="208">
        <f>IF($AT34=1,$AU34*'Verwerking Bouwdelen'!DP18,$AU34*'Verwerking Bouwdelen'!X18)</f>
        <v>0</v>
      </c>
      <c r="BA34" s="208">
        <f>IF($AT34=1,$AU34*'Verwerking Bouwdelen'!DQ18,$AU34*'Verwerking Bouwdelen'!Y18)</f>
        <v>0</v>
      </c>
      <c r="BB34" s="208">
        <f>IF($AT34=1,$AU34*'Verwerking Bouwdelen'!DR18,$AU34*'Verwerking Bouwdelen'!Z18)</f>
        <v>0</v>
      </c>
      <c r="BC34" s="208">
        <f>IF($AT34=1,$AU34*'Verwerking Bouwdelen'!DS18,$AU34*'Verwerking Bouwdelen'!AA18)</f>
        <v>0</v>
      </c>
      <c r="BD34" s="208">
        <f>IF($AT34=1,$AU34*'Verwerking Bouwdelen'!DT18,$AU34*'Verwerking Bouwdelen'!AB18)</f>
        <v>0</v>
      </c>
      <c r="BE34" s="208">
        <f>IF($AT34=1,$AU34*'Verwerking Bouwdelen'!DU18,$AU34*'Verwerking Bouwdelen'!AC18)</f>
        <v>0</v>
      </c>
      <c r="BF34" s="208">
        <f>IF($AT34=1,$AU34*'Verwerking Bouwdelen'!DV18,$AU34*'Verwerking Bouwdelen'!AD18)</f>
        <v>0</v>
      </c>
      <c r="BG34" s="208">
        <f>IF($AT34=1,$AU34*'Verwerking Bouwdelen'!DW18,$AU34*'Verwerking Bouwdelen'!AE18)</f>
        <v>0</v>
      </c>
      <c r="BH34" s="10">
        <f>IF(AV34=B34,0,'Verwerking Bouwdelen'!D18*AT34*AU34)</f>
        <v>0</v>
      </c>
      <c r="BI34" s="10">
        <f>AT34*AU34*'Verwerking Bouwdelen'!GH18</f>
        <v>0</v>
      </c>
      <c r="BJ34" s="10"/>
      <c r="BK34" s="10"/>
      <c r="BM34" s="125">
        <f>IF('Verwerking Bouwdelen'!C18=5,1,0)</f>
        <v>0</v>
      </c>
      <c r="BN34" s="130">
        <f>IF('Verwerking Bouwdelen'!A18=5,1,0)</f>
        <v>0</v>
      </c>
      <c r="BO34" s="208">
        <f>IF($BM34=1,$BN34*'Verwerking Bouwdelen'!DL18,$BN34*'Verwerking Bouwdelen'!T18)</f>
        <v>0</v>
      </c>
      <c r="BP34" s="208">
        <f>IF($BM34=1,$BN34*'Verwerking Bouwdelen'!DM18,$BN34*'Verwerking Bouwdelen'!U18)</f>
        <v>0</v>
      </c>
      <c r="BQ34" s="208">
        <f>IF($BM34=1,$BN34*'Verwerking Bouwdelen'!DN18,$BN34*'Verwerking Bouwdelen'!V18)</f>
        <v>0</v>
      </c>
      <c r="BR34" s="208">
        <f>IF($BM34=1,$BN34*'Verwerking Bouwdelen'!DO18,$BN34*'Verwerking Bouwdelen'!W18)</f>
        <v>0</v>
      </c>
      <c r="BS34" s="208">
        <f>IF($BM34=1,$BN34*'Verwerking Bouwdelen'!DP18,$BN34*'Verwerking Bouwdelen'!X18)</f>
        <v>0</v>
      </c>
      <c r="BT34" s="208">
        <f>IF($BM34=1,$BN34*'Verwerking Bouwdelen'!DQ18,$BN34*'Verwerking Bouwdelen'!Y18)</f>
        <v>0</v>
      </c>
      <c r="BU34" s="208">
        <f>IF($BM34=1,$BN34*'Verwerking Bouwdelen'!DR18,$BN34*'Verwerking Bouwdelen'!Z18)</f>
        <v>0</v>
      </c>
      <c r="BV34" s="208">
        <f>IF($BM34=1,$BN34*'Verwerking Bouwdelen'!DS18,$BN34*'Verwerking Bouwdelen'!AA18)</f>
        <v>0</v>
      </c>
      <c r="BW34" s="208">
        <f>IF($BM34=1,$BN34*'Verwerking Bouwdelen'!DT18,$BN34*'Verwerking Bouwdelen'!AB18)</f>
        <v>0</v>
      </c>
      <c r="BX34" s="208">
        <f>IF($BM34=1,$BN34*'Verwerking Bouwdelen'!DU18,$BN34*'Verwerking Bouwdelen'!AC18)</f>
        <v>0</v>
      </c>
      <c r="BY34" s="208">
        <f>IF($BM34=1,$BN34*'Verwerking Bouwdelen'!DV18,$BN34*'Verwerking Bouwdelen'!AD18)</f>
        <v>0</v>
      </c>
      <c r="BZ34" s="208">
        <f>IF($BM34=1,$BN34*'Verwerking Bouwdelen'!DW18,$BN34*'Verwerking Bouwdelen'!AE18)</f>
        <v>0</v>
      </c>
      <c r="CA34" s="10">
        <f>IF(BO34=$B34,0,'Verwerking Bouwdelen'!$D18*BM34*BN34)</f>
        <v>0</v>
      </c>
      <c r="CB34" s="10">
        <f>BM34*BN34*'Verwerking Bouwdelen'!GH18</f>
        <v>0</v>
      </c>
      <c r="CC34" s="10"/>
      <c r="CD34" s="248"/>
      <c r="CE34" s="125">
        <f>IF('Verwerking Bouwdelen'!C18=2,1,0)</f>
        <v>0</v>
      </c>
      <c r="CF34" s="130">
        <f>IF('Verwerking Bouwdelen'!A18=5,1,0)</f>
        <v>0</v>
      </c>
      <c r="CG34" s="208">
        <f>IF($CE34=1,$CF34*'Verwerking Bouwdelen'!DL18,$CF34*'Verwerking Bouwdelen'!T18)</f>
        <v>0</v>
      </c>
      <c r="CH34" s="208">
        <f>IF($CE34=1,$CF34*'Verwerking Bouwdelen'!DM18,$CF34*'Verwerking Bouwdelen'!U18)</f>
        <v>0</v>
      </c>
      <c r="CI34" s="208">
        <f>IF($CE34=1,$CF34*'Verwerking Bouwdelen'!DN18,$CF34*'Verwerking Bouwdelen'!V18)</f>
        <v>0</v>
      </c>
      <c r="CJ34" s="208">
        <f>IF($CE34=1,$CF34*'Verwerking Bouwdelen'!DO18,$CF34*'Verwerking Bouwdelen'!W18)</f>
        <v>0</v>
      </c>
      <c r="CK34" s="208">
        <f>IF($CE34=1,$CF34*'Verwerking Bouwdelen'!DP18,$CF34*'Verwerking Bouwdelen'!X18)</f>
        <v>0</v>
      </c>
      <c r="CL34" s="208">
        <f>IF($CE34=1,$CF34*'Verwerking Bouwdelen'!DQ18,$CF34*'Verwerking Bouwdelen'!Y18)</f>
        <v>0</v>
      </c>
      <c r="CM34" s="208">
        <f>IF($CE34=1,$CF34*'Verwerking Bouwdelen'!DR18,$CF34*'Verwerking Bouwdelen'!Z18)</f>
        <v>0</v>
      </c>
      <c r="CN34" s="208">
        <f>IF($CE34=1,$CF34*'Verwerking Bouwdelen'!DS18,$CF34*'Verwerking Bouwdelen'!AA18)</f>
        <v>0</v>
      </c>
      <c r="CO34" s="208">
        <f>IF($CE34=1,$CF34*'Verwerking Bouwdelen'!DT18,$CF34*'Verwerking Bouwdelen'!AB18)</f>
        <v>0</v>
      </c>
      <c r="CP34" s="208">
        <f>IF($CE34=1,$CF34*'Verwerking Bouwdelen'!DU18,$CF34*'Verwerking Bouwdelen'!AC18)</f>
        <v>0</v>
      </c>
      <c r="CQ34" s="208">
        <f>IF($CE34=1,$CF34*'Verwerking Bouwdelen'!DV18,$CF34*'Verwerking Bouwdelen'!AD18)</f>
        <v>0</v>
      </c>
      <c r="CR34" s="208">
        <f>IF($CE34=1,$CF34*'Verwerking Bouwdelen'!DW18,$CF34*'Verwerking Bouwdelen'!AE18)</f>
        <v>0</v>
      </c>
      <c r="CS34" s="10">
        <f>IF(CG34=$B34,0,('Verwerking Bouwdelen'!$D18-'Verwerking Bouwdelen'!G18)*CE34*CF34)</f>
        <v>0</v>
      </c>
      <c r="CT34" s="261">
        <f>CE34*CF34*'Verwerking Bouwdelen'!$GH$3</f>
        <v>0</v>
      </c>
      <c r="CU34" s="261">
        <f>CE34*CF34*'Verwerking Bouwdelen'!GI18</f>
        <v>0</v>
      </c>
      <c r="CW34" s="209">
        <f>$AC34*'Verwerking Bouwdelen'!EE18</f>
        <v>0</v>
      </c>
      <c r="CX34" s="209">
        <f>$AC34*'Verwerking Bouwdelen'!EF18</f>
        <v>0</v>
      </c>
      <c r="CY34" s="209">
        <f>$AC34*'Verwerking Bouwdelen'!EG18</f>
        <v>0</v>
      </c>
      <c r="CZ34" s="209">
        <f>$AC34*'Verwerking Bouwdelen'!EH18</f>
        <v>0</v>
      </c>
      <c r="DA34" s="209">
        <f>$AC34*'Verwerking Bouwdelen'!EI18</f>
        <v>0</v>
      </c>
      <c r="DB34" s="209">
        <f>$AC34*'Verwerking Bouwdelen'!EJ18</f>
        <v>0</v>
      </c>
      <c r="DC34" s="209">
        <f>$AC34*'Verwerking Bouwdelen'!EK18</f>
        <v>0</v>
      </c>
      <c r="DD34" s="209">
        <f>$AC34*'Verwerking Bouwdelen'!EL18</f>
        <v>0</v>
      </c>
      <c r="DE34" s="209">
        <f>$AC34*'Verwerking Bouwdelen'!EM18</f>
        <v>0</v>
      </c>
      <c r="DF34" s="209">
        <f>$AC34*'Verwerking Bouwdelen'!EN18</f>
        <v>0</v>
      </c>
      <c r="DG34" s="209">
        <f>$AC34*'Verwerking Bouwdelen'!EO18</f>
        <v>0</v>
      </c>
      <c r="DH34" s="209">
        <f>$AC34*'Verwerking Bouwdelen'!EP18</f>
        <v>0</v>
      </c>
      <c r="DI34" s="10">
        <f>IF(CW34=$O34,0,'Verwerking Bouwdelen'!G18)</f>
        <v>0</v>
      </c>
      <c r="DJ34" s="259">
        <f>'Verwerking Bouwdelen'!GK18*CF34</f>
        <v>0</v>
      </c>
      <c r="DK34" s="259">
        <f>'Verwerking Bouwdelen'!GL18*CF34</f>
        <v>0</v>
      </c>
      <c r="DL34" s="125"/>
      <c r="GM34" s="89">
        <f t="shared" si="13"/>
        <v>0</v>
      </c>
      <c r="GN34" s="89">
        <f t="shared" si="14"/>
        <v>0</v>
      </c>
      <c r="GO34" s="208">
        <f>IF($GN34=1,$GN34*$GM34*'Verwerking Bouwdelen'!DL18,$GN34*$GM34*'Verwerking Bouwdelen'!T18)</f>
        <v>0</v>
      </c>
      <c r="GP34" s="208">
        <f>IF($GN34=1,$GN34*$GM34*'Verwerking Bouwdelen'!DM18,$GN34*$GM34*'Verwerking Bouwdelen'!U18)</f>
        <v>0</v>
      </c>
      <c r="GQ34" s="208">
        <f>IF($GN34=1,$GN34*$GM34*'Verwerking Bouwdelen'!DN18,$GN34*$GM34*'Verwerking Bouwdelen'!V18)</f>
        <v>0</v>
      </c>
      <c r="GR34" s="208">
        <f>IF($GN34=1,$GN34*$GM34*'Verwerking Bouwdelen'!DO18,$GN34*$GM34*'Verwerking Bouwdelen'!W18)</f>
        <v>0</v>
      </c>
      <c r="GS34" s="208">
        <f>IF($GN34=1,$GN34*$GM34*'Verwerking Bouwdelen'!DP18,$GN34*$GM34*'Verwerking Bouwdelen'!X18)</f>
        <v>0</v>
      </c>
      <c r="GT34" s="208">
        <f>IF($GN34=1,$GN34*$GM34*'Verwerking Bouwdelen'!DQ18,$GN34*$GM34*'Verwerking Bouwdelen'!Y18)</f>
        <v>0</v>
      </c>
      <c r="GU34" s="208">
        <f>IF($GN34=1,$GN34*$GM34*'Verwerking Bouwdelen'!DR18,$GN34*$GM34*'Verwerking Bouwdelen'!Z18)</f>
        <v>0</v>
      </c>
      <c r="GV34" s="208">
        <f>IF($GN34=1,$GN34*$GM34*'Verwerking Bouwdelen'!DS18,$GN34*$GM34*'Verwerking Bouwdelen'!AA18)</f>
        <v>0</v>
      </c>
      <c r="GW34" s="208">
        <f>IF($GN34=1,$GN34*$GM34*'Verwerking Bouwdelen'!DT18,$GN34*$GM34*'Verwerking Bouwdelen'!AB18)</f>
        <v>0</v>
      </c>
      <c r="GX34" s="208">
        <f>IF($GN34=1,$GN34*$GM34*'Verwerking Bouwdelen'!DU18,$GN34*$GM34*'Verwerking Bouwdelen'!AC18)</f>
        <v>0</v>
      </c>
      <c r="GY34" s="208">
        <f>IF($GN34=1,$GN34*$GM34*'Verwerking Bouwdelen'!DV18,$GN34*$GM34*'Verwerking Bouwdelen'!AD18)</f>
        <v>0</v>
      </c>
      <c r="GZ34" s="208">
        <f>IF($GN34=1,$GN34*$GM34*'Verwerking Bouwdelen'!DW18,$GN34*$GM34*'Verwerking Bouwdelen'!AE18)</f>
        <v>0</v>
      </c>
      <c r="HB34" s="89">
        <f t="shared" si="1"/>
        <v>0</v>
      </c>
      <c r="HC34" s="89">
        <f t="shared" si="2"/>
        <v>0</v>
      </c>
      <c r="HD34" s="89">
        <f t="shared" si="3"/>
        <v>0</v>
      </c>
      <c r="HE34" s="89">
        <f t="shared" si="4"/>
        <v>0</v>
      </c>
      <c r="HF34" s="89">
        <f t="shared" si="5"/>
        <v>0</v>
      </c>
      <c r="HG34" s="89">
        <f t="shared" si="6"/>
        <v>0</v>
      </c>
      <c r="HH34" s="89">
        <f t="shared" si="7"/>
        <v>0</v>
      </c>
      <c r="HI34" s="89">
        <f t="shared" si="8"/>
        <v>0</v>
      </c>
      <c r="HJ34" s="89">
        <f t="shared" si="9"/>
        <v>0</v>
      </c>
      <c r="HK34" s="89">
        <f t="shared" si="10"/>
        <v>0</v>
      </c>
      <c r="HL34" s="89">
        <f t="shared" si="11"/>
        <v>0</v>
      </c>
      <c r="HM34" s="89">
        <f t="shared" si="12"/>
        <v>0</v>
      </c>
    </row>
    <row r="35" spans="1:221" x14ac:dyDescent="0.2">
      <c r="A35" s="130">
        <f>IF('Verwerking Bouwdelen'!A19=5,1,0)</f>
        <v>0</v>
      </c>
      <c r="B35" s="208">
        <f>$A35*'Verwerking Bouwdelen'!T19</f>
        <v>0</v>
      </c>
      <c r="C35" s="208">
        <f>$A35*'Verwerking Bouwdelen'!U19</f>
        <v>0</v>
      </c>
      <c r="D35" s="208">
        <f>$A35*'Verwerking Bouwdelen'!V19</f>
        <v>0</v>
      </c>
      <c r="E35" s="208">
        <f>$A35*'Verwerking Bouwdelen'!W19</f>
        <v>0</v>
      </c>
      <c r="F35" s="208">
        <f>$A35*'Verwerking Bouwdelen'!X19</f>
        <v>0</v>
      </c>
      <c r="G35" s="208">
        <f>$A35*'Verwerking Bouwdelen'!Y19</f>
        <v>0</v>
      </c>
      <c r="H35" s="208">
        <f>$A35*'Verwerking Bouwdelen'!Z19</f>
        <v>0</v>
      </c>
      <c r="I35" s="208">
        <f>$A35*'Verwerking Bouwdelen'!AA19</f>
        <v>0</v>
      </c>
      <c r="J35" s="208">
        <f>$A35*'Verwerking Bouwdelen'!AB19</f>
        <v>0</v>
      </c>
      <c r="K35" s="208">
        <f>$A35*'Verwerking Bouwdelen'!AC19</f>
        <v>0</v>
      </c>
      <c r="L35" s="208">
        <f>$A35*'Verwerking Bouwdelen'!AD19</f>
        <v>0</v>
      </c>
      <c r="M35" s="208">
        <f>$A35*'Verwerking Bouwdelen'!AE19</f>
        <v>0</v>
      </c>
      <c r="O35" s="114">
        <f>$A35*'Verwerking Bouwdelen'!AU19</f>
        <v>0</v>
      </c>
      <c r="P35" s="125">
        <f>$A35*'Verwerking Bouwdelen'!AV19</f>
        <v>0</v>
      </c>
      <c r="Q35" s="125">
        <f>$A35*'Verwerking Bouwdelen'!AW19</f>
        <v>0</v>
      </c>
      <c r="R35" s="125">
        <f>$A35*'Verwerking Bouwdelen'!AX19</f>
        <v>0</v>
      </c>
      <c r="S35" s="125">
        <f>$A35*'Verwerking Bouwdelen'!AY19</f>
        <v>0</v>
      </c>
      <c r="T35" s="125">
        <f>$A35*'Verwerking Bouwdelen'!AZ19</f>
        <v>0</v>
      </c>
      <c r="U35" s="125">
        <f>$A35*'Verwerking Bouwdelen'!BA19</f>
        <v>0</v>
      </c>
      <c r="V35" s="125">
        <f>$A35*'Verwerking Bouwdelen'!BB19</f>
        <v>0</v>
      </c>
      <c r="W35" s="125">
        <f>$A35*'Verwerking Bouwdelen'!BC19</f>
        <v>0</v>
      </c>
      <c r="X35" s="125">
        <f>$A35*'Verwerking Bouwdelen'!BD19</f>
        <v>0</v>
      </c>
      <c r="Y35" s="125">
        <f>$A35*'Verwerking Bouwdelen'!BE19</f>
        <v>0</v>
      </c>
      <c r="Z35" s="195">
        <f>$A35*'Verwerking Bouwdelen'!BF19</f>
        <v>0</v>
      </c>
      <c r="AB35" s="125">
        <f>IF(OR('Verwerking Bouwdelen'!C19=3,'Verwerking Bouwdelen'!C19=6),1,0)</f>
        <v>0</v>
      </c>
      <c r="AC35" s="130">
        <f>IF('Verwerking Bouwdelen'!A19=5,1,0)</f>
        <v>0</v>
      </c>
      <c r="AD35" s="208">
        <f>IF($AB35=1,$AC35*'Verwerking Bouwdelen'!DL19,$AC35*'Verwerking Bouwdelen'!T19)</f>
        <v>0</v>
      </c>
      <c r="AE35" s="208">
        <f>IF($AB35=1,$AC35*'Verwerking Bouwdelen'!DM19,$AC35*'Verwerking Bouwdelen'!U19)</f>
        <v>0</v>
      </c>
      <c r="AF35" s="208">
        <f>IF($AB35=1,$AC35*'Verwerking Bouwdelen'!DN19,$AC35*'Verwerking Bouwdelen'!V19)</f>
        <v>0</v>
      </c>
      <c r="AG35" s="208">
        <f>IF($AB35=1,$AC35*'Verwerking Bouwdelen'!DO19,$AC35*'Verwerking Bouwdelen'!W19)</f>
        <v>0</v>
      </c>
      <c r="AH35" s="208">
        <f>IF($AB35=1,$AC35*'Verwerking Bouwdelen'!DP19,$AC35*'Verwerking Bouwdelen'!X19)</f>
        <v>0</v>
      </c>
      <c r="AI35" s="208">
        <f>IF($AB35=1,$AC35*'Verwerking Bouwdelen'!DQ19,$AC35*'Verwerking Bouwdelen'!Y19)</f>
        <v>0</v>
      </c>
      <c r="AJ35" s="208">
        <f>IF($AB35=1,$AC35*'Verwerking Bouwdelen'!DR19,$AC35*'Verwerking Bouwdelen'!Z19)</f>
        <v>0</v>
      </c>
      <c r="AK35" s="208">
        <f>IF($AB35=1,$AC35*'Verwerking Bouwdelen'!DS19,$AC35*'Verwerking Bouwdelen'!AA19)</f>
        <v>0</v>
      </c>
      <c r="AL35" s="208">
        <f>IF($AB35=1,$AC35*'Verwerking Bouwdelen'!DT19,$AC35*'Verwerking Bouwdelen'!AB19)</f>
        <v>0</v>
      </c>
      <c r="AM35" s="208">
        <f>IF($AB35=1,$AC35*'Verwerking Bouwdelen'!DU19,$AC35*'Verwerking Bouwdelen'!AC19)</f>
        <v>0</v>
      </c>
      <c r="AN35" s="208">
        <f>IF($AB35=1,$AC35*'Verwerking Bouwdelen'!DV19,$AC35*'Verwerking Bouwdelen'!AD19)</f>
        <v>0</v>
      </c>
      <c r="AO35" s="208">
        <f>IF($AB35=1,$AC35*'Verwerking Bouwdelen'!DW19,$AC35*'Verwerking Bouwdelen'!AE19)</f>
        <v>0</v>
      </c>
      <c r="AP35" s="10">
        <f>IF(AD35=B35,0,'Verwerking Bouwdelen'!D19*AB35*AC35)</f>
        <v>0</v>
      </c>
      <c r="AQ35" s="10">
        <f>AB35*AC35*'Verwerking Bouwdelen'!GH19</f>
        <v>0</v>
      </c>
      <c r="AR35" s="10"/>
      <c r="AS35" s="248"/>
      <c r="AT35" s="125">
        <f>IF('Verwerking Bouwdelen'!C19=4,1,0)</f>
        <v>0</v>
      </c>
      <c r="AU35" s="130">
        <f>IF('Verwerking Bouwdelen'!A19=5,1,0)</f>
        <v>0</v>
      </c>
      <c r="AV35" s="208">
        <f>IF($AT35=1,$AU35*'Verwerking Bouwdelen'!DL19,$AU35*'Verwerking Bouwdelen'!T19)</f>
        <v>0</v>
      </c>
      <c r="AW35" s="208">
        <f>IF($AT35=1,$AU35*'Verwerking Bouwdelen'!DM19,$AU35*'Verwerking Bouwdelen'!U19)</f>
        <v>0</v>
      </c>
      <c r="AX35" s="208">
        <f>IF($AT35=1,$AU35*'Verwerking Bouwdelen'!DN19,$AU35*'Verwerking Bouwdelen'!V19)</f>
        <v>0</v>
      </c>
      <c r="AY35" s="208">
        <f>IF($AT35=1,$AU35*'Verwerking Bouwdelen'!DO19,$AU35*'Verwerking Bouwdelen'!W19)</f>
        <v>0</v>
      </c>
      <c r="AZ35" s="208">
        <f>IF($AT35=1,$AU35*'Verwerking Bouwdelen'!DP19,$AU35*'Verwerking Bouwdelen'!X19)</f>
        <v>0</v>
      </c>
      <c r="BA35" s="208">
        <f>IF($AT35=1,$AU35*'Verwerking Bouwdelen'!DQ19,$AU35*'Verwerking Bouwdelen'!Y19)</f>
        <v>0</v>
      </c>
      <c r="BB35" s="208">
        <f>IF($AT35=1,$AU35*'Verwerking Bouwdelen'!DR19,$AU35*'Verwerking Bouwdelen'!Z19)</f>
        <v>0</v>
      </c>
      <c r="BC35" s="208">
        <f>IF($AT35=1,$AU35*'Verwerking Bouwdelen'!DS19,$AU35*'Verwerking Bouwdelen'!AA19)</f>
        <v>0</v>
      </c>
      <c r="BD35" s="208">
        <f>IF($AT35=1,$AU35*'Verwerking Bouwdelen'!DT19,$AU35*'Verwerking Bouwdelen'!AB19)</f>
        <v>0</v>
      </c>
      <c r="BE35" s="208">
        <f>IF($AT35=1,$AU35*'Verwerking Bouwdelen'!DU19,$AU35*'Verwerking Bouwdelen'!AC19)</f>
        <v>0</v>
      </c>
      <c r="BF35" s="208">
        <f>IF($AT35=1,$AU35*'Verwerking Bouwdelen'!DV19,$AU35*'Verwerking Bouwdelen'!AD19)</f>
        <v>0</v>
      </c>
      <c r="BG35" s="208">
        <f>IF($AT35=1,$AU35*'Verwerking Bouwdelen'!DW19,$AU35*'Verwerking Bouwdelen'!AE19)</f>
        <v>0</v>
      </c>
      <c r="BH35" s="10">
        <f>IF(AV35=B35,0,'Verwerking Bouwdelen'!D19*AT35*AU35)</f>
        <v>0</v>
      </c>
      <c r="BI35" s="10">
        <f>AT35*AU35*'Verwerking Bouwdelen'!GH19</f>
        <v>0</v>
      </c>
      <c r="BJ35" s="10"/>
      <c r="BK35" s="10"/>
      <c r="BM35" s="125">
        <f>IF('Verwerking Bouwdelen'!C19=5,1,0)</f>
        <v>0</v>
      </c>
      <c r="BN35" s="130">
        <f>IF('Verwerking Bouwdelen'!A19=5,1,0)</f>
        <v>0</v>
      </c>
      <c r="BO35" s="208">
        <f>IF($BM35=1,$BN35*'Verwerking Bouwdelen'!DL19,$BN35*'Verwerking Bouwdelen'!T19)</f>
        <v>0</v>
      </c>
      <c r="BP35" s="208">
        <f>IF($BM35=1,$BN35*'Verwerking Bouwdelen'!DM19,$BN35*'Verwerking Bouwdelen'!U19)</f>
        <v>0</v>
      </c>
      <c r="BQ35" s="208">
        <f>IF($BM35=1,$BN35*'Verwerking Bouwdelen'!DN19,$BN35*'Verwerking Bouwdelen'!V19)</f>
        <v>0</v>
      </c>
      <c r="BR35" s="208">
        <f>IF($BM35=1,$BN35*'Verwerking Bouwdelen'!DO19,$BN35*'Verwerking Bouwdelen'!W19)</f>
        <v>0</v>
      </c>
      <c r="BS35" s="208">
        <f>IF($BM35=1,$BN35*'Verwerking Bouwdelen'!DP19,$BN35*'Verwerking Bouwdelen'!X19)</f>
        <v>0</v>
      </c>
      <c r="BT35" s="208">
        <f>IF($BM35=1,$BN35*'Verwerking Bouwdelen'!DQ19,$BN35*'Verwerking Bouwdelen'!Y19)</f>
        <v>0</v>
      </c>
      <c r="BU35" s="208">
        <f>IF($BM35=1,$BN35*'Verwerking Bouwdelen'!DR19,$BN35*'Verwerking Bouwdelen'!Z19)</f>
        <v>0</v>
      </c>
      <c r="BV35" s="208">
        <f>IF($BM35=1,$BN35*'Verwerking Bouwdelen'!DS19,$BN35*'Verwerking Bouwdelen'!AA19)</f>
        <v>0</v>
      </c>
      <c r="BW35" s="208">
        <f>IF($BM35=1,$BN35*'Verwerking Bouwdelen'!DT19,$BN35*'Verwerking Bouwdelen'!AB19)</f>
        <v>0</v>
      </c>
      <c r="BX35" s="208">
        <f>IF($BM35=1,$BN35*'Verwerking Bouwdelen'!DU19,$BN35*'Verwerking Bouwdelen'!AC19)</f>
        <v>0</v>
      </c>
      <c r="BY35" s="208">
        <f>IF($BM35=1,$BN35*'Verwerking Bouwdelen'!DV19,$BN35*'Verwerking Bouwdelen'!AD19)</f>
        <v>0</v>
      </c>
      <c r="BZ35" s="208">
        <f>IF($BM35=1,$BN35*'Verwerking Bouwdelen'!DW19,$BN35*'Verwerking Bouwdelen'!AE19)</f>
        <v>0</v>
      </c>
      <c r="CA35" s="10">
        <f>IF(BO35=$B35,0,'Verwerking Bouwdelen'!$D19*BM35*BN35)</f>
        <v>0</v>
      </c>
      <c r="CB35" s="10">
        <f>BM35*BN35*'Verwerking Bouwdelen'!GH19</f>
        <v>0</v>
      </c>
      <c r="CC35" s="10"/>
      <c r="CD35" s="248"/>
      <c r="CE35" s="125">
        <f>IF('Verwerking Bouwdelen'!C19=2,1,0)</f>
        <v>0</v>
      </c>
      <c r="CF35" s="130">
        <f>IF('Verwerking Bouwdelen'!A19=5,1,0)</f>
        <v>0</v>
      </c>
      <c r="CG35" s="208">
        <f>IF($CE35=1,$CF35*'Verwerking Bouwdelen'!DL19,$CF35*'Verwerking Bouwdelen'!T19)</f>
        <v>0</v>
      </c>
      <c r="CH35" s="208">
        <f>IF($CE35=1,$CF35*'Verwerking Bouwdelen'!DM19,$CF35*'Verwerking Bouwdelen'!U19)</f>
        <v>0</v>
      </c>
      <c r="CI35" s="208">
        <f>IF($CE35=1,$CF35*'Verwerking Bouwdelen'!DN19,$CF35*'Verwerking Bouwdelen'!V19)</f>
        <v>0</v>
      </c>
      <c r="CJ35" s="208">
        <f>IF($CE35=1,$CF35*'Verwerking Bouwdelen'!DO19,$CF35*'Verwerking Bouwdelen'!W19)</f>
        <v>0</v>
      </c>
      <c r="CK35" s="208">
        <f>IF($CE35=1,$CF35*'Verwerking Bouwdelen'!DP19,$CF35*'Verwerking Bouwdelen'!X19)</f>
        <v>0</v>
      </c>
      <c r="CL35" s="208">
        <f>IF($CE35=1,$CF35*'Verwerking Bouwdelen'!DQ19,$CF35*'Verwerking Bouwdelen'!Y19)</f>
        <v>0</v>
      </c>
      <c r="CM35" s="208">
        <f>IF($CE35=1,$CF35*'Verwerking Bouwdelen'!DR19,$CF35*'Verwerking Bouwdelen'!Z19)</f>
        <v>0</v>
      </c>
      <c r="CN35" s="208">
        <f>IF($CE35=1,$CF35*'Verwerking Bouwdelen'!DS19,$CF35*'Verwerking Bouwdelen'!AA19)</f>
        <v>0</v>
      </c>
      <c r="CO35" s="208">
        <f>IF($CE35=1,$CF35*'Verwerking Bouwdelen'!DT19,$CF35*'Verwerking Bouwdelen'!AB19)</f>
        <v>0</v>
      </c>
      <c r="CP35" s="208">
        <f>IF($CE35=1,$CF35*'Verwerking Bouwdelen'!DU19,$CF35*'Verwerking Bouwdelen'!AC19)</f>
        <v>0</v>
      </c>
      <c r="CQ35" s="208">
        <f>IF($CE35=1,$CF35*'Verwerking Bouwdelen'!DV19,$CF35*'Verwerking Bouwdelen'!AD19)</f>
        <v>0</v>
      </c>
      <c r="CR35" s="208">
        <f>IF($CE35=1,$CF35*'Verwerking Bouwdelen'!DW19,$CF35*'Verwerking Bouwdelen'!AE19)</f>
        <v>0</v>
      </c>
      <c r="CS35" s="10">
        <f>IF(CG35=$B35,0,('Verwerking Bouwdelen'!$D19-'Verwerking Bouwdelen'!G19)*CE35*CF35)</f>
        <v>0</v>
      </c>
      <c r="CT35" s="261">
        <f>CE35*CF35*'Verwerking Bouwdelen'!$GH$3</f>
        <v>0</v>
      </c>
      <c r="CU35" s="261">
        <f>CE35*CF35*'Verwerking Bouwdelen'!GI19</f>
        <v>0</v>
      </c>
      <c r="CW35" s="209">
        <f>$AC35*'Verwerking Bouwdelen'!EE19</f>
        <v>0</v>
      </c>
      <c r="CX35" s="209">
        <f>$AC35*'Verwerking Bouwdelen'!EF19</f>
        <v>0</v>
      </c>
      <c r="CY35" s="209">
        <f>$AC35*'Verwerking Bouwdelen'!EG19</f>
        <v>0</v>
      </c>
      <c r="CZ35" s="209">
        <f>$AC35*'Verwerking Bouwdelen'!EH19</f>
        <v>0</v>
      </c>
      <c r="DA35" s="209">
        <f>$AC35*'Verwerking Bouwdelen'!EI19</f>
        <v>0</v>
      </c>
      <c r="DB35" s="209">
        <f>$AC35*'Verwerking Bouwdelen'!EJ19</f>
        <v>0</v>
      </c>
      <c r="DC35" s="209">
        <f>$AC35*'Verwerking Bouwdelen'!EK19</f>
        <v>0</v>
      </c>
      <c r="DD35" s="209">
        <f>$AC35*'Verwerking Bouwdelen'!EL19</f>
        <v>0</v>
      </c>
      <c r="DE35" s="209">
        <f>$AC35*'Verwerking Bouwdelen'!EM19</f>
        <v>0</v>
      </c>
      <c r="DF35" s="209">
        <f>$AC35*'Verwerking Bouwdelen'!EN19</f>
        <v>0</v>
      </c>
      <c r="DG35" s="209">
        <f>$AC35*'Verwerking Bouwdelen'!EO19</f>
        <v>0</v>
      </c>
      <c r="DH35" s="209">
        <f>$AC35*'Verwerking Bouwdelen'!EP19</f>
        <v>0</v>
      </c>
      <c r="DI35" s="10">
        <f>IF(CW35=$O35,0,'Verwerking Bouwdelen'!G19)</f>
        <v>0</v>
      </c>
      <c r="DJ35" s="259">
        <f>'Verwerking Bouwdelen'!GK19*CF35</f>
        <v>0</v>
      </c>
      <c r="DK35" s="259">
        <f>'Verwerking Bouwdelen'!GL19*CF35</f>
        <v>0</v>
      </c>
      <c r="DL35" s="125"/>
      <c r="GM35" s="89">
        <f t="shared" si="13"/>
        <v>0</v>
      </c>
      <c r="GN35" s="89">
        <f t="shared" si="14"/>
        <v>0</v>
      </c>
      <c r="GO35" s="208">
        <f>IF($GN35=1,$GN35*$GM35*'Verwerking Bouwdelen'!DL19,$GN35*$GM35*'Verwerking Bouwdelen'!T19)</f>
        <v>0</v>
      </c>
      <c r="GP35" s="208">
        <f>IF($GN35=1,$GN35*$GM35*'Verwerking Bouwdelen'!DM19,$GN35*$GM35*'Verwerking Bouwdelen'!U19)</f>
        <v>0</v>
      </c>
      <c r="GQ35" s="208">
        <f>IF($GN35=1,$GN35*$GM35*'Verwerking Bouwdelen'!DN19,$GN35*$GM35*'Verwerking Bouwdelen'!V19)</f>
        <v>0</v>
      </c>
      <c r="GR35" s="208">
        <f>IF($GN35=1,$GN35*$GM35*'Verwerking Bouwdelen'!DO19,$GN35*$GM35*'Verwerking Bouwdelen'!W19)</f>
        <v>0</v>
      </c>
      <c r="GS35" s="208">
        <f>IF($GN35=1,$GN35*$GM35*'Verwerking Bouwdelen'!DP19,$GN35*$GM35*'Verwerking Bouwdelen'!X19)</f>
        <v>0</v>
      </c>
      <c r="GT35" s="208">
        <f>IF($GN35=1,$GN35*$GM35*'Verwerking Bouwdelen'!DQ19,$GN35*$GM35*'Verwerking Bouwdelen'!Y19)</f>
        <v>0</v>
      </c>
      <c r="GU35" s="208">
        <f>IF($GN35=1,$GN35*$GM35*'Verwerking Bouwdelen'!DR19,$GN35*$GM35*'Verwerking Bouwdelen'!Z19)</f>
        <v>0</v>
      </c>
      <c r="GV35" s="208">
        <f>IF($GN35=1,$GN35*$GM35*'Verwerking Bouwdelen'!DS19,$GN35*$GM35*'Verwerking Bouwdelen'!AA19)</f>
        <v>0</v>
      </c>
      <c r="GW35" s="208">
        <f>IF($GN35=1,$GN35*$GM35*'Verwerking Bouwdelen'!DT19,$GN35*$GM35*'Verwerking Bouwdelen'!AB19)</f>
        <v>0</v>
      </c>
      <c r="GX35" s="208">
        <f>IF($GN35=1,$GN35*$GM35*'Verwerking Bouwdelen'!DU19,$GN35*$GM35*'Verwerking Bouwdelen'!AC19)</f>
        <v>0</v>
      </c>
      <c r="GY35" s="208">
        <f>IF($GN35=1,$GN35*$GM35*'Verwerking Bouwdelen'!DV19,$GN35*$GM35*'Verwerking Bouwdelen'!AD19)</f>
        <v>0</v>
      </c>
      <c r="GZ35" s="208">
        <f>IF($GN35=1,$GN35*$GM35*'Verwerking Bouwdelen'!DW19,$GN35*$GM35*'Verwerking Bouwdelen'!AE19)</f>
        <v>0</v>
      </c>
      <c r="HB35" s="89">
        <f t="shared" si="1"/>
        <v>0</v>
      </c>
      <c r="HC35" s="89">
        <f t="shared" si="2"/>
        <v>0</v>
      </c>
      <c r="HD35" s="89">
        <f t="shared" si="3"/>
        <v>0</v>
      </c>
      <c r="HE35" s="89">
        <f t="shared" si="4"/>
        <v>0</v>
      </c>
      <c r="HF35" s="89">
        <f t="shared" si="5"/>
        <v>0</v>
      </c>
      <c r="HG35" s="89">
        <f t="shared" si="6"/>
        <v>0</v>
      </c>
      <c r="HH35" s="89">
        <f t="shared" si="7"/>
        <v>0</v>
      </c>
      <c r="HI35" s="89">
        <f t="shared" si="8"/>
        <v>0</v>
      </c>
      <c r="HJ35" s="89">
        <f t="shared" si="9"/>
        <v>0</v>
      </c>
      <c r="HK35" s="89">
        <f t="shared" si="10"/>
        <v>0</v>
      </c>
      <c r="HL35" s="89">
        <f t="shared" si="11"/>
        <v>0</v>
      </c>
      <c r="HM35" s="89">
        <f t="shared" si="12"/>
        <v>0</v>
      </c>
    </row>
    <row r="36" spans="1:221" x14ac:dyDescent="0.2">
      <c r="A36" s="130">
        <f>IF('Verwerking Bouwdelen'!A20=5,1,0)</f>
        <v>0</v>
      </c>
      <c r="B36" s="208">
        <f>$A36*'Verwerking Bouwdelen'!T20</f>
        <v>0</v>
      </c>
      <c r="C36" s="208">
        <f>$A36*'Verwerking Bouwdelen'!U20</f>
        <v>0</v>
      </c>
      <c r="D36" s="208">
        <f>$A36*'Verwerking Bouwdelen'!V20</f>
        <v>0</v>
      </c>
      <c r="E36" s="208">
        <f>$A36*'Verwerking Bouwdelen'!W20</f>
        <v>0</v>
      </c>
      <c r="F36" s="208">
        <f>$A36*'Verwerking Bouwdelen'!X20</f>
        <v>0</v>
      </c>
      <c r="G36" s="208">
        <f>$A36*'Verwerking Bouwdelen'!Y20</f>
        <v>0</v>
      </c>
      <c r="H36" s="208">
        <f>$A36*'Verwerking Bouwdelen'!Z20</f>
        <v>0</v>
      </c>
      <c r="I36" s="208">
        <f>$A36*'Verwerking Bouwdelen'!AA20</f>
        <v>0</v>
      </c>
      <c r="J36" s="208">
        <f>$A36*'Verwerking Bouwdelen'!AB20</f>
        <v>0</v>
      </c>
      <c r="K36" s="208">
        <f>$A36*'Verwerking Bouwdelen'!AC20</f>
        <v>0</v>
      </c>
      <c r="L36" s="208">
        <f>$A36*'Verwerking Bouwdelen'!AD20</f>
        <v>0</v>
      </c>
      <c r="M36" s="208">
        <f>$A36*'Verwerking Bouwdelen'!AE20</f>
        <v>0</v>
      </c>
      <c r="O36" s="114">
        <f>$A36*'Verwerking Bouwdelen'!AU20</f>
        <v>0</v>
      </c>
      <c r="P36" s="125">
        <f>$A36*'Verwerking Bouwdelen'!AV20</f>
        <v>0</v>
      </c>
      <c r="Q36" s="125">
        <f>$A36*'Verwerking Bouwdelen'!AW20</f>
        <v>0</v>
      </c>
      <c r="R36" s="125">
        <f>$A36*'Verwerking Bouwdelen'!AX20</f>
        <v>0</v>
      </c>
      <c r="S36" s="125">
        <f>$A36*'Verwerking Bouwdelen'!AY20</f>
        <v>0</v>
      </c>
      <c r="T36" s="125">
        <f>$A36*'Verwerking Bouwdelen'!AZ20</f>
        <v>0</v>
      </c>
      <c r="U36" s="125">
        <f>$A36*'Verwerking Bouwdelen'!BA20</f>
        <v>0</v>
      </c>
      <c r="V36" s="125">
        <f>$A36*'Verwerking Bouwdelen'!BB20</f>
        <v>0</v>
      </c>
      <c r="W36" s="125">
        <f>$A36*'Verwerking Bouwdelen'!BC20</f>
        <v>0</v>
      </c>
      <c r="X36" s="125">
        <f>$A36*'Verwerking Bouwdelen'!BD20</f>
        <v>0</v>
      </c>
      <c r="Y36" s="125">
        <f>$A36*'Verwerking Bouwdelen'!BE20</f>
        <v>0</v>
      </c>
      <c r="Z36" s="195">
        <f>$A36*'Verwerking Bouwdelen'!BF20</f>
        <v>0</v>
      </c>
      <c r="AB36" s="125">
        <f>IF(OR('Verwerking Bouwdelen'!C20=3,'Verwerking Bouwdelen'!C20=6),1,0)</f>
        <v>0</v>
      </c>
      <c r="AC36" s="130">
        <f>IF('Verwerking Bouwdelen'!A20=5,1,0)</f>
        <v>0</v>
      </c>
      <c r="AD36" s="208">
        <f>IF($AB36=1,$AC36*'Verwerking Bouwdelen'!DL20,$AC36*'Verwerking Bouwdelen'!T20)</f>
        <v>0</v>
      </c>
      <c r="AE36" s="208">
        <f>IF($AB36=1,$AC36*'Verwerking Bouwdelen'!DM20,$AC36*'Verwerking Bouwdelen'!U20)</f>
        <v>0</v>
      </c>
      <c r="AF36" s="208">
        <f>IF($AB36=1,$AC36*'Verwerking Bouwdelen'!DN20,$AC36*'Verwerking Bouwdelen'!V20)</f>
        <v>0</v>
      </c>
      <c r="AG36" s="208">
        <f>IF($AB36=1,$AC36*'Verwerking Bouwdelen'!DO20,$AC36*'Verwerking Bouwdelen'!W20)</f>
        <v>0</v>
      </c>
      <c r="AH36" s="208">
        <f>IF($AB36=1,$AC36*'Verwerking Bouwdelen'!DP20,$AC36*'Verwerking Bouwdelen'!X20)</f>
        <v>0</v>
      </c>
      <c r="AI36" s="208">
        <f>IF($AB36=1,$AC36*'Verwerking Bouwdelen'!DQ20,$AC36*'Verwerking Bouwdelen'!Y20)</f>
        <v>0</v>
      </c>
      <c r="AJ36" s="208">
        <f>IF($AB36=1,$AC36*'Verwerking Bouwdelen'!DR20,$AC36*'Verwerking Bouwdelen'!Z20)</f>
        <v>0</v>
      </c>
      <c r="AK36" s="208">
        <f>IF($AB36=1,$AC36*'Verwerking Bouwdelen'!DS20,$AC36*'Verwerking Bouwdelen'!AA20)</f>
        <v>0</v>
      </c>
      <c r="AL36" s="208">
        <f>IF($AB36=1,$AC36*'Verwerking Bouwdelen'!DT20,$AC36*'Verwerking Bouwdelen'!AB20)</f>
        <v>0</v>
      </c>
      <c r="AM36" s="208">
        <f>IF($AB36=1,$AC36*'Verwerking Bouwdelen'!DU20,$AC36*'Verwerking Bouwdelen'!AC20)</f>
        <v>0</v>
      </c>
      <c r="AN36" s="208">
        <f>IF($AB36=1,$AC36*'Verwerking Bouwdelen'!DV20,$AC36*'Verwerking Bouwdelen'!AD20)</f>
        <v>0</v>
      </c>
      <c r="AO36" s="208">
        <f>IF($AB36=1,$AC36*'Verwerking Bouwdelen'!DW20,$AC36*'Verwerking Bouwdelen'!AE20)</f>
        <v>0</v>
      </c>
      <c r="AP36" s="10">
        <f>IF(AD36=B36,0,'Verwerking Bouwdelen'!D20*AB36*AC36)</f>
        <v>0</v>
      </c>
      <c r="AQ36" s="10">
        <f>AB36*AC36*'Verwerking Bouwdelen'!GH20</f>
        <v>0</v>
      </c>
      <c r="AR36" s="10"/>
      <c r="AS36" s="248"/>
      <c r="AT36" s="125">
        <f>IF('Verwerking Bouwdelen'!C20=4,1,0)</f>
        <v>0</v>
      </c>
      <c r="AU36" s="130">
        <f>IF('Verwerking Bouwdelen'!A20=5,1,0)</f>
        <v>0</v>
      </c>
      <c r="AV36" s="208">
        <f>IF($AT36=1,$AU36*'Verwerking Bouwdelen'!DL20,$AU36*'Verwerking Bouwdelen'!T20)</f>
        <v>0</v>
      </c>
      <c r="AW36" s="208">
        <f>IF($AT36=1,$AU36*'Verwerking Bouwdelen'!DM20,$AU36*'Verwerking Bouwdelen'!U20)</f>
        <v>0</v>
      </c>
      <c r="AX36" s="208">
        <f>IF($AT36=1,$AU36*'Verwerking Bouwdelen'!DN20,$AU36*'Verwerking Bouwdelen'!V20)</f>
        <v>0</v>
      </c>
      <c r="AY36" s="208">
        <f>IF($AT36=1,$AU36*'Verwerking Bouwdelen'!DO20,$AU36*'Verwerking Bouwdelen'!W20)</f>
        <v>0</v>
      </c>
      <c r="AZ36" s="208">
        <f>IF($AT36=1,$AU36*'Verwerking Bouwdelen'!DP20,$AU36*'Verwerking Bouwdelen'!X20)</f>
        <v>0</v>
      </c>
      <c r="BA36" s="208">
        <f>IF($AT36=1,$AU36*'Verwerking Bouwdelen'!DQ20,$AU36*'Verwerking Bouwdelen'!Y20)</f>
        <v>0</v>
      </c>
      <c r="BB36" s="208">
        <f>IF($AT36=1,$AU36*'Verwerking Bouwdelen'!DR20,$AU36*'Verwerking Bouwdelen'!Z20)</f>
        <v>0</v>
      </c>
      <c r="BC36" s="208">
        <f>IF($AT36=1,$AU36*'Verwerking Bouwdelen'!DS20,$AU36*'Verwerking Bouwdelen'!AA20)</f>
        <v>0</v>
      </c>
      <c r="BD36" s="208">
        <f>IF($AT36=1,$AU36*'Verwerking Bouwdelen'!DT20,$AU36*'Verwerking Bouwdelen'!AB20)</f>
        <v>0</v>
      </c>
      <c r="BE36" s="208">
        <f>IF($AT36=1,$AU36*'Verwerking Bouwdelen'!DU20,$AU36*'Verwerking Bouwdelen'!AC20)</f>
        <v>0</v>
      </c>
      <c r="BF36" s="208">
        <f>IF($AT36=1,$AU36*'Verwerking Bouwdelen'!DV20,$AU36*'Verwerking Bouwdelen'!AD20)</f>
        <v>0</v>
      </c>
      <c r="BG36" s="208">
        <f>IF($AT36=1,$AU36*'Verwerking Bouwdelen'!DW20,$AU36*'Verwerking Bouwdelen'!AE20)</f>
        <v>0</v>
      </c>
      <c r="BH36" s="10">
        <f>IF(AV36=B36,0,'Verwerking Bouwdelen'!D20*AT36*AU36)</f>
        <v>0</v>
      </c>
      <c r="BI36" s="10">
        <f>AT36*AU36*'Verwerking Bouwdelen'!GH20</f>
        <v>0</v>
      </c>
      <c r="BJ36" s="10"/>
      <c r="BK36" s="10"/>
      <c r="BM36" s="125">
        <f>IF('Verwerking Bouwdelen'!C20=5,1,0)</f>
        <v>0</v>
      </c>
      <c r="BN36" s="130">
        <f>IF('Verwerking Bouwdelen'!A20=5,1,0)</f>
        <v>0</v>
      </c>
      <c r="BO36" s="208">
        <f>IF($BM36=1,$BN36*'Verwerking Bouwdelen'!DL20,$BN36*'Verwerking Bouwdelen'!T20)</f>
        <v>0</v>
      </c>
      <c r="BP36" s="208">
        <f>IF($BM36=1,$BN36*'Verwerking Bouwdelen'!DM20,$BN36*'Verwerking Bouwdelen'!U20)</f>
        <v>0</v>
      </c>
      <c r="BQ36" s="208">
        <f>IF($BM36=1,$BN36*'Verwerking Bouwdelen'!DN20,$BN36*'Verwerking Bouwdelen'!V20)</f>
        <v>0</v>
      </c>
      <c r="BR36" s="208">
        <f>IF($BM36=1,$BN36*'Verwerking Bouwdelen'!DO20,$BN36*'Verwerking Bouwdelen'!W20)</f>
        <v>0</v>
      </c>
      <c r="BS36" s="208">
        <f>IF($BM36=1,$BN36*'Verwerking Bouwdelen'!DP20,$BN36*'Verwerking Bouwdelen'!X20)</f>
        <v>0</v>
      </c>
      <c r="BT36" s="208">
        <f>IF($BM36=1,$BN36*'Verwerking Bouwdelen'!DQ20,$BN36*'Verwerking Bouwdelen'!Y20)</f>
        <v>0</v>
      </c>
      <c r="BU36" s="208">
        <f>IF($BM36=1,$BN36*'Verwerking Bouwdelen'!DR20,$BN36*'Verwerking Bouwdelen'!Z20)</f>
        <v>0</v>
      </c>
      <c r="BV36" s="208">
        <f>IF($BM36=1,$BN36*'Verwerking Bouwdelen'!DS20,$BN36*'Verwerking Bouwdelen'!AA20)</f>
        <v>0</v>
      </c>
      <c r="BW36" s="208">
        <f>IF($BM36=1,$BN36*'Verwerking Bouwdelen'!DT20,$BN36*'Verwerking Bouwdelen'!AB20)</f>
        <v>0</v>
      </c>
      <c r="BX36" s="208">
        <f>IF($BM36=1,$BN36*'Verwerking Bouwdelen'!DU20,$BN36*'Verwerking Bouwdelen'!AC20)</f>
        <v>0</v>
      </c>
      <c r="BY36" s="208">
        <f>IF($BM36=1,$BN36*'Verwerking Bouwdelen'!DV20,$BN36*'Verwerking Bouwdelen'!AD20)</f>
        <v>0</v>
      </c>
      <c r="BZ36" s="208">
        <f>IF($BM36=1,$BN36*'Verwerking Bouwdelen'!DW20,$BN36*'Verwerking Bouwdelen'!AE20)</f>
        <v>0</v>
      </c>
      <c r="CA36" s="10">
        <f>IF(BO36=$B36,0,'Verwerking Bouwdelen'!$D20*BM36*BN36)</f>
        <v>0</v>
      </c>
      <c r="CB36" s="10">
        <f>BM36*BN36*'Verwerking Bouwdelen'!GH20</f>
        <v>0</v>
      </c>
      <c r="CC36" s="10"/>
      <c r="CD36" s="248"/>
      <c r="CE36" s="125">
        <f>IF('Verwerking Bouwdelen'!C20=2,1,0)</f>
        <v>0</v>
      </c>
      <c r="CF36" s="130">
        <f>IF('Verwerking Bouwdelen'!A20=5,1,0)</f>
        <v>0</v>
      </c>
      <c r="CG36" s="208">
        <f>IF($CE36=1,$CF36*'Verwerking Bouwdelen'!DL20,$CF36*'Verwerking Bouwdelen'!T20)</f>
        <v>0</v>
      </c>
      <c r="CH36" s="208">
        <f>IF($CE36=1,$CF36*'Verwerking Bouwdelen'!DM20,$CF36*'Verwerking Bouwdelen'!U20)</f>
        <v>0</v>
      </c>
      <c r="CI36" s="208">
        <f>IF($CE36=1,$CF36*'Verwerking Bouwdelen'!DN20,$CF36*'Verwerking Bouwdelen'!V20)</f>
        <v>0</v>
      </c>
      <c r="CJ36" s="208">
        <f>IF($CE36=1,$CF36*'Verwerking Bouwdelen'!DO20,$CF36*'Verwerking Bouwdelen'!W20)</f>
        <v>0</v>
      </c>
      <c r="CK36" s="208">
        <f>IF($CE36=1,$CF36*'Verwerking Bouwdelen'!DP20,$CF36*'Verwerking Bouwdelen'!X20)</f>
        <v>0</v>
      </c>
      <c r="CL36" s="208">
        <f>IF($CE36=1,$CF36*'Verwerking Bouwdelen'!DQ20,$CF36*'Verwerking Bouwdelen'!Y20)</f>
        <v>0</v>
      </c>
      <c r="CM36" s="208">
        <f>IF($CE36=1,$CF36*'Verwerking Bouwdelen'!DR20,$CF36*'Verwerking Bouwdelen'!Z20)</f>
        <v>0</v>
      </c>
      <c r="CN36" s="208">
        <f>IF($CE36=1,$CF36*'Verwerking Bouwdelen'!DS20,$CF36*'Verwerking Bouwdelen'!AA20)</f>
        <v>0</v>
      </c>
      <c r="CO36" s="208">
        <f>IF($CE36=1,$CF36*'Verwerking Bouwdelen'!DT20,$CF36*'Verwerking Bouwdelen'!AB20)</f>
        <v>0</v>
      </c>
      <c r="CP36" s="208">
        <f>IF($CE36=1,$CF36*'Verwerking Bouwdelen'!DU20,$CF36*'Verwerking Bouwdelen'!AC20)</f>
        <v>0</v>
      </c>
      <c r="CQ36" s="208">
        <f>IF($CE36=1,$CF36*'Verwerking Bouwdelen'!DV20,$CF36*'Verwerking Bouwdelen'!AD20)</f>
        <v>0</v>
      </c>
      <c r="CR36" s="208">
        <f>IF($CE36=1,$CF36*'Verwerking Bouwdelen'!DW20,$CF36*'Verwerking Bouwdelen'!AE20)</f>
        <v>0</v>
      </c>
      <c r="CS36" s="10">
        <f>IF(CG36=$B36,0,('Verwerking Bouwdelen'!$D20-'Verwerking Bouwdelen'!G20)*CE36*CF36)</f>
        <v>0</v>
      </c>
      <c r="CT36" s="261">
        <f>CE36*CF36*'Verwerking Bouwdelen'!$GH$3</f>
        <v>0</v>
      </c>
      <c r="CU36" s="261">
        <f>CE36*CF36*'Verwerking Bouwdelen'!GI20</f>
        <v>0</v>
      </c>
      <c r="CW36" s="209">
        <f>$AC36*'Verwerking Bouwdelen'!EE20</f>
        <v>0</v>
      </c>
      <c r="CX36" s="209">
        <f>$AC36*'Verwerking Bouwdelen'!EF20</f>
        <v>0</v>
      </c>
      <c r="CY36" s="209">
        <f>$AC36*'Verwerking Bouwdelen'!EG20</f>
        <v>0</v>
      </c>
      <c r="CZ36" s="209">
        <f>$AC36*'Verwerking Bouwdelen'!EH20</f>
        <v>0</v>
      </c>
      <c r="DA36" s="209">
        <f>$AC36*'Verwerking Bouwdelen'!EI20</f>
        <v>0</v>
      </c>
      <c r="DB36" s="209">
        <f>$AC36*'Verwerking Bouwdelen'!EJ20</f>
        <v>0</v>
      </c>
      <c r="DC36" s="209">
        <f>$AC36*'Verwerking Bouwdelen'!EK20</f>
        <v>0</v>
      </c>
      <c r="DD36" s="209">
        <f>$AC36*'Verwerking Bouwdelen'!EL20</f>
        <v>0</v>
      </c>
      <c r="DE36" s="209">
        <f>$AC36*'Verwerking Bouwdelen'!EM20</f>
        <v>0</v>
      </c>
      <c r="DF36" s="209">
        <f>$AC36*'Verwerking Bouwdelen'!EN20</f>
        <v>0</v>
      </c>
      <c r="DG36" s="209">
        <f>$AC36*'Verwerking Bouwdelen'!EO20</f>
        <v>0</v>
      </c>
      <c r="DH36" s="209">
        <f>$AC36*'Verwerking Bouwdelen'!EP20</f>
        <v>0</v>
      </c>
      <c r="DI36" s="10">
        <f>IF(CW36=$O36,0,'Verwerking Bouwdelen'!G20)</f>
        <v>0</v>
      </c>
      <c r="DJ36" s="259">
        <f>'Verwerking Bouwdelen'!GK20*CF36</f>
        <v>0</v>
      </c>
      <c r="DK36" s="259">
        <f>'Verwerking Bouwdelen'!GL20*CF36</f>
        <v>0</v>
      </c>
      <c r="DL36" s="125"/>
      <c r="GM36" s="89">
        <f t="shared" si="13"/>
        <v>0</v>
      </c>
      <c r="GN36" s="89">
        <f t="shared" si="14"/>
        <v>0</v>
      </c>
      <c r="GO36" s="208">
        <f>IF($GN36=1,$GN36*$GM36*'Verwerking Bouwdelen'!DL20,$GN36*$GM36*'Verwerking Bouwdelen'!T20)</f>
        <v>0</v>
      </c>
      <c r="GP36" s="208">
        <f>IF($GN36=1,$GN36*$GM36*'Verwerking Bouwdelen'!DM20,$GN36*$GM36*'Verwerking Bouwdelen'!U20)</f>
        <v>0</v>
      </c>
      <c r="GQ36" s="208">
        <f>IF($GN36=1,$GN36*$GM36*'Verwerking Bouwdelen'!DN20,$GN36*$GM36*'Verwerking Bouwdelen'!V20)</f>
        <v>0</v>
      </c>
      <c r="GR36" s="208">
        <f>IF($GN36=1,$GN36*$GM36*'Verwerking Bouwdelen'!DO20,$GN36*$GM36*'Verwerking Bouwdelen'!W20)</f>
        <v>0</v>
      </c>
      <c r="GS36" s="208">
        <f>IF($GN36=1,$GN36*$GM36*'Verwerking Bouwdelen'!DP20,$GN36*$GM36*'Verwerking Bouwdelen'!X20)</f>
        <v>0</v>
      </c>
      <c r="GT36" s="208">
        <f>IF($GN36=1,$GN36*$GM36*'Verwerking Bouwdelen'!DQ20,$GN36*$GM36*'Verwerking Bouwdelen'!Y20)</f>
        <v>0</v>
      </c>
      <c r="GU36" s="208">
        <f>IF($GN36=1,$GN36*$GM36*'Verwerking Bouwdelen'!DR20,$GN36*$GM36*'Verwerking Bouwdelen'!Z20)</f>
        <v>0</v>
      </c>
      <c r="GV36" s="208">
        <f>IF($GN36=1,$GN36*$GM36*'Verwerking Bouwdelen'!DS20,$GN36*$GM36*'Verwerking Bouwdelen'!AA20)</f>
        <v>0</v>
      </c>
      <c r="GW36" s="208">
        <f>IF($GN36=1,$GN36*$GM36*'Verwerking Bouwdelen'!DT20,$GN36*$GM36*'Verwerking Bouwdelen'!AB20)</f>
        <v>0</v>
      </c>
      <c r="GX36" s="208">
        <f>IF($GN36=1,$GN36*$GM36*'Verwerking Bouwdelen'!DU20,$GN36*$GM36*'Verwerking Bouwdelen'!AC20)</f>
        <v>0</v>
      </c>
      <c r="GY36" s="208">
        <f>IF($GN36=1,$GN36*$GM36*'Verwerking Bouwdelen'!DV20,$GN36*$GM36*'Verwerking Bouwdelen'!AD20)</f>
        <v>0</v>
      </c>
      <c r="GZ36" s="208">
        <f>IF($GN36=1,$GN36*$GM36*'Verwerking Bouwdelen'!DW20,$GN36*$GM36*'Verwerking Bouwdelen'!AE20)</f>
        <v>0</v>
      </c>
      <c r="HB36" s="89">
        <f t="shared" si="1"/>
        <v>0</v>
      </c>
      <c r="HC36" s="89">
        <f t="shared" si="2"/>
        <v>0</v>
      </c>
      <c r="HD36" s="89">
        <f t="shared" si="3"/>
        <v>0</v>
      </c>
      <c r="HE36" s="89">
        <f t="shared" si="4"/>
        <v>0</v>
      </c>
      <c r="HF36" s="89">
        <f t="shared" si="5"/>
        <v>0</v>
      </c>
      <c r="HG36" s="89">
        <f t="shared" si="6"/>
        <v>0</v>
      </c>
      <c r="HH36" s="89">
        <f t="shared" si="7"/>
        <v>0</v>
      </c>
      <c r="HI36" s="89">
        <f t="shared" si="8"/>
        <v>0</v>
      </c>
      <c r="HJ36" s="89">
        <f t="shared" si="9"/>
        <v>0</v>
      </c>
      <c r="HK36" s="89">
        <f t="shared" si="10"/>
        <v>0</v>
      </c>
      <c r="HL36" s="89">
        <f t="shared" si="11"/>
        <v>0</v>
      </c>
      <c r="HM36" s="89">
        <f t="shared" si="12"/>
        <v>0</v>
      </c>
    </row>
    <row r="37" spans="1:221" x14ac:dyDescent="0.2">
      <c r="A37" s="130">
        <f>IF('Verwerking Bouwdelen'!A21=5,1,0)</f>
        <v>0</v>
      </c>
      <c r="B37" s="208">
        <f>$A37*'Verwerking Bouwdelen'!T21</f>
        <v>0</v>
      </c>
      <c r="C37" s="208">
        <f>$A37*'Verwerking Bouwdelen'!U21</f>
        <v>0</v>
      </c>
      <c r="D37" s="208">
        <f>$A37*'Verwerking Bouwdelen'!V21</f>
        <v>0</v>
      </c>
      <c r="E37" s="208">
        <f>$A37*'Verwerking Bouwdelen'!W21</f>
        <v>0</v>
      </c>
      <c r="F37" s="208">
        <f>$A37*'Verwerking Bouwdelen'!X21</f>
        <v>0</v>
      </c>
      <c r="G37" s="208">
        <f>$A37*'Verwerking Bouwdelen'!Y21</f>
        <v>0</v>
      </c>
      <c r="H37" s="208">
        <f>$A37*'Verwerking Bouwdelen'!Z21</f>
        <v>0</v>
      </c>
      <c r="I37" s="208">
        <f>$A37*'Verwerking Bouwdelen'!AA21</f>
        <v>0</v>
      </c>
      <c r="J37" s="208">
        <f>$A37*'Verwerking Bouwdelen'!AB21</f>
        <v>0</v>
      </c>
      <c r="K37" s="208">
        <f>$A37*'Verwerking Bouwdelen'!AC21</f>
        <v>0</v>
      </c>
      <c r="L37" s="208">
        <f>$A37*'Verwerking Bouwdelen'!AD21</f>
        <v>0</v>
      </c>
      <c r="M37" s="208">
        <f>$A37*'Verwerking Bouwdelen'!AE21</f>
        <v>0</v>
      </c>
      <c r="O37" s="114">
        <f>$A37*'Verwerking Bouwdelen'!AU21</f>
        <v>0</v>
      </c>
      <c r="P37" s="125">
        <f>$A37*'Verwerking Bouwdelen'!AV21</f>
        <v>0</v>
      </c>
      <c r="Q37" s="125">
        <f>$A37*'Verwerking Bouwdelen'!AW21</f>
        <v>0</v>
      </c>
      <c r="R37" s="125">
        <f>$A37*'Verwerking Bouwdelen'!AX21</f>
        <v>0</v>
      </c>
      <c r="S37" s="125">
        <f>$A37*'Verwerking Bouwdelen'!AY21</f>
        <v>0</v>
      </c>
      <c r="T37" s="125">
        <f>$A37*'Verwerking Bouwdelen'!AZ21</f>
        <v>0</v>
      </c>
      <c r="U37" s="125">
        <f>$A37*'Verwerking Bouwdelen'!BA21</f>
        <v>0</v>
      </c>
      <c r="V37" s="125">
        <f>$A37*'Verwerking Bouwdelen'!BB21</f>
        <v>0</v>
      </c>
      <c r="W37" s="125">
        <f>$A37*'Verwerking Bouwdelen'!BC21</f>
        <v>0</v>
      </c>
      <c r="X37" s="125">
        <f>$A37*'Verwerking Bouwdelen'!BD21</f>
        <v>0</v>
      </c>
      <c r="Y37" s="125">
        <f>$A37*'Verwerking Bouwdelen'!BE21</f>
        <v>0</v>
      </c>
      <c r="Z37" s="195">
        <f>$A37*'Verwerking Bouwdelen'!BF21</f>
        <v>0</v>
      </c>
      <c r="AB37" s="125">
        <f>IF(OR('Verwerking Bouwdelen'!C21=3,'Verwerking Bouwdelen'!C21=6),1,0)</f>
        <v>0</v>
      </c>
      <c r="AC37" s="130">
        <f>IF('Verwerking Bouwdelen'!A21=5,1,0)</f>
        <v>0</v>
      </c>
      <c r="AD37" s="208">
        <f>IF($AB37=1,$AC37*'Verwerking Bouwdelen'!DL21,$AC37*'Verwerking Bouwdelen'!T21)</f>
        <v>0</v>
      </c>
      <c r="AE37" s="208">
        <f>IF($AB37=1,$AC37*'Verwerking Bouwdelen'!DM21,$AC37*'Verwerking Bouwdelen'!U21)</f>
        <v>0</v>
      </c>
      <c r="AF37" s="208">
        <f>IF($AB37=1,$AC37*'Verwerking Bouwdelen'!DN21,$AC37*'Verwerking Bouwdelen'!V21)</f>
        <v>0</v>
      </c>
      <c r="AG37" s="208">
        <f>IF($AB37=1,$AC37*'Verwerking Bouwdelen'!DO21,$AC37*'Verwerking Bouwdelen'!W21)</f>
        <v>0</v>
      </c>
      <c r="AH37" s="208">
        <f>IF($AB37=1,$AC37*'Verwerking Bouwdelen'!DP21,$AC37*'Verwerking Bouwdelen'!X21)</f>
        <v>0</v>
      </c>
      <c r="AI37" s="208">
        <f>IF($AB37=1,$AC37*'Verwerking Bouwdelen'!DQ21,$AC37*'Verwerking Bouwdelen'!Y21)</f>
        <v>0</v>
      </c>
      <c r="AJ37" s="208">
        <f>IF($AB37=1,$AC37*'Verwerking Bouwdelen'!DR21,$AC37*'Verwerking Bouwdelen'!Z21)</f>
        <v>0</v>
      </c>
      <c r="AK37" s="208">
        <f>IF($AB37=1,$AC37*'Verwerking Bouwdelen'!DS21,$AC37*'Verwerking Bouwdelen'!AA21)</f>
        <v>0</v>
      </c>
      <c r="AL37" s="208">
        <f>IF($AB37=1,$AC37*'Verwerking Bouwdelen'!DT21,$AC37*'Verwerking Bouwdelen'!AB21)</f>
        <v>0</v>
      </c>
      <c r="AM37" s="208">
        <f>IF($AB37=1,$AC37*'Verwerking Bouwdelen'!DU21,$AC37*'Verwerking Bouwdelen'!AC21)</f>
        <v>0</v>
      </c>
      <c r="AN37" s="208">
        <f>IF($AB37=1,$AC37*'Verwerking Bouwdelen'!DV21,$AC37*'Verwerking Bouwdelen'!AD21)</f>
        <v>0</v>
      </c>
      <c r="AO37" s="208">
        <f>IF($AB37=1,$AC37*'Verwerking Bouwdelen'!DW21,$AC37*'Verwerking Bouwdelen'!AE21)</f>
        <v>0</v>
      </c>
      <c r="AP37" s="10">
        <f>IF(AD37=B37,0,'Verwerking Bouwdelen'!D21*AB37*AC37)</f>
        <v>0</v>
      </c>
      <c r="AQ37" s="10">
        <f>AB37*AC37*'Verwerking Bouwdelen'!GH21</f>
        <v>0</v>
      </c>
      <c r="AR37" s="10"/>
      <c r="AS37" s="248"/>
      <c r="AT37" s="125">
        <f>IF('Verwerking Bouwdelen'!C21=4,1,0)</f>
        <v>0</v>
      </c>
      <c r="AU37" s="130">
        <f>IF('Verwerking Bouwdelen'!A21=5,1,0)</f>
        <v>0</v>
      </c>
      <c r="AV37" s="208">
        <f>IF($AT37=1,$AU37*'Verwerking Bouwdelen'!DL21,$AU37*'Verwerking Bouwdelen'!T21)</f>
        <v>0</v>
      </c>
      <c r="AW37" s="208">
        <f>IF($AT37=1,$AU37*'Verwerking Bouwdelen'!DM21,$AU37*'Verwerking Bouwdelen'!U21)</f>
        <v>0</v>
      </c>
      <c r="AX37" s="208">
        <f>IF($AT37=1,$AU37*'Verwerking Bouwdelen'!DN21,$AU37*'Verwerking Bouwdelen'!V21)</f>
        <v>0</v>
      </c>
      <c r="AY37" s="208">
        <f>IF($AT37=1,$AU37*'Verwerking Bouwdelen'!DO21,$AU37*'Verwerking Bouwdelen'!W21)</f>
        <v>0</v>
      </c>
      <c r="AZ37" s="208">
        <f>IF($AT37=1,$AU37*'Verwerking Bouwdelen'!DP21,$AU37*'Verwerking Bouwdelen'!X21)</f>
        <v>0</v>
      </c>
      <c r="BA37" s="208">
        <f>IF($AT37=1,$AU37*'Verwerking Bouwdelen'!DQ21,$AU37*'Verwerking Bouwdelen'!Y21)</f>
        <v>0</v>
      </c>
      <c r="BB37" s="208">
        <f>IF($AT37=1,$AU37*'Verwerking Bouwdelen'!DR21,$AU37*'Verwerking Bouwdelen'!Z21)</f>
        <v>0</v>
      </c>
      <c r="BC37" s="208">
        <f>IF($AT37=1,$AU37*'Verwerking Bouwdelen'!DS21,$AU37*'Verwerking Bouwdelen'!AA21)</f>
        <v>0</v>
      </c>
      <c r="BD37" s="208">
        <f>IF($AT37=1,$AU37*'Verwerking Bouwdelen'!DT21,$AU37*'Verwerking Bouwdelen'!AB21)</f>
        <v>0</v>
      </c>
      <c r="BE37" s="208">
        <f>IF($AT37=1,$AU37*'Verwerking Bouwdelen'!DU21,$AU37*'Verwerking Bouwdelen'!AC21)</f>
        <v>0</v>
      </c>
      <c r="BF37" s="208">
        <f>IF($AT37=1,$AU37*'Verwerking Bouwdelen'!DV21,$AU37*'Verwerking Bouwdelen'!AD21)</f>
        <v>0</v>
      </c>
      <c r="BG37" s="208">
        <f>IF($AT37=1,$AU37*'Verwerking Bouwdelen'!DW21,$AU37*'Verwerking Bouwdelen'!AE21)</f>
        <v>0</v>
      </c>
      <c r="BH37" s="10">
        <f>IF(AV37=B37,0,'Verwerking Bouwdelen'!D21*AT37*AU37)</f>
        <v>0</v>
      </c>
      <c r="BI37" s="10">
        <f>AT37*AU37*'Verwerking Bouwdelen'!GH21</f>
        <v>0</v>
      </c>
      <c r="BJ37" s="10"/>
      <c r="BK37" s="10"/>
      <c r="BM37" s="125">
        <f>IF('Verwerking Bouwdelen'!C21=5,1,0)</f>
        <v>0</v>
      </c>
      <c r="BN37" s="130">
        <f>IF('Verwerking Bouwdelen'!A21=5,1,0)</f>
        <v>0</v>
      </c>
      <c r="BO37" s="208">
        <f>IF($BM37=1,$BN37*'Verwerking Bouwdelen'!DL21,$BN37*'Verwerking Bouwdelen'!T21)</f>
        <v>0</v>
      </c>
      <c r="BP37" s="208">
        <f>IF($BM37=1,$BN37*'Verwerking Bouwdelen'!DM21,$BN37*'Verwerking Bouwdelen'!U21)</f>
        <v>0</v>
      </c>
      <c r="BQ37" s="208">
        <f>IF($BM37=1,$BN37*'Verwerking Bouwdelen'!DN21,$BN37*'Verwerking Bouwdelen'!V21)</f>
        <v>0</v>
      </c>
      <c r="BR37" s="208">
        <f>IF($BM37=1,$BN37*'Verwerking Bouwdelen'!DO21,$BN37*'Verwerking Bouwdelen'!W21)</f>
        <v>0</v>
      </c>
      <c r="BS37" s="208">
        <f>IF($BM37=1,$BN37*'Verwerking Bouwdelen'!DP21,$BN37*'Verwerking Bouwdelen'!X21)</f>
        <v>0</v>
      </c>
      <c r="BT37" s="208">
        <f>IF($BM37=1,$BN37*'Verwerking Bouwdelen'!DQ21,$BN37*'Verwerking Bouwdelen'!Y21)</f>
        <v>0</v>
      </c>
      <c r="BU37" s="208">
        <f>IF($BM37=1,$BN37*'Verwerking Bouwdelen'!DR21,$BN37*'Verwerking Bouwdelen'!Z21)</f>
        <v>0</v>
      </c>
      <c r="BV37" s="208">
        <f>IF($BM37=1,$BN37*'Verwerking Bouwdelen'!DS21,$BN37*'Verwerking Bouwdelen'!AA21)</f>
        <v>0</v>
      </c>
      <c r="BW37" s="208">
        <f>IF($BM37=1,$BN37*'Verwerking Bouwdelen'!DT21,$BN37*'Verwerking Bouwdelen'!AB21)</f>
        <v>0</v>
      </c>
      <c r="BX37" s="208">
        <f>IF($BM37=1,$BN37*'Verwerking Bouwdelen'!DU21,$BN37*'Verwerking Bouwdelen'!AC21)</f>
        <v>0</v>
      </c>
      <c r="BY37" s="208">
        <f>IF($BM37=1,$BN37*'Verwerking Bouwdelen'!DV21,$BN37*'Verwerking Bouwdelen'!AD21)</f>
        <v>0</v>
      </c>
      <c r="BZ37" s="208">
        <f>IF($BM37=1,$BN37*'Verwerking Bouwdelen'!DW21,$BN37*'Verwerking Bouwdelen'!AE21)</f>
        <v>0</v>
      </c>
      <c r="CA37" s="10">
        <f>IF(BO37=$B37,0,'Verwerking Bouwdelen'!$D21*BM37*BN37)</f>
        <v>0</v>
      </c>
      <c r="CB37" s="10">
        <f>BM37*BN37*'Verwerking Bouwdelen'!GH21</f>
        <v>0</v>
      </c>
      <c r="CC37" s="10"/>
      <c r="CD37" s="248"/>
      <c r="CE37" s="125">
        <f>IF('Verwerking Bouwdelen'!C21=2,1,0)</f>
        <v>0</v>
      </c>
      <c r="CF37" s="130">
        <f>IF('Verwerking Bouwdelen'!A21=5,1,0)</f>
        <v>0</v>
      </c>
      <c r="CG37" s="208">
        <f>IF($CE37=1,$CF37*'Verwerking Bouwdelen'!DL21,$CF37*'Verwerking Bouwdelen'!T21)</f>
        <v>0</v>
      </c>
      <c r="CH37" s="208">
        <f>IF($CE37=1,$CF37*'Verwerking Bouwdelen'!DM21,$CF37*'Verwerking Bouwdelen'!U21)</f>
        <v>0</v>
      </c>
      <c r="CI37" s="208">
        <f>IF($CE37=1,$CF37*'Verwerking Bouwdelen'!DN21,$CF37*'Verwerking Bouwdelen'!V21)</f>
        <v>0</v>
      </c>
      <c r="CJ37" s="208">
        <f>IF($CE37=1,$CF37*'Verwerking Bouwdelen'!DO21,$CF37*'Verwerking Bouwdelen'!W21)</f>
        <v>0</v>
      </c>
      <c r="CK37" s="208">
        <f>IF($CE37=1,$CF37*'Verwerking Bouwdelen'!DP21,$CF37*'Verwerking Bouwdelen'!X21)</f>
        <v>0</v>
      </c>
      <c r="CL37" s="208">
        <f>IF($CE37=1,$CF37*'Verwerking Bouwdelen'!DQ21,$CF37*'Verwerking Bouwdelen'!Y21)</f>
        <v>0</v>
      </c>
      <c r="CM37" s="208">
        <f>IF($CE37=1,$CF37*'Verwerking Bouwdelen'!DR21,$CF37*'Verwerking Bouwdelen'!Z21)</f>
        <v>0</v>
      </c>
      <c r="CN37" s="208">
        <f>IF($CE37=1,$CF37*'Verwerking Bouwdelen'!DS21,$CF37*'Verwerking Bouwdelen'!AA21)</f>
        <v>0</v>
      </c>
      <c r="CO37" s="208">
        <f>IF($CE37=1,$CF37*'Verwerking Bouwdelen'!DT21,$CF37*'Verwerking Bouwdelen'!AB21)</f>
        <v>0</v>
      </c>
      <c r="CP37" s="208">
        <f>IF($CE37=1,$CF37*'Verwerking Bouwdelen'!DU21,$CF37*'Verwerking Bouwdelen'!AC21)</f>
        <v>0</v>
      </c>
      <c r="CQ37" s="208">
        <f>IF($CE37=1,$CF37*'Verwerking Bouwdelen'!DV21,$CF37*'Verwerking Bouwdelen'!AD21)</f>
        <v>0</v>
      </c>
      <c r="CR37" s="208">
        <f>IF($CE37=1,$CF37*'Verwerking Bouwdelen'!DW21,$CF37*'Verwerking Bouwdelen'!AE21)</f>
        <v>0</v>
      </c>
      <c r="CS37" s="10">
        <f>IF(CG37=$B37,0,('Verwerking Bouwdelen'!$D21-'Verwerking Bouwdelen'!G21)*CE37*CF37)</f>
        <v>0</v>
      </c>
      <c r="CT37" s="261">
        <f>CE37*CF37*'Verwerking Bouwdelen'!$GH$3</f>
        <v>0</v>
      </c>
      <c r="CU37" s="261">
        <f>CE37*CF37*'Verwerking Bouwdelen'!GI21</f>
        <v>0</v>
      </c>
      <c r="CW37" s="209">
        <f>$AC37*'Verwerking Bouwdelen'!EE21</f>
        <v>0</v>
      </c>
      <c r="CX37" s="209">
        <f>$AC37*'Verwerking Bouwdelen'!EF21</f>
        <v>0</v>
      </c>
      <c r="CY37" s="209">
        <f>$AC37*'Verwerking Bouwdelen'!EG21</f>
        <v>0</v>
      </c>
      <c r="CZ37" s="209">
        <f>$AC37*'Verwerking Bouwdelen'!EH21</f>
        <v>0</v>
      </c>
      <c r="DA37" s="209">
        <f>$AC37*'Verwerking Bouwdelen'!EI21</f>
        <v>0</v>
      </c>
      <c r="DB37" s="209">
        <f>$AC37*'Verwerking Bouwdelen'!EJ21</f>
        <v>0</v>
      </c>
      <c r="DC37" s="209">
        <f>$AC37*'Verwerking Bouwdelen'!EK21</f>
        <v>0</v>
      </c>
      <c r="DD37" s="209">
        <f>$AC37*'Verwerking Bouwdelen'!EL21</f>
        <v>0</v>
      </c>
      <c r="DE37" s="209">
        <f>$AC37*'Verwerking Bouwdelen'!EM21</f>
        <v>0</v>
      </c>
      <c r="DF37" s="209">
        <f>$AC37*'Verwerking Bouwdelen'!EN21</f>
        <v>0</v>
      </c>
      <c r="DG37" s="209">
        <f>$AC37*'Verwerking Bouwdelen'!EO21</f>
        <v>0</v>
      </c>
      <c r="DH37" s="209">
        <f>$AC37*'Verwerking Bouwdelen'!EP21</f>
        <v>0</v>
      </c>
      <c r="DI37" s="10">
        <f>IF(CW37=$O37,0,'Verwerking Bouwdelen'!G21)</f>
        <v>0</v>
      </c>
      <c r="DJ37" s="259">
        <f>'Verwerking Bouwdelen'!GK21*CF37</f>
        <v>0</v>
      </c>
      <c r="DK37" s="259">
        <f>'Verwerking Bouwdelen'!GL21*CF37</f>
        <v>0</v>
      </c>
      <c r="DL37" s="125"/>
      <c r="GM37" s="89">
        <f t="shared" si="13"/>
        <v>0</v>
      </c>
      <c r="GN37" s="89">
        <f t="shared" si="14"/>
        <v>0</v>
      </c>
      <c r="GO37" s="208">
        <f>IF($GN37=1,$GN37*$GM37*'Verwerking Bouwdelen'!DL21,$GN37*$GM37*'Verwerking Bouwdelen'!T21)</f>
        <v>0</v>
      </c>
      <c r="GP37" s="208">
        <f>IF($GN37=1,$GN37*$GM37*'Verwerking Bouwdelen'!DM21,$GN37*$GM37*'Verwerking Bouwdelen'!U21)</f>
        <v>0</v>
      </c>
      <c r="GQ37" s="208">
        <f>IF($GN37=1,$GN37*$GM37*'Verwerking Bouwdelen'!DN21,$GN37*$GM37*'Verwerking Bouwdelen'!V21)</f>
        <v>0</v>
      </c>
      <c r="GR37" s="208">
        <f>IF($GN37=1,$GN37*$GM37*'Verwerking Bouwdelen'!DO21,$GN37*$GM37*'Verwerking Bouwdelen'!W21)</f>
        <v>0</v>
      </c>
      <c r="GS37" s="208">
        <f>IF($GN37=1,$GN37*$GM37*'Verwerking Bouwdelen'!DP21,$GN37*$GM37*'Verwerking Bouwdelen'!X21)</f>
        <v>0</v>
      </c>
      <c r="GT37" s="208">
        <f>IF($GN37=1,$GN37*$GM37*'Verwerking Bouwdelen'!DQ21,$GN37*$GM37*'Verwerking Bouwdelen'!Y21)</f>
        <v>0</v>
      </c>
      <c r="GU37" s="208">
        <f>IF($GN37=1,$GN37*$GM37*'Verwerking Bouwdelen'!DR21,$GN37*$GM37*'Verwerking Bouwdelen'!Z21)</f>
        <v>0</v>
      </c>
      <c r="GV37" s="208">
        <f>IF($GN37=1,$GN37*$GM37*'Verwerking Bouwdelen'!DS21,$GN37*$GM37*'Verwerking Bouwdelen'!AA21)</f>
        <v>0</v>
      </c>
      <c r="GW37" s="208">
        <f>IF($GN37=1,$GN37*$GM37*'Verwerking Bouwdelen'!DT21,$GN37*$GM37*'Verwerking Bouwdelen'!AB21)</f>
        <v>0</v>
      </c>
      <c r="GX37" s="208">
        <f>IF($GN37=1,$GN37*$GM37*'Verwerking Bouwdelen'!DU21,$GN37*$GM37*'Verwerking Bouwdelen'!AC21)</f>
        <v>0</v>
      </c>
      <c r="GY37" s="208">
        <f>IF($GN37=1,$GN37*$GM37*'Verwerking Bouwdelen'!DV21,$GN37*$GM37*'Verwerking Bouwdelen'!AD21)</f>
        <v>0</v>
      </c>
      <c r="GZ37" s="208">
        <f>IF($GN37=1,$GN37*$GM37*'Verwerking Bouwdelen'!DW21,$GN37*$GM37*'Verwerking Bouwdelen'!AE21)</f>
        <v>0</v>
      </c>
      <c r="HB37" s="89">
        <f t="shared" si="1"/>
        <v>0</v>
      </c>
      <c r="HC37" s="89">
        <f t="shared" si="2"/>
        <v>0</v>
      </c>
      <c r="HD37" s="89">
        <f t="shared" si="3"/>
        <v>0</v>
      </c>
      <c r="HE37" s="89">
        <f t="shared" si="4"/>
        <v>0</v>
      </c>
      <c r="HF37" s="89">
        <f t="shared" si="5"/>
        <v>0</v>
      </c>
      <c r="HG37" s="89">
        <f t="shared" si="6"/>
        <v>0</v>
      </c>
      <c r="HH37" s="89">
        <f t="shared" si="7"/>
        <v>0</v>
      </c>
      <c r="HI37" s="89">
        <f t="shared" si="8"/>
        <v>0</v>
      </c>
      <c r="HJ37" s="89">
        <f t="shared" si="9"/>
        <v>0</v>
      </c>
      <c r="HK37" s="89">
        <f t="shared" si="10"/>
        <v>0</v>
      </c>
      <c r="HL37" s="89">
        <f t="shared" si="11"/>
        <v>0</v>
      </c>
      <c r="HM37" s="89">
        <f t="shared" si="12"/>
        <v>0</v>
      </c>
    </row>
    <row r="38" spans="1:221" x14ac:dyDescent="0.2">
      <c r="A38" s="130">
        <f>IF('Verwerking Bouwdelen'!A22=5,1,0)</f>
        <v>0</v>
      </c>
      <c r="B38" s="208">
        <f>$A38*'Verwerking Bouwdelen'!T22</f>
        <v>0</v>
      </c>
      <c r="C38" s="208">
        <f>$A38*'Verwerking Bouwdelen'!U22</f>
        <v>0</v>
      </c>
      <c r="D38" s="208">
        <f>$A38*'Verwerking Bouwdelen'!V22</f>
        <v>0</v>
      </c>
      <c r="E38" s="208">
        <f>$A38*'Verwerking Bouwdelen'!W22</f>
        <v>0</v>
      </c>
      <c r="F38" s="208">
        <f>$A38*'Verwerking Bouwdelen'!X22</f>
        <v>0</v>
      </c>
      <c r="G38" s="208">
        <f>$A38*'Verwerking Bouwdelen'!Y22</f>
        <v>0</v>
      </c>
      <c r="H38" s="208">
        <f>$A38*'Verwerking Bouwdelen'!Z22</f>
        <v>0</v>
      </c>
      <c r="I38" s="208">
        <f>$A38*'Verwerking Bouwdelen'!AA22</f>
        <v>0</v>
      </c>
      <c r="J38" s="208">
        <f>$A38*'Verwerking Bouwdelen'!AB22</f>
        <v>0</v>
      </c>
      <c r="K38" s="208">
        <f>$A38*'Verwerking Bouwdelen'!AC22</f>
        <v>0</v>
      </c>
      <c r="L38" s="208">
        <f>$A38*'Verwerking Bouwdelen'!AD22</f>
        <v>0</v>
      </c>
      <c r="M38" s="208">
        <f>$A38*'Verwerking Bouwdelen'!AE22</f>
        <v>0</v>
      </c>
      <c r="O38" s="114">
        <f>$A38*'Verwerking Bouwdelen'!AU22</f>
        <v>0</v>
      </c>
      <c r="P38" s="125">
        <f>$A38*'Verwerking Bouwdelen'!AV22</f>
        <v>0</v>
      </c>
      <c r="Q38" s="125">
        <f>$A38*'Verwerking Bouwdelen'!AW22</f>
        <v>0</v>
      </c>
      <c r="R38" s="125">
        <f>$A38*'Verwerking Bouwdelen'!AX22</f>
        <v>0</v>
      </c>
      <c r="S38" s="125">
        <f>$A38*'Verwerking Bouwdelen'!AY22</f>
        <v>0</v>
      </c>
      <c r="T38" s="125">
        <f>$A38*'Verwerking Bouwdelen'!AZ22</f>
        <v>0</v>
      </c>
      <c r="U38" s="125">
        <f>$A38*'Verwerking Bouwdelen'!BA22</f>
        <v>0</v>
      </c>
      <c r="V38" s="125">
        <f>$A38*'Verwerking Bouwdelen'!BB22</f>
        <v>0</v>
      </c>
      <c r="W38" s="125">
        <f>$A38*'Verwerking Bouwdelen'!BC22</f>
        <v>0</v>
      </c>
      <c r="X38" s="125">
        <f>$A38*'Verwerking Bouwdelen'!BD22</f>
        <v>0</v>
      </c>
      <c r="Y38" s="125">
        <f>$A38*'Verwerking Bouwdelen'!BE22</f>
        <v>0</v>
      </c>
      <c r="Z38" s="195">
        <f>$A38*'Verwerking Bouwdelen'!BF22</f>
        <v>0</v>
      </c>
      <c r="AB38" s="125">
        <f>IF(OR('Verwerking Bouwdelen'!C22=3,'Verwerking Bouwdelen'!C22=6),1,0)</f>
        <v>0</v>
      </c>
      <c r="AC38" s="130">
        <f>IF('Verwerking Bouwdelen'!A22=5,1,0)</f>
        <v>0</v>
      </c>
      <c r="AD38" s="208">
        <f>IF($AB38=1,$AC38*'Verwerking Bouwdelen'!DL22,$AC38*'Verwerking Bouwdelen'!T22)</f>
        <v>0</v>
      </c>
      <c r="AE38" s="208">
        <f>IF($AB38=1,$AC38*'Verwerking Bouwdelen'!DM22,$AC38*'Verwerking Bouwdelen'!U22)</f>
        <v>0</v>
      </c>
      <c r="AF38" s="208">
        <f>IF($AB38=1,$AC38*'Verwerking Bouwdelen'!DN22,$AC38*'Verwerking Bouwdelen'!V22)</f>
        <v>0</v>
      </c>
      <c r="AG38" s="208">
        <f>IF($AB38=1,$AC38*'Verwerking Bouwdelen'!DO22,$AC38*'Verwerking Bouwdelen'!W22)</f>
        <v>0</v>
      </c>
      <c r="AH38" s="208">
        <f>IF($AB38=1,$AC38*'Verwerking Bouwdelen'!DP22,$AC38*'Verwerking Bouwdelen'!X22)</f>
        <v>0</v>
      </c>
      <c r="AI38" s="208">
        <f>IF($AB38=1,$AC38*'Verwerking Bouwdelen'!DQ22,$AC38*'Verwerking Bouwdelen'!Y22)</f>
        <v>0</v>
      </c>
      <c r="AJ38" s="208">
        <f>IF($AB38=1,$AC38*'Verwerking Bouwdelen'!DR22,$AC38*'Verwerking Bouwdelen'!Z22)</f>
        <v>0</v>
      </c>
      <c r="AK38" s="208">
        <f>IF($AB38=1,$AC38*'Verwerking Bouwdelen'!DS22,$AC38*'Verwerking Bouwdelen'!AA22)</f>
        <v>0</v>
      </c>
      <c r="AL38" s="208">
        <f>IF($AB38=1,$AC38*'Verwerking Bouwdelen'!DT22,$AC38*'Verwerking Bouwdelen'!AB22)</f>
        <v>0</v>
      </c>
      <c r="AM38" s="208">
        <f>IF($AB38=1,$AC38*'Verwerking Bouwdelen'!DU22,$AC38*'Verwerking Bouwdelen'!AC22)</f>
        <v>0</v>
      </c>
      <c r="AN38" s="208">
        <f>IF($AB38=1,$AC38*'Verwerking Bouwdelen'!DV22,$AC38*'Verwerking Bouwdelen'!AD22)</f>
        <v>0</v>
      </c>
      <c r="AO38" s="208">
        <f>IF($AB38=1,$AC38*'Verwerking Bouwdelen'!DW22,$AC38*'Verwerking Bouwdelen'!AE22)</f>
        <v>0</v>
      </c>
      <c r="AP38" s="10">
        <f>IF(AD38=B38,0,'Verwerking Bouwdelen'!D22*AB38*AC38)</f>
        <v>0</v>
      </c>
      <c r="AQ38" s="10">
        <f>AB38*AC38*'Verwerking Bouwdelen'!GH22</f>
        <v>0</v>
      </c>
      <c r="AR38" s="10"/>
      <c r="AS38" s="248"/>
      <c r="AT38" s="125">
        <f>IF('Verwerking Bouwdelen'!C22=4,1,0)</f>
        <v>0</v>
      </c>
      <c r="AU38" s="130">
        <f>IF('Verwerking Bouwdelen'!A22=5,1,0)</f>
        <v>0</v>
      </c>
      <c r="AV38" s="208">
        <f>IF($AT38=1,$AU38*'Verwerking Bouwdelen'!DL22,$AU38*'Verwerking Bouwdelen'!T22)</f>
        <v>0</v>
      </c>
      <c r="AW38" s="208">
        <f>IF($AT38=1,$AU38*'Verwerking Bouwdelen'!DM22,$AU38*'Verwerking Bouwdelen'!U22)</f>
        <v>0</v>
      </c>
      <c r="AX38" s="208">
        <f>IF($AT38=1,$AU38*'Verwerking Bouwdelen'!DN22,$AU38*'Verwerking Bouwdelen'!V22)</f>
        <v>0</v>
      </c>
      <c r="AY38" s="208">
        <f>IF($AT38=1,$AU38*'Verwerking Bouwdelen'!DO22,$AU38*'Verwerking Bouwdelen'!W22)</f>
        <v>0</v>
      </c>
      <c r="AZ38" s="208">
        <f>IF($AT38=1,$AU38*'Verwerking Bouwdelen'!DP22,$AU38*'Verwerking Bouwdelen'!X22)</f>
        <v>0</v>
      </c>
      <c r="BA38" s="208">
        <f>IF($AT38=1,$AU38*'Verwerking Bouwdelen'!DQ22,$AU38*'Verwerking Bouwdelen'!Y22)</f>
        <v>0</v>
      </c>
      <c r="BB38" s="208">
        <f>IF($AT38=1,$AU38*'Verwerking Bouwdelen'!DR22,$AU38*'Verwerking Bouwdelen'!Z22)</f>
        <v>0</v>
      </c>
      <c r="BC38" s="208">
        <f>IF($AT38=1,$AU38*'Verwerking Bouwdelen'!DS22,$AU38*'Verwerking Bouwdelen'!AA22)</f>
        <v>0</v>
      </c>
      <c r="BD38" s="208">
        <f>IF($AT38=1,$AU38*'Verwerking Bouwdelen'!DT22,$AU38*'Verwerking Bouwdelen'!AB22)</f>
        <v>0</v>
      </c>
      <c r="BE38" s="208">
        <f>IF($AT38=1,$AU38*'Verwerking Bouwdelen'!DU22,$AU38*'Verwerking Bouwdelen'!AC22)</f>
        <v>0</v>
      </c>
      <c r="BF38" s="208">
        <f>IF($AT38=1,$AU38*'Verwerking Bouwdelen'!DV22,$AU38*'Verwerking Bouwdelen'!AD22)</f>
        <v>0</v>
      </c>
      <c r="BG38" s="208">
        <f>IF($AT38=1,$AU38*'Verwerking Bouwdelen'!DW22,$AU38*'Verwerking Bouwdelen'!AE22)</f>
        <v>0</v>
      </c>
      <c r="BH38" s="10">
        <f>IF(AV38=B38,0,'Verwerking Bouwdelen'!D22*AT38*AU38)</f>
        <v>0</v>
      </c>
      <c r="BI38" s="10">
        <f>AT38*AU38*'Verwerking Bouwdelen'!GH22</f>
        <v>0</v>
      </c>
      <c r="BJ38" s="10"/>
      <c r="BK38" s="10"/>
      <c r="BM38" s="125">
        <f>IF('Verwerking Bouwdelen'!C22=5,1,0)</f>
        <v>0</v>
      </c>
      <c r="BN38" s="130">
        <f>IF('Verwerking Bouwdelen'!A22=5,1,0)</f>
        <v>0</v>
      </c>
      <c r="BO38" s="208">
        <f>IF($BM38=1,$BN38*'Verwerking Bouwdelen'!DL22,$BN38*'Verwerking Bouwdelen'!T22)</f>
        <v>0</v>
      </c>
      <c r="BP38" s="208">
        <f>IF($BM38=1,$BN38*'Verwerking Bouwdelen'!DM22,$BN38*'Verwerking Bouwdelen'!U22)</f>
        <v>0</v>
      </c>
      <c r="BQ38" s="208">
        <f>IF($BM38=1,$BN38*'Verwerking Bouwdelen'!DN22,$BN38*'Verwerking Bouwdelen'!V22)</f>
        <v>0</v>
      </c>
      <c r="BR38" s="208">
        <f>IF($BM38=1,$BN38*'Verwerking Bouwdelen'!DO22,$BN38*'Verwerking Bouwdelen'!W22)</f>
        <v>0</v>
      </c>
      <c r="BS38" s="208">
        <f>IF($BM38=1,$BN38*'Verwerking Bouwdelen'!DP22,$BN38*'Verwerking Bouwdelen'!X22)</f>
        <v>0</v>
      </c>
      <c r="BT38" s="208">
        <f>IF($BM38=1,$BN38*'Verwerking Bouwdelen'!DQ22,$BN38*'Verwerking Bouwdelen'!Y22)</f>
        <v>0</v>
      </c>
      <c r="BU38" s="208">
        <f>IF($BM38=1,$BN38*'Verwerking Bouwdelen'!DR22,$BN38*'Verwerking Bouwdelen'!Z22)</f>
        <v>0</v>
      </c>
      <c r="BV38" s="208">
        <f>IF($BM38=1,$BN38*'Verwerking Bouwdelen'!DS22,$BN38*'Verwerking Bouwdelen'!AA22)</f>
        <v>0</v>
      </c>
      <c r="BW38" s="208">
        <f>IF($BM38=1,$BN38*'Verwerking Bouwdelen'!DT22,$BN38*'Verwerking Bouwdelen'!AB22)</f>
        <v>0</v>
      </c>
      <c r="BX38" s="208">
        <f>IF($BM38=1,$BN38*'Verwerking Bouwdelen'!DU22,$BN38*'Verwerking Bouwdelen'!AC22)</f>
        <v>0</v>
      </c>
      <c r="BY38" s="208">
        <f>IF($BM38=1,$BN38*'Verwerking Bouwdelen'!DV22,$BN38*'Verwerking Bouwdelen'!AD22)</f>
        <v>0</v>
      </c>
      <c r="BZ38" s="208">
        <f>IF($BM38=1,$BN38*'Verwerking Bouwdelen'!DW22,$BN38*'Verwerking Bouwdelen'!AE22)</f>
        <v>0</v>
      </c>
      <c r="CA38" s="10">
        <f>IF(BO38=$B38,0,'Verwerking Bouwdelen'!$D22*BM38*BN38)</f>
        <v>0</v>
      </c>
      <c r="CB38" s="10">
        <f>BM38*BN38*'Verwerking Bouwdelen'!GH22</f>
        <v>0</v>
      </c>
      <c r="CC38" s="10"/>
      <c r="CD38" s="248"/>
      <c r="CE38" s="125">
        <f>IF('Verwerking Bouwdelen'!C22=2,1,0)</f>
        <v>0</v>
      </c>
      <c r="CF38" s="130">
        <f>IF('Verwerking Bouwdelen'!A22=5,1,0)</f>
        <v>0</v>
      </c>
      <c r="CG38" s="208">
        <f>IF($CE38=1,$CF38*'Verwerking Bouwdelen'!DL22,$CF38*'Verwerking Bouwdelen'!T22)</f>
        <v>0</v>
      </c>
      <c r="CH38" s="208">
        <f>IF($CE38=1,$CF38*'Verwerking Bouwdelen'!DM22,$CF38*'Verwerking Bouwdelen'!U22)</f>
        <v>0</v>
      </c>
      <c r="CI38" s="208">
        <f>IF($CE38=1,$CF38*'Verwerking Bouwdelen'!DN22,$CF38*'Verwerking Bouwdelen'!V22)</f>
        <v>0</v>
      </c>
      <c r="CJ38" s="208">
        <f>IF($CE38=1,$CF38*'Verwerking Bouwdelen'!DO22,$CF38*'Verwerking Bouwdelen'!W22)</f>
        <v>0</v>
      </c>
      <c r="CK38" s="208">
        <f>IF($CE38=1,$CF38*'Verwerking Bouwdelen'!DP22,$CF38*'Verwerking Bouwdelen'!X22)</f>
        <v>0</v>
      </c>
      <c r="CL38" s="208">
        <f>IF($CE38=1,$CF38*'Verwerking Bouwdelen'!DQ22,$CF38*'Verwerking Bouwdelen'!Y22)</f>
        <v>0</v>
      </c>
      <c r="CM38" s="208">
        <f>IF($CE38=1,$CF38*'Verwerking Bouwdelen'!DR22,$CF38*'Verwerking Bouwdelen'!Z22)</f>
        <v>0</v>
      </c>
      <c r="CN38" s="208">
        <f>IF($CE38=1,$CF38*'Verwerking Bouwdelen'!DS22,$CF38*'Verwerking Bouwdelen'!AA22)</f>
        <v>0</v>
      </c>
      <c r="CO38" s="208">
        <f>IF($CE38=1,$CF38*'Verwerking Bouwdelen'!DT22,$CF38*'Verwerking Bouwdelen'!AB22)</f>
        <v>0</v>
      </c>
      <c r="CP38" s="208">
        <f>IF($CE38=1,$CF38*'Verwerking Bouwdelen'!DU22,$CF38*'Verwerking Bouwdelen'!AC22)</f>
        <v>0</v>
      </c>
      <c r="CQ38" s="208">
        <f>IF($CE38=1,$CF38*'Verwerking Bouwdelen'!DV22,$CF38*'Verwerking Bouwdelen'!AD22)</f>
        <v>0</v>
      </c>
      <c r="CR38" s="208">
        <f>IF($CE38=1,$CF38*'Verwerking Bouwdelen'!DW22,$CF38*'Verwerking Bouwdelen'!AE22)</f>
        <v>0</v>
      </c>
      <c r="CS38" s="10">
        <f>IF(CG38=$B38,0,('Verwerking Bouwdelen'!$D22-'Verwerking Bouwdelen'!G22)*CE38*CF38)</f>
        <v>0</v>
      </c>
      <c r="CT38" s="261">
        <f>CE38*CF38*'Verwerking Bouwdelen'!$GH$3</f>
        <v>0</v>
      </c>
      <c r="CU38" s="261">
        <f>CE38*CF38*'Verwerking Bouwdelen'!GI22</f>
        <v>0</v>
      </c>
      <c r="CW38" s="209">
        <f>$AC38*'Verwerking Bouwdelen'!EE22</f>
        <v>0</v>
      </c>
      <c r="CX38" s="209">
        <f>$AC38*'Verwerking Bouwdelen'!EF22</f>
        <v>0</v>
      </c>
      <c r="CY38" s="209">
        <f>$AC38*'Verwerking Bouwdelen'!EG22</f>
        <v>0</v>
      </c>
      <c r="CZ38" s="209">
        <f>$AC38*'Verwerking Bouwdelen'!EH22</f>
        <v>0</v>
      </c>
      <c r="DA38" s="209">
        <f>$AC38*'Verwerking Bouwdelen'!EI22</f>
        <v>0</v>
      </c>
      <c r="DB38" s="209">
        <f>$AC38*'Verwerking Bouwdelen'!EJ22</f>
        <v>0</v>
      </c>
      <c r="DC38" s="209">
        <f>$AC38*'Verwerking Bouwdelen'!EK22</f>
        <v>0</v>
      </c>
      <c r="DD38" s="209">
        <f>$AC38*'Verwerking Bouwdelen'!EL22</f>
        <v>0</v>
      </c>
      <c r="DE38" s="209">
        <f>$AC38*'Verwerking Bouwdelen'!EM22</f>
        <v>0</v>
      </c>
      <c r="DF38" s="209">
        <f>$AC38*'Verwerking Bouwdelen'!EN22</f>
        <v>0</v>
      </c>
      <c r="DG38" s="209">
        <f>$AC38*'Verwerking Bouwdelen'!EO22</f>
        <v>0</v>
      </c>
      <c r="DH38" s="209">
        <f>$AC38*'Verwerking Bouwdelen'!EP22</f>
        <v>0</v>
      </c>
      <c r="DI38" s="10">
        <f>IF(CW38=$O38,0,'Verwerking Bouwdelen'!G22)</f>
        <v>0</v>
      </c>
      <c r="DJ38" s="259">
        <f>'Verwerking Bouwdelen'!GK22*CF38</f>
        <v>0</v>
      </c>
      <c r="DK38" s="259">
        <f>'Verwerking Bouwdelen'!GL22*CF38</f>
        <v>0</v>
      </c>
      <c r="DL38" s="125"/>
      <c r="GM38" s="89">
        <f t="shared" si="13"/>
        <v>0</v>
      </c>
      <c r="GN38" s="89">
        <f t="shared" si="14"/>
        <v>0</v>
      </c>
      <c r="GO38" s="208">
        <f>IF($GN38=1,$GN38*$GM38*'Verwerking Bouwdelen'!DL22,$GN38*$GM38*'Verwerking Bouwdelen'!T22)</f>
        <v>0</v>
      </c>
      <c r="GP38" s="208">
        <f>IF($GN38=1,$GN38*$GM38*'Verwerking Bouwdelen'!DM22,$GN38*$GM38*'Verwerking Bouwdelen'!U22)</f>
        <v>0</v>
      </c>
      <c r="GQ38" s="208">
        <f>IF($GN38=1,$GN38*$GM38*'Verwerking Bouwdelen'!DN22,$GN38*$GM38*'Verwerking Bouwdelen'!V22)</f>
        <v>0</v>
      </c>
      <c r="GR38" s="208">
        <f>IF($GN38=1,$GN38*$GM38*'Verwerking Bouwdelen'!DO22,$GN38*$GM38*'Verwerking Bouwdelen'!W22)</f>
        <v>0</v>
      </c>
      <c r="GS38" s="208">
        <f>IF($GN38=1,$GN38*$GM38*'Verwerking Bouwdelen'!DP22,$GN38*$GM38*'Verwerking Bouwdelen'!X22)</f>
        <v>0</v>
      </c>
      <c r="GT38" s="208">
        <f>IF($GN38=1,$GN38*$GM38*'Verwerking Bouwdelen'!DQ22,$GN38*$GM38*'Verwerking Bouwdelen'!Y22)</f>
        <v>0</v>
      </c>
      <c r="GU38" s="208">
        <f>IF($GN38=1,$GN38*$GM38*'Verwerking Bouwdelen'!DR22,$GN38*$GM38*'Verwerking Bouwdelen'!Z22)</f>
        <v>0</v>
      </c>
      <c r="GV38" s="208">
        <f>IF($GN38=1,$GN38*$GM38*'Verwerking Bouwdelen'!DS22,$GN38*$GM38*'Verwerking Bouwdelen'!AA22)</f>
        <v>0</v>
      </c>
      <c r="GW38" s="208">
        <f>IF($GN38=1,$GN38*$GM38*'Verwerking Bouwdelen'!DT22,$GN38*$GM38*'Verwerking Bouwdelen'!AB22)</f>
        <v>0</v>
      </c>
      <c r="GX38" s="208">
        <f>IF($GN38=1,$GN38*$GM38*'Verwerking Bouwdelen'!DU22,$GN38*$GM38*'Verwerking Bouwdelen'!AC22)</f>
        <v>0</v>
      </c>
      <c r="GY38" s="208">
        <f>IF($GN38=1,$GN38*$GM38*'Verwerking Bouwdelen'!DV22,$GN38*$GM38*'Verwerking Bouwdelen'!AD22)</f>
        <v>0</v>
      </c>
      <c r="GZ38" s="208">
        <f>IF($GN38=1,$GN38*$GM38*'Verwerking Bouwdelen'!DW22,$GN38*$GM38*'Verwerking Bouwdelen'!AE22)</f>
        <v>0</v>
      </c>
      <c r="HB38" s="89">
        <f t="shared" si="1"/>
        <v>0</v>
      </c>
      <c r="HC38" s="89">
        <f t="shared" si="2"/>
        <v>0</v>
      </c>
      <c r="HD38" s="89">
        <f t="shared" si="3"/>
        <v>0</v>
      </c>
      <c r="HE38" s="89">
        <f t="shared" si="4"/>
        <v>0</v>
      </c>
      <c r="HF38" s="89">
        <f t="shared" si="5"/>
        <v>0</v>
      </c>
      <c r="HG38" s="89">
        <f t="shared" si="6"/>
        <v>0</v>
      </c>
      <c r="HH38" s="89">
        <f t="shared" si="7"/>
        <v>0</v>
      </c>
      <c r="HI38" s="89">
        <f t="shared" si="8"/>
        <v>0</v>
      </c>
      <c r="HJ38" s="89">
        <f t="shared" si="9"/>
        <v>0</v>
      </c>
      <c r="HK38" s="89">
        <f t="shared" si="10"/>
        <v>0</v>
      </c>
      <c r="HL38" s="89">
        <f t="shared" si="11"/>
        <v>0</v>
      </c>
      <c r="HM38" s="89">
        <f t="shared" si="12"/>
        <v>0</v>
      </c>
    </row>
    <row r="39" spans="1:221" x14ac:dyDescent="0.2">
      <c r="A39" s="130">
        <f>IF('Verwerking Bouwdelen'!A23=5,1,0)</f>
        <v>0</v>
      </c>
      <c r="B39" s="208">
        <f>$A39*'Verwerking Bouwdelen'!T23</f>
        <v>0</v>
      </c>
      <c r="C39" s="208">
        <f>$A39*'Verwerking Bouwdelen'!U23</f>
        <v>0</v>
      </c>
      <c r="D39" s="208">
        <f>$A39*'Verwerking Bouwdelen'!V23</f>
        <v>0</v>
      </c>
      <c r="E39" s="208">
        <f>$A39*'Verwerking Bouwdelen'!W23</f>
        <v>0</v>
      </c>
      <c r="F39" s="208">
        <f>$A39*'Verwerking Bouwdelen'!X23</f>
        <v>0</v>
      </c>
      <c r="G39" s="208">
        <f>$A39*'Verwerking Bouwdelen'!Y23</f>
        <v>0</v>
      </c>
      <c r="H39" s="208">
        <f>$A39*'Verwerking Bouwdelen'!Z23</f>
        <v>0</v>
      </c>
      <c r="I39" s="208">
        <f>$A39*'Verwerking Bouwdelen'!AA23</f>
        <v>0</v>
      </c>
      <c r="J39" s="208">
        <f>$A39*'Verwerking Bouwdelen'!AB23</f>
        <v>0</v>
      </c>
      <c r="K39" s="208">
        <f>$A39*'Verwerking Bouwdelen'!AC23</f>
        <v>0</v>
      </c>
      <c r="L39" s="208">
        <f>$A39*'Verwerking Bouwdelen'!AD23</f>
        <v>0</v>
      </c>
      <c r="M39" s="208">
        <f>$A39*'Verwerking Bouwdelen'!AE23</f>
        <v>0</v>
      </c>
      <c r="O39" s="114">
        <f>$A39*'Verwerking Bouwdelen'!AU23</f>
        <v>0</v>
      </c>
      <c r="P39" s="125">
        <f>$A39*'Verwerking Bouwdelen'!AV23</f>
        <v>0</v>
      </c>
      <c r="Q39" s="125">
        <f>$A39*'Verwerking Bouwdelen'!AW23</f>
        <v>0</v>
      </c>
      <c r="R39" s="125">
        <f>$A39*'Verwerking Bouwdelen'!AX23</f>
        <v>0</v>
      </c>
      <c r="S39" s="125">
        <f>$A39*'Verwerking Bouwdelen'!AY23</f>
        <v>0</v>
      </c>
      <c r="T39" s="125">
        <f>$A39*'Verwerking Bouwdelen'!AZ23</f>
        <v>0</v>
      </c>
      <c r="U39" s="125">
        <f>$A39*'Verwerking Bouwdelen'!BA23</f>
        <v>0</v>
      </c>
      <c r="V39" s="125">
        <f>$A39*'Verwerking Bouwdelen'!BB23</f>
        <v>0</v>
      </c>
      <c r="W39" s="125">
        <f>$A39*'Verwerking Bouwdelen'!BC23</f>
        <v>0</v>
      </c>
      <c r="X39" s="125">
        <f>$A39*'Verwerking Bouwdelen'!BD23</f>
        <v>0</v>
      </c>
      <c r="Y39" s="125">
        <f>$A39*'Verwerking Bouwdelen'!BE23</f>
        <v>0</v>
      </c>
      <c r="Z39" s="195">
        <f>$A39*'Verwerking Bouwdelen'!BF23</f>
        <v>0</v>
      </c>
      <c r="AB39" s="125">
        <f>IF(OR('Verwerking Bouwdelen'!C23=3,'Verwerking Bouwdelen'!C23=6),1,0)</f>
        <v>0</v>
      </c>
      <c r="AC39" s="130">
        <f>IF('Verwerking Bouwdelen'!A23=5,1,0)</f>
        <v>0</v>
      </c>
      <c r="AD39" s="208">
        <f>IF($AB39=1,$AC39*'Verwerking Bouwdelen'!DL23,$AC39*'Verwerking Bouwdelen'!T23)</f>
        <v>0</v>
      </c>
      <c r="AE39" s="208">
        <f>IF($AB39=1,$AC39*'Verwerking Bouwdelen'!DM23,$AC39*'Verwerking Bouwdelen'!U23)</f>
        <v>0</v>
      </c>
      <c r="AF39" s="208">
        <f>IF($AB39=1,$AC39*'Verwerking Bouwdelen'!DN23,$AC39*'Verwerking Bouwdelen'!V23)</f>
        <v>0</v>
      </c>
      <c r="AG39" s="208">
        <f>IF($AB39=1,$AC39*'Verwerking Bouwdelen'!DO23,$AC39*'Verwerking Bouwdelen'!W23)</f>
        <v>0</v>
      </c>
      <c r="AH39" s="208">
        <f>IF($AB39=1,$AC39*'Verwerking Bouwdelen'!DP23,$AC39*'Verwerking Bouwdelen'!X23)</f>
        <v>0</v>
      </c>
      <c r="AI39" s="208">
        <f>IF($AB39=1,$AC39*'Verwerking Bouwdelen'!DQ23,$AC39*'Verwerking Bouwdelen'!Y23)</f>
        <v>0</v>
      </c>
      <c r="AJ39" s="208">
        <f>IF($AB39=1,$AC39*'Verwerking Bouwdelen'!DR23,$AC39*'Verwerking Bouwdelen'!Z23)</f>
        <v>0</v>
      </c>
      <c r="AK39" s="208">
        <f>IF($AB39=1,$AC39*'Verwerking Bouwdelen'!DS23,$AC39*'Verwerking Bouwdelen'!AA23)</f>
        <v>0</v>
      </c>
      <c r="AL39" s="208">
        <f>IF($AB39=1,$AC39*'Verwerking Bouwdelen'!DT23,$AC39*'Verwerking Bouwdelen'!AB23)</f>
        <v>0</v>
      </c>
      <c r="AM39" s="208">
        <f>IF($AB39=1,$AC39*'Verwerking Bouwdelen'!DU23,$AC39*'Verwerking Bouwdelen'!AC23)</f>
        <v>0</v>
      </c>
      <c r="AN39" s="208">
        <f>IF($AB39=1,$AC39*'Verwerking Bouwdelen'!DV23,$AC39*'Verwerking Bouwdelen'!AD23)</f>
        <v>0</v>
      </c>
      <c r="AO39" s="208">
        <f>IF($AB39=1,$AC39*'Verwerking Bouwdelen'!DW23,$AC39*'Verwerking Bouwdelen'!AE23)</f>
        <v>0</v>
      </c>
      <c r="AP39" s="10">
        <f>IF(AD39=B39,0,'Verwerking Bouwdelen'!D23*AB39*AC39)</f>
        <v>0</v>
      </c>
      <c r="AQ39" s="10">
        <f>AB39*AC39*'Verwerking Bouwdelen'!GH23</f>
        <v>0</v>
      </c>
      <c r="AR39" s="10"/>
      <c r="AS39" s="248"/>
      <c r="AT39" s="125">
        <f>IF('Verwerking Bouwdelen'!C23=4,1,0)</f>
        <v>0</v>
      </c>
      <c r="AU39" s="130">
        <f>IF('Verwerking Bouwdelen'!A23=5,1,0)</f>
        <v>0</v>
      </c>
      <c r="AV39" s="208">
        <f>IF($AT39=1,$AU39*'Verwerking Bouwdelen'!DL23,$AU39*'Verwerking Bouwdelen'!T23)</f>
        <v>0</v>
      </c>
      <c r="AW39" s="208">
        <f>IF($AT39=1,$AU39*'Verwerking Bouwdelen'!DM23,$AU39*'Verwerking Bouwdelen'!U23)</f>
        <v>0</v>
      </c>
      <c r="AX39" s="208">
        <f>IF($AT39=1,$AU39*'Verwerking Bouwdelen'!DN23,$AU39*'Verwerking Bouwdelen'!V23)</f>
        <v>0</v>
      </c>
      <c r="AY39" s="208">
        <f>IF($AT39=1,$AU39*'Verwerking Bouwdelen'!DO23,$AU39*'Verwerking Bouwdelen'!W23)</f>
        <v>0</v>
      </c>
      <c r="AZ39" s="208">
        <f>IF($AT39=1,$AU39*'Verwerking Bouwdelen'!DP23,$AU39*'Verwerking Bouwdelen'!X23)</f>
        <v>0</v>
      </c>
      <c r="BA39" s="208">
        <f>IF($AT39=1,$AU39*'Verwerking Bouwdelen'!DQ23,$AU39*'Verwerking Bouwdelen'!Y23)</f>
        <v>0</v>
      </c>
      <c r="BB39" s="208">
        <f>IF($AT39=1,$AU39*'Verwerking Bouwdelen'!DR23,$AU39*'Verwerking Bouwdelen'!Z23)</f>
        <v>0</v>
      </c>
      <c r="BC39" s="208">
        <f>IF($AT39=1,$AU39*'Verwerking Bouwdelen'!DS23,$AU39*'Verwerking Bouwdelen'!AA23)</f>
        <v>0</v>
      </c>
      <c r="BD39" s="208">
        <f>IF($AT39=1,$AU39*'Verwerking Bouwdelen'!DT23,$AU39*'Verwerking Bouwdelen'!AB23)</f>
        <v>0</v>
      </c>
      <c r="BE39" s="208">
        <f>IF($AT39=1,$AU39*'Verwerking Bouwdelen'!DU23,$AU39*'Verwerking Bouwdelen'!AC23)</f>
        <v>0</v>
      </c>
      <c r="BF39" s="208">
        <f>IF($AT39=1,$AU39*'Verwerking Bouwdelen'!DV23,$AU39*'Verwerking Bouwdelen'!AD23)</f>
        <v>0</v>
      </c>
      <c r="BG39" s="208">
        <f>IF($AT39=1,$AU39*'Verwerking Bouwdelen'!DW23,$AU39*'Verwerking Bouwdelen'!AE23)</f>
        <v>0</v>
      </c>
      <c r="BH39" s="10">
        <f>IF(AV39=B39,0,'Verwerking Bouwdelen'!D23*AT39*AU39)</f>
        <v>0</v>
      </c>
      <c r="BI39" s="10">
        <f>AT39*AU39*'Verwerking Bouwdelen'!GH23</f>
        <v>0</v>
      </c>
      <c r="BJ39" s="10"/>
      <c r="BK39" s="10"/>
      <c r="BM39" s="125">
        <f>IF('Verwerking Bouwdelen'!C23=5,1,0)</f>
        <v>0</v>
      </c>
      <c r="BN39" s="130">
        <f>IF('Verwerking Bouwdelen'!A23=5,1,0)</f>
        <v>0</v>
      </c>
      <c r="BO39" s="208">
        <f>IF($BM39=1,$BN39*'Verwerking Bouwdelen'!DL23,$BN39*'Verwerking Bouwdelen'!T23)</f>
        <v>0</v>
      </c>
      <c r="BP39" s="208">
        <f>IF($BM39=1,$BN39*'Verwerking Bouwdelen'!DM23,$BN39*'Verwerking Bouwdelen'!U23)</f>
        <v>0</v>
      </c>
      <c r="BQ39" s="208">
        <f>IF($BM39=1,$BN39*'Verwerking Bouwdelen'!DN23,$BN39*'Verwerking Bouwdelen'!V23)</f>
        <v>0</v>
      </c>
      <c r="BR39" s="208">
        <f>IF($BM39=1,$BN39*'Verwerking Bouwdelen'!DO23,$BN39*'Verwerking Bouwdelen'!W23)</f>
        <v>0</v>
      </c>
      <c r="BS39" s="208">
        <f>IF($BM39=1,$BN39*'Verwerking Bouwdelen'!DP23,$BN39*'Verwerking Bouwdelen'!X23)</f>
        <v>0</v>
      </c>
      <c r="BT39" s="208">
        <f>IF($BM39=1,$BN39*'Verwerking Bouwdelen'!DQ23,$BN39*'Verwerking Bouwdelen'!Y23)</f>
        <v>0</v>
      </c>
      <c r="BU39" s="208">
        <f>IF($BM39=1,$BN39*'Verwerking Bouwdelen'!DR23,$BN39*'Verwerking Bouwdelen'!Z23)</f>
        <v>0</v>
      </c>
      <c r="BV39" s="208">
        <f>IF($BM39=1,$BN39*'Verwerking Bouwdelen'!DS23,$BN39*'Verwerking Bouwdelen'!AA23)</f>
        <v>0</v>
      </c>
      <c r="BW39" s="208">
        <f>IF($BM39=1,$BN39*'Verwerking Bouwdelen'!DT23,$BN39*'Verwerking Bouwdelen'!AB23)</f>
        <v>0</v>
      </c>
      <c r="BX39" s="208">
        <f>IF($BM39=1,$BN39*'Verwerking Bouwdelen'!DU23,$BN39*'Verwerking Bouwdelen'!AC23)</f>
        <v>0</v>
      </c>
      <c r="BY39" s="208">
        <f>IF($BM39=1,$BN39*'Verwerking Bouwdelen'!DV23,$BN39*'Verwerking Bouwdelen'!AD23)</f>
        <v>0</v>
      </c>
      <c r="BZ39" s="208">
        <f>IF($BM39=1,$BN39*'Verwerking Bouwdelen'!DW23,$BN39*'Verwerking Bouwdelen'!AE23)</f>
        <v>0</v>
      </c>
      <c r="CA39" s="10">
        <f>IF(BO39=$B39,0,'Verwerking Bouwdelen'!$D23*BM39*BN39)</f>
        <v>0</v>
      </c>
      <c r="CB39" s="10">
        <f>BM39*BN39*'Verwerking Bouwdelen'!GH23</f>
        <v>0</v>
      </c>
      <c r="CC39" s="10"/>
      <c r="CD39" s="248"/>
      <c r="CE39" s="125">
        <f>IF('Verwerking Bouwdelen'!C23=2,1,0)</f>
        <v>0</v>
      </c>
      <c r="CF39" s="130">
        <f>IF('Verwerking Bouwdelen'!A23=5,1,0)</f>
        <v>0</v>
      </c>
      <c r="CG39" s="208">
        <f>IF($CE39=1,$CF39*'Verwerking Bouwdelen'!DL23,$CF39*'Verwerking Bouwdelen'!T23)</f>
        <v>0</v>
      </c>
      <c r="CH39" s="208">
        <f>IF($CE39=1,$CF39*'Verwerking Bouwdelen'!DM23,$CF39*'Verwerking Bouwdelen'!U23)</f>
        <v>0</v>
      </c>
      <c r="CI39" s="208">
        <f>IF($CE39=1,$CF39*'Verwerking Bouwdelen'!DN23,$CF39*'Verwerking Bouwdelen'!V23)</f>
        <v>0</v>
      </c>
      <c r="CJ39" s="208">
        <f>IF($CE39=1,$CF39*'Verwerking Bouwdelen'!DO23,$CF39*'Verwerking Bouwdelen'!W23)</f>
        <v>0</v>
      </c>
      <c r="CK39" s="208">
        <f>IF($CE39=1,$CF39*'Verwerking Bouwdelen'!DP23,$CF39*'Verwerking Bouwdelen'!X23)</f>
        <v>0</v>
      </c>
      <c r="CL39" s="208">
        <f>IF($CE39=1,$CF39*'Verwerking Bouwdelen'!DQ23,$CF39*'Verwerking Bouwdelen'!Y23)</f>
        <v>0</v>
      </c>
      <c r="CM39" s="208">
        <f>IF($CE39=1,$CF39*'Verwerking Bouwdelen'!DR23,$CF39*'Verwerking Bouwdelen'!Z23)</f>
        <v>0</v>
      </c>
      <c r="CN39" s="208">
        <f>IF($CE39=1,$CF39*'Verwerking Bouwdelen'!DS23,$CF39*'Verwerking Bouwdelen'!AA23)</f>
        <v>0</v>
      </c>
      <c r="CO39" s="208">
        <f>IF($CE39=1,$CF39*'Verwerking Bouwdelen'!DT23,$CF39*'Verwerking Bouwdelen'!AB23)</f>
        <v>0</v>
      </c>
      <c r="CP39" s="208">
        <f>IF($CE39=1,$CF39*'Verwerking Bouwdelen'!DU23,$CF39*'Verwerking Bouwdelen'!AC23)</f>
        <v>0</v>
      </c>
      <c r="CQ39" s="208">
        <f>IF($CE39=1,$CF39*'Verwerking Bouwdelen'!DV23,$CF39*'Verwerking Bouwdelen'!AD23)</f>
        <v>0</v>
      </c>
      <c r="CR39" s="208">
        <f>IF($CE39=1,$CF39*'Verwerking Bouwdelen'!DW23,$CF39*'Verwerking Bouwdelen'!AE23)</f>
        <v>0</v>
      </c>
      <c r="CS39" s="10">
        <f>IF(CG39=$B39,0,('Verwerking Bouwdelen'!$D23-'Verwerking Bouwdelen'!G23)*CE39*CF39)</f>
        <v>0</v>
      </c>
      <c r="CT39" s="261">
        <f>CE39*CF39*'Verwerking Bouwdelen'!$GH$3</f>
        <v>0</v>
      </c>
      <c r="CU39" s="261">
        <f>CE39*CF39*'Verwerking Bouwdelen'!GI23</f>
        <v>0</v>
      </c>
      <c r="CW39" s="209">
        <f>$AC39*'Verwerking Bouwdelen'!EE23</f>
        <v>0</v>
      </c>
      <c r="CX39" s="209">
        <f>$AC39*'Verwerking Bouwdelen'!EF23</f>
        <v>0</v>
      </c>
      <c r="CY39" s="209">
        <f>$AC39*'Verwerking Bouwdelen'!EG23</f>
        <v>0</v>
      </c>
      <c r="CZ39" s="209">
        <f>$AC39*'Verwerking Bouwdelen'!EH23</f>
        <v>0</v>
      </c>
      <c r="DA39" s="209">
        <f>$AC39*'Verwerking Bouwdelen'!EI23</f>
        <v>0</v>
      </c>
      <c r="DB39" s="209">
        <f>$AC39*'Verwerking Bouwdelen'!EJ23</f>
        <v>0</v>
      </c>
      <c r="DC39" s="209">
        <f>$AC39*'Verwerking Bouwdelen'!EK23</f>
        <v>0</v>
      </c>
      <c r="DD39" s="209">
        <f>$AC39*'Verwerking Bouwdelen'!EL23</f>
        <v>0</v>
      </c>
      <c r="DE39" s="209">
        <f>$AC39*'Verwerking Bouwdelen'!EM23</f>
        <v>0</v>
      </c>
      <c r="DF39" s="209">
        <f>$AC39*'Verwerking Bouwdelen'!EN23</f>
        <v>0</v>
      </c>
      <c r="DG39" s="209">
        <f>$AC39*'Verwerking Bouwdelen'!EO23</f>
        <v>0</v>
      </c>
      <c r="DH39" s="209">
        <f>$AC39*'Verwerking Bouwdelen'!EP23</f>
        <v>0</v>
      </c>
      <c r="DI39" s="10">
        <f>IF(CW39=$O39,0,'Verwerking Bouwdelen'!G23)</f>
        <v>0</v>
      </c>
      <c r="DJ39" s="259">
        <f>'Verwerking Bouwdelen'!GK23*CF39</f>
        <v>0</v>
      </c>
      <c r="DK39" s="259">
        <f>'Verwerking Bouwdelen'!GL23*CF39</f>
        <v>0</v>
      </c>
      <c r="DL39" s="125"/>
      <c r="GM39" s="89">
        <f t="shared" si="13"/>
        <v>0</v>
      </c>
      <c r="GN39" s="89">
        <f t="shared" si="14"/>
        <v>0</v>
      </c>
      <c r="GO39" s="208">
        <f>IF($GN39=1,$GN39*$GM39*'Verwerking Bouwdelen'!DL23,$GN39*$GM39*'Verwerking Bouwdelen'!T23)</f>
        <v>0</v>
      </c>
      <c r="GP39" s="208">
        <f>IF($GN39=1,$GN39*$GM39*'Verwerking Bouwdelen'!DM23,$GN39*$GM39*'Verwerking Bouwdelen'!U23)</f>
        <v>0</v>
      </c>
      <c r="GQ39" s="208">
        <f>IF($GN39=1,$GN39*$GM39*'Verwerking Bouwdelen'!DN23,$GN39*$GM39*'Verwerking Bouwdelen'!V23)</f>
        <v>0</v>
      </c>
      <c r="GR39" s="208">
        <f>IF($GN39=1,$GN39*$GM39*'Verwerking Bouwdelen'!DO23,$GN39*$GM39*'Verwerking Bouwdelen'!W23)</f>
        <v>0</v>
      </c>
      <c r="GS39" s="208">
        <f>IF($GN39=1,$GN39*$GM39*'Verwerking Bouwdelen'!DP23,$GN39*$GM39*'Verwerking Bouwdelen'!X23)</f>
        <v>0</v>
      </c>
      <c r="GT39" s="208">
        <f>IF($GN39=1,$GN39*$GM39*'Verwerking Bouwdelen'!DQ23,$GN39*$GM39*'Verwerking Bouwdelen'!Y23)</f>
        <v>0</v>
      </c>
      <c r="GU39" s="208">
        <f>IF($GN39=1,$GN39*$GM39*'Verwerking Bouwdelen'!DR23,$GN39*$GM39*'Verwerking Bouwdelen'!Z23)</f>
        <v>0</v>
      </c>
      <c r="GV39" s="208">
        <f>IF($GN39=1,$GN39*$GM39*'Verwerking Bouwdelen'!DS23,$GN39*$GM39*'Verwerking Bouwdelen'!AA23)</f>
        <v>0</v>
      </c>
      <c r="GW39" s="208">
        <f>IF($GN39=1,$GN39*$GM39*'Verwerking Bouwdelen'!DT23,$GN39*$GM39*'Verwerking Bouwdelen'!AB23)</f>
        <v>0</v>
      </c>
      <c r="GX39" s="208">
        <f>IF($GN39=1,$GN39*$GM39*'Verwerking Bouwdelen'!DU23,$GN39*$GM39*'Verwerking Bouwdelen'!AC23)</f>
        <v>0</v>
      </c>
      <c r="GY39" s="208">
        <f>IF($GN39=1,$GN39*$GM39*'Verwerking Bouwdelen'!DV23,$GN39*$GM39*'Verwerking Bouwdelen'!AD23)</f>
        <v>0</v>
      </c>
      <c r="GZ39" s="208">
        <f>IF($GN39=1,$GN39*$GM39*'Verwerking Bouwdelen'!DW23,$GN39*$GM39*'Verwerking Bouwdelen'!AE23)</f>
        <v>0</v>
      </c>
      <c r="HB39" s="89">
        <f t="shared" si="1"/>
        <v>0</v>
      </c>
      <c r="HC39" s="89">
        <f t="shared" si="2"/>
        <v>0</v>
      </c>
      <c r="HD39" s="89">
        <f t="shared" si="3"/>
        <v>0</v>
      </c>
      <c r="HE39" s="89">
        <f t="shared" si="4"/>
        <v>0</v>
      </c>
      <c r="HF39" s="89">
        <f t="shared" si="5"/>
        <v>0</v>
      </c>
      <c r="HG39" s="89">
        <f t="shared" si="6"/>
        <v>0</v>
      </c>
      <c r="HH39" s="89">
        <f t="shared" si="7"/>
        <v>0</v>
      </c>
      <c r="HI39" s="89">
        <f t="shared" si="8"/>
        <v>0</v>
      </c>
      <c r="HJ39" s="89">
        <f t="shared" si="9"/>
        <v>0</v>
      </c>
      <c r="HK39" s="89">
        <f t="shared" si="10"/>
        <v>0</v>
      </c>
      <c r="HL39" s="89">
        <f t="shared" si="11"/>
        <v>0</v>
      </c>
      <c r="HM39" s="89">
        <f t="shared" si="12"/>
        <v>0</v>
      </c>
    </row>
    <row r="40" spans="1:221" x14ac:dyDescent="0.2">
      <c r="A40" s="130">
        <f>IF('Verwerking Bouwdelen'!A24=5,1,0)</f>
        <v>0</v>
      </c>
      <c r="B40" s="208">
        <f>$A40*'Verwerking Bouwdelen'!T24</f>
        <v>0</v>
      </c>
      <c r="C40" s="208">
        <f>$A40*'Verwerking Bouwdelen'!U24</f>
        <v>0</v>
      </c>
      <c r="D40" s="208">
        <f>$A40*'Verwerking Bouwdelen'!V24</f>
        <v>0</v>
      </c>
      <c r="E40" s="208">
        <f>$A40*'Verwerking Bouwdelen'!W24</f>
        <v>0</v>
      </c>
      <c r="F40" s="208">
        <f>$A40*'Verwerking Bouwdelen'!X24</f>
        <v>0</v>
      </c>
      <c r="G40" s="208">
        <f>$A40*'Verwerking Bouwdelen'!Y24</f>
        <v>0</v>
      </c>
      <c r="H40" s="208">
        <f>$A40*'Verwerking Bouwdelen'!Z24</f>
        <v>0</v>
      </c>
      <c r="I40" s="208">
        <f>$A40*'Verwerking Bouwdelen'!AA24</f>
        <v>0</v>
      </c>
      <c r="J40" s="208">
        <f>$A40*'Verwerking Bouwdelen'!AB24</f>
        <v>0</v>
      </c>
      <c r="K40" s="208">
        <f>$A40*'Verwerking Bouwdelen'!AC24</f>
        <v>0</v>
      </c>
      <c r="L40" s="208">
        <f>$A40*'Verwerking Bouwdelen'!AD24</f>
        <v>0</v>
      </c>
      <c r="M40" s="208">
        <f>$A40*'Verwerking Bouwdelen'!AE24</f>
        <v>0</v>
      </c>
      <c r="O40" s="114">
        <f>$A40*'Verwerking Bouwdelen'!AU24</f>
        <v>0</v>
      </c>
      <c r="P40" s="125">
        <f>$A40*'Verwerking Bouwdelen'!AV24</f>
        <v>0</v>
      </c>
      <c r="Q40" s="125">
        <f>$A40*'Verwerking Bouwdelen'!AW24</f>
        <v>0</v>
      </c>
      <c r="R40" s="125">
        <f>$A40*'Verwerking Bouwdelen'!AX24</f>
        <v>0</v>
      </c>
      <c r="S40" s="125">
        <f>$A40*'Verwerking Bouwdelen'!AY24</f>
        <v>0</v>
      </c>
      <c r="T40" s="125">
        <f>$A40*'Verwerking Bouwdelen'!AZ24</f>
        <v>0</v>
      </c>
      <c r="U40" s="125">
        <f>$A40*'Verwerking Bouwdelen'!BA24</f>
        <v>0</v>
      </c>
      <c r="V40" s="125">
        <f>$A40*'Verwerking Bouwdelen'!BB24</f>
        <v>0</v>
      </c>
      <c r="W40" s="125">
        <f>$A40*'Verwerking Bouwdelen'!BC24</f>
        <v>0</v>
      </c>
      <c r="X40" s="125">
        <f>$A40*'Verwerking Bouwdelen'!BD24</f>
        <v>0</v>
      </c>
      <c r="Y40" s="125">
        <f>$A40*'Verwerking Bouwdelen'!BE24</f>
        <v>0</v>
      </c>
      <c r="Z40" s="195">
        <f>$A40*'Verwerking Bouwdelen'!BF24</f>
        <v>0</v>
      </c>
      <c r="AB40" s="125">
        <f>IF(OR('Verwerking Bouwdelen'!C24=3,'Verwerking Bouwdelen'!C24=6),1,0)</f>
        <v>0</v>
      </c>
      <c r="AC40" s="130">
        <f>IF('Verwerking Bouwdelen'!A24=5,1,0)</f>
        <v>0</v>
      </c>
      <c r="AD40" s="208">
        <f>IF($AB40=1,$AC40*'Verwerking Bouwdelen'!DL24,$AC40*'Verwerking Bouwdelen'!T24)</f>
        <v>0</v>
      </c>
      <c r="AE40" s="208">
        <f>IF($AB40=1,$AC40*'Verwerking Bouwdelen'!DM24,$AC40*'Verwerking Bouwdelen'!U24)</f>
        <v>0</v>
      </c>
      <c r="AF40" s="208">
        <f>IF($AB40=1,$AC40*'Verwerking Bouwdelen'!DN24,$AC40*'Verwerking Bouwdelen'!V24)</f>
        <v>0</v>
      </c>
      <c r="AG40" s="208">
        <f>IF($AB40=1,$AC40*'Verwerking Bouwdelen'!DO24,$AC40*'Verwerking Bouwdelen'!W24)</f>
        <v>0</v>
      </c>
      <c r="AH40" s="208">
        <f>IF($AB40=1,$AC40*'Verwerking Bouwdelen'!DP24,$AC40*'Verwerking Bouwdelen'!X24)</f>
        <v>0</v>
      </c>
      <c r="AI40" s="208">
        <f>IF($AB40=1,$AC40*'Verwerking Bouwdelen'!DQ24,$AC40*'Verwerking Bouwdelen'!Y24)</f>
        <v>0</v>
      </c>
      <c r="AJ40" s="208">
        <f>IF($AB40=1,$AC40*'Verwerking Bouwdelen'!DR24,$AC40*'Verwerking Bouwdelen'!Z24)</f>
        <v>0</v>
      </c>
      <c r="AK40" s="208">
        <f>IF($AB40=1,$AC40*'Verwerking Bouwdelen'!DS24,$AC40*'Verwerking Bouwdelen'!AA24)</f>
        <v>0</v>
      </c>
      <c r="AL40" s="208">
        <f>IF($AB40=1,$AC40*'Verwerking Bouwdelen'!DT24,$AC40*'Verwerking Bouwdelen'!AB24)</f>
        <v>0</v>
      </c>
      <c r="AM40" s="208">
        <f>IF($AB40=1,$AC40*'Verwerking Bouwdelen'!DU24,$AC40*'Verwerking Bouwdelen'!AC24)</f>
        <v>0</v>
      </c>
      <c r="AN40" s="208">
        <f>IF($AB40=1,$AC40*'Verwerking Bouwdelen'!DV24,$AC40*'Verwerking Bouwdelen'!AD24)</f>
        <v>0</v>
      </c>
      <c r="AO40" s="208">
        <f>IF($AB40=1,$AC40*'Verwerking Bouwdelen'!DW24,$AC40*'Verwerking Bouwdelen'!AE24)</f>
        <v>0</v>
      </c>
      <c r="AP40" s="10">
        <f>IF(AD40=B40,0,'Verwerking Bouwdelen'!D24*AB40*AC40)</f>
        <v>0</v>
      </c>
      <c r="AQ40" s="10">
        <f>AB40*AC40*'Verwerking Bouwdelen'!GH24</f>
        <v>0</v>
      </c>
      <c r="AR40" s="10"/>
      <c r="AS40" s="248"/>
      <c r="AT40" s="125">
        <f>IF('Verwerking Bouwdelen'!C24=4,1,0)</f>
        <v>0</v>
      </c>
      <c r="AU40" s="130">
        <f>IF('Verwerking Bouwdelen'!A24=5,1,0)</f>
        <v>0</v>
      </c>
      <c r="AV40" s="208">
        <f>IF($AT40=1,$AU40*'Verwerking Bouwdelen'!DL24,$AU40*'Verwerking Bouwdelen'!T24)</f>
        <v>0</v>
      </c>
      <c r="AW40" s="208">
        <f>IF($AT40=1,$AU40*'Verwerking Bouwdelen'!DM24,$AU40*'Verwerking Bouwdelen'!U24)</f>
        <v>0</v>
      </c>
      <c r="AX40" s="208">
        <f>IF($AT40=1,$AU40*'Verwerking Bouwdelen'!DN24,$AU40*'Verwerking Bouwdelen'!V24)</f>
        <v>0</v>
      </c>
      <c r="AY40" s="208">
        <f>IF($AT40=1,$AU40*'Verwerking Bouwdelen'!DO24,$AU40*'Verwerking Bouwdelen'!W24)</f>
        <v>0</v>
      </c>
      <c r="AZ40" s="208">
        <f>IF($AT40=1,$AU40*'Verwerking Bouwdelen'!DP24,$AU40*'Verwerking Bouwdelen'!X24)</f>
        <v>0</v>
      </c>
      <c r="BA40" s="208">
        <f>IF($AT40=1,$AU40*'Verwerking Bouwdelen'!DQ24,$AU40*'Verwerking Bouwdelen'!Y24)</f>
        <v>0</v>
      </c>
      <c r="BB40" s="208">
        <f>IF($AT40=1,$AU40*'Verwerking Bouwdelen'!DR24,$AU40*'Verwerking Bouwdelen'!Z24)</f>
        <v>0</v>
      </c>
      <c r="BC40" s="208">
        <f>IF($AT40=1,$AU40*'Verwerking Bouwdelen'!DS24,$AU40*'Verwerking Bouwdelen'!AA24)</f>
        <v>0</v>
      </c>
      <c r="BD40" s="208">
        <f>IF($AT40=1,$AU40*'Verwerking Bouwdelen'!DT24,$AU40*'Verwerking Bouwdelen'!AB24)</f>
        <v>0</v>
      </c>
      <c r="BE40" s="208">
        <f>IF($AT40=1,$AU40*'Verwerking Bouwdelen'!DU24,$AU40*'Verwerking Bouwdelen'!AC24)</f>
        <v>0</v>
      </c>
      <c r="BF40" s="208">
        <f>IF($AT40=1,$AU40*'Verwerking Bouwdelen'!DV24,$AU40*'Verwerking Bouwdelen'!AD24)</f>
        <v>0</v>
      </c>
      <c r="BG40" s="208">
        <f>IF($AT40=1,$AU40*'Verwerking Bouwdelen'!DW24,$AU40*'Verwerking Bouwdelen'!AE24)</f>
        <v>0</v>
      </c>
      <c r="BH40" s="10">
        <f>IF(AV40=B40,0,'Verwerking Bouwdelen'!D24*AT40*AU40)</f>
        <v>0</v>
      </c>
      <c r="BI40" s="10">
        <f>AT40*AU40*'Verwerking Bouwdelen'!GH24</f>
        <v>0</v>
      </c>
      <c r="BJ40" s="10"/>
      <c r="BK40" s="10"/>
      <c r="BM40" s="125">
        <f>IF('Verwerking Bouwdelen'!C24=5,1,0)</f>
        <v>0</v>
      </c>
      <c r="BN40" s="130">
        <f>IF('Verwerking Bouwdelen'!A24=5,1,0)</f>
        <v>0</v>
      </c>
      <c r="BO40" s="208">
        <f>IF($BM40=1,$BN40*'Verwerking Bouwdelen'!DL24,$BN40*'Verwerking Bouwdelen'!T24)</f>
        <v>0</v>
      </c>
      <c r="BP40" s="208">
        <f>IF($BM40=1,$BN40*'Verwerking Bouwdelen'!DM24,$BN40*'Verwerking Bouwdelen'!U24)</f>
        <v>0</v>
      </c>
      <c r="BQ40" s="208">
        <f>IF($BM40=1,$BN40*'Verwerking Bouwdelen'!DN24,$BN40*'Verwerking Bouwdelen'!V24)</f>
        <v>0</v>
      </c>
      <c r="BR40" s="208">
        <f>IF($BM40=1,$BN40*'Verwerking Bouwdelen'!DO24,$BN40*'Verwerking Bouwdelen'!W24)</f>
        <v>0</v>
      </c>
      <c r="BS40" s="208">
        <f>IF($BM40=1,$BN40*'Verwerking Bouwdelen'!DP24,$BN40*'Verwerking Bouwdelen'!X24)</f>
        <v>0</v>
      </c>
      <c r="BT40" s="208">
        <f>IF($BM40=1,$BN40*'Verwerking Bouwdelen'!DQ24,$BN40*'Verwerking Bouwdelen'!Y24)</f>
        <v>0</v>
      </c>
      <c r="BU40" s="208">
        <f>IF($BM40=1,$BN40*'Verwerking Bouwdelen'!DR24,$BN40*'Verwerking Bouwdelen'!Z24)</f>
        <v>0</v>
      </c>
      <c r="BV40" s="208">
        <f>IF($BM40=1,$BN40*'Verwerking Bouwdelen'!DS24,$BN40*'Verwerking Bouwdelen'!AA24)</f>
        <v>0</v>
      </c>
      <c r="BW40" s="208">
        <f>IF($BM40=1,$BN40*'Verwerking Bouwdelen'!DT24,$BN40*'Verwerking Bouwdelen'!AB24)</f>
        <v>0</v>
      </c>
      <c r="BX40" s="208">
        <f>IF($BM40=1,$BN40*'Verwerking Bouwdelen'!DU24,$BN40*'Verwerking Bouwdelen'!AC24)</f>
        <v>0</v>
      </c>
      <c r="BY40" s="208">
        <f>IF($BM40=1,$BN40*'Verwerking Bouwdelen'!DV24,$BN40*'Verwerking Bouwdelen'!AD24)</f>
        <v>0</v>
      </c>
      <c r="BZ40" s="208">
        <f>IF($BM40=1,$BN40*'Verwerking Bouwdelen'!DW24,$BN40*'Verwerking Bouwdelen'!AE24)</f>
        <v>0</v>
      </c>
      <c r="CA40" s="10">
        <f>IF(BO40=$B40,0,'Verwerking Bouwdelen'!$D24*BM40*BN40)</f>
        <v>0</v>
      </c>
      <c r="CB40" s="10">
        <f>BM40*BN40*'Verwerking Bouwdelen'!GH24</f>
        <v>0</v>
      </c>
      <c r="CC40" s="10"/>
      <c r="CD40" s="248"/>
      <c r="CE40" s="125">
        <f>IF('Verwerking Bouwdelen'!C24=2,1,0)</f>
        <v>0</v>
      </c>
      <c r="CF40" s="130">
        <f>IF('Verwerking Bouwdelen'!A24=5,1,0)</f>
        <v>0</v>
      </c>
      <c r="CG40" s="208">
        <f>IF($CE40=1,$CF40*'Verwerking Bouwdelen'!DL24,$CF40*'Verwerking Bouwdelen'!T24)</f>
        <v>0</v>
      </c>
      <c r="CH40" s="208">
        <f>IF($CE40=1,$CF40*'Verwerking Bouwdelen'!DM24,$CF40*'Verwerking Bouwdelen'!U24)</f>
        <v>0</v>
      </c>
      <c r="CI40" s="208">
        <f>IF($CE40=1,$CF40*'Verwerking Bouwdelen'!DN24,$CF40*'Verwerking Bouwdelen'!V24)</f>
        <v>0</v>
      </c>
      <c r="CJ40" s="208">
        <f>IF($CE40=1,$CF40*'Verwerking Bouwdelen'!DO24,$CF40*'Verwerking Bouwdelen'!W24)</f>
        <v>0</v>
      </c>
      <c r="CK40" s="208">
        <f>IF($CE40=1,$CF40*'Verwerking Bouwdelen'!DP24,$CF40*'Verwerking Bouwdelen'!X24)</f>
        <v>0</v>
      </c>
      <c r="CL40" s="208">
        <f>IF($CE40=1,$CF40*'Verwerking Bouwdelen'!DQ24,$CF40*'Verwerking Bouwdelen'!Y24)</f>
        <v>0</v>
      </c>
      <c r="CM40" s="208">
        <f>IF($CE40=1,$CF40*'Verwerking Bouwdelen'!DR24,$CF40*'Verwerking Bouwdelen'!Z24)</f>
        <v>0</v>
      </c>
      <c r="CN40" s="208">
        <f>IF($CE40=1,$CF40*'Verwerking Bouwdelen'!DS24,$CF40*'Verwerking Bouwdelen'!AA24)</f>
        <v>0</v>
      </c>
      <c r="CO40" s="208">
        <f>IF($CE40=1,$CF40*'Verwerking Bouwdelen'!DT24,$CF40*'Verwerking Bouwdelen'!AB24)</f>
        <v>0</v>
      </c>
      <c r="CP40" s="208">
        <f>IF($CE40=1,$CF40*'Verwerking Bouwdelen'!DU24,$CF40*'Verwerking Bouwdelen'!AC24)</f>
        <v>0</v>
      </c>
      <c r="CQ40" s="208">
        <f>IF($CE40=1,$CF40*'Verwerking Bouwdelen'!DV24,$CF40*'Verwerking Bouwdelen'!AD24)</f>
        <v>0</v>
      </c>
      <c r="CR40" s="208">
        <f>IF($CE40=1,$CF40*'Verwerking Bouwdelen'!DW24,$CF40*'Verwerking Bouwdelen'!AE24)</f>
        <v>0</v>
      </c>
      <c r="CS40" s="10">
        <f>IF(CG40=$B40,0,('Verwerking Bouwdelen'!$D24-'Verwerking Bouwdelen'!G24)*CE40*CF40)</f>
        <v>0</v>
      </c>
      <c r="CT40" s="261">
        <f>CE40*CF40*'Verwerking Bouwdelen'!$GH$3</f>
        <v>0</v>
      </c>
      <c r="CU40" s="261">
        <f>CE40*CF40*'Verwerking Bouwdelen'!GI24</f>
        <v>0</v>
      </c>
      <c r="CW40" s="209">
        <f>$AC40*'Verwerking Bouwdelen'!EE24</f>
        <v>0</v>
      </c>
      <c r="CX40" s="209">
        <f>$AC40*'Verwerking Bouwdelen'!EF24</f>
        <v>0</v>
      </c>
      <c r="CY40" s="209">
        <f>$AC40*'Verwerking Bouwdelen'!EG24</f>
        <v>0</v>
      </c>
      <c r="CZ40" s="209">
        <f>$AC40*'Verwerking Bouwdelen'!EH24</f>
        <v>0</v>
      </c>
      <c r="DA40" s="209">
        <f>$AC40*'Verwerking Bouwdelen'!EI24</f>
        <v>0</v>
      </c>
      <c r="DB40" s="209">
        <f>$AC40*'Verwerking Bouwdelen'!EJ24</f>
        <v>0</v>
      </c>
      <c r="DC40" s="209">
        <f>$AC40*'Verwerking Bouwdelen'!EK24</f>
        <v>0</v>
      </c>
      <c r="DD40" s="209">
        <f>$AC40*'Verwerking Bouwdelen'!EL24</f>
        <v>0</v>
      </c>
      <c r="DE40" s="209">
        <f>$AC40*'Verwerking Bouwdelen'!EM24</f>
        <v>0</v>
      </c>
      <c r="DF40" s="209">
        <f>$AC40*'Verwerking Bouwdelen'!EN24</f>
        <v>0</v>
      </c>
      <c r="DG40" s="209">
        <f>$AC40*'Verwerking Bouwdelen'!EO24</f>
        <v>0</v>
      </c>
      <c r="DH40" s="209">
        <f>$AC40*'Verwerking Bouwdelen'!EP24</f>
        <v>0</v>
      </c>
      <c r="DI40" s="10">
        <f>IF(CW40=$O40,0,'Verwerking Bouwdelen'!G24)</f>
        <v>0</v>
      </c>
      <c r="DJ40" s="259">
        <f>'Verwerking Bouwdelen'!GK24*CF40</f>
        <v>0</v>
      </c>
      <c r="DK40" s="259">
        <f>'Verwerking Bouwdelen'!GL24*CF40</f>
        <v>0</v>
      </c>
      <c r="DL40" s="125"/>
      <c r="GM40" s="89">
        <f t="shared" si="13"/>
        <v>0</v>
      </c>
      <c r="GN40" s="89">
        <f t="shared" si="14"/>
        <v>0</v>
      </c>
      <c r="GO40" s="208">
        <f>IF($GN40=1,$GN40*$GM40*'Verwerking Bouwdelen'!DL24,$GN40*$GM40*'Verwerking Bouwdelen'!T24)</f>
        <v>0</v>
      </c>
      <c r="GP40" s="208">
        <f>IF($GN40=1,$GN40*$GM40*'Verwerking Bouwdelen'!DM24,$GN40*$GM40*'Verwerking Bouwdelen'!U24)</f>
        <v>0</v>
      </c>
      <c r="GQ40" s="208">
        <f>IF($GN40=1,$GN40*$GM40*'Verwerking Bouwdelen'!DN24,$GN40*$GM40*'Verwerking Bouwdelen'!V24)</f>
        <v>0</v>
      </c>
      <c r="GR40" s="208">
        <f>IF($GN40=1,$GN40*$GM40*'Verwerking Bouwdelen'!DO24,$GN40*$GM40*'Verwerking Bouwdelen'!W24)</f>
        <v>0</v>
      </c>
      <c r="GS40" s="208">
        <f>IF($GN40=1,$GN40*$GM40*'Verwerking Bouwdelen'!DP24,$GN40*$GM40*'Verwerking Bouwdelen'!X24)</f>
        <v>0</v>
      </c>
      <c r="GT40" s="208">
        <f>IF($GN40=1,$GN40*$GM40*'Verwerking Bouwdelen'!DQ24,$GN40*$GM40*'Verwerking Bouwdelen'!Y24)</f>
        <v>0</v>
      </c>
      <c r="GU40" s="208">
        <f>IF($GN40=1,$GN40*$GM40*'Verwerking Bouwdelen'!DR24,$GN40*$GM40*'Verwerking Bouwdelen'!Z24)</f>
        <v>0</v>
      </c>
      <c r="GV40" s="208">
        <f>IF($GN40=1,$GN40*$GM40*'Verwerking Bouwdelen'!DS24,$GN40*$GM40*'Verwerking Bouwdelen'!AA24)</f>
        <v>0</v>
      </c>
      <c r="GW40" s="208">
        <f>IF($GN40=1,$GN40*$GM40*'Verwerking Bouwdelen'!DT24,$GN40*$GM40*'Verwerking Bouwdelen'!AB24)</f>
        <v>0</v>
      </c>
      <c r="GX40" s="208">
        <f>IF($GN40=1,$GN40*$GM40*'Verwerking Bouwdelen'!DU24,$GN40*$GM40*'Verwerking Bouwdelen'!AC24)</f>
        <v>0</v>
      </c>
      <c r="GY40" s="208">
        <f>IF($GN40=1,$GN40*$GM40*'Verwerking Bouwdelen'!DV24,$GN40*$GM40*'Verwerking Bouwdelen'!AD24)</f>
        <v>0</v>
      </c>
      <c r="GZ40" s="208">
        <f>IF($GN40=1,$GN40*$GM40*'Verwerking Bouwdelen'!DW24,$GN40*$GM40*'Verwerking Bouwdelen'!AE24)</f>
        <v>0</v>
      </c>
      <c r="HB40" s="89">
        <f t="shared" ref="HB40:HB61" si="16">CW40</f>
        <v>0</v>
      </c>
      <c r="HC40" s="89">
        <f t="shared" ref="HC40:HC61" si="17">CX40</f>
        <v>0</v>
      </c>
      <c r="HD40" s="89">
        <f t="shared" ref="HD40:HD61" si="18">CY40</f>
        <v>0</v>
      </c>
      <c r="HE40" s="89">
        <f t="shared" ref="HE40:HM59" si="19">CZ40</f>
        <v>0</v>
      </c>
      <c r="HF40" s="89">
        <f t="shared" si="19"/>
        <v>0</v>
      </c>
      <c r="HG40" s="89">
        <f t="shared" si="19"/>
        <v>0</v>
      </c>
      <c r="HH40" s="89">
        <f t="shared" si="19"/>
        <v>0</v>
      </c>
      <c r="HI40" s="89">
        <f t="shared" si="19"/>
        <v>0</v>
      </c>
      <c r="HJ40" s="89">
        <f t="shared" si="19"/>
        <v>0</v>
      </c>
      <c r="HK40" s="89">
        <f t="shared" si="19"/>
        <v>0</v>
      </c>
      <c r="HL40" s="89">
        <f t="shared" si="19"/>
        <v>0</v>
      </c>
      <c r="HM40" s="89">
        <f t="shared" si="19"/>
        <v>0</v>
      </c>
    </row>
    <row r="41" spans="1:221" x14ac:dyDescent="0.2">
      <c r="A41" s="130">
        <f>IF('Verwerking Bouwdelen'!A25=5,1,0)</f>
        <v>0</v>
      </c>
      <c r="B41" s="208">
        <f>$A41*'Verwerking Bouwdelen'!T25</f>
        <v>0</v>
      </c>
      <c r="C41" s="208">
        <f>$A41*'Verwerking Bouwdelen'!U25</f>
        <v>0</v>
      </c>
      <c r="D41" s="208">
        <f>$A41*'Verwerking Bouwdelen'!V25</f>
        <v>0</v>
      </c>
      <c r="E41" s="208">
        <f>$A41*'Verwerking Bouwdelen'!W25</f>
        <v>0</v>
      </c>
      <c r="F41" s="208">
        <f>$A41*'Verwerking Bouwdelen'!X25</f>
        <v>0</v>
      </c>
      <c r="G41" s="208">
        <f>$A41*'Verwerking Bouwdelen'!Y25</f>
        <v>0</v>
      </c>
      <c r="H41" s="208">
        <f>$A41*'Verwerking Bouwdelen'!Z25</f>
        <v>0</v>
      </c>
      <c r="I41" s="208">
        <f>$A41*'Verwerking Bouwdelen'!AA25</f>
        <v>0</v>
      </c>
      <c r="J41" s="208">
        <f>$A41*'Verwerking Bouwdelen'!AB25</f>
        <v>0</v>
      </c>
      <c r="K41" s="208">
        <f>$A41*'Verwerking Bouwdelen'!AC25</f>
        <v>0</v>
      </c>
      <c r="L41" s="208">
        <f>$A41*'Verwerking Bouwdelen'!AD25</f>
        <v>0</v>
      </c>
      <c r="M41" s="208">
        <f>$A41*'Verwerking Bouwdelen'!AE25</f>
        <v>0</v>
      </c>
      <c r="O41" s="114">
        <f>$A41*'Verwerking Bouwdelen'!AU25</f>
        <v>0</v>
      </c>
      <c r="P41" s="125">
        <f>$A41*'Verwerking Bouwdelen'!AV25</f>
        <v>0</v>
      </c>
      <c r="Q41" s="125">
        <f>$A41*'Verwerking Bouwdelen'!AW25</f>
        <v>0</v>
      </c>
      <c r="R41" s="125">
        <f>$A41*'Verwerking Bouwdelen'!AX25</f>
        <v>0</v>
      </c>
      <c r="S41" s="125">
        <f>$A41*'Verwerking Bouwdelen'!AY25</f>
        <v>0</v>
      </c>
      <c r="T41" s="125">
        <f>$A41*'Verwerking Bouwdelen'!AZ25</f>
        <v>0</v>
      </c>
      <c r="U41" s="125">
        <f>$A41*'Verwerking Bouwdelen'!BA25</f>
        <v>0</v>
      </c>
      <c r="V41" s="125">
        <f>$A41*'Verwerking Bouwdelen'!BB25</f>
        <v>0</v>
      </c>
      <c r="W41" s="125">
        <f>$A41*'Verwerking Bouwdelen'!BC25</f>
        <v>0</v>
      </c>
      <c r="X41" s="125">
        <f>$A41*'Verwerking Bouwdelen'!BD25</f>
        <v>0</v>
      </c>
      <c r="Y41" s="125">
        <f>$A41*'Verwerking Bouwdelen'!BE25</f>
        <v>0</v>
      </c>
      <c r="Z41" s="195">
        <f>$A41*'Verwerking Bouwdelen'!BF25</f>
        <v>0</v>
      </c>
      <c r="AB41" s="125">
        <f>IF(OR('Verwerking Bouwdelen'!C25=3,'Verwerking Bouwdelen'!C25=6),1,0)</f>
        <v>0</v>
      </c>
      <c r="AC41" s="130">
        <f>IF('Verwerking Bouwdelen'!A25=5,1,0)</f>
        <v>0</v>
      </c>
      <c r="AD41" s="208">
        <f>IF($AB41=1,$AC41*'Verwerking Bouwdelen'!DL25,$AC41*'Verwerking Bouwdelen'!T25)</f>
        <v>0</v>
      </c>
      <c r="AE41" s="208">
        <f>IF($AB41=1,$AC41*'Verwerking Bouwdelen'!DM25,$AC41*'Verwerking Bouwdelen'!U25)</f>
        <v>0</v>
      </c>
      <c r="AF41" s="208">
        <f>IF($AB41=1,$AC41*'Verwerking Bouwdelen'!DN25,$AC41*'Verwerking Bouwdelen'!V25)</f>
        <v>0</v>
      </c>
      <c r="AG41" s="208">
        <f>IF($AB41=1,$AC41*'Verwerking Bouwdelen'!DO25,$AC41*'Verwerking Bouwdelen'!W25)</f>
        <v>0</v>
      </c>
      <c r="AH41" s="208">
        <f>IF($AB41=1,$AC41*'Verwerking Bouwdelen'!DP25,$AC41*'Verwerking Bouwdelen'!X25)</f>
        <v>0</v>
      </c>
      <c r="AI41" s="208">
        <f>IF($AB41=1,$AC41*'Verwerking Bouwdelen'!DQ25,$AC41*'Verwerking Bouwdelen'!Y25)</f>
        <v>0</v>
      </c>
      <c r="AJ41" s="208">
        <f>IF($AB41=1,$AC41*'Verwerking Bouwdelen'!DR25,$AC41*'Verwerking Bouwdelen'!Z25)</f>
        <v>0</v>
      </c>
      <c r="AK41" s="208">
        <f>IF($AB41=1,$AC41*'Verwerking Bouwdelen'!DS25,$AC41*'Verwerking Bouwdelen'!AA25)</f>
        <v>0</v>
      </c>
      <c r="AL41" s="208">
        <f>IF($AB41=1,$AC41*'Verwerking Bouwdelen'!DT25,$AC41*'Verwerking Bouwdelen'!AB25)</f>
        <v>0</v>
      </c>
      <c r="AM41" s="208">
        <f>IF($AB41=1,$AC41*'Verwerking Bouwdelen'!DU25,$AC41*'Verwerking Bouwdelen'!AC25)</f>
        <v>0</v>
      </c>
      <c r="AN41" s="208">
        <f>IF($AB41=1,$AC41*'Verwerking Bouwdelen'!DV25,$AC41*'Verwerking Bouwdelen'!AD25)</f>
        <v>0</v>
      </c>
      <c r="AO41" s="208">
        <f>IF($AB41=1,$AC41*'Verwerking Bouwdelen'!DW25,$AC41*'Verwerking Bouwdelen'!AE25)</f>
        <v>0</v>
      </c>
      <c r="AP41" s="10">
        <f>IF(AD41=B41,0,'Verwerking Bouwdelen'!D25*AB41*AC41)</f>
        <v>0</v>
      </c>
      <c r="AQ41" s="10">
        <f>AB41*AC41*'Verwerking Bouwdelen'!GH25</f>
        <v>0</v>
      </c>
      <c r="AR41" s="10"/>
      <c r="AS41" s="248"/>
      <c r="AT41" s="125">
        <f>IF('Verwerking Bouwdelen'!C25=4,1,0)</f>
        <v>0</v>
      </c>
      <c r="AU41" s="130">
        <f>IF('Verwerking Bouwdelen'!A25=5,1,0)</f>
        <v>0</v>
      </c>
      <c r="AV41" s="208">
        <f>IF($AT41=1,$AU41*'Verwerking Bouwdelen'!DL25,$AU41*'Verwerking Bouwdelen'!T25)</f>
        <v>0</v>
      </c>
      <c r="AW41" s="208">
        <f>IF($AT41=1,$AU41*'Verwerking Bouwdelen'!DM25,$AU41*'Verwerking Bouwdelen'!U25)</f>
        <v>0</v>
      </c>
      <c r="AX41" s="208">
        <f>IF($AT41=1,$AU41*'Verwerking Bouwdelen'!DN25,$AU41*'Verwerking Bouwdelen'!V25)</f>
        <v>0</v>
      </c>
      <c r="AY41" s="208">
        <f>IF($AT41=1,$AU41*'Verwerking Bouwdelen'!DO25,$AU41*'Verwerking Bouwdelen'!W25)</f>
        <v>0</v>
      </c>
      <c r="AZ41" s="208">
        <f>IF($AT41=1,$AU41*'Verwerking Bouwdelen'!DP25,$AU41*'Verwerking Bouwdelen'!X25)</f>
        <v>0</v>
      </c>
      <c r="BA41" s="208">
        <f>IF($AT41=1,$AU41*'Verwerking Bouwdelen'!DQ25,$AU41*'Verwerking Bouwdelen'!Y25)</f>
        <v>0</v>
      </c>
      <c r="BB41" s="208">
        <f>IF($AT41=1,$AU41*'Verwerking Bouwdelen'!DR25,$AU41*'Verwerking Bouwdelen'!Z25)</f>
        <v>0</v>
      </c>
      <c r="BC41" s="208">
        <f>IF($AT41=1,$AU41*'Verwerking Bouwdelen'!DS25,$AU41*'Verwerking Bouwdelen'!AA25)</f>
        <v>0</v>
      </c>
      <c r="BD41" s="208">
        <f>IF($AT41=1,$AU41*'Verwerking Bouwdelen'!DT25,$AU41*'Verwerking Bouwdelen'!AB25)</f>
        <v>0</v>
      </c>
      <c r="BE41" s="208">
        <f>IF($AT41=1,$AU41*'Verwerking Bouwdelen'!DU25,$AU41*'Verwerking Bouwdelen'!AC25)</f>
        <v>0</v>
      </c>
      <c r="BF41" s="208">
        <f>IF($AT41=1,$AU41*'Verwerking Bouwdelen'!DV25,$AU41*'Verwerking Bouwdelen'!AD25)</f>
        <v>0</v>
      </c>
      <c r="BG41" s="208">
        <f>IF($AT41=1,$AU41*'Verwerking Bouwdelen'!DW25,$AU41*'Verwerking Bouwdelen'!AE25)</f>
        <v>0</v>
      </c>
      <c r="BH41" s="10">
        <f>IF(AV41=B41,0,'Verwerking Bouwdelen'!D25*AT41*AU41)</f>
        <v>0</v>
      </c>
      <c r="BI41" s="10">
        <f>AT41*AU41*'Verwerking Bouwdelen'!GH25</f>
        <v>0</v>
      </c>
      <c r="BJ41" s="10"/>
      <c r="BK41" s="10"/>
      <c r="BM41" s="125">
        <f>IF('Verwerking Bouwdelen'!C25=5,1,0)</f>
        <v>0</v>
      </c>
      <c r="BN41" s="130">
        <f>IF('Verwerking Bouwdelen'!A25=5,1,0)</f>
        <v>0</v>
      </c>
      <c r="BO41" s="208">
        <f>IF($BM41=1,$BN41*'Verwerking Bouwdelen'!DL25,$BN41*'Verwerking Bouwdelen'!T25)</f>
        <v>0</v>
      </c>
      <c r="BP41" s="208">
        <f>IF($BM41=1,$BN41*'Verwerking Bouwdelen'!DM25,$BN41*'Verwerking Bouwdelen'!U25)</f>
        <v>0</v>
      </c>
      <c r="BQ41" s="208">
        <f>IF($BM41=1,$BN41*'Verwerking Bouwdelen'!DN25,$BN41*'Verwerking Bouwdelen'!V25)</f>
        <v>0</v>
      </c>
      <c r="BR41" s="208">
        <f>IF($BM41=1,$BN41*'Verwerking Bouwdelen'!DO25,$BN41*'Verwerking Bouwdelen'!W25)</f>
        <v>0</v>
      </c>
      <c r="BS41" s="208">
        <f>IF($BM41=1,$BN41*'Verwerking Bouwdelen'!DP25,$BN41*'Verwerking Bouwdelen'!X25)</f>
        <v>0</v>
      </c>
      <c r="BT41" s="208">
        <f>IF($BM41=1,$BN41*'Verwerking Bouwdelen'!DQ25,$BN41*'Verwerking Bouwdelen'!Y25)</f>
        <v>0</v>
      </c>
      <c r="BU41" s="208">
        <f>IF($BM41=1,$BN41*'Verwerking Bouwdelen'!DR25,$BN41*'Verwerking Bouwdelen'!Z25)</f>
        <v>0</v>
      </c>
      <c r="BV41" s="208">
        <f>IF($BM41=1,$BN41*'Verwerking Bouwdelen'!DS25,$BN41*'Verwerking Bouwdelen'!AA25)</f>
        <v>0</v>
      </c>
      <c r="BW41" s="208">
        <f>IF($BM41=1,$BN41*'Verwerking Bouwdelen'!DT25,$BN41*'Verwerking Bouwdelen'!AB25)</f>
        <v>0</v>
      </c>
      <c r="BX41" s="208">
        <f>IF($BM41=1,$BN41*'Verwerking Bouwdelen'!DU25,$BN41*'Verwerking Bouwdelen'!AC25)</f>
        <v>0</v>
      </c>
      <c r="BY41" s="208">
        <f>IF($BM41=1,$BN41*'Verwerking Bouwdelen'!DV25,$BN41*'Verwerking Bouwdelen'!AD25)</f>
        <v>0</v>
      </c>
      <c r="BZ41" s="208">
        <f>IF($BM41=1,$BN41*'Verwerking Bouwdelen'!DW25,$BN41*'Verwerking Bouwdelen'!AE25)</f>
        <v>0</v>
      </c>
      <c r="CA41" s="10">
        <f>IF(BO41=$B41,0,'Verwerking Bouwdelen'!$D25*BM41*BN41)</f>
        <v>0</v>
      </c>
      <c r="CB41" s="10">
        <f>BM41*BN41*'Verwerking Bouwdelen'!GH25</f>
        <v>0</v>
      </c>
      <c r="CC41" s="10"/>
      <c r="CD41" s="248"/>
      <c r="CE41" s="125">
        <f>IF('Verwerking Bouwdelen'!C25=2,1,0)</f>
        <v>0</v>
      </c>
      <c r="CF41" s="130">
        <f>IF('Verwerking Bouwdelen'!A25=5,1,0)</f>
        <v>0</v>
      </c>
      <c r="CG41" s="208">
        <f>IF($CE41=1,$CF41*'Verwerking Bouwdelen'!DL25,$CF41*'Verwerking Bouwdelen'!T25)</f>
        <v>0</v>
      </c>
      <c r="CH41" s="208">
        <f>IF($CE41=1,$CF41*'Verwerking Bouwdelen'!DM25,$CF41*'Verwerking Bouwdelen'!U25)</f>
        <v>0</v>
      </c>
      <c r="CI41" s="208">
        <f>IF($CE41=1,$CF41*'Verwerking Bouwdelen'!DN25,$CF41*'Verwerking Bouwdelen'!V25)</f>
        <v>0</v>
      </c>
      <c r="CJ41" s="208">
        <f>IF($CE41=1,$CF41*'Verwerking Bouwdelen'!DO25,$CF41*'Verwerking Bouwdelen'!W25)</f>
        <v>0</v>
      </c>
      <c r="CK41" s="208">
        <f>IF($CE41=1,$CF41*'Verwerking Bouwdelen'!DP25,$CF41*'Verwerking Bouwdelen'!X25)</f>
        <v>0</v>
      </c>
      <c r="CL41" s="208">
        <f>IF($CE41=1,$CF41*'Verwerking Bouwdelen'!DQ25,$CF41*'Verwerking Bouwdelen'!Y25)</f>
        <v>0</v>
      </c>
      <c r="CM41" s="208">
        <f>IF($CE41=1,$CF41*'Verwerking Bouwdelen'!DR25,$CF41*'Verwerking Bouwdelen'!Z25)</f>
        <v>0</v>
      </c>
      <c r="CN41" s="208">
        <f>IF($CE41=1,$CF41*'Verwerking Bouwdelen'!DS25,$CF41*'Verwerking Bouwdelen'!AA25)</f>
        <v>0</v>
      </c>
      <c r="CO41" s="208">
        <f>IF($CE41=1,$CF41*'Verwerking Bouwdelen'!DT25,$CF41*'Verwerking Bouwdelen'!AB25)</f>
        <v>0</v>
      </c>
      <c r="CP41" s="208">
        <f>IF($CE41=1,$CF41*'Verwerking Bouwdelen'!DU25,$CF41*'Verwerking Bouwdelen'!AC25)</f>
        <v>0</v>
      </c>
      <c r="CQ41" s="208">
        <f>IF($CE41=1,$CF41*'Verwerking Bouwdelen'!DV25,$CF41*'Verwerking Bouwdelen'!AD25)</f>
        <v>0</v>
      </c>
      <c r="CR41" s="208">
        <f>IF($CE41=1,$CF41*'Verwerking Bouwdelen'!DW25,$CF41*'Verwerking Bouwdelen'!AE25)</f>
        <v>0</v>
      </c>
      <c r="CS41" s="10">
        <f>IF(CG41=$B41,0,('Verwerking Bouwdelen'!$D25-'Verwerking Bouwdelen'!G25)*CE41*CF41)</f>
        <v>0</v>
      </c>
      <c r="CT41" s="261">
        <f>CE41*CF41*'Verwerking Bouwdelen'!$GH$3</f>
        <v>0</v>
      </c>
      <c r="CU41" s="261">
        <f>CE41*CF41*'Verwerking Bouwdelen'!GI25</f>
        <v>0</v>
      </c>
      <c r="CW41" s="209">
        <f>$AC41*'Verwerking Bouwdelen'!EE25</f>
        <v>0</v>
      </c>
      <c r="CX41" s="209">
        <f>$AC41*'Verwerking Bouwdelen'!EF25</f>
        <v>0</v>
      </c>
      <c r="CY41" s="209">
        <f>$AC41*'Verwerking Bouwdelen'!EG25</f>
        <v>0</v>
      </c>
      <c r="CZ41" s="209">
        <f>$AC41*'Verwerking Bouwdelen'!EH25</f>
        <v>0</v>
      </c>
      <c r="DA41" s="209">
        <f>$AC41*'Verwerking Bouwdelen'!EI25</f>
        <v>0</v>
      </c>
      <c r="DB41" s="209">
        <f>$AC41*'Verwerking Bouwdelen'!EJ25</f>
        <v>0</v>
      </c>
      <c r="DC41" s="209">
        <f>$AC41*'Verwerking Bouwdelen'!EK25</f>
        <v>0</v>
      </c>
      <c r="DD41" s="209">
        <f>$AC41*'Verwerking Bouwdelen'!EL25</f>
        <v>0</v>
      </c>
      <c r="DE41" s="209">
        <f>$AC41*'Verwerking Bouwdelen'!EM25</f>
        <v>0</v>
      </c>
      <c r="DF41" s="209">
        <f>$AC41*'Verwerking Bouwdelen'!EN25</f>
        <v>0</v>
      </c>
      <c r="DG41" s="209">
        <f>$AC41*'Verwerking Bouwdelen'!EO25</f>
        <v>0</v>
      </c>
      <c r="DH41" s="209">
        <f>$AC41*'Verwerking Bouwdelen'!EP25</f>
        <v>0</v>
      </c>
      <c r="DI41" s="10">
        <f>IF(CW41=$O41,0,'Verwerking Bouwdelen'!G25)</f>
        <v>0</v>
      </c>
      <c r="DJ41" s="259">
        <f>'Verwerking Bouwdelen'!GK25*CF41</f>
        <v>0</v>
      </c>
      <c r="DK41" s="259">
        <f>'Verwerking Bouwdelen'!GL25*CF41</f>
        <v>0</v>
      </c>
      <c r="DL41" s="125"/>
      <c r="GM41" s="89">
        <f t="shared" si="13"/>
        <v>0</v>
      </c>
      <c r="GN41" s="89">
        <f t="shared" si="14"/>
        <v>0</v>
      </c>
      <c r="GO41" s="208">
        <f>IF($GN41=1,$GN41*$GM41*'Verwerking Bouwdelen'!DL25,$GN41*$GM41*'Verwerking Bouwdelen'!T25)</f>
        <v>0</v>
      </c>
      <c r="GP41" s="208">
        <f>IF($GN41=1,$GN41*$GM41*'Verwerking Bouwdelen'!DM25,$GN41*$GM41*'Verwerking Bouwdelen'!U25)</f>
        <v>0</v>
      </c>
      <c r="GQ41" s="208">
        <f>IF($GN41=1,$GN41*$GM41*'Verwerking Bouwdelen'!DN25,$GN41*$GM41*'Verwerking Bouwdelen'!V25)</f>
        <v>0</v>
      </c>
      <c r="GR41" s="208">
        <f>IF($GN41=1,$GN41*$GM41*'Verwerking Bouwdelen'!DO25,$GN41*$GM41*'Verwerking Bouwdelen'!W25)</f>
        <v>0</v>
      </c>
      <c r="GS41" s="208">
        <f>IF($GN41=1,$GN41*$GM41*'Verwerking Bouwdelen'!DP25,$GN41*$GM41*'Verwerking Bouwdelen'!X25)</f>
        <v>0</v>
      </c>
      <c r="GT41" s="208">
        <f>IF($GN41=1,$GN41*$GM41*'Verwerking Bouwdelen'!DQ25,$GN41*$GM41*'Verwerking Bouwdelen'!Y25)</f>
        <v>0</v>
      </c>
      <c r="GU41" s="208">
        <f>IF($GN41=1,$GN41*$GM41*'Verwerking Bouwdelen'!DR25,$GN41*$GM41*'Verwerking Bouwdelen'!Z25)</f>
        <v>0</v>
      </c>
      <c r="GV41" s="208">
        <f>IF($GN41=1,$GN41*$GM41*'Verwerking Bouwdelen'!DS25,$GN41*$GM41*'Verwerking Bouwdelen'!AA25)</f>
        <v>0</v>
      </c>
      <c r="GW41" s="208">
        <f>IF($GN41=1,$GN41*$GM41*'Verwerking Bouwdelen'!DT25,$GN41*$GM41*'Verwerking Bouwdelen'!AB25)</f>
        <v>0</v>
      </c>
      <c r="GX41" s="208">
        <f>IF($GN41=1,$GN41*$GM41*'Verwerking Bouwdelen'!DU25,$GN41*$GM41*'Verwerking Bouwdelen'!AC25)</f>
        <v>0</v>
      </c>
      <c r="GY41" s="208">
        <f>IF($GN41=1,$GN41*$GM41*'Verwerking Bouwdelen'!DV25,$GN41*$GM41*'Verwerking Bouwdelen'!AD25)</f>
        <v>0</v>
      </c>
      <c r="GZ41" s="208">
        <f>IF($GN41=1,$GN41*$GM41*'Verwerking Bouwdelen'!DW25,$GN41*$GM41*'Verwerking Bouwdelen'!AE25)</f>
        <v>0</v>
      </c>
      <c r="HB41" s="89">
        <f t="shared" si="16"/>
        <v>0</v>
      </c>
      <c r="HC41" s="89">
        <f t="shared" si="17"/>
        <v>0</v>
      </c>
      <c r="HD41" s="89">
        <f t="shared" si="18"/>
        <v>0</v>
      </c>
      <c r="HE41" s="89">
        <f t="shared" si="19"/>
        <v>0</v>
      </c>
      <c r="HF41" s="89">
        <f t="shared" si="19"/>
        <v>0</v>
      </c>
      <c r="HG41" s="89">
        <f t="shared" si="19"/>
        <v>0</v>
      </c>
      <c r="HH41" s="89">
        <f t="shared" si="19"/>
        <v>0</v>
      </c>
      <c r="HI41" s="89">
        <f t="shared" si="19"/>
        <v>0</v>
      </c>
      <c r="HJ41" s="89">
        <f t="shared" si="19"/>
        <v>0</v>
      </c>
      <c r="HK41" s="89">
        <f t="shared" si="19"/>
        <v>0</v>
      </c>
      <c r="HL41" s="89">
        <f t="shared" si="19"/>
        <v>0</v>
      </c>
      <c r="HM41" s="89">
        <f t="shared" si="19"/>
        <v>0</v>
      </c>
    </row>
    <row r="42" spans="1:221" x14ac:dyDescent="0.2">
      <c r="A42" s="130">
        <f>IF('Verwerking Bouwdelen'!A26=5,1,0)</f>
        <v>0</v>
      </c>
      <c r="B42" s="208">
        <f>$A42*'Verwerking Bouwdelen'!T26</f>
        <v>0</v>
      </c>
      <c r="C42" s="208">
        <f>$A42*'Verwerking Bouwdelen'!U26</f>
        <v>0</v>
      </c>
      <c r="D42" s="208">
        <f>$A42*'Verwerking Bouwdelen'!V26</f>
        <v>0</v>
      </c>
      <c r="E42" s="208">
        <f>$A42*'Verwerking Bouwdelen'!W26</f>
        <v>0</v>
      </c>
      <c r="F42" s="208">
        <f>$A42*'Verwerking Bouwdelen'!X26</f>
        <v>0</v>
      </c>
      <c r="G42" s="208">
        <f>$A42*'Verwerking Bouwdelen'!Y26</f>
        <v>0</v>
      </c>
      <c r="H42" s="208">
        <f>$A42*'Verwerking Bouwdelen'!Z26</f>
        <v>0</v>
      </c>
      <c r="I42" s="208">
        <f>$A42*'Verwerking Bouwdelen'!AA26</f>
        <v>0</v>
      </c>
      <c r="J42" s="208">
        <f>$A42*'Verwerking Bouwdelen'!AB26</f>
        <v>0</v>
      </c>
      <c r="K42" s="208">
        <f>$A42*'Verwerking Bouwdelen'!AC26</f>
        <v>0</v>
      </c>
      <c r="L42" s="208">
        <f>$A42*'Verwerking Bouwdelen'!AD26</f>
        <v>0</v>
      </c>
      <c r="M42" s="208">
        <f>$A42*'Verwerking Bouwdelen'!AE26</f>
        <v>0</v>
      </c>
      <c r="O42" s="114">
        <f>$A42*'Verwerking Bouwdelen'!AU26</f>
        <v>0</v>
      </c>
      <c r="P42" s="125">
        <f>$A42*'Verwerking Bouwdelen'!AV26</f>
        <v>0</v>
      </c>
      <c r="Q42" s="125">
        <f>$A42*'Verwerking Bouwdelen'!AW26</f>
        <v>0</v>
      </c>
      <c r="R42" s="125">
        <f>$A42*'Verwerking Bouwdelen'!AX26</f>
        <v>0</v>
      </c>
      <c r="S42" s="125">
        <f>$A42*'Verwerking Bouwdelen'!AY26</f>
        <v>0</v>
      </c>
      <c r="T42" s="125">
        <f>$A42*'Verwerking Bouwdelen'!AZ26</f>
        <v>0</v>
      </c>
      <c r="U42" s="125">
        <f>$A42*'Verwerking Bouwdelen'!BA26</f>
        <v>0</v>
      </c>
      <c r="V42" s="125">
        <f>$A42*'Verwerking Bouwdelen'!BB26</f>
        <v>0</v>
      </c>
      <c r="W42" s="125">
        <f>$A42*'Verwerking Bouwdelen'!BC26</f>
        <v>0</v>
      </c>
      <c r="X42" s="125">
        <f>$A42*'Verwerking Bouwdelen'!BD26</f>
        <v>0</v>
      </c>
      <c r="Y42" s="125">
        <f>$A42*'Verwerking Bouwdelen'!BE26</f>
        <v>0</v>
      </c>
      <c r="Z42" s="195">
        <f>$A42*'Verwerking Bouwdelen'!BF26</f>
        <v>0</v>
      </c>
      <c r="AB42" s="125">
        <f>IF(OR('Verwerking Bouwdelen'!C26=3,'Verwerking Bouwdelen'!C26=6),1,0)</f>
        <v>0</v>
      </c>
      <c r="AC42" s="130">
        <f>IF('Verwerking Bouwdelen'!A26=5,1,0)</f>
        <v>0</v>
      </c>
      <c r="AD42" s="208">
        <f>IF($AB42=1,$AC42*'Verwerking Bouwdelen'!DL26,$AC42*'Verwerking Bouwdelen'!T26)</f>
        <v>0</v>
      </c>
      <c r="AE42" s="208">
        <f>IF($AB42=1,$AC42*'Verwerking Bouwdelen'!DM26,$AC42*'Verwerking Bouwdelen'!U26)</f>
        <v>0</v>
      </c>
      <c r="AF42" s="208">
        <f>IF($AB42=1,$AC42*'Verwerking Bouwdelen'!DN26,$AC42*'Verwerking Bouwdelen'!V26)</f>
        <v>0</v>
      </c>
      <c r="AG42" s="208">
        <f>IF($AB42=1,$AC42*'Verwerking Bouwdelen'!DO26,$AC42*'Verwerking Bouwdelen'!W26)</f>
        <v>0</v>
      </c>
      <c r="AH42" s="208">
        <f>IF($AB42=1,$AC42*'Verwerking Bouwdelen'!DP26,$AC42*'Verwerking Bouwdelen'!X26)</f>
        <v>0</v>
      </c>
      <c r="AI42" s="208">
        <f>IF($AB42=1,$AC42*'Verwerking Bouwdelen'!DQ26,$AC42*'Verwerking Bouwdelen'!Y26)</f>
        <v>0</v>
      </c>
      <c r="AJ42" s="208">
        <f>IF($AB42=1,$AC42*'Verwerking Bouwdelen'!DR26,$AC42*'Verwerking Bouwdelen'!Z26)</f>
        <v>0</v>
      </c>
      <c r="AK42" s="208">
        <f>IF($AB42=1,$AC42*'Verwerking Bouwdelen'!DS26,$AC42*'Verwerking Bouwdelen'!AA26)</f>
        <v>0</v>
      </c>
      <c r="AL42" s="208">
        <f>IF($AB42=1,$AC42*'Verwerking Bouwdelen'!DT26,$AC42*'Verwerking Bouwdelen'!AB26)</f>
        <v>0</v>
      </c>
      <c r="AM42" s="208">
        <f>IF($AB42=1,$AC42*'Verwerking Bouwdelen'!DU26,$AC42*'Verwerking Bouwdelen'!AC26)</f>
        <v>0</v>
      </c>
      <c r="AN42" s="208">
        <f>IF($AB42=1,$AC42*'Verwerking Bouwdelen'!DV26,$AC42*'Verwerking Bouwdelen'!AD26)</f>
        <v>0</v>
      </c>
      <c r="AO42" s="208">
        <f>IF($AB42=1,$AC42*'Verwerking Bouwdelen'!DW26,$AC42*'Verwerking Bouwdelen'!AE26)</f>
        <v>0</v>
      </c>
      <c r="AP42" s="10">
        <f>IF(AD42=B42,0,'Verwerking Bouwdelen'!D26*AB42*AC42)</f>
        <v>0</v>
      </c>
      <c r="AQ42" s="10">
        <f>AB42*AC42*'Verwerking Bouwdelen'!GH26</f>
        <v>0</v>
      </c>
      <c r="AR42" s="10"/>
      <c r="AS42" s="248"/>
      <c r="AT42" s="125">
        <f>IF('Verwerking Bouwdelen'!C26=4,1,0)</f>
        <v>0</v>
      </c>
      <c r="AU42" s="130">
        <f>IF('Verwerking Bouwdelen'!A26=5,1,0)</f>
        <v>0</v>
      </c>
      <c r="AV42" s="208">
        <f>IF($AT42=1,$AU42*'Verwerking Bouwdelen'!DL26,$AU42*'Verwerking Bouwdelen'!T26)</f>
        <v>0</v>
      </c>
      <c r="AW42" s="208">
        <f>IF($AT42=1,$AU42*'Verwerking Bouwdelen'!DM26,$AU42*'Verwerking Bouwdelen'!U26)</f>
        <v>0</v>
      </c>
      <c r="AX42" s="208">
        <f>IF($AT42=1,$AU42*'Verwerking Bouwdelen'!DN26,$AU42*'Verwerking Bouwdelen'!V26)</f>
        <v>0</v>
      </c>
      <c r="AY42" s="208">
        <f>IF($AT42=1,$AU42*'Verwerking Bouwdelen'!DO26,$AU42*'Verwerking Bouwdelen'!W26)</f>
        <v>0</v>
      </c>
      <c r="AZ42" s="208">
        <f>IF($AT42=1,$AU42*'Verwerking Bouwdelen'!DP26,$AU42*'Verwerking Bouwdelen'!X26)</f>
        <v>0</v>
      </c>
      <c r="BA42" s="208">
        <f>IF($AT42=1,$AU42*'Verwerking Bouwdelen'!DQ26,$AU42*'Verwerking Bouwdelen'!Y26)</f>
        <v>0</v>
      </c>
      <c r="BB42" s="208">
        <f>IF($AT42=1,$AU42*'Verwerking Bouwdelen'!DR26,$AU42*'Verwerking Bouwdelen'!Z26)</f>
        <v>0</v>
      </c>
      <c r="BC42" s="208">
        <f>IF($AT42=1,$AU42*'Verwerking Bouwdelen'!DS26,$AU42*'Verwerking Bouwdelen'!AA26)</f>
        <v>0</v>
      </c>
      <c r="BD42" s="208">
        <f>IF($AT42=1,$AU42*'Verwerking Bouwdelen'!DT26,$AU42*'Verwerking Bouwdelen'!AB26)</f>
        <v>0</v>
      </c>
      <c r="BE42" s="208">
        <f>IF($AT42=1,$AU42*'Verwerking Bouwdelen'!DU26,$AU42*'Verwerking Bouwdelen'!AC26)</f>
        <v>0</v>
      </c>
      <c r="BF42" s="208">
        <f>IF($AT42=1,$AU42*'Verwerking Bouwdelen'!DV26,$AU42*'Verwerking Bouwdelen'!AD26)</f>
        <v>0</v>
      </c>
      <c r="BG42" s="208">
        <f>IF($AT42=1,$AU42*'Verwerking Bouwdelen'!DW26,$AU42*'Verwerking Bouwdelen'!AE26)</f>
        <v>0</v>
      </c>
      <c r="BH42" s="10">
        <f>IF(AV42=B42,0,'Verwerking Bouwdelen'!D26*AT42*AU42)</f>
        <v>0</v>
      </c>
      <c r="BI42" s="10">
        <f>AT42*AU42*'Verwerking Bouwdelen'!GH26</f>
        <v>0</v>
      </c>
      <c r="BJ42" s="10"/>
      <c r="BK42" s="10"/>
      <c r="BM42" s="125">
        <f>IF('Verwerking Bouwdelen'!C26=5,1,0)</f>
        <v>0</v>
      </c>
      <c r="BN42" s="130">
        <f>IF('Verwerking Bouwdelen'!A26=5,1,0)</f>
        <v>0</v>
      </c>
      <c r="BO42" s="208">
        <f>IF($BM42=1,$BN42*'Verwerking Bouwdelen'!DL26,$BN42*'Verwerking Bouwdelen'!T26)</f>
        <v>0</v>
      </c>
      <c r="BP42" s="208">
        <f>IF($BM42=1,$BN42*'Verwerking Bouwdelen'!DM26,$BN42*'Verwerking Bouwdelen'!U26)</f>
        <v>0</v>
      </c>
      <c r="BQ42" s="208">
        <f>IF($BM42=1,$BN42*'Verwerking Bouwdelen'!DN26,$BN42*'Verwerking Bouwdelen'!V26)</f>
        <v>0</v>
      </c>
      <c r="BR42" s="208">
        <f>IF($BM42=1,$BN42*'Verwerking Bouwdelen'!DO26,$BN42*'Verwerking Bouwdelen'!W26)</f>
        <v>0</v>
      </c>
      <c r="BS42" s="208">
        <f>IF($BM42=1,$BN42*'Verwerking Bouwdelen'!DP26,$BN42*'Verwerking Bouwdelen'!X26)</f>
        <v>0</v>
      </c>
      <c r="BT42" s="208">
        <f>IF($BM42=1,$BN42*'Verwerking Bouwdelen'!DQ26,$BN42*'Verwerking Bouwdelen'!Y26)</f>
        <v>0</v>
      </c>
      <c r="BU42" s="208">
        <f>IF($BM42=1,$BN42*'Verwerking Bouwdelen'!DR26,$BN42*'Verwerking Bouwdelen'!Z26)</f>
        <v>0</v>
      </c>
      <c r="BV42" s="208">
        <f>IF($BM42=1,$BN42*'Verwerking Bouwdelen'!DS26,$BN42*'Verwerking Bouwdelen'!AA26)</f>
        <v>0</v>
      </c>
      <c r="BW42" s="208">
        <f>IF($BM42=1,$BN42*'Verwerking Bouwdelen'!DT26,$BN42*'Verwerking Bouwdelen'!AB26)</f>
        <v>0</v>
      </c>
      <c r="BX42" s="208">
        <f>IF($BM42=1,$BN42*'Verwerking Bouwdelen'!DU26,$BN42*'Verwerking Bouwdelen'!AC26)</f>
        <v>0</v>
      </c>
      <c r="BY42" s="208">
        <f>IF($BM42=1,$BN42*'Verwerking Bouwdelen'!DV26,$BN42*'Verwerking Bouwdelen'!AD26)</f>
        <v>0</v>
      </c>
      <c r="BZ42" s="208">
        <f>IF($BM42=1,$BN42*'Verwerking Bouwdelen'!DW26,$BN42*'Verwerking Bouwdelen'!AE26)</f>
        <v>0</v>
      </c>
      <c r="CA42" s="10">
        <f>IF(BO42=$B42,0,'Verwerking Bouwdelen'!$D26*BM42*BN42)</f>
        <v>0</v>
      </c>
      <c r="CB42" s="10">
        <f>BM42*BN42*'Verwerking Bouwdelen'!GH26</f>
        <v>0</v>
      </c>
      <c r="CC42" s="10"/>
      <c r="CD42" s="248"/>
      <c r="CE42" s="125">
        <f>IF('Verwerking Bouwdelen'!C26=2,1,0)</f>
        <v>0</v>
      </c>
      <c r="CF42" s="130">
        <f>IF('Verwerking Bouwdelen'!A26=5,1,0)</f>
        <v>0</v>
      </c>
      <c r="CG42" s="208">
        <f>IF($CE42=1,$CF42*'Verwerking Bouwdelen'!DL26,$CF42*'Verwerking Bouwdelen'!T26)</f>
        <v>0</v>
      </c>
      <c r="CH42" s="208">
        <f>IF($CE42=1,$CF42*'Verwerking Bouwdelen'!DM26,$CF42*'Verwerking Bouwdelen'!U26)</f>
        <v>0</v>
      </c>
      <c r="CI42" s="208">
        <f>IF($CE42=1,$CF42*'Verwerking Bouwdelen'!DN26,$CF42*'Verwerking Bouwdelen'!V26)</f>
        <v>0</v>
      </c>
      <c r="CJ42" s="208">
        <f>IF($CE42=1,$CF42*'Verwerking Bouwdelen'!DO26,$CF42*'Verwerking Bouwdelen'!W26)</f>
        <v>0</v>
      </c>
      <c r="CK42" s="208">
        <f>IF($CE42=1,$CF42*'Verwerking Bouwdelen'!DP26,$CF42*'Verwerking Bouwdelen'!X26)</f>
        <v>0</v>
      </c>
      <c r="CL42" s="208">
        <f>IF($CE42=1,$CF42*'Verwerking Bouwdelen'!DQ26,$CF42*'Verwerking Bouwdelen'!Y26)</f>
        <v>0</v>
      </c>
      <c r="CM42" s="208">
        <f>IF($CE42=1,$CF42*'Verwerking Bouwdelen'!DR26,$CF42*'Verwerking Bouwdelen'!Z26)</f>
        <v>0</v>
      </c>
      <c r="CN42" s="208">
        <f>IF($CE42=1,$CF42*'Verwerking Bouwdelen'!DS26,$CF42*'Verwerking Bouwdelen'!AA26)</f>
        <v>0</v>
      </c>
      <c r="CO42" s="208">
        <f>IF($CE42=1,$CF42*'Verwerking Bouwdelen'!DT26,$CF42*'Verwerking Bouwdelen'!AB26)</f>
        <v>0</v>
      </c>
      <c r="CP42" s="208">
        <f>IF($CE42=1,$CF42*'Verwerking Bouwdelen'!DU26,$CF42*'Verwerking Bouwdelen'!AC26)</f>
        <v>0</v>
      </c>
      <c r="CQ42" s="208">
        <f>IF($CE42=1,$CF42*'Verwerking Bouwdelen'!DV26,$CF42*'Verwerking Bouwdelen'!AD26)</f>
        <v>0</v>
      </c>
      <c r="CR42" s="208">
        <f>IF($CE42=1,$CF42*'Verwerking Bouwdelen'!DW26,$CF42*'Verwerking Bouwdelen'!AE26)</f>
        <v>0</v>
      </c>
      <c r="CS42" s="10">
        <f>IF(CG42=$B42,0,('Verwerking Bouwdelen'!$D26-'Verwerking Bouwdelen'!G26)*CE42*CF42)</f>
        <v>0</v>
      </c>
      <c r="CT42" s="261">
        <f>CE42*CF42*'Verwerking Bouwdelen'!$GH$3</f>
        <v>0</v>
      </c>
      <c r="CU42" s="261">
        <f>CE42*CF42*'Verwerking Bouwdelen'!GI26</f>
        <v>0</v>
      </c>
      <c r="CW42" s="209">
        <f>$AC42*'Verwerking Bouwdelen'!EE26</f>
        <v>0</v>
      </c>
      <c r="CX42" s="209">
        <f>$AC42*'Verwerking Bouwdelen'!EF26</f>
        <v>0</v>
      </c>
      <c r="CY42" s="209">
        <f>$AC42*'Verwerking Bouwdelen'!EG26</f>
        <v>0</v>
      </c>
      <c r="CZ42" s="209">
        <f>$AC42*'Verwerking Bouwdelen'!EH26</f>
        <v>0</v>
      </c>
      <c r="DA42" s="209">
        <f>$AC42*'Verwerking Bouwdelen'!EI26</f>
        <v>0</v>
      </c>
      <c r="DB42" s="209">
        <f>$AC42*'Verwerking Bouwdelen'!EJ26</f>
        <v>0</v>
      </c>
      <c r="DC42" s="209">
        <f>$AC42*'Verwerking Bouwdelen'!EK26</f>
        <v>0</v>
      </c>
      <c r="DD42" s="209">
        <f>$AC42*'Verwerking Bouwdelen'!EL26</f>
        <v>0</v>
      </c>
      <c r="DE42" s="209">
        <f>$AC42*'Verwerking Bouwdelen'!EM26</f>
        <v>0</v>
      </c>
      <c r="DF42" s="209">
        <f>$AC42*'Verwerking Bouwdelen'!EN26</f>
        <v>0</v>
      </c>
      <c r="DG42" s="209">
        <f>$AC42*'Verwerking Bouwdelen'!EO26</f>
        <v>0</v>
      </c>
      <c r="DH42" s="209">
        <f>$AC42*'Verwerking Bouwdelen'!EP26</f>
        <v>0</v>
      </c>
      <c r="DI42" s="10">
        <f>IF(CW42=$O42,0,'Verwerking Bouwdelen'!G26)</f>
        <v>0</v>
      </c>
      <c r="DJ42" s="259">
        <f>'Verwerking Bouwdelen'!GK26*CF42</f>
        <v>0</v>
      </c>
      <c r="DK42" s="259">
        <f>'Verwerking Bouwdelen'!GL26*CF42</f>
        <v>0</v>
      </c>
      <c r="DL42" s="125"/>
      <c r="GM42" s="89">
        <f t="shared" si="13"/>
        <v>0</v>
      </c>
      <c r="GN42" s="89">
        <f t="shared" si="14"/>
        <v>0</v>
      </c>
      <c r="GO42" s="208">
        <f>IF($GN42=1,$GN42*$GM42*'Verwerking Bouwdelen'!DL26,$GN42*$GM42*'Verwerking Bouwdelen'!T26)</f>
        <v>0</v>
      </c>
      <c r="GP42" s="208">
        <f>IF($GN42=1,$GN42*$GM42*'Verwerking Bouwdelen'!DM26,$GN42*$GM42*'Verwerking Bouwdelen'!U26)</f>
        <v>0</v>
      </c>
      <c r="GQ42" s="208">
        <f>IF($GN42=1,$GN42*$GM42*'Verwerking Bouwdelen'!DN26,$GN42*$GM42*'Verwerking Bouwdelen'!V26)</f>
        <v>0</v>
      </c>
      <c r="GR42" s="208">
        <f>IF($GN42=1,$GN42*$GM42*'Verwerking Bouwdelen'!DO26,$GN42*$GM42*'Verwerking Bouwdelen'!W26)</f>
        <v>0</v>
      </c>
      <c r="GS42" s="208">
        <f>IF($GN42=1,$GN42*$GM42*'Verwerking Bouwdelen'!DP26,$GN42*$GM42*'Verwerking Bouwdelen'!X26)</f>
        <v>0</v>
      </c>
      <c r="GT42" s="208">
        <f>IF($GN42=1,$GN42*$GM42*'Verwerking Bouwdelen'!DQ26,$GN42*$GM42*'Verwerking Bouwdelen'!Y26)</f>
        <v>0</v>
      </c>
      <c r="GU42" s="208">
        <f>IF($GN42=1,$GN42*$GM42*'Verwerking Bouwdelen'!DR26,$GN42*$GM42*'Verwerking Bouwdelen'!Z26)</f>
        <v>0</v>
      </c>
      <c r="GV42" s="208">
        <f>IF($GN42=1,$GN42*$GM42*'Verwerking Bouwdelen'!DS26,$GN42*$GM42*'Verwerking Bouwdelen'!AA26)</f>
        <v>0</v>
      </c>
      <c r="GW42" s="208">
        <f>IF($GN42=1,$GN42*$GM42*'Verwerking Bouwdelen'!DT26,$GN42*$GM42*'Verwerking Bouwdelen'!AB26)</f>
        <v>0</v>
      </c>
      <c r="GX42" s="208">
        <f>IF($GN42=1,$GN42*$GM42*'Verwerking Bouwdelen'!DU26,$GN42*$GM42*'Verwerking Bouwdelen'!AC26)</f>
        <v>0</v>
      </c>
      <c r="GY42" s="208">
        <f>IF($GN42=1,$GN42*$GM42*'Verwerking Bouwdelen'!DV26,$GN42*$GM42*'Verwerking Bouwdelen'!AD26)</f>
        <v>0</v>
      </c>
      <c r="GZ42" s="208">
        <f>IF($GN42=1,$GN42*$GM42*'Verwerking Bouwdelen'!DW26,$GN42*$GM42*'Verwerking Bouwdelen'!AE26)</f>
        <v>0</v>
      </c>
      <c r="HB42" s="89">
        <f t="shared" si="16"/>
        <v>0</v>
      </c>
      <c r="HC42" s="89">
        <f t="shared" si="17"/>
        <v>0</v>
      </c>
      <c r="HD42" s="89">
        <f t="shared" si="18"/>
        <v>0</v>
      </c>
      <c r="HE42" s="89">
        <f t="shared" si="19"/>
        <v>0</v>
      </c>
      <c r="HF42" s="89">
        <f t="shared" si="19"/>
        <v>0</v>
      </c>
      <c r="HG42" s="89">
        <f t="shared" si="19"/>
        <v>0</v>
      </c>
      <c r="HH42" s="89">
        <f t="shared" si="19"/>
        <v>0</v>
      </c>
      <c r="HI42" s="89">
        <f t="shared" si="19"/>
        <v>0</v>
      </c>
      <c r="HJ42" s="89">
        <f t="shared" si="19"/>
        <v>0</v>
      </c>
      <c r="HK42" s="89">
        <f t="shared" si="19"/>
        <v>0</v>
      </c>
      <c r="HL42" s="89">
        <f t="shared" si="19"/>
        <v>0</v>
      </c>
      <c r="HM42" s="89">
        <f t="shared" si="19"/>
        <v>0</v>
      </c>
    </row>
    <row r="43" spans="1:221" x14ac:dyDescent="0.2">
      <c r="A43" s="130">
        <f>IF('Verwerking Bouwdelen'!A27=5,1,0)</f>
        <v>0</v>
      </c>
      <c r="B43" s="208">
        <f>$A43*'Verwerking Bouwdelen'!T27</f>
        <v>0</v>
      </c>
      <c r="C43" s="208">
        <f>$A43*'Verwerking Bouwdelen'!U27</f>
        <v>0</v>
      </c>
      <c r="D43" s="208">
        <f>$A43*'Verwerking Bouwdelen'!V27</f>
        <v>0</v>
      </c>
      <c r="E43" s="208">
        <f>$A43*'Verwerking Bouwdelen'!W27</f>
        <v>0</v>
      </c>
      <c r="F43" s="208">
        <f>$A43*'Verwerking Bouwdelen'!X27</f>
        <v>0</v>
      </c>
      <c r="G43" s="208">
        <f>$A43*'Verwerking Bouwdelen'!Y27</f>
        <v>0</v>
      </c>
      <c r="H43" s="208">
        <f>$A43*'Verwerking Bouwdelen'!Z27</f>
        <v>0</v>
      </c>
      <c r="I43" s="208">
        <f>$A43*'Verwerking Bouwdelen'!AA27</f>
        <v>0</v>
      </c>
      <c r="J43" s="208">
        <f>$A43*'Verwerking Bouwdelen'!AB27</f>
        <v>0</v>
      </c>
      <c r="K43" s="208">
        <f>$A43*'Verwerking Bouwdelen'!AC27</f>
        <v>0</v>
      </c>
      <c r="L43" s="208">
        <f>$A43*'Verwerking Bouwdelen'!AD27</f>
        <v>0</v>
      </c>
      <c r="M43" s="208">
        <f>$A43*'Verwerking Bouwdelen'!AE27</f>
        <v>0</v>
      </c>
      <c r="O43" s="114">
        <f>$A43*'Verwerking Bouwdelen'!AU27</f>
        <v>0</v>
      </c>
      <c r="P43" s="125">
        <f>$A43*'Verwerking Bouwdelen'!AV27</f>
        <v>0</v>
      </c>
      <c r="Q43" s="125">
        <f>$A43*'Verwerking Bouwdelen'!AW27</f>
        <v>0</v>
      </c>
      <c r="R43" s="125">
        <f>$A43*'Verwerking Bouwdelen'!AX27</f>
        <v>0</v>
      </c>
      <c r="S43" s="125">
        <f>$A43*'Verwerking Bouwdelen'!AY27</f>
        <v>0</v>
      </c>
      <c r="T43" s="125">
        <f>$A43*'Verwerking Bouwdelen'!AZ27</f>
        <v>0</v>
      </c>
      <c r="U43" s="125">
        <f>$A43*'Verwerking Bouwdelen'!BA27</f>
        <v>0</v>
      </c>
      <c r="V43" s="125">
        <f>$A43*'Verwerking Bouwdelen'!BB27</f>
        <v>0</v>
      </c>
      <c r="W43" s="125">
        <f>$A43*'Verwerking Bouwdelen'!BC27</f>
        <v>0</v>
      </c>
      <c r="X43" s="125">
        <f>$A43*'Verwerking Bouwdelen'!BD27</f>
        <v>0</v>
      </c>
      <c r="Y43" s="125">
        <f>$A43*'Verwerking Bouwdelen'!BE27</f>
        <v>0</v>
      </c>
      <c r="Z43" s="195">
        <f>$A43*'Verwerking Bouwdelen'!BF27</f>
        <v>0</v>
      </c>
      <c r="AB43" s="125">
        <f>IF(OR('Verwerking Bouwdelen'!C27=3,'Verwerking Bouwdelen'!C27=6),1,0)</f>
        <v>0</v>
      </c>
      <c r="AC43" s="130">
        <f>IF('Verwerking Bouwdelen'!A27=5,1,0)</f>
        <v>0</v>
      </c>
      <c r="AD43" s="208">
        <f>IF($AB43=1,$AC43*'Verwerking Bouwdelen'!DL27,$AC43*'Verwerking Bouwdelen'!T27)</f>
        <v>0</v>
      </c>
      <c r="AE43" s="208">
        <f>IF($AB43=1,$AC43*'Verwerking Bouwdelen'!DM27,$AC43*'Verwerking Bouwdelen'!U27)</f>
        <v>0</v>
      </c>
      <c r="AF43" s="208">
        <f>IF($AB43=1,$AC43*'Verwerking Bouwdelen'!DN27,$AC43*'Verwerking Bouwdelen'!V27)</f>
        <v>0</v>
      </c>
      <c r="AG43" s="208">
        <f>IF($AB43=1,$AC43*'Verwerking Bouwdelen'!DO27,$AC43*'Verwerking Bouwdelen'!W27)</f>
        <v>0</v>
      </c>
      <c r="AH43" s="208">
        <f>IF($AB43=1,$AC43*'Verwerking Bouwdelen'!DP27,$AC43*'Verwerking Bouwdelen'!X27)</f>
        <v>0</v>
      </c>
      <c r="AI43" s="208">
        <f>IF($AB43=1,$AC43*'Verwerking Bouwdelen'!DQ27,$AC43*'Verwerking Bouwdelen'!Y27)</f>
        <v>0</v>
      </c>
      <c r="AJ43" s="208">
        <f>IF($AB43=1,$AC43*'Verwerking Bouwdelen'!DR27,$AC43*'Verwerking Bouwdelen'!Z27)</f>
        <v>0</v>
      </c>
      <c r="AK43" s="208">
        <f>IF($AB43=1,$AC43*'Verwerking Bouwdelen'!DS27,$AC43*'Verwerking Bouwdelen'!AA27)</f>
        <v>0</v>
      </c>
      <c r="AL43" s="208">
        <f>IF($AB43=1,$AC43*'Verwerking Bouwdelen'!DT27,$AC43*'Verwerking Bouwdelen'!AB27)</f>
        <v>0</v>
      </c>
      <c r="AM43" s="208">
        <f>IF($AB43=1,$AC43*'Verwerking Bouwdelen'!DU27,$AC43*'Verwerking Bouwdelen'!AC27)</f>
        <v>0</v>
      </c>
      <c r="AN43" s="208">
        <f>IF($AB43=1,$AC43*'Verwerking Bouwdelen'!DV27,$AC43*'Verwerking Bouwdelen'!AD27)</f>
        <v>0</v>
      </c>
      <c r="AO43" s="208">
        <f>IF($AB43=1,$AC43*'Verwerking Bouwdelen'!DW27,$AC43*'Verwerking Bouwdelen'!AE27)</f>
        <v>0</v>
      </c>
      <c r="AP43" s="10">
        <f>IF(AD43=B43,0,'Verwerking Bouwdelen'!D27*AB43*AC43)</f>
        <v>0</v>
      </c>
      <c r="AQ43" s="10">
        <f>AB43*AC43*'Verwerking Bouwdelen'!GH27</f>
        <v>0</v>
      </c>
      <c r="AR43" s="10"/>
      <c r="AS43" s="248"/>
      <c r="AT43" s="125">
        <f>IF('Verwerking Bouwdelen'!C27=4,1,0)</f>
        <v>0</v>
      </c>
      <c r="AU43" s="130">
        <f>IF('Verwerking Bouwdelen'!A27=5,1,0)</f>
        <v>0</v>
      </c>
      <c r="AV43" s="208">
        <f>IF($AT43=1,$AU43*'Verwerking Bouwdelen'!DL27,$AU43*'Verwerking Bouwdelen'!T27)</f>
        <v>0</v>
      </c>
      <c r="AW43" s="208">
        <f>IF($AT43=1,$AU43*'Verwerking Bouwdelen'!DM27,$AU43*'Verwerking Bouwdelen'!U27)</f>
        <v>0</v>
      </c>
      <c r="AX43" s="208">
        <f>IF($AT43=1,$AU43*'Verwerking Bouwdelen'!DN27,$AU43*'Verwerking Bouwdelen'!V27)</f>
        <v>0</v>
      </c>
      <c r="AY43" s="208">
        <f>IF($AT43=1,$AU43*'Verwerking Bouwdelen'!DO27,$AU43*'Verwerking Bouwdelen'!W27)</f>
        <v>0</v>
      </c>
      <c r="AZ43" s="208">
        <f>IF($AT43=1,$AU43*'Verwerking Bouwdelen'!DP27,$AU43*'Verwerking Bouwdelen'!X27)</f>
        <v>0</v>
      </c>
      <c r="BA43" s="208">
        <f>IF($AT43=1,$AU43*'Verwerking Bouwdelen'!DQ27,$AU43*'Verwerking Bouwdelen'!Y27)</f>
        <v>0</v>
      </c>
      <c r="BB43" s="208">
        <f>IF($AT43=1,$AU43*'Verwerking Bouwdelen'!DR27,$AU43*'Verwerking Bouwdelen'!Z27)</f>
        <v>0</v>
      </c>
      <c r="BC43" s="208">
        <f>IF($AT43=1,$AU43*'Verwerking Bouwdelen'!DS27,$AU43*'Verwerking Bouwdelen'!AA27)</f>
        <v>0</v>
      </c>
      <c r="BD43" s="208">
        <f>IF($AT43=1,$AU43*'Verwerking Bouwdelen'!DT27,$AU43*'Verwerking Bouwdelen'!AB27)</f>
        <v>0</v>
      </c>
      <c r="BE43" s="208">
        <f>IF($AT43=1,$AU43*'Verwerking Bouwdelen'!DU27,$AU43*'Verwerking Bouwdelen'!AC27)</f>
        <v>0</v>
      </c>
      <c r="BF43" s="208">
        <f>IF($AT43=1,$AU43*'Verwerking Bouwdelen'!DV27,$AU43*'Verwerking Bouwdelen'!AD27)</f>
        <v>0</v>
      </c>
      <c r="BG43" s="208">
        <f>IF($AT43=1,$AU43*'Verwerking Bouwdelen'!DW27,$AU43*'Verwerking Bouwdelen'!AE27)</f>
        <v>0</v>
      </c>
      <c r="BH43" s="10">
        <f>IF(AV43=B43,0,'Verwerking Bouwdelen'!D27*AT43*AU43)</f>
        <v>0</v>
      </c>
      <c r="BI43" s="10">
        <f>AT43*AU43*'Verwerking Bouwdelen'!GH27</f>
        <v>0</v>
      </c>
      <c r="BJ43" s="10"/>
      <c r="BK43" s="10"/>
      <c r="BM43" s="125">
        <f>IF('Verwerking Bouwdelen'!C27=5,1,0)</f>
        <v>0</v>
      </c>
      <c r="BN43" s="130">
        <f>IF('Verwerking Bouwdelen'!A27=5,1,0)</f>
        <v>0</v>
      </c>
      <c r="BO43" s="208">
        <f>IF($BM43=1,$BN43*'Verwerking Bouwdelen'!DL27,$BN43*'Verwerking Bouwdelen'!T27)</f>
        <v>0</v>
      </c>
      <c r="BP43" s="208">
        <f>IF($BM43=1,$BN43*'Verwerking Bouwdelen'!DM27,$BN43*'Verwerking Bouwdelen'!U27)</f>
        <v>0</v>
      </c>
      <c r="BQ43" s="208">
        <f>IF($BM43=1,$BN43*'Verwerking Bouwdelen'!DN27,$BN43*'Verwerking Bouwdelen'!V27)</f>
        <v>0</v>
      </c>
      <c r="BR43" s="208">
        <f>IF($BM43=1,$BN43*'Verwerking Bouwdelen'!DO27,$BN43*'Verwerking Bouwdelen'!W27)</f>
        <v>0</v>
      </c>
      <c r="BS43" s="208">
        <f>IF($BM43=1,$BN43*'Verwerking Bouwdelen'!DP27,$BN43*'Verwerking Bouwdelen'!X27)</f>
        <v>0</v>
      </c>
      <c r="BT43" s="208">
        <f>IF($BM43=1,$BN43*'Verwerking Bouwdelen'!DQ27,$BN43*'Verwerking Bouwdelen'!Y27)</f>
        <v>0</v>
      </c>
      <c r="BU43" s="208">
        <f>IF($BM43=1,$BN43*'Verwerking Bouwdelen'!DR27,$BN43*'Verwerking Bouwdelen'!Z27)</f>
        <v>0</v>
      </c>
      <c r="BV43" s="208">
        <f>IF($BM43=1,$BN43*'Verwerking Bouwdelen'!DS27,$BN43*'Verwerking Bouwdelen'!AA27)</f>
        <v>0</v>
      </c>
      <c r="BW43" s="208">
        <f>IF($BM43=1,$BN43*'Verwerking Bouwdelen'!DT27,$BN43*'Verwerking Bouwdelen'!AB27)</f>
        <v>0</v>
      </c>
      <c r="BX43" s="208">
        <f>IF($BM43=1,$BN43*'Verwerking Bouwdelen'!DU27,$BN43*'Verwerking Bouwdelen'!AC27)</f>
        <v>0</v>
      </c>
      <c r="BY43" s="208">
        <f>IF($BM43=1,$BN43*'Verwerking Bouwdelen'!DV27,$BN43*'Verwerking Bouwdelen'!AD27)</f>
        <v>0</v>
      </c>
      <c r="BZ43" s="208">
        <f>IF($BM43=1,$BN43*'Verwerking Bouwdelen'!DW27,$BN43*'Verwerking Bouwdelen'!AE27)</f>
        <v>0</v>
      </c>
      <c r="CA43" s="10">
        <f>IF(BO43=$B43,0,'Verwerking Bouwdelen'!$D27*BM43*BN43)</f>
        <v>0</v>
      </c>
      <c r="CB43" s="10">
        <f>BM43*BN43*'Verwerking Bouwdelen'!GH27</f>
        <v>0</v>
      </c>
      <c r="CC43" s="10"/>
      <c r="CD43" s="248"/>
      <c r="CE43" s="125">
        <f>IF('Verwerking Bouwdelen'!C27=2,1,0)</f>
        <v>0</v>
      </c>
      <c r="CF43" s="130">
        <f>IF('Verwerking Bouwdelen'!A27=5,1,0)</f>
        <v>0</v>
      </c>
      <c r="CG43" s="208">
        <f>IF($CE43=1,$CF43*'Verwerking Bouwdelen'!DL27,$CF43*'Verwerking Bouwdelen'!T27)</f>
        <v>0</v>
      </c>
      <c r="CH43" s="208">
        <f>IF($CE43=1,$CF43*'Verwerking Bouwdelen'!DM27,$CF43*'Verwerking Bouwdelen'!U27)</f>
        <v>0</v>
      </c>
      <c r="CI43" s="208">
        <f>IF($CE43=1,$CF43*'Verwerking Bouwdelen'!DN27,$CF43*'Verwerking Bouwdelen'!V27)</f>
        <v>0</v>
      </c>
      <c r="CJ43" s="208">
        <f>IF($CE43=1,$CF43*'Verwerking Bouwdelen'!DO27,$CF43*'Verwerking Bouwdelen'!W27)</f>
        <v>0</v>
      </c>
      <c r="CK43" s="208">
        <f>IF($CE43=1,$CF43*'Verwerking Bouwdelen'!DP27,$CF43*'Verwerking Bouwdelen'!X27)</f>
        <v>0</v>
      </c>
      <c r="CL43" s="208">
        <f>IF($CE43=1,$CF43*'Verwerking Bouwdelen'!DQ27,$CF43*'Verwerking Bouwdelen'!Y27)</f>
        <v>0</v>
      </c>
      <c r="CM43" s="208">
        <f>IF($CE43=1,$CF43*'Verwerking Bouwdelen'!DR27,$CF43*'Verwerking Bouwdelen'!Z27)</f>
        <v>0</v>
      </c>
      <c r="CN43" s="208">
        <f>IF($CE43=1,$CF43*'Verwerking Bouwdelen'!DS27,$CF43*'Verwerking Bouwdelen'!AA27)</f>
        <v>0</v>
      </c>
      <c r="CO43" s="208">
        <f>IF($CE43=1,$CF43*'Verwerking Bouwdelen'!DT27,$CF43*'Verwerking Bouwdelen'!AB27)</f>
        <v>0</v>
      </c>
      <c r="CP43" s="208">
        <f>IF($CE43=1,$CF43*'Verwerking Bouwdelen'!DU27,$CF43*'Verwerking Bouwdelen'!AC27)</f>
        <v>0</v>
      </c>
      <c r="CQ43" s="208">
        <f>IF($CE43=1,$CF43*'Verwerking Bouwdelen'!DV27,$CF43*'Verwerking Bouwdelen'!AD27)</f>
        <v>0</v>
      </c>
      <c r="CR43" s="208">
        <f>IF($CE43=1,$CF43*'Verwerking Bouwdelen'!DW27,$CF43*'Verwerking Bouwdelen'!AE27)</f>
        <v>0</v>
      </c>
      <c r="CS43" s="10">
        <f>IF(CG43=$B43,0,('Verwerking Bouwdelen'!$D27-'Verwerking Bouwdelen'!G27)*CE43*CF43)</f>
        <v>0</v>
      </c>
      <c r="CT43" s="261">
        <f>CE43*CF43*'Verwerking Bouwdelen'!$GH$3</f>
        <v>0</v>
      </c>
      <c r="CU43" s="261">
        <f>CE43*CF43*'Verwerking Bouwdelen'!GI27</f>
        <v>0</v>
      </c>
      <c r="CW43" s="209">
        <f>$AC43*'Verwerking Bouwdelen'!EE27</f>
        <v>0</v>
      </c>
      <c r="CX43" s="209">
        <f>$AC43*'Verwerking Bouwdelen'!EF27</f>
        <v>0</v>
      </c>
      <c r="CY43" s="209">
        <f>$AC43*'Verwerking Bouwdelen'!EG27</f>
        <v>0</v>
      </c>
      <c r="CZ43" s="209">
        <f>$AC43*'Verwerking Bouwdelen'!EH27</f>
        <v>0</v>
      </c>
      <c r="DA43" s="209">
        <f>$AC43*'Verwerking Bouwdelen'!EI27</f>
        <v>0</v>
      </c>
      <c r="DB43" s="209">
        <f>$AC43*'Verwerking Bouwdelen'!EJ27</f>
        <v>0</v>
      </c>
      <c r="DC43" s="209">
        <f>$AC43*'Verwerking Bouwdelen'!EK27</f>
        <v>0</v>
      </c>
      <c r="DD43" s="209">
        <f>$AC43*'Verwerking Bouwdelen'!EL27</f>
        <v>0</v>
      </c>
      <c r="DE43" s="209">
        <f>$AC43*'Verwerking Bouwdelen'!EM27</f>
        <v>0</v>
      </c>
      <c r="DF43" s="209">
        <f>$AC43*'Verwerking Bouwdelen'!EN27</f>
        <v>0</v>
      </c>
      <c r="DG43" s="209">
        <f>$AC43*'Verwerking Bouwdelen'!EO27</f>
        <v>0</v>
      </c>
      <c r="DH43" s="209">
        <f>$AC43*'Verwerking Bouwdelen'!EP27</f>
        <v>0</v>
      </c>
      <c r="DI43" s="10">
        <f>IF(CW43=$O43,0,'Verwerking Bouwdelen'!G27)</f>
        <v>0</v>
      </c>
      <c r="DJ43" s="259">
        <f>'Verwerking Bouwdelen'!GK27*CF43</f>
        <v>0</v>
      </c>
      <c r="DK43" s="259">
        <f>'Verwerking Bouwdelen'!GL27*CF43</f>
        <v>0</v>
      </c>
      <c r="DL43" s="125"/>
      <c r="GM43" s="89">
        <f t="shared" si="13"/>
        <v>0</v>
      </c>
      <c r="GN43" s="89">
        <f t="shared" si="14"/>
        <v>0</v>
      </c>
      <c r="GO43" s="208">
        <f>IF($GN43=1,$GN43*$GM43*'Verwerking Bouwdelen'!DL27,$GN43*$GM43*'Verwerking Bouwdelen'!T27)</f>
        <v>0</v>
      </c>
      <c r="GP43" s="208">
        <f>IF($GN43=1,$GN43*$GM43*'Verwerking Bouwdelen'!DM27,$GN43*$GM43*'Verwerking Bouwdelen'!U27)</f>
        <v>0</v>
      </c>
      <c r="GQ43" s="208">
        <f>IF($GN43=1,$GN43*$GM43*'Verwerking Bouwdelen'!DN27,$GN43*$GM43*'Verwerking Bouwdelen'!V27)</f>
        <v>0</v>
      </c>
      <c r="GR43" s="208">
        <f>IF($GN43=1,$GN43*$GM43*'Verwerking Bouwdelen'!DO27,$GN43*$GM43*'Verwerking Bouwdelen'!W27)</f>
        <v>0</v>
      </c>
      <c r="GS43" s="208">
        <f>IF($GN43=1,$GN43*$GM43*'Verwerking Bouwdelen'!DP27,$GN43*$GM43*'Verwerking Bouwdelen'!X27)</f>
        <v>0</v>
      </c>
      <c r="GT43" s="208">
        <f>IF($GN43=1,$GN43*$GM43*'Verwerking Bouwdelen'!DQ27,$GN43*$GM43*'Verwerking Bouwdelen'!Y27)</f>
        <v>0</v>
      </c>
      <c r="GU43" s="208">
        <f>IF($GN43=1,$GN43*$GM43*'Verwerking Bouwdelen'!DR27,$GN43*$GM43*'Verwerking Bouwdelen'!Z27)</f>
        <v>0</v>
      </c>
      <c r="GV43" s="208">
        <f>IF($GN43=1,$GN43*$GM43*'Verwerking Bouwdelen'!DS27,$GN43*$GM43*'Verwerking Bouwdelen'!AA27)</f>
        <v>0</v>
      </c>
      <c r="GW43" s="208">
        <f>IF($GN43=1,$GN43*$GM43*'Verwerking Bouwdelen'!DT27,$GN43*$GM43*'Verwerking Bouwdelen'!AB27)</f>
        <v>0</v>
      </c>
      <c r="GX43" s="208">
        <f>IF($GN43=1,$GN43*$GM43*'Verwerking Bouwdelen'!DU27,$GN43*$GM43*'Verwerking Bouwdelen'!AC27)</f>
        <v>0</v>
      </c>
      <c r="GY43" s="208">
        <f>IF($GN43=1,$GN43*$GM43*'Verwerking Bouwdelen'!DV27,$GN43*$GM43*'Verwerking Bouwdelen'!AD27)</f>
        <v>0</v>
      </c>
      <c r="GZ43" s="208">
        <f>IF($GN43=1,$GN43*$GM43*'Verwerking Bouwdelen'!DW27,$GN43*$GM43*'Verwerking Bouwdelen'!AE27)</f>
        <v>0</v>
      </c>
      <c r="HB43" s="89">
        <f t="shared" si="16"/>
        <v>0</v>
      </c>
      <c r="HC43" s="89">
        <f t="shared" si="17"/>
        <v>0</v>
      </c>
      <c r="HD43" s="89">
        <f t="shared" si="18"/>
        <v>0</v>
      </c>
      <c r="HE43" s="89">
        <f t="shared" si="19"/>
        <v>0</v>
      </c>
      <c r="HF43" s="89">
        <f t="shared" si="19"/>
        <v>0</v>
      </c>
      <c r="HG43" s="89">
        <f t="shared" si="19"/>
        <v>0</v>
      </c>
      <c r="HH43" s="89">
        <f t="shared" si="19"/>
        <v>0</v>
      </c>
      <c r="HI43" s="89">
        <f t="shared" si="19"/>
        <v>0</v>
      </c>
      <c r="HJ43" s="89">
        <f t="shared" si="19"/>
        <v>0</v>
      </c>
      <c r="HK43" s="89">
        <f t="shared" si="19"/>
        <v>0</v>
      </c>
      <c r="HL43" s="89">
        <f t="shared" si="19"/>
        <v>0</v>
      </c>
      <c r="HM43" s="89">
        <f t="shared" si="19"/>
        <v>0</v>
      </c>
    </row>
    <row r="44" spans="1:221" x14ac:dyDescent="0.2">
      <c r="A44" s="130">
        <f>IF('Verwerking Bouwdelen'!A28=5,1,0)</f>
        <v>0</v>
      </c>
      <c r="B44" s="208">
        <f>$A44*'Verwerking Bouwdelen'!T28</f>
        <v>0</v>
      </c>
      <c r="C44" s="208">
        <f>$A44*'Verwerking Bouwdelen'!U28</f>
        <v>0</v>
      </c>
      <c r="D44" s="208">
        <f>$A44*'Verwerking Bouwdelen'!V28</f>
        <v>0</v>
      </c>
      <c r="E44" s="208">
        <f>$A44*'Verwerking Bouwdelen'!W28</f>
        <v>0</v>
      </c>
      <c r="F44" s="208">
        <f>$A44*'Verwerking Bouwdelen'!X28</f>
        <v>0</v>
      </c>
      <c r="G44" s="208">
        <f>$A44*'Verwerking Bouwdelen'!Y28</f>
        <v>0</v>
      </c>
      <c r="H44" s="208">
        <f>$A44*'Verwerking Bouwdelen'!Z28</f>
        <v>0</v>
      </c>
      <c r="I44" s="208">
        <f>$A44*'Verwerking Bouwdelen'!AA28</f>
        <v>0</v>
      </c>
      <c r="J44" s="208">
        <f>$A44*'Verwerking Bouwdelen'!AB28</f>
        <v>0</v>
      </c>
      <c r="K44" s="208">
        <f>$A44*'Verwerking Bouwdelen'!AC28</f>
        <v>0</v>
      </c>
      <c r="L44" s="208">
        <f>$A44*'Verwerking Bouwdelen'!AD28</f>
        <v>0</v>
      </c>
      <c r="M44" s="208">
        <f>$A44*'Verwerking Bouwdelen'!AE28</f>
        <v>0</v>
      </c>
      <c r="O44" s="114">
        <f>$A44*'Verwerking Bouwdelen'!AU28</f>
        <v>0</v>
      </c>
      <c r="P44" s="125">
        <f>$A44*'Verwerking Bouwdelen'!AV28</f>
        <v>0</v>
      </c>
      <c r="Q44" s="125">
        <f>$A44*'Verwerking Bouwdelen'!AW28</f>
        <v>0</v>
      </c>
      <c r="R44" s="125">
        <f>$A44*'Verwerking Bouwdelen'!AX28</f>
        <v>0</v>
      </c>
      <c r="S44" s="125">
        <f>$A44*'Verwerking Bouwdelen'!AY28</f>
        <v>0</v>
      </c>
      <c r="T44" s="125">
        <f>$A44*'Verwerking Bouwdelen'!AZ28</f>
        <v>0</v>
      </c>
      <c r="U44" s="125">
        <f>$A44*'Verwerking Bouwdelen'!BA28</f>
        <v>0</v>
      </c>
      <c r="V44" s="125">
        <f>$A44*'Verwerking Bouwdelen'!BB28</f>
        <v>0</v>
      </c>
      <c r="W44" s="125">
        <f>$A44*'Verwerking Bouwdelen'!BC28</f>
        <v>0</v>
      </c>
      <c r="X44" s="125">
        <f>$A44*'Verwerking Bouwdelen'!BD28</f>
        <v>0</v>
      </c>
      <c r="Y44" s="125">
        <f>$A44*'Verwerking Bouwdelen'!BE28</f>
        <v>0</v>
      </c>
      <c r="Z44" s="195">
        <f>$A44*'Verwerking Bouwdelen'!BF28</f>
        <v>0</v>
      </c>
      <c r="AB44" s="125">
        <f>IF(OR('Verwerking Bouwdelen'!C28=3,'Verwerking Bouwdelen'!C28=6),1,0)</f>
        <v>0</v>
      </c>
      <c r="AC44" s="130">
        <f>IF('Verwerking Bouwdelen'!A28=5,1,0)</f>
        <v>0</v>
      </c>
      <c r="AD44" s="208">
        <f>IF($AB44=1,$AC44*'Verwerking Bouwdelen'!DL28,$AC44*'Verwerking Bouwdelen'!T28)</f>
        <v>0</v>
      </c>
      <c r="AE44" s="208">
        <f>IF($AB44=1,$AC44*'Verwerking Bouwdelen'!DM28,$AC44*'Verwerking Bouwdelen'!U28)</f>
        <v>0</v>
      </c>
      <c r="AF44" s="208">
        <f>IF($AB44=1,$AC44*'Verwerking Bouwdelen'!DN28,$AC44*'Verwerking Bouwdelen'!V28)</f>
        <v>0</v>
      </c>
      <c r="AG44" s="208">
        <f>IF($AB44=1,$AC44*'Verwerking Bouwdelen'!DO28,$AC44*'Verwerking Bouwdelen'!W28)</f>
        <v>0</v>
      </c>
      <c r="AH44" s="208">
        <f>IF($AB44=1,$AC44*'Verwerking Bouwdelen'!DP28,$AC44*'Verwerking Bouwdelen'!X28)</f>
        <v>0</v>
      </c>
      <c r="AI44" s="208">
        <f>IF($AB44=1,$AC44*'Verwerking Bouwdelen'!DQ28,$AC44*'Verwerking Bouwdelen'!Y28)</f>
        <v>0</v>
      </c>
      <c r="AJ44" s="208">
        <f>IF($AB44=1,$AC44*'Verwerking Bouwdelen'!DR28,$AC44*'Verwerking Bouwdelen'!Z28)</f>
        <v>0</v>
      </c>
      <c r="AK44" s="208">
        <f>IF($AB44=1,$AC44*'Verwerking Bouwdelen'!DS28,$AC44*'Verwerking Bouwdelen'!AA28)</f>
        <v>0</v>
      </c>
      <c r="AL44" s="208">
        <f>IF($AB44=1,$AC44*'Verwerking Bouwdelen'!DT28,$AC44*'Verwerking Bouwdelen'!AB28)</f>
        <v>0</v>
      </c>
      <c r="AM44" s="208">
        <f>IF($AB44=1,$AC44*'Verwerking Bouwdelen'!DU28,$AC44*'Verwerking Bouwdelen'!AC28)</f>
        <v>0</v>
      </c>
      <c r="AN44" s="208">
        <f>IF($AB44=1,$AC44*'Verwerking Bouwdelen'!DV28,$AC44*'Verwerking Bouwdelen'!AD28)</f>
        <v>0</v>
      </c>
      <c r="AO44" s="208">
        <f>IF($AB44=1,$AC44*'Verwerking Bouwdelen'!DW28,$AC44*'Verwerking Bouwdelen'!AE28)</f>
        <v>0</v>
      </c>
      <c r="AP44" s="10">
        <f>IF(AD44=B44,0,'Verwerking Bouwdelen'!D28*AB44*AC44)</f>
        <v>0</v>
      </c>
      <c r="AQ44" s="10">
        <f>AB44*AC44*'Verwerking Bouwdelen'!GH28</f>
        <v>0</v>
      </c>
      <c r="AR44" s="10"/>
      <c r="AS44" s="248"/>
      <c r="AT44" s="125">
        <f>IF('Verwerking Bouwdelen'!C28=4,1,0)</f>
        <v>0</v>
      </c>
      <c r="AU44" s="130">
        <f>IF('Verwerking Bouwdelen'!A28=5,1,0)</f>
        <v>0</v>
      </c>
      <c r="AV44" s="208">
        <f>IF($AT44=1,$AU44*'Verwerking Bouwdelen'!DL28,$AU44*'Verwerking Bouwdelen'!T28)</f>
        <v>0</v>
      </c>
      <c r="AW44" s="208">
        <f>IF($AT44=1,$AU44*'Verwerking Bouwdelen'!DM28,$AU44*'Verwerking Bouwdelen'!U28)</f>
        <v>0</v>
      </c>
      <c r="AX44" s="208">
        <f>IF($AT44=1,$AU44*'Verwerking Bouwdelen'!DN28,$AU44*'Verwerking Bouwdelen'!V28)</f>
        <v>0</v>
      </c>
      <c r="AY44" s="208">
        <f>IF($AT44=1,$AU44*'Verwerking Bouwdelen'!DO28,$AU44*'Verwerking Bouwdelen'!W28)</f>
        <v>0</v>
      </c>
      <c r="AZ44" s="208">
        <f>IF($AT44=1,$AU44*'Verwerking Bouwdelen'!DP28,$AU44*'Verwerking Bouwdelen'!X28)</f>
        <v>0</v>
      </c>
      <c r="BA44" s="208">
        <f>IF($AT44=1,$AU44*'Verwerking Bouwdelen'!DQ28,$AU44*'Verwerking Bouwdelen'!Y28)</f>
        <v>0</v>
      </c>
      <c r="BB44" s="208">
        <f>IF($AT44=1,$AU44*'Verwerking Bouwdelen'!DR28,$AU44*'Verwerking Bouwdelen'!Z28)</f>
        <v>0</v>
      </c>
      <c r="BC44" s="208">
        <f>IF($AT44=1,$AU44*'Verwerking Bouwdelen'!DS28,$AU44*'Verwerking Bouwdelen'!AA28)</f>
        <v>0</v>
      </c>
      <c r="BD44" s="208">
        <f>IF($AT44=1,$AU44*'Verwerking Bouwdelen'!DT28,$AU44*'Verwerking Bouwdelen'!AB28)</f>
        <v>0</v>
      </c>
      <c r="BE44" s="208">
        <f>IF($AT44=1,$AU44*'Verwerking Bouwdelen'!DU28,$AU44*'Verwerking Bouwdelen'!AC28)</f>
        <v>0</v>
      </c>
      <c r="BF44" s="208">
        <f>IF($AT44=1,$AU44*'Verwerking Bouwdelen'!DV28,$AU44*'Verwerking Bouwdelen'!AD28)</f>
        <v>0</v>
      </c>
      <c r="BG44" s="208">
        <f>IF($AT44=1,$AU44*'Verwerking Bouwdelen'!DW28,$AU44*'Verwerking Bouwdelen'!AE28)</f>
        <v>0</v>
      </c>
      <c r="BH44" s="10">
        <f>IF(AV44=B44,0,'Verwerking Bouwdelen'!D28*AT44*AU44)</f>
        <v>0</v>
      </c>
      <c r="BI44" s="10">
        <f>AT44*AU44*'Verwerking Bouwdelen'!GH28</f>
        <v>0</v>
      </c>
      <c r="BJ44" s="10"/>
      <c r="BK44" s="10"/>
      <c r="BM44" s="125">
        <f>IF('Verwerking Bouwdelen'!C28=5,1,0)</f>
        <v>0</v>
      </c>
      <c r="BN44" s="130">
        <f>IF('Verwerking Bouwdelen'!A28=5,1,0)</f>
        <v>0</v>
      </c>
      <c r="BO44" s="208">
        <f>IF($BM44=1,$BN44*'Verwerking Bouwdelen'!DL28,$BN44*'Verwerking Bouwdelen'!T28)</f>
        <v>0</v>
      </c>
      <c r="BP44" s="208">
        <f>IF($BM44=1,$BN44*'Verwerking Bouwdelen'!DM28,$BN44*'Verwerking Bouwdelen'!U28)</f>
        <v>0</v>
      </c>
      <c r="BQ44" s="208">
        <f>IF($BM44=1,$BN44*'Verwerking Bouwdelen'!DN28,$BN44*'Verwerking Bouwdelen'!V28)</f>
        <v>0</v>
      </c>
      <c r="BR44" s="208">
        <f>IF($BM44=1,$BN44*'Verwerking Bouwdelen'!DO28,$BN44*'Verwerking Bouwdelen'!W28)</f>
        <v>0</v>
      </c>
      <c r="BS44" s="208">
        <f>IF($BM44=1,$BN44*'Verwerking Bouwdelen'!DP28,$BN44*'Verwerking Bouwdelen'!X28)</f>
        <v>0</v>
      </c>
      <c r="BT44" s="208">
        <f>IF($BM44=1,$BN44*'Verwerking Bouwdelen'!DQ28,$BN44*'Verwerking Bouwdelen'!Y28)</f>
        <v>0</v>
      </c>
      <c r="BU44" s="208">
        <f>IF($BM44=1,$BN44*'Verwerking Bouwdelen'!DR28,$BN44*'Verwerking Bouwdelen'!Z28)</f>
        <v>0</v>
      </c>
      <c r="BV44" s="208">
        <f>IF($BM44=1,$BN44*'Verwerking Bouwdelen'!DS28,$BN44*'Verwerking Bouwdelen'!AA28)</f>
        <v>0</v>
      </c>
      <c r="BW44" s="208">
        <f>IF($BM44=1,$BN44*'Verwerking Bouwdelen'!DT28,$BN44*'Verwerking Bouwdelen'!AB28)</f>
        <v>0</v>
      </c>
      <c r="BX44" s="208">
        <f>IF($BM44=1,$BN44*'Verwerking Bouwdelen'!DU28,$BN44*'Verwerking Bouwdelen'!AC28)</f>
        <v>0</v>
      </c>
      <c r="BY44" s="208">
        <f>IF($BM44=1,$BN44*'Verwerking Bouwdelen'!DV28,$BN44*'Verwerking Bouwdelen'!AD28)</f>
        <v>0</v>
      </c>
      <c r="BZ44" s="208">
        <f>IF($BM44=1,$BN44*'Verwerking Bouwdelen'!DW28,$BN44*'Verwerking Bouwdelen'!AE28)</f>
        <v>0</v>
      </c>
      <c r="CA44" s="10">
        <f>IF(BO44=$B44,0,'Verwerking Bouwdelen'!$D28*BM44*BN44)</f>
        <v>0</v>
      </c>
      <c r="CB44" s="10">
        <f>BM44*BN44*'Verwerking Bouwdelen'!GH28</f>
        <v>0</v>
      </c>
      <c r="CC44" s="10"/>
      <c r="CD44" s="248"/>
      <c r="CE44" s="125">
        <f>IF('Verwerking Bouwdelen'!C28=2,1,0)</f>
        <v>0</v>
      </c>
      <c r="CF44" s="130">
        <f>IF('Verwerking Bouwdelen'!A28=5,1,0)</f>
        <v>0</v>
      </c>
      <c r="CG44" s="208">
        <f>IF($CE44=1,$CF44*'Verwerking Bouwdelen'!DL28,$CF44*'Verwerking Bouwdelen'!T28)</f>
        <v>0</v>
      </c>
      <c r="CH44" s="208">
        <f>IF($CE44=1,$CF44*'Verwerking Bouwdelen'!DM28,$CF44*'Verwerking Bouwdelen'!U28)</f>
        <v>0</v>
      </c>
      <c r="CI44" s="208">
        <f>IF($CE44=1,$CF44*'Verwerking Bouwdelen'!DN28,$CF44*'Verwerking Bouwdelen'!V28)</f>
        <v>0</v>
      </c>
      <c r="CJ44" s="208">
        <f>IF($CE44=1,$CF44*'Verwerking Bouwdelen'!DO28,$CF44*'Verwerking Bouwdelen'!W28)</f>
        <v>0</v>
      </c>
      <c r="CK44" s="208">
        <f>IF($CE44=1,$CF44*'Verwerking Bouwdelen'!DP28,$CF44*'Verwerking Bouwdelen'!X28)</f>
        <v>0</v>
      </c>
      <c r="CL44" s="208">
        <f>IF($CE44=1,$CF44*'Verwerking Bouwdelen'!DQ28,$CF44*'Verwerking Bouwdelen'!Y28)</f>
        <v>0</v>
      </c>
      <c r="CM44" s="208">
        <f>IF($CE44=1,$CF44*'Verwerking Bouwdelen'!DR28,$CF44*'Verwerking Bouwdelen'!Z28)</f>
        <v>0</v>
      </c>
      <c r="CN44" s="208">
        <f>IF($CE44=1,$CF44*'Verwerking Bouwdelen'!DS28,$CF44*'Verwerking Bouwdelen'!AA28)</f>
        <v>0</v>
      </c>
      <c r="CO44" s="208">
        <f>IF($CE44=1,$CF44*'Verwerking Bouwdelen'!DT28,$CF44*'Verwerking Bouwdelen'!AB28)</f>
        <v>0</v>
      </c>
      <c r="CP44" s="208">
        <f>IF($CE44=1,$CF44*'Verwerking Bouwdelen'!DU28,$CF44*'Verwerking Bouwdelen'!AC28)</f>
        <v>0</v>
      </c>
      <c r="CQ44" s="208">
        <f>IF($CE44=1,$CF44*'Verwerking Bouwdelen'!DV28,$CF44*'Verwerking Bouwdelen'!AD28)</f>
        <v>0</v>
      </c>
      <c r="CR44" s="208">
        <f>IF($CE44=1,$CF44*'Verwerking Bouwdelen'!DW28,$CF44*'Verwerking Bouwdelen'!AE28)</f>
        <v>0</v>
      </c>
      <c r="CS44" s="10">
        <f>IF(CG44=$B44,0,('Verwerking Bouwdelen'!$D28-'Verwerking Bouwdelen'!G28)*CE44*CF44)</f>
        <v>0</v>
      </c>
      <c r="CT44" s="261">
        <f>CE44*CF44*'Verwerking Bouwdelen'!$GH$3</f>
        <v>0</v>
      </c>
      <c r="CU44" s="261">
        <f>CE44*CF44*'Verwerking Bouwdelen'!GI28</f>
        <v>0</v>
      </c>
      <c r="CW44" s="209">
        <f>$AC44*'Verwerking Bouwdelen'!EE28</f>
        <v>0</v>
      </c>
      <c r="CX44" s="209">
        <f>$AC44*'Verwerking Bouwdelen'!EF28</f>
        <v>0</v>
      </c>
      <c r="CY44" s="209">
        <f>$AC44*'Verwerking Bouwdelen'!EG28</f>
        <v>0</v>
      </c>
      <c r="CZ44" s="209">
        <f>$AC44*'Verwerking Bouwdelen'!EH28</f>
        <v>0</v>
      </c>
      <c r="DA44" s="209">
        <f>$AC44*'Verwerking Bouwdelen'!EI28</f>
        <v>0</v>
      </c>
      <c r="DB44" s="209">
        <f>$AC44*'Verwerking Bouwdelen'!EJ28</f>
        <v>0</v>
      </c>
      <c r="DC44" s="209">
        <f>$AC44*'Verwerking Bouwdelen'!EK28</f>
        <v>0</v>
      </c>
      <c r="DD44" s="209">
        <f>$AC44*'Verwerking Bouwdelen'!EL28</f>
        <v>0</v>
      </c>
      <c r="DE44" s="209">
        <f>$AC44*'Verwerking Bouwdelen'!EM28</f>
        <v>0</v>
      </c>
      <c r="DF44" s="209">
        <f>$AC44*'Verwerking Bouwdelen'!EN28</f>
        <v>0</v>
      </c>
      <c r="DG44" s="209">
        <f>$AC44*'Verwerking Bouwdelen'!EO28</f>
        <v>0</v>
      </c>
      <c r="DH44" s="209">
        <f>$AC44*'Verwerking Bouwdelen'!EP28</f>
        <v>0</v>
      </c>
      <c r="DI44" s="10">
        <f>IF(CW44=$O44,0,'Verwerking Bouwdelen'!G28)</f>
        <v>0</v>
      </c>
      <c r="DJ44" s="259">
        <f>'Verwerking Bouwdelen'!GK28*CF44</f>
        <v>0</v>
      </c>
      <c r="DK44" s="259">
        <f>'Verwerking Bouwdelen'!GL28*CF44</f>
        <v>0</v>
      </c>
      <c r="DL44" s="125"/>
      <c r="GM44" s="89">
        <f t="shared" si="13"/>
        <v>0</v>
      </c>
      <c r="GN44" s="89">
        <f t="shared" si="14"/>
        <v>0</v>
      </c>
      <c r="GO44" s="208">
        <f>IF($GN44=1,$GN44*$GM44*'Verwerking Bouwdelen'!DL28,$GN44*$GM44*'Verwerking Bouwdelen'!T28)</f>
        <v>0</v>
      </c>
      <c r="GP44" s="208">
        <f>IF($GN44=1,$GN44*$GM44*'Verwerking Bouwdelen'!DM28,$GN44*$GM44*'Verwerking Bouwdelen'!U28)</f>
        <v>0</v>
      </c>
      <c r="GQ44" s="208">
        <f>IF($GN44=1,$GN44*$GM44*'Verwerking Bouwdelen'!DN28,$GN44*$GM44*'Verwerking Bouwdelen'!V28)</f>
        <v>0</v>
      </c>
      <c r="GR44" s="208">
        <f>IF($GN44=1,$GN44*$GM44*'Verwerking Bouwdelen'!DO28,$GN44*$GM44*'Verwerking Bouwdelen'!W28)</f>
        <v>0</v>
      </c>
      <c r="GS44" s="208">
        <f>IF($GN44=1,$GN44*$GM44*'Verwerking Bouwdelen'!DP28,$GN44*$GM44*'Verwerking Bouwdelen'!X28)</f>
        <v>0</v>
      </c>
      <c r="GT44" s="208">
        <f>IF($GN44=1,$GN44*$GM44*'Verwerking Bouwdelen'!DQ28,$GN44*$GM44*'Verwerking Bouwdelen'!Y28)</f>
        <v>0</v>
      </c>
      <c r="GU44" s="208">
        <f>IF($GN44=1,$GN44*$GM44*'Verwerking Bouwdelen'!DR28,$GN44*$GM44*'Verwerking Bouwdelen'!Z28)</f>
        <v>0</v>
      </c>
      <c r="GV44" s="208">
        <f>IF($GN44=1,$GN44*$GM44*'Verwerking Bouwdelen'!DS28,$GN44*$GM44*'Verwerking Bouwdelen'!AA28)</f>
        <v>0</v>
      </c>
      <c r="GW44" s="208">
        <f>IF($GN44=1,$GN44*$GM44*'Verwerking Bouwdelen'!DT28,$GN44*$GM44*'Verwerking Bouwdelen'!AB28)</f>
        <v>0</v>
      </c>
      <c r="GX44" s="208">
        <f>IF($GN44=1,$GN44*$GM44*'Verwerking Bouwdelen'!DU28,$GN44*$GM44*'Verwerking Bouwdelen'!AC28)</f>
        <v>0</v>
      </c>
      <c r="GY44" s="208">
        <f>IF($GN44=1,$GN44*$GM44*'Verwerking Bouwdelen'!DV28,$GN44*$GM44*'Verwerking Bouwdelen'!AD28)</f>
        <v>0</v>
      </c>
      <c r="GZ44" s="208">
        <f>IF($GN44=1,$GN44*$GM44*'Verwerking Bouwdelen'!DW28,$GN44*$GM44*'Verwerking Bouwdelen'!AE28)</f>
        <v>0</v>
      </c>
      <c r="HB44" s="89">
        <f t="shared" si="16"/>
        <v>0</v>
      </c>
      <c r="HC44" s="89">
        <f t="shared" si="17"/>
        <v>0</v>
      </c>
      <c r="HD44" s="89">
        <f t="shared" si="18"/>
        <v>0</v>
      </c>
      <c r="HE44" s="89">
        <f t="shared" si="19"/>
        <v>0</v>
      </c>
      <c r="HF44" s="89">
        <f t="shared" si="19"/>
        <v>0</v>
      </c>
      <c r="HG44" s="89">
        <f t="shared" si="19"/>
        <v>0</v>
      </c>
      <c r="HH44" s="89">
        <f t="shared" si="19"/>
        <v>0</v>
      </c>
      <c r="HI44" s="89">
        <f t="shared" si="19"/>
        <v>0</v>
      </c>
      <c r="HJ44" s="89">
        <f t="shared" si="19"/>
        <v>0</v>
      </c>
      <c r="HK44" s="89">
        <f t="shared" si="19"/>
        <v>0</v>
      </c>
      <c r="HL44" s="89">
        <f t="shared" si="19"/>
        <v>0</v>
      </c>
      <c r="HM44" s="89">
        <f t="shared" si="19"/>
        <v>0</v>
      </c>
    </row>
    <row r="45" spans="1:221" x14ac:dyDescent="0.2">
      <c r="A45" s="130">
        <f>IF('Verwerking Bouwdelen'!A29=5,1,0)</f>
        <v>0</v>
      </c>
      <c r="B45" s="208">
        <f>$A45*'Verwerking Bouwdelen'!T29</f>
        <v>0</v>
      </c>
      <c r="C45" s="208">
        <f>$A45*'Verwerking Bouwdelen'!U29</f>
        <v>0</v>
      </c>
      <c r="D45" s="208">
        <f>$A45*'Verwerking Bouwdelen'!V29</f>
        <v>0</v>
      </c>
      <c r="E45" s="208">
        <f>$A45*'Verwerking Bouwdelen'!W29</f>
        <v>0</v>
      </c>
      <c r="F45" s="208">
        <f>$A45*'Verwerking Bouwdelen'!X29</f>
        <v>0</v>
      </c>
      <c r="G45" s="208">
        <f>$A45*'Verwerking Bouwdelen'!Y29</f>
        <v>0</v>
      </c>
      <c r="H45" s="208">
        <f>$A45*'Verwerking Bouwdelen'!Z29</f>
        <v>0</v>
      </c>
      <c r="I45" s="208">
        <f>$A45*'Verwerking Bouwdelen'!AA29</f>
        <v>0</v>
      </c>
      <c r="J45" s="208">
        <f>$A45*'Verwerking Bouwdelen'!AB29</f>
        <v>0</v>
      </c>
      <c r="K45" s="208">
        <f>$A45*'Verwerking Bouwdelen'!AC29</f>
        <v>0</v>
      </c>
      <c r="L45" s="208">
        <f>$A45*'Verwerking Bouwdelen'!AD29</f>
        <v>0</v>
      </c>
      <c r="M45" s="208">
        <f>$A45*'Verwerking Bouwdelen'!AE29</f>
        <v>0</v>
      </c>
      <c r="O45" s="114">
        <f>$A45*'Verwerking Bouwdelen'!AU29</f>
        <v>0</v>
      </c>
      <c r="P45" s="125">
        <f>$A45*'Verwerking Bouwdelen'!AV29</f>
        <v>0</v>
      </c>
      <c r="Q45" s="125">
        <f>$A45*'Verwerking Bouwdelen'!AW29</f>
        <v>0</v>
      </c>
      <c r="R45" s="125">
        <f>$A45*'Verwerking Bouwdelen'!AX29</f>
        <v>0</v>
      </c>
      <c r="S45" s="125">
        <f>$A45*'Verwerking Bouwdelen'!AY29</f>
        <v>0</v>
      </c>
      <c r="T45" s="125">
        <f>$A45*'Verwerking Bouwdelen'!AZ29</f>
        <v>0</v>
      </c>
      <c r="U45" s="125">
        <f>$A45*'Verwerking Bouwdelen'!BA29</f>
        <v>0</v>
      </c>
      <c r="V45" s="125">
        <f>$A45*'Verwerking Bouwdelen'!BB29</f>
        <v>0</v>
      </c>
      <c r="W45" s="125">
        <f>$A45*'Verwerking Bouwdelen'!BC29</f>
        <v>0</v>
      </c>
      <c r="X45" s="125">
        <f>$A45*'Verwerking Bouwdelen'!BD29</f>
        <v>0</v>
      </c>
      <c r="Y45" s="125">
        <f>$A45*'Verwerking Bouwdelen'!BE29</f>
        <v>0</v>
      </c>
      <c r="Z45" s="195">
        <f>$A45*'Verwerking Bouwdelen'!BF29</f>
        <v>0</v>
      </c>
      <c r="AB45" s="125">
        <f>IF(OR('Verwerking Bouwdelen'!C29=3,'Verwerking Bouwdelen'!C29=6),1,0)</f>
        <v>0</v>
      </c>
      <c r="AC45" s="130">
        <f>IF('Verwerking Bouwdelen'!A29=5,1,0)</f>
        <v>0</v>
      </c>
      <c r="AD45" s="208">
        <f>IF($AB45=1,$AC45*'Verwerking Bouwdelen'!DL29,$AC45*'Verwerking Bouwdelen'!T29)</f>
        <v>0</v>
      </c>
      <c r="AE45" s="208">
        <f>IF($AB45=1,$AC45*'Verwerking Bouwdelen'!DM29,$AC45*'Verwerking Bouwdelen'!U29)</f>
        <v>0</v>
      </c>
      <c r="AF45" s="208">
        <f>IF($AB45=1,$AC45*'Verwerking Bouwdelen'!DN29,$AC45*'Verwerking Bouwdelen'!V29)</f>
        <v>0</v>
      </c>
      <c r="AG45" s="208">
        <f>IF($AB45=1,$AC45*'Verwerking Bouwdelen'!DO29,$AC45*'Verwerking Bouwdelen'!W29)</f>
        <v>0</v>
      </c>
      <c r="AH45" s="208">
        <f>IF($AB45=1,$AC45*'Verwerking Bouwdelen'!DP29,$AC45*'Verwerking Bouwdelen'!X29)</f>
        <v>0</v>
      </c>
      <c r="AI45" s="208">
        <f>IF($AB45=1,$AC45*'Verwerking Bouwdelen'!DQ29,$AC45*'Verwerking Bouwdelen'!Y29)</f>
        <v>0</v>
      </c>
      <c r="AJ45" s="208">
        <f>IF($AB45=1,$AC45*'Verwerking Bouwdelen'!DR29,$AC45*'Verwerking Bouwdelen'!Z29)</f>
        <v>0</v>
      </c>
      <c r="AK45" s="208">
        <f>IF($AB45=1,$AC45*'Verwerking Bouwdelen'!DS29,$AC45*'Verwerking Bouwdelen'!AA29)</f>
        <v>0</v>
      </c>
      <c r="AL45" s="208">
        <f>IF($AB45=1,$AC45*'Verwerking Bouwdelen'!DT29,$AC45*'Verwerking Bouwdelen'!AB29)</f>
        <v>0</v>
      </c>
      <c r="AM45" s="208">
        <f>IF($AB45=1,$AC45*'Verwerking Bouwdelen'!DU29,$AC45*'Verwerking Bouwdelen'!AC29)</f>
        <v>0</v>
      </c>
      <c r="AN45" s="208">
        <f>IF($AB45=1,$AC45*'Verwerking Bouwdelen'!DV29,$AC45*'Verwerking Bouwdelen'!AD29)</f>
        <v>0</v>
      </c>
      <c r="AO45" s="208">
        <f>IF($AB45=1,$AC45*'Verwerking Bouwdelen'!DW29,$AC45*'Verwerking Bouwdelen'!AE29)</f>
        <v>0</v>
      </c>
      <c r="AP45" s="10">
        <f>IF(AD45=B45,0,'Verwerking Bouwdelen'!D29*AB45*AC45)</f>
        <v>0</v>
      </c>
      <c r="AQ45" s="10">
        <f>AB45*AC45*'Verwerking Bouwdelen'!GH29</f>
        <v>0</v>
      </c>
      <c r="AR45" s="10"/>
      <c r="AS45" s="248"/>
      <c r="AT45" s="125">
        <f>IF('Verwerking Bouwdelen'!C29=4,1,0)</f>
        <v>0</v>
      </c>
      <c r="AU45" s="130">
        <f>IF('Verwerking Bouwdelen'!A29=5,1,0)</f>
        <v>0</v>
      </c>
      <c r="AV45" s="208">
        <f>IF($AT45=1,$AU45*'Verwerking Bouwdelen'!DL29,$AU45*'Verwerking Bouwdelen'!T29)</f>
        <v>0</v>
      </c>
      <c r="AW45" s="208">
        <f>IF($AT45=1,$AU45*'Verwerking Bouwdelen'!DM29,$AU45*'Verwerking Bouwdelen'!U29)</f>
        <v>0</v>
      </c>
      <c r="AX45" s="208">
        <f>IF($AT45=1,$AU45*'Verwerking Bouwdelen'!DN29,$AU45*'Verwerking Bouwdelen'!V29)</f>
        <v>0</v>
      </c>
      <c r="AY45" s="208">
        <f>IF($AT45=1,$AU45*'Verwerking Bouwdelen'!DO29,$AU45*'Verwerking Bouwdelen'!W29)</f>
        <v>0</v>
      </c>
      <c r="AZ45" s="208">
        <f>IF($AT45=1,$AU45*'Verwerking Bouwdelen'!DP29,$AU45*'Verwerking Bouwdelen'!X29)</f>
        <v>0</v>
      </c>
      <c r="BA45" s="208">
        <f>IF($AT45=1,$AU45*'Verwerking Bouwdelen'!DQ29,$AU45*'Verwerking Bouwdelen'!Y29)</f>
        <v>0</v>
      </c>
      <c r="BB45" s="208">
        <f>IF($AT45=1,$AU45*'Verwerking Bouwdelen'!DR29,$AU45*'Verwerking Bouwdelen'!Z29)</f>
        <v>0</v>
      </c>
      <c r="BC45" s="208">
        <f>IF($AT45=1,$AU45*'Verwerking Bouwdelen'!DS29,$AU45*'Verwerking Bouwdelen'!AA29)</f>
        <v>0</v>
      </c>
      <c r="BD45" s="208">
        <f>IF($AT45=1,$AU45*'Verwerking Bouwdelen'!DT29,$AU45*'Verwerking Bouwdelen'!AB29)</f>
        <v>0</v>
      </c>
      <c r="BE45" s="208">
        <f>IF($AT45=1,$AU45*'Verwerking Bouwdelen'!DU29,$AU45*'Verwerking Bouwdelen'!AC29)</f>
        <v>0</v>
      </c>
      <c r="BF45" s="208">
        <f>IF($AT45=1,$AU45*'Verwerking Bouwdelen'!DV29,$AU45*'Verwerking Bouwdelen'!AD29)</f>
        <v>0</v>
      </c>
      <c r="BG45" s="208">
        <f>IF($AT45=1,$AU45*'Verwerking Bouwdelen'!DW29,$AU45*'Verwerking Bouwdelen'!AE29)</f>
        <v>0</v>
      </c>
      <c r="BH45" s="10">
        <f>IF(AV45=B45,0,'Verwerking Bouwdelen'!D29*AT45*AU45)</f>
        <v>0</v>
      </c>
      <c r="BI45" s="10">
        <f>AT45*AU45*'Verwerking Bouwdelen'!GH29</f>
        <v>0</v>
      </c>
      <c r="BJ45" s="10"/>
      <c r="BK45" s="10"/>
      <c r="BM45" s="125">
        <f>IF('Verwerking Bouwdelen'!C29=5,1,0)</f>
        <v>0</v>
      </c>
      <c r="BN45" s="130">
        <f>IF('Verwerking Bouwdelen'!A29=5,1,0)</f>
        <v>0</v>
      </c>
      <c r="BO45" s="208">
        <f>IF($BM45=1,$BN45*'Verwerking Bouwdelen'!DL29,$BN45*'Verwerking Bouwdelen'!T29)</f>
        <v>0</v>
      </c>
      <c r="BP45" s="208">
        <f>IF($BM45=1,$BN45*'Verwerking Bouwdelen'!DM29,$BN45*'Verwerking Bouwdelen'!U29)</f>
        <v>0</v>
      </c>
      <c r="BQ45" s="208">
        <f>IF($BM45=1,$BN45*'Verwerking Bouwdelen'!DN29,$BN45*'Verwerking Bouwdelen'!V29)</f>
        <v>0</v>
      </c>
      <c r="BR45" s="208">
        <f>IF($BM45=1,$BN45*'Verwerking Bouwdelen'!DO29,$BN45*'Verwerking Bouwdelen'!W29)</f>
        <v>0</v>
      </c>
      <c r="BS45" s="208">
        <f>IF($BM45=1,$BN45*'Verwerking Bouwdelen'!DP29,$BN45*'Verwerking Bouwdelen'!X29)</f>
        <v>0</v>
      </c>
      <c r="BT45" s="208">
        <f>IF($BM45=1,$BN45*'Verwerking Bouwdelen'!DQ29,$BN45*'Verwerking Bouwdelen'!Y29)</f>
        <v>0</v>
      </c>
      <c r="BU45" s="208">
        <f>IF($BM45=1,$BN45*'Verwerking Bouwdelen'!DR29,$BN45*'Verwerking Bouwdelen'!Z29)</f>
        <v>0</v>
      </c>
      <c r="BV45" s="208">
        <f>IF($BM45=1,$BN45*'Verwerking Bouwdelen'!DS29,$BN45*'Verwerking Bouwdelen'!AA29)</f>
        <v>0</v>
      </c>
      <c r="BW45" s="208">
        <f>IF($BM45=1,$BN45*'Verwerking Bouwdelen'!DT29,$BN45*'Verwerking Bouwdelen'!AB29)</f>
        <v>0</v>
      </c>
      <c r="BX45" s="208">
        <f>IF($BM45=1,$BN45*'Verwerking Bouwdelen'!DU29,$BN45*'Verwerking Bouwdelen'!AC29)</f>
        <v>0</v>
      </c>
      <c r="BY45" s="208">
        <f>IF($BM45=1,$BN45*'Verwerking Bouwdelen'!DV29,$BN45*'Verwerking Bouwdelen'!AD29)</f>
        <v>0</v>
      </c>
      <c r="BZ45" s="208">
        <f>IF($BM45=1,$BN45*'Verwerking Bouwdelen'!DW29,$BN45*'Verwerking Bouwdelen'!AE29)</f>
        <v>0</v>
      </c>
      <c r="CA45" s="10">
        <f>IF(BO45=$B45,0,'Verwerking Bouwdelen'!$D29*BM45*BN45)</f>
        <v>0</v>
      </c>
      <c r="CB45" s="10">
        <f>BM45*BN45*'Verwerking Bouwdelen'!GH29</f>
        <v>0</v>
      </c>
      <c r="CC45" s="10"/>
      <c r="CD45" s="248"/>
      <c r="CE45" s="125">
        <f>IF('Verwerking Bouwdelen'!C29=2,1,0)</f>
        <v>0</v>
      </c>
      <c r="CF45" s="130">
        <f>IF('Verwerking Bouwdelen'!A29=5,1,0)</f>
        <v>0</v>
      </c>
      <c r="CG45" s="208">
        <f>IF($CE45=1,$CF45*'Verwerking Bouwdelen'!DL29,$CF45*'Verwerking Bouwdelen'!T29)</f>
        <v>0</v>
      </c>
      <c r="CH45" s="208">
        <f>IF($CE45=1,$CF45*'Verwerking Bouwdelen'!DM29,$CF45*'Verwerking Bouwdelen'!U29)</f>
        <v>0</v>
      </c>
      <c r="CI45" s="208">
        <f>IF($CE45=1,$CF45*'Verwerking Bouwdelen'!DN29,$CF45*'Verwerking Bouwdelen'!V29)</f>
        <v>0</v>
      </c>
      <c r="CJ45" s="208">
        <f>IF($CE45=1,$CF45*'Verwerking Bouwdelen'!DO29,$CF45*'Verwerking Bouwdelen'!W29)</f>
        <v>0</v>
      </c>
      <c r="CK45" s="208">
        <f>IF($CE45=1,$CF45*'Verwerking Bouwdelen'!DP29,$CF45*'Verwerking Bouwdelen'!X29)</f>
        <v>0</v>
      </c>
      <c r="CL45" s="208">
        <f>IF($CE45=1,$CF45*'Verwerking Bouwdelen'!DQ29,$CF45*'Verwerking Bouwdelen'!Y29)</f>
        <v>0</v>
      </c>
      <c r="CM45" s="208">
        <f>IF($CE45=1,$CF45*'Verwerking Bouwdelen'!DR29,$CF45*'Verwerking Bouwdelen'!Z29)</f>
        <v>0</v>
      </c>
      <c r="CN45" s="208">
        <f>IF($CE45=1,$CF45*'Verwerking Bouwdelen'!DS29,$CF45*'Verwerking Bouwdelen'!AA29)</f>
        <v>0</v>
      </c>
      <c r="CO45" s="208">
        <f>IF($CE45=1,$CF45*'Verwerking Bouwdelen'!DT29,$CF45*'Verwerking Bouwdelen'!AB29)</f>
        <v>0</v>
      </c>
      <c r="CP45" s="208">
        <f>IF($CE45=1,$CF45*'Verwerking Bouwdelen'!DU29,$CF45*'Verwerking Bouwdelen'!AC29)</f>
        <v>0</v>
      </c>
      <c r="CQ45" s="208">
        <f>IF($CE45=1,$CF45*'Verwerking Bouwdelen'!DV29,$CF45*'Verwerking Bouwdelen'!AD29)</f>
        <v>0</v>
      </c>
      <c r="CR45" s="208">
        <f>IF($CE45=1,$CF45*'Verwerking Bouwdelen'!DW29,$CF45*'Verwerking Bouwdelen'!AE29)</f>
        <v>0</v>
      </c>
      <c r="CS45" s="10">
        <f>IF(CG45=$B45,0,('Verwerking Bouwdelen'!$D29-'Verwerking Bouwdelen'!G29)*CE45*CF45)</f>
        <v>0</v>
      </c>
      <c r="CT45" s="261">
        <f>CE45*CF45*'Verwerking Bouwdelen'!$GH$3</f>
        <v>0</v>
      </c>
      <c r="CU45" s="261">
        <f>CE45*CF45*'Verwerking Bouwdelen'!GI29</f>
        <v>0</v>
      </c>
      <c r="CW45" s="209">
        <f>$AC45*'Verwerking Bouwdelen'!EE29</f>
        <v>0</v>
      </c>
      <c r="CX45" s="209">
        <f>$AC45*'Verwerking Bouwdelen'!EF29</f>
        <v>0</v>
      </c>
      <c r="CY45" s="209">
        <f>$AC45*'Verwerking Bouwdelen'!EG29</f>
        <v>0</v>
      </c>
      <c r="CZ45" s="209">
        <f>$AC45*'Verwerking Bouwdelen'!EH29</f>
        <v>0</v>
      </c>
      <c r="DA45" s="209">
        <f>$AC45*'Verwerking Bouwdelen'!EI29</f>
        <v>0</v>
      </c>
      <c r="DB45" s="209">
        <f>$AC45*'Verwerking Bouwdelen'!EJ29</f>
        <v>0</v>
      </c>
      <c r="DC45" s="209">
        <f>$AC45*'Verwerking Bouwdelen'!EK29</f>
        <v>0</v>
      </c>
      <c r="DD45" s="209">
        <f>$AC45*'Verwerking Bouwdelen'!EL29</f>
        <v>0</v>
      </c>
      <c r="DE45" s="209">
        <f>$AC45*'Verwerking Bouwdelen'!EM29</f>
        <v>0</v>
      </c>
      <c r="DF45" s="209">
        <f>$AC45*'Verwerking Bouwdelen'!EN29</f>
        <v>0</v>
      </c>
      <c r="DG45" s="209">
        <f>$AC45*'Verwerking Bouwdelen'!EO29</f>
        <v>0</v>
      </c>
      <c r="DH45" s="209">
        <f>$AC45*'Verwerking Bouwdelen'!EP29</f>
        <v>0</v>
      </c>
      <c r="DI45" s="10">
        <f>IF(CW45=$O45,0,'Verwerking Bouwdelen'!G29)</f>
        <v>0</v>
      </c>
      <c r="DJ45" s="259">
        <f>'Verwerking Bouwdelen'!GK29*CF45</f>
        <v>0</v>
      </c>
      <c r="DK45" s="259">
        <f>'Verwerking Bouwdelen'!GL29*CF45</f>
        <v>0</v>
      </c>
      <c r="DL45" s="125"/>
      <c r="GM45" s="89">
        <f t="shared" si="13"/>
        <v>0</v>
      </c>
      <c r="GN45" s="89">
        <f t="shared" si="14"/>
        <v>0</v>
      </c>
      <c r="GO45" s="208">
        <f>IF($GN45=1,$GN45*$GM45*'Verwerking Bouwdelen'!DL29,$GN45*$GM45*'Verwerking Bouwdelen'!T29)</f>
        <v>0</v>
      </c>
      <c r="GP45" s="208">
        <f>IF($GN45=1,$GN45*$GM45*'Verwerking Bouwdelen'!DM29,$GN45*$GM45*'Verwerking Bouwdelen'!U29)</f>
        <v>0</v>
      </c>
      <c r="GQ45" s="208">
        <f>IF($GN45=1,$GN45*$GM45*'Verwerking Bouwdelen'!DN29,$GN45*$GM45*'Verwerking Bouwdelen'!V29)</f>
        <v>0</v>
      </c>
      <c r="GR45" s="208">
        <f>IF($GN45=1,$GN45*$GM45*'Verwerking Bouwdelen'!DO29,$GN45*$GM45*'Verwerking Bouwdelen'!W29)</f>
        <v>0</v>
      </c>
      <c r="GS45" s="208">
        <f>IF($GN45=1,$GN45*$GM45*'Verwerking Bouwdelen'!DP29,$GN45*$GM45*'Verwerking Bouwdelen'!X29)</f>
        <v>0</v>
      </c>
      <c r="GT45" s="208">
        <f>IF($GN45=1,$GN45*$GM45*'Verwerking Bouwdelen'!DQ29,$GN45*$GM45*'Verwerking Bouwdelen'!Y29)</f>
        <v>0</v>
      </c>
      <c r="GU45" s="208">
        <f>IF($GN45=1,$GN45*$GM45*'Verwerking Bouwdelen'!DR29,$GN45*$GM45*'Verwerking Bouwdelen'!Z29)</f>
        <v>0</v>
      </c>
      <c r="GV45" s="208">
        <f>IF($GN45=1,$GN45*$GM45*'Verwerking Bouwdelen'!DS29,$GN45*$GM45*'Verwerking Bouwdelen'!AA29)</f>
        <v>0</v>
      </c>
      <c r="GW45" s="208">
        <f>IF($GN45=1,$GN45*$GM45*'Verwerking Bouwdelen'!DT29,$GN45*$GM45*'Verwerking Bouwdelen'!AB29)</f>
        <v>0</v>
      </c>
      <c r="GX45" s="208">
        <f>IF($GN45=1,$GN45*$GM45*'Verwerking Bouwdelen'!DU29,$GN45*$GM45*'Verwerking Bouwdelen'!AC29)</f>
        <v>0</v>
      </c>
      <c r="GY45" s="208">
        <f>IF($GN45=1,$GN45*$GM45*'Verwerking Bouwdelen'!DV29,$GN45*$GM45*'Verwerking Bouwdelen'!AD29)</f>
        <v>0</v>
      </c>
      <c r="GZ45" s="208">
        <f>IF($GN45=1,$GN45*$GM45*'Verwerking Bouwdelen'!DW29,$GN45*$GM45*'Verwerking Bouwdelen'!AE29)</f>
        <v>0</v>
      </c>
      <c r="HB45" s="89">
        <f t="shared" si="16"/>
        <v>0</v>
      </c>
      <c r="HC45" s="89">
        <f t="shared" si="17"/>
        <v>0</v>
      </c>
      <c r="HD45" s="89">
        <f t="shared" si="18"/>
        <v>0</v>
      </c>
      <c r="HE45" s="89">
        <f t="shared" si="19"/>
        <v>0</v>
      </c>
      <c r="HF45" s="89">
        <f t="shared" si="19"/>
        <v>0</v>
      </c>
      <c r="HG45" s="89">
        <f t="shared" si="19"/>
        <v>0</v>
      </c>
      <c r="HH45" s="89">
        <f t="shared" si="19"/>
        <v>0</v>
      </c>
      <c r="HI45" s="89">
        <f t="shared" si="19"/>
        <v>0</v>
      </c>
      <c r="HJ45" s="89">
        <f t="shared" si="19"/>
        <v>0</v>
      </c>
      <c r="HK45" s="89">
        <f t="shared" si="19"/>
        <v>0</v>
      </c>
      <c r="HL45" s="89">
        <f t="shared" si="19"/>
        <v>0</v>
      </c>
      <c r="HM45" s="89">
        <f t="shared" si="19"/>
        <v>0</v>
      </c>
    </row>
    <row r="46" spans="1:221" x14ac:dyDescent="0.2">
      <c r="A46" s="130">
        <f>IF('Verwerking Bouwdelen'!A30=5,1,0)</f>
        <v>0</v>
      </c>
      <c r="B46" s="208">
        <f>$A46*'Verwerking Bouwdelen'!T30</f>
        <v>0</v>
      </c>
      <c r="C46" s="208">
        <f>$A46*'Verwerking Bouwdelen'!U30</f>
        <v>0</v>
      </c>
      <c r="D46" s="208">
        <f>$A46*'Verwerking Bouwdelen'!V30</f>
        <v>0</v>
      </c>
      <c r="E46" s="208">
        <f>$A46*'Verwerking Bouwdelen'!W30</f>
        <v>0</v>
      </c>
      <c r="F46" s="208">
        <f>$A46*'Verwerking Bouwdelen'!X30</f>
        <v>0</v>
      </c>
      <c r="G46" s="208">
        <f>$A46*'Verwerking Bouwdelen'!Y30</f>
        <v>0</v>
      </c>
      <c r="H46" s="208">
        <f>$A46*'Verwerking Bouwdelen'!Z30</f>
        <v>0</v>
      </c>
      <c r="I46" s="208">
        <f>$A46*'Verwerking Bouwdelen'!AA30</f>
        <v>0</v>
      </c>
      <c r="J46" s="208">
        <f>$A46*'Verwerking Bouwdelen'!AB30</f>
        <v>0</v>
      </c>
      <c r="K46" s="208">
        <f>$A46*'Verwerking Bouwdelen'!AC30</f>
        <v>0</v>
      </c>
      <c r="L46" s="208">
        <f>$A46*'Verwerking Bouwdelen'!AD30</f>
        <v>0</v>
      </c>
      <c r="M46" s="208">
        <f>$A46*'Verwerking Bouwdelen'!AE30</f>
        <v>0</v>
      </c>
      <c r="O46" s="114">
        <f>$A46*'Verwerking Bouwdelen'!AU30</f>
        <v>0</v>
      </c>
      <c r="P46" s="125">
        <f>$A46*'Verwerking Bouwdelen'!AV30</f>
        <v>0</v>
      </c>
      <c r="Q46" s="125">
        <f>$A46*'Verwerking Bouwdelen'!AW30</f>
        <v>0</v>
      </c>
      <c r="R46" s="125">
        <f>$A46*'Verwerking Bouwdelen'!AX30</f>
        <v>0</v>
      </c>
      <c r="S46" s="125">
        <f>$A46*'Verwerking Bouwdelen'!AY30</f>
        <v>0</v>
      </c>
      <c r="T46" s="125">
        <f>$A46*'Verwerking Bouwdelen'!AZ30</f>
        <v>0</v>
      </c>
      <c r="U46" s="125">
        <f>$A46*'Verwerking Bouwdelen'!BA30</f>
        <v>0</v>
      </c>
      <c r="V46" s="125">
        <f>$A46*'Verwerking Bouwdelen'!BB30</f>
        <v>0</v>
      </c>
      <c r="W46" s="125">
        <f>$A46*'Verwerking Bouwdelen'!BC30</f>
        <v>0</v>
      </c>
      <c r="X46" s="125">
        <f>$A46*'Verwerking Bouwdelen'!BD30</f>
        <v>0</v>
      </c>
      <c r="Y46" s="125">
        <f>$A46*'Verwerking Bouwdelen'!BE30</f>
        <v>0</v>
      </c>
      <c r="Z46" s="195">
        <f>$A46*'Verwerking Bouwdelen'!BF30</f>
        <v>0</v>
      </c>
      <c r="AB46" s="125">
        <f>IF(OR('Verwerking Bouwdelen'!C30=3,'Verwerking Bouwdelen'!C30=6),1,0)</f>
        <v>0</v>
      </c>
      <c r="AC46" s="130">
        <f>IF('Verwerking Bouwdelen'!A30=5,1,0)</f>
        <v>0</v>
      </c>
      <c r="AD46" s="208">
        <f>IF($AB46=1,$AC46*'Verwerking Bouwdelen'!DL30,$AC46*'Verwerking Bouwdelen'!T30)</f>
        <v>0</v>
      </c>
      <c r="AE46" s="208">
        <f>IF($AB46=1,$AC46*'Verwerking Bouwdelen'!DM30,$AC46*'Verwerking Bouwdelen'!U30)</f>
        <v>0</v>
      </c>
      <c r="AF46" s="208">
        <f>IF($AB46=1,$AC46*'Verwerking Bouwdelen'!DN30,$AC46*'Verwerking Bouwdelen'!V30)</f>
        <v>0</v>
      </c>
      <c r="AG46" s="208">
        <f>IF($AB46=1,$AC46*'Verwerking Bouwdelen'!DO30,$AC46*'Verwerking Bouwdelen'!W30)</f>
        <v>0</v>
      </c>
      <c r="AH46" s="208">
        <f>IF($AB46=1,$AC46*'Verwerking Bouwdelen'!DP30,$AC46*'Verwerking Bouwdelen'!X30)</f>
        <v>0</v>
      </c>
      <c r="AI46" s="208">
        <f>IF($AB46=1,$AC46*'Verwerking Bouwdelen'!DQ30,$AC46*'Verwerking Bouwdelen'!Y30)</f>
        <v>0</v>
      </c>
      <c r="AJ46" s="208">
        <f>IF($AB46=1,$AC46*'Verwerking Bouwdelen'!DR30,$AC46*'Verwerking Bouwdelen'!Z30)</f>
        <v>0</v>
      </c>
      <c r="AK46" s="208">
        <f>IF($AB46=1,$AC46*'Verwerking Bouwdelen'!DS30,$AC46*'Verwerking Bouwdelen'!AA30)</f>
        <v>0</v>
      </c>
      <c r="AL46" s="208">
        <f>IF($AB46=1,$AC46*'Verwerking Bouwdelen'!DT30,$AC46*'Verwerking Bouwdelen'!AB30)</f>
        <v>0</v>
      </c>
      <c r="AM46" s="208">
        <f>IF($AB46=1,$AC46*'Verwerking Bouwdelen'!DU30,$AC46*'Verwerking Bouwdelen'!AC30)</f>
        <v>0</v>
      </c>
      <c r="AN46" s="208">
        <f>IF($AB46=1,$AC46*'Verwerking Bouwdelen'!DV30,$AC46*'Verwerking Bouwdelen'!AD30)</f>
        <v>0</v>
      </c>
      <c r="AO46" s="208">
        <f>IF($AB46=1,$AC46*'Verwerking Bouwdelen'!DW30,$AC46*'Verwerking Bouwdelen'!AE30)</f>
        <v>0</v>
      </c>
      <c r="AP46" s="10">
        <f>IF(AD46=B46,0,'Verwerking Bouwdelen'!D30*AB46*AC46)</f>
        <v>0</v>
      </c>
      <c r="AQ46" s="10">
        <f>AB46*AC46*'Verwerking Bouwdelen'!GH30</f>
        <v>0</v>
      </c>
      <c r="AR46" s="10"/>
      <c r="AS46" s="248"/>
      <c r="AT46" s="125">
        <f>IF('Verwerking Bouwdelen'!C30=4,1,0)</f>
        <v>0</v>
      </c>
      <c r="AU46" s="130">
        <f>IF('Verwerking Bouwdelen'!A30=5,1,0)</f>
        <v>0</v>
      </c>
      <c r="AV46" s="208">
        <f>IF($AT46=1,$AU46*'Verwerking Bouwdelen'!DL30,$AU46*'Verwerking Bouwdelen'!T30)</f>
        <v>0</v>
      </c>
      <c r="AW46" s="208">
        <f>IF($AT46=1,$AU46*'Verwerking Bouwdelen'!DM30,$AU46*'Verwerking Bouwdelen'!U30)</f>
        <v>0</v>
      </c>
      <c r="AX46" s="208">
        <f>IF($AT46=1,$AU46*'Verwerking Bouwdelen'!DN30,$AU46*'Verwerking Bouwdelen'!V30)</f>
        <v>0</v>
      </c>
      <c r="AY46" s="208">
        <f>IF($AT46=1,$AU46*'Verwerking Bouwdelen'!DO30,$AU46*'Verwerking Bouwdelen'!W30)</f>
        <v>0</v>
      </c>
      <c r="AZ46" s="208">
        <f>IF($AT46=1,$AU46*'Verwerking Bouwdelen'!DP30,$AU46*'Verwerking Bouwdelen'!X30)</f>
        <v>0</v>
      </c>
      <c r="BA46" s="208">
        <f>IF($AT46=1,$AU46*'Verwerking Bouwdelen'!DQ30,$AU46*'Verwerking Bouwdelen'!Y30)</f>
        <v>0</v>
      </c>
      <c r="BB46" s="208">
        <f>IF($AT46=1,$AU46*'Verwerking Bouwdelen'!DR30,$AU46*'Verwerking Bouwdelen'!Z30)</f>
        <v>0</v>
      </c>
      <c r="BC46" s="208">
        <f>IF($AT46=1,$AU46*'Verwerking Bouwdelen'!DS30,$AU46*'Verwerking Bouwdelen'!AA30)</f>
        <v>0</v>
      </c>
      <c r="BD46" s="208">
        <f>IF($AT46=1,$AU46*'Verwerking Bouwdelen'!DT30,$AU46*'Verwerking Bouwdelen'!AB30)</f>
        <v>0</v>
      </c>
      <c r="BE46" s="208">
        <f>IF($AT46=1,$AU46*'Verwerking Bouwdelen'!DU30,$AU46*'Verwerking Bouwdelen'!AC30)</f>
        <v>0</v>
      </c>
      <c r="BF46" s="208">
        <f>IF($AT46=1,$AU46*'Verwerking Bouwdelen'!DV30,$AU46*'Verwerking Bouwdelen'!AD30)</f>
        <v>0</v>
      </c>
      <c r="BG46" s="208">
        <f>IF($AT46=1,$AU46*'Verwerking Bouwdelen'!DW30,$AU46*'Verwerking Bouwdelen'!AE30)</f>
        <v>0</v>
      </c>
      <c r="BH46" s="10">
        <f>IF(AV46=B46,0,'Verwerking Bouwdelen'!D30*AT46*AU46)</f>
        <v>0</v>
      </c>
      <c r="BI46" s="10">
        <f>AT46*AU46*'Verwerking Bouwdelen'!GH30</f>
        <v>0</v>
      </c>
      <c r="BJ46" s="10"/>
      <c r="BK46" s="10"/>
      <c r="BM46" s="125">
        <f>IF('Verwerking Bouwdelen'!C30=5,1,0)</f>
        <v>0</v>
      </c>
      <c r="BN46" s="130">
        <f>IF('Verwerking Bouwdelen'!A30=5,1,0)</f>
        <v>0</v>
      </c>
      <c r="BO46" s="208">
        <f>IF($BM46=1,$BN46*'Verwerking Bouwdelen'!DL30,$BN46*'Verwerking Bouwdelen'!T30)</f>
        <v>0</v>
      </c>
      <c r="BP46" s="208">
        <f>IF($BM46=1,$BN46*'Verwerking Bouwdelen'!DM30,$BN46*'Verwerking Bouwdelen'!U30)</f>
        <v>0</v>
      </c>
      <c r="BQ46" s="208">
        <f>IF($BM46=1,$BN46*'Verwerking Bouwdelen'!DN30,$BN46*'Verwerking Bouwdelen'!V30)</f>
        <v>0</v>
      </c>
      <c r="BR46" s="208">
        <f>IF($BM46=1,$BN46*'Verwerking Bouwdelen'!DO30,$BN46*'Verwerking Bouwdelen'!W30)</f>
        <v>0</v>
      </c>
      <c r="BS46" s="208">
        <f>IF($BM46=1,$BN46*'Verwerking Bouwdelen'!DP30,$BN46*'Verwerking Bouwdelen'!X30)</f>
        <v>0</v>
      </c>
      <c r="BT46" s="208">
        <f>IF($BM46=1,$BN46*'Verwerking Bouwdelen'!DQ30,$BN46*'Verwerking Bouwdelen'!Y30)</f>
        <v>0</v>
      </c>
      <c r="BU46" s="208">
        <f>IF($BM46=1,$BN46*'Verwerking Bouwdelen'!DR30,$BN46*'Verwerking Bouwdelen'!Z30)</f>
        <v>0</v>
      </c>
      <c r="BV46" s="208">
        <f>IF($BM46=1,$BN46*'Verwerking Bouwdelen'!DS30,$BN46*'Verwerking Bouwdelen'!AA30)</f>
        <v>0</v>
      </c>
      <c r="BW46" s="208">
        <f>IF($BM46=1,$BN46*'Verwerking Bouwdelen'!DT30,$BN46*'Verwerking Bouwdelen'!AB30)</f>
        <v>0</v>
      </c>
      <c r="BX46" s="208">
        <f>IF($BM46=1,$BN46*'Verwerking Bouwdelen'!DU30,$BN46*'Verwerking Bouwdelen'!AC30)</f>
        <v>0</v>
      </c>
      <c r="BY46" s="208">
        <f>IF($BM46=1,$BN46*'Verwerking Bouwdelen'!DV30,$BN46*'Verwerking Bouwdelen'!AD30)</f>
        <v>0</v>
      </c>
      <c r="BZ46" s="208">
        <f>IF($BM46=1,$BN46*'Verwerking Bouwdelen'!DW30,$BN46*'Verwerking Bouwdelen'!AE30)</f>
        <v>0</v>
      </c>
      <c r="CA46" s="10">
        <f>IF(BO46=$B46,0,'Verwerking Bouwdelen'!$D30*BM46*BN46)</f>
        <v>0</v>
      </c>
      <c r="CB46" s="10">
        <f>BM46*BN46*'Verwerking Bouwdelen'!GH30</f>
        <v>0</v>
      </c>
      <c r="CC46" s="10"/>
      <c r="CD46" s="248"/>
      <c r="CE46" s="125">
        <f>IF('Verwerking Bouwdelen'!C30=2,1,0)</f>
        <v>0</v>
      </c>
      <c r="CF46" s="130">
        <f>IF('Verwerking Bouwdelen'!A30=5,1,0)</f>
        <v>0</v>
      </c>
      <c r="CG46" s="208">
        <f>IF($CE46=1,$CF46*'Verwerking Bouwdelen'!DL30,$CF46*'Verwerking Bouwdelen'!T30)</f>
        <v>0</v>
      </c>
      <c r="CH46" s="208">
        <f>IF($CE46=1,$CF46*'Verwerking Bouwdelen'!DM30,$CF46*'Verwerking Bouwdelen'!U30)</f>
        <v>0</v>
      </c>
      <c r="CI46" s="208">
        <f>IF($CE46=1,$CF46*'Verwerking Bouwdelen'!DN30,$CF46*'Verwerking Bouwdelen'!V30)</f>
        <v>0</v>
      </c>
      <c r="CJ46" s="208">
        <f>IF($CE46=1,$CF46*'Verwerking Bouwdelen'!DO30,$CF46*'Verwerking Bouwdelen'!W30)</f>
        <v>0</v>
      </c>
      <c r="CK46" s="208">
        <f>IF($CE46=1,$CF46*'Verwerking Bouwdelen'!DP30,$CF46*'Verwerking Bouwdelen'!X30)</f>
        <v>0</v>
      </c>
      <c r="CL46" s="208">
        <f>IF($CE46=1,$CF46*'Verwerking Bouwdelen'!DQ30,$CF46*'Verwerking Bouwdelen'!Y30)</f>
        <v>0</v>
      </c>
      <c r="CM46" s="208">
        <f>IF($CE46=1,$CF46*'Verwerking Bouwdelen'!DR30,$CF46*'Verwerking Bouwdelen'!Z30)</f>
        <v>0</v>
      </c>
      <c r="CN46" s="208">
        <f>IF($CE46=1,$CF46*'Verwerking Bouwdelen'!DS30,$CF46*'Verwerking Bouwdelen'!AA30)</f>
        <v>0</v>
      </c>
      <c r="CO46" s="208">
        <f>IF($CE46=1,$CF46*'Verwerking Bouwdelen'!DT30,$CF46*'Verwerking Bouwdelen'!AB30)</f>
        <v>0</v>
      </c>
      <c r="CP46" s="208">
        <f>IF($CE46=1,$CF46*'Verwerking Bouwdelen'!DU30,$CF46*'Verwerking Bouwdelen'!AC30)</f>
        <v>0</v>
      </c>
      <c r="CQ46" s="208">
        <f>IF($CE46=1,$CF46*'Verwerking Bouwdelen'!DV30,$CF46*'Verwerking Bouwdelen'!AD30)</f>
        <v>0</v>
      </c>
      <c r="CR46" s="208">
        <f>IF($CE46=1,$CF46*'Verwerking Bouwdelen'!DW30,$CF46*'Verwerking Bouwdelen'!AE30)</f>
        <v>0</v>
      </c>
      <c r="CS46" s="10">
        <f>IF(CG46=$B46,0,('Verwerking Bouwdelen'!$D30-'Verwerking Bouwdelen'!G30)*CE46*CF46)</f>
        <v>0</v>
      </c>
      <c r="CT46" s="261">
        <f>CE46*CF46*'Verwerking Bouwdelen'!$GH$3</f>
        <v>0</v>
      </c>
      <c r="CU46" s="261">
        <f>CE46*CF46*'Verwerking Bouwdelen'!GI30</f>
        <v>0</v>
      </c>
      <c r="CW46" s="209">
        <f>$AC46*'Verwerking Bouwdelen'!EE30</f>
        <v>0</v>
      </c>
      <c r="CX46" s="209">
        <f>$AC46*'Verwerking Bouwdelen'!EF30</f>
        <v>0</v>
      </c>
      <c r="CY46" s="209">
        <f>$AC46*'Verwerking Bouwdelen'!EG30</f>
        <v>0</v>
      </c>
      <c r="CZ46" s="209">
        <f>$AC46*'Verwerking Bouwdelen'!EH30</f>
        <v>0</v>
      </c>
      <c r="DA46" s="209">
        <f>$AC46*'Verwerking Bouwdelen'!EI30</f>
        <v>0</v>
      </c>
      <c r="DB46" s="209">
        <f>$AC46*'Verwerking Bouwdelen'!EJ30</f>
        <v>0</v>
      </c>
      <c r="DC46" s="209">
        <f>$AC46*'Verwerking Bouwdelen'!EK30</f>
        <v>0</v>
      </c>
      <c r="DD46" s="209">
        <f>$AC46*'Verwerking Bouwdelen'!EL30</f>
        <v>0</v>
      </c>
      <c r="DE46" s="209">
        <f>$AC46*'Verwerking Bouwdelen'!EM30</f>
        <v>0</v>
      </c>
      <c r="DF46" s="209">
        <f>$AC46*'Verwerking Bouwdelen'!EN30</f>
        <v>0</v>
      </c>
      <c r="DG46" s="209">
        <f>$AC46*'Verwerking Bouwdelen'!EO30</f>
        <v>0</v>
      </c>
      <c r="DH46" s="209">
        <f>$AC46*'Verwerking Bouwdelen'!EP30</f>
        <v>0</v>
      </c>
      <c r="DI46" s="10">
        <f>IF(CW46=$O46,0,'Verwerking Bouwdelen'!G30)</f>
        <v>0</v>
      </c>
      <c r="DJ46" s="259">
        <f>'Verwerking Bouwdelen'!GK30*CF46</f>
        <v>0</v>
      </c>
      <c r="DK46" s="259">
        <f>'Verwerking Bouwdelen'!GL30*CF46</f>
        <v>0</v>
      </c>
      <c r="DL46" s="125"/>
      <c r="GM46" s="89">
        <f t="shared" si="13"/>
        <v>0</v>
      </c>
      <c r="GN46" s="89">
        <f t="shared" si="14"/>
        <v>0</v>
      </c>
      <c r="GO46" s="208">
        <f>IF($GN46=1,$GN46*$GM46*'Verwerking Bouwdelen'!DL30,$GN46*$GM46*'Verwerking Bouwdelen'!T30)</f>
        <v>0</v>
      </c>
      <c r="GP46" s="208">
        <f>IF($GN46=1,$GN46*$GM46*'Verwerking Bouwdelen'!DM30,$GN46*$GM46*'Verwerking Bouwdelen'!U30)</f>
        <v>0</v>
      </c>
      <c r="GQ46" s="208">
        <f>IF($GN46=1,$GN46*$GM46*'Verwerking Bouwdelen'!DN30,$GN46*$GM46*'Verwerking Bouwdelen'!V30)</f>
        <v>0</v>
      </c>
      <c r="GR46" s="208">
        <f>IF($GN46=1,$GN46*$GM46*'Verwerking Bouwdelen'!DO30,$GN46*$GM46*'Verwerking Bouwdelen'!W30)</f>
        <v>0</v>
      </c>
      <c r="GS46" s="208">
        <f>IF($GN46=1,$GN46*$GM46*'Verwerking Bouwdelen'!DP30,$GN46*$GM46*'Verwerking Bouwdelen'!X30)</f>
        <v>0</v>
      </c>
      <c r="GT46" s="208">
        <f>IF($GN46=1,$GN46*$GM46*'Verwerking Bouwdelen'!DQ30,$GN46*$GM46*'Verwerking Bouwdelen'!Y30)</f>
        <v>0</v>
      </c>
      <c r="GU46" s="208">
        <f>IF($GN46=1,$GN46*$GM46*'Verwerking Bouwdelen'!DR30,$GN46*$GM46*'Verwerking Bouwdelen'!Z30)</f>
        <v>0</v>
      </c>
      <c r="GV46" s="208">
        <f>IF($GN46=1,$GN46*$GM46*'Verwerking Bouwdelen'!DS30,$GN46*$GM46*'Verwerking Bouwdelen'!AA30)</f>
        <v>0</v>
      </c>
      <c r="GW46" s="208">
        <f>IF($GN46=1,$GN46*$GM46*'Verwerking Bouwdelen'!DT30,$GN46*$GM46*'Verwerking Bouwdelen'!AB30)</f>
        <v>0</v>
      </c>
      <c r="GX46" s="208">
        <f>IF($GN46=1,$GN46*$GM46*'Verwerking Bouwdelen'!DU30,$GN46*$GM46*'Verwerking Bouwdelen'!AC30)</f>
        <v>0</v>
      </c>
      <c r="GY46" s="208">
        <f>IF($GN46=1,$GN46*$GM46*'Verwerking Bouwdelen'!DV30,$GN46*$GM46*'Verwerking Bouwdelen'!AD30)</f>
        <v>0</v>
      </c>
      <c r="GZ46" s="208">
        <f>IF($GN46=1,$GN46*$GM46*'Verwerking Bouwdelen'!DW30,$GN46*$GM46*'Verwerking Bouwdelen'!AE30)</f>
        <v>0</v>
      </c>
      <c r="HB46" s="89">
        <f t="shared" si="16"/>
        <v>0</v>
      </c>
      <c r="HC46" s="89">
        <f t="shared" si="17"/>
        <v>0</v>
      </c>
      <c r="HD46" s="89">
        <f t="shared" si="18"/>
        <v>0</v>
      </c>
      <c r="HE46" s="89">
        <f t="shared" si="19"/>
        <v>0</v>
      </c>
      <c r="HF46" s="89">
        <f t="shared" si="19"/>
        <v>0</v>
      </c>
      <c r="HG46" s="89">
        <f t="shared" si="19"/>
        <v>0</v>
      </c>
      <c r="HH46" s="89">
        <f t="shared" si="19"/>
        <v>0</v>
      </c>
      <c r="HI46" s="89">
        <f t="shared" si="19"/>
        <v>0</v>
      </c>
      <c r="HJ46" s="89">
        <f t="shared" si="19"/>
        <v>0</v>
      </c>
      <c r="HK46" s="89">
        <f t="shared" si="19"/>
        <v>0</v>
      </c>
      <c r="HL46" s="89">
        <f t="shared" si="19"/>
        <v>0</v>
      </c>
      <c r="HM46" s="89">
        <f t="shared" si="19"/>
        <v>0</v>
      </c>
    </row>
    <row r="47" spans="1:221" x14ac:dyDescent="0.2">
      <c r="A47" s="130">
        <f>IF('Verwerking Bouwdelen'!A31=5,1,0)</f>
        <v>0</v>
      </c>
      <c r="B47" s="208">
        <f>$A47*'Verwerking Bouwdelen'!T31</f>
        <v>0</v>
      </c>
      <c r="C47" s="208">
        <f>$A47*'Verwerking Bouwdelen'!U31</f>
        <v>0</v>
      </c>
      <c r="D47" s="208">
        <f>$A47*'Verwerking Bouwdelen'!V31</f>
        <v>0</v>
      </c>
      <c r="E47" s="208">
        <f>$A47*'Verwerking Bouwdelen'!W31</f>
        <v>0</v>
      </c>
      <c r="F47" s="208">
        <f>$A47*'Verwerking Bouwdelen'!X31</f>
        <v>0</v>
      </c>
      <c r="G47" s="208">
        <f>$A47*'Verwerking Bouwdelen'!Y31</f>
        <v>0</v>
      </c>
      <c r="H47" s="208">
        <f>$A47*'Verwerking Bouwdelen'!Z31</f>
        <v>0</v>
      </c>
      <c r="I47" s="208">
        <f>$A47*'Verwerking Bouwdelen'!AA31</f>
        <v>0</v>
      </c>
      <c r="J47" s="208">
        <f>$A47*'Verwerking Bouwdelen'!AB31</f>
        <v>0</v>
      </c>
      <c r="K47" s="208">
        <f>$A47*'Verwerking Bouwdelen'!AC31</f>
        <v>0</v>
      </c>
      <c r="L47" s="208">
        <f>$A47*'Verwerking Bouwdelen'!AD31</f>
        <v>0</v>
      </c>
      <c r="M47" s="208">
        <f>$A47*'Verwerking Bouwdelen'!AE31</f>
        <v>0</v>
      </c>
      <c r="O47" s="114">
        <f>$A47*'Verwerking Bouwdelen'!AU31</f>
        <v>0</v>
      </c>
      <c r="P47" s="125">
        <f>$A47*'Verwerking Bouwdelen'!AV31</f>
        <v>0</v>
      </c>
      <c r="Q47" s="125">
        <f>$A47*'Verwerking Bouwdelen'!AW31</f>
        <v>0</v>
      </c>
      <c r="R47" s="125">
        <f>$A47*'Verwerking Bouwdelen'!AX31</f>
        <v>0</v>
      </c>
      <c r="S47" s="125">
        <f>$A47*'Verwerking Bouwdelen'!AY31</f>
        <v>0</v>
      </c>
      <c r="T47" s="125">
        <f>$A47*'Verwerking Bouwdelen'!AZ31</f>
        <v>0</v>
      </c>
      <c r="U47" s="125">
        <f>$A47*'Verwerking Bouwdelen'!BA31</f>
        <v>0</v>
      </c>
      <c r="V47" s="125">
        <f>$A47*'Verwerking Bouwdelen'!BB31</f>
        <v>0</v>
      </c>
      <c r="W47" s="125">
        <f>$A47*'Verwerking Bouwdelen'!BC31</f>
        <v>0</v>
      </c>
      <c r="X47" s="125">
        <f>$A47*'Verwerking Bouwdelen'!BD31</f>
        <v>0</v>
      </c>
      <c r="Y47" s="125">
        <f>$A47*'Verwerking Bouwdelen'!BE31</f>
        <v>0</v>
      </c>
      <c r="Z47" s="195">
        <f>$A47*'Verwerking Bouwdelen'!BF31</f>
        <v>0</v>
      </c>
      <c r="AB47" s="125">
        <f>IF(OR('Verwerking Bouwdelen'!C31=3,'Verwerking Bouwdelen'!C31=6),1,0)</f>
        <v>0</v>
      </c>
      <c r="AC47" s="130">
        <f>IF('Verwerking Bouwdelen'!A31=5,1,0)</f>
        <v>0</v>
      </c>
      <c r="AD47" s="208">
        <f>IF($AB47=1,$AC47*'Verwerking Bouwdelen'!DL31,$AC47*'Verwerking Bouwdelen'!T31)</f>
        <v>0</v>
      </c>
      <c r="AE47" s="208">
        <f>IF($AB47=1,$AC47*'Verwerking Bouwdelen'!DM31,$AC47*'Verwerking Bouwdelen'!U31)</f>
        <v>0</v>
      </c>
      <c r="AF47" s="208">
        <f>IF($AB47=1,$AC47*'Verwerking Bouwdelen'!DN31,$AC47*'Verwerking Bouwdelen'!V31)</f>
        <v>0</v>
      </c>
      <c r="AG47" s="208">
        <f>IF($AB47=1,$AC47*'Verwerking Bouwdelen'!DO31,$AC47*'Verwerking Bouwdelen'!W31)</f>
        <v>0</v>
      </c>
      <c r="AH47" s="208">
        <f>IF($AB47=1,$AC47*'Verwerking Bouwdelen'!DP31,$AC47*'Verwerking Bouwdelen'!X31)</f>
        <v>0</v>
      </c>
      <c r="AI47" s="208">
        <f>IF($AB47=1,$AC47*'Verwerking Bouwdelen'!DQ31,$AC47*'Verwerking Bouwdelen'!Y31)</f>
        <v>0</v>
      </c>
      <c r="AJ47" s="208">
        <f>IF($AB47=1,$AC47*'Verwerking Bouwdelen'!DR31,$AC47*'Verwerking Bouwdelen'!Z31)</f>
        <v>0</v>
      </c>
      <c r="AK47" s="208">
        <f>IF($AB47=1,$AC47*'Verwerking Bouwdelen'!DS31,$AC47*'Verwerking Bouwdelen'!AA31)</f>
        <v>0</v>
      </c>
      <c r="AL47" s="208">
        <f>IF($AB47=1,$AC47*'Verwerking Bouwdelen'!DT31,$AC47*'Verwerking Bouwdelen'!AB31)</f>
        <v>0</v>
      </c>
      <c r="AM47" s="208">
        <f>IF($AB47=1,$AC47*'Verwerking Bouwdelen'!DU31,$AC47*'Verwerking Bouwdelen'!AC31)</f>
        <v>0</v>
      </c>
      <c r="AN47" s="208">
        <f>IF($AB47=1,$AC47*'Verwerking Bouwdelen'!DV31,$AC47*'Verwerking Bouwdelen'!AD31)</f>
        <v>0</v>
      </c>
      <c r="AO47" s="208">
        <f>IF($AB47=1,$AC47*'Verwerking Bouwdelen'!DW31,$AC47*'Verwerking Bouwdelen'!AE31)</f>
        <v>0</v>
      </c>
      <c r="AP47" s="10">
        <f>IF(AD47=B47,0,'Verwerking Bouwdelen'!D31*AB47*AC47)</f>
        <v>0</v>
      </c>
      <c r="AQ47" s="10">
        <f>AB47*AC47*'Verwerking Bouwdelen'!GH31</f>
        <v>0</v>
      </c>
      <c r="AR47" s="10"/>
      <c r="AS47" s="248"/>
      <c r="AT47" s="125">
        <f>IF('Verwerking Bouwdelen'!C31=4,1,0)</f>
        <v>0</v>
      </c>
      <c r="AU47" s="130">
        <f>IF('Verwerking Bouwdelen'!A31=5,1,0)</f>
        <v>0</v>
      </c>
      <c r="AV47" s="208">
        <f>IF($AT47=1,$AU47*'Verwerking Bouwdelen'!DL31,$AU47*'Verwerking Bouwdelen'!T31)</f>
        <v>0</v>
      </c>
      <c r="AW47" s="208">
        <f>IF($AT47=1,$AU47*'Verwerking Bouwdelen'!DM31,$AU47*'Verwerking Bouwdelen'!U31)</f>
        <v>0</v>
      </c>
      <c r="AX47" s="208">
        <f>IF($AT47=1,$AU47*'Verwerking Bouwdelen'!DN31,$AU47*'Verwerking Bouwdelen'!V31)</f>
        <v>0</v>
      </c>
      <c r="AY47" s="208">
        <f>IF($AT47=1,$AU47*'Verwerking Bouwdelen'!DO31,$AU47*'Verwerking Bouwdelen'!W31)</f>
        <v>0</v>
      </c>
      <c r="AZ47" s="208">
        <f>IF($AT47=1,$AU47*'Verwerking Bouwdelen'!DP31,$AU47*'Verwerking Bouwdelen'!X31)</f>
        <v>0</v>
      </c>
      <c r="BA47" s="208">
        <f>IF($AT47=1,$AU47*'Verwerking Bouwdelen'!DQ31,$AU47*'Verwerking Bouwdelen'!Y31)</f>
        <v>0</v>
      </c>
      <c r="BB47" s="208">
        <f>IF($AT47=1,$AU47*'Verwerking Bouwdelen'!DR31,$AU47*'Verwerking Bouwdelen'!Z31)</f>
        <v>0</v>
      </c>
      <c r="BC47" s="208">
        <f>IF($AT47=1,$AU47*'Verwerking Bouwdelen'!DS31,$AU47*'Verwerking Bouwdelen'!AA31)</f>
        <v>0</v>
      </c>
      <c r="BD47" s="208">
        <f>IF($AT47=1,$AU47*'Verwerking Bouwdelen'!DT31,$AU47*'Verwerking Bouwdelen'!AB31)</f>
        <v>0</v>
      </c>
      <c r="BE47" s="208">
        <f>IF($AT47=1,$AU47*'Verwerking Bouwdelen'!DU31,$AU47*'Verwerking Bouwdelen'!AC31)</f>
        <v>0</v>
      </c>
      <c r="BF47" s="208">
        <f>IF($AT47=1,$AU47*'Verwerking Bouwdelen'!DV31,$AU47*'Verwerking Bouwdelen'!AD31)</f>
        <v>0</v>
      </c>
      <c r="BG47" s="208">
        <f>IF($AT47=1,$AU47*'Verwerking Bouwdelen'!DW31,$AU47*'Verwerking Bouwdelen'!AE31)</f>
        <v>0</v>
      </c>
      <c r="BH47" s="10">
        <f>IF(AV47=B47,0,'Verwerking Bouwdelen'!D31*AT47*AU47)</f>
        <v>0</v>
      </c>
      <c r="BI47" s="10">
        <f>AT47*AU47*'Verwerking Bouwdelen'!GH31</f>
        <v>0</v>
      </c>
      <c r="BJ47" s="10"/>
      <c r="BK47" s="10"/>
      <c r="BM47" s="125">
        <f>IF('Verwerking Bouwdelen'!C31=5,1,0)</f>
        <v>0</v>
      </c>
      <c r="BN47" s="130">
        <f>IF('Verwerking Bouwdelen'!A31=5,1,0)</f>
        <v>0</v>
      </c>
      <c r="BO47" s="208">
        <f>IF($BM47=1,$BN47*'Verwerking Bouwdelen'!DL31,$BN47*'Verwerking Bouwdelen'!T31)</f>
        <v>0</v>
      </c>
      <c r="BP47" s="208">
        <f>IF($BM47=1,$BN47*'Verwerking Bouwdelen'!DM31,$BN47*'Verwerking Bouwdelen'!U31)</f>
        <v>0</v>
      </c>
      <c r="BQ47" s="208">
        <f>IF($BM47=1,$BN47*'Verwerking Bouwdelen'!DN31,$BN47*'Verwerking Bouwdelen'!V31)</f>
        <v>0</v>
      </c>
      <c r="BR47" s="208">
        <f>IF($BM47=1,$BN47*'Verwerking Bouwdelen'!DO31,$BN47*'Verwerking Bouwdelen'!W31)</f>
        <v>0</v>
      </c>
      <c r="BS47" s="208">
        <f>IF($BM47=1,$BN47*'Verwerking Bouwdelen'!DP31,$BN47*'Verwerking Bouwdelen'!X31)</f>
        <v>0</v>
      </c>
      <c r="BT47" s="208">
        <f>IF($BM47=1,$BN47*'Verwerking Bouwdelen'!DQ31,$BN47*'Verwerking Bouwdelen'!Y31)</f>
        <v>0</v>
      </c>
      <c r="BU47" s="208">
        <f>IF($BM47=1,$BN47*'Verwerking Bouwdelen'!DR31,$BN47*'Verwerking Bouwdelen'!Z31)</f>
        <v>0</v>
      </c>
      <c r="BV47" s="208">
        <f>IF($BM47=1,$BN47*'Verwerking Bouwdelen'!DS31,$BN47*'Verwerking Bouwdelen'!AA31)</f>
        <v>0</v>
      </c>
      <c r="BW47" s="208">
        <f>IF($BM47=1,$BN47*'Verwerking Bouwdelen'!DT31,$BN47*'Verwerking Bouwdelen'!AB31)</f>
        <v>0</v>
      </c>
      <c r="BX47" s="208">
        <f>IF($BM47=1,$BN47*'Verwerking Bouwdelen'!DU31,$BN47*'Verwerking Bouwdelen'!AC31)</f>
        <v>0</v>
      </c>
      <c r="BY47" s="208">
        <f>IF($BM47=1,$BN47*'Verwerking Bouwdelen'!DV31,$BN47*'Verwerking Bouwdelen'!AD31)</f>
        <v>0</v>
      </c>
      <c r="BZ47" s="208">
        <f>IF($BM47=1,$BN47*'Verwerking Bouwdelen'!DW31,$BN47*'Verwerking Bouwdelen'!AE31)</f>
        <v>0</v>
      </c>
      <c r="CA47" s="10">
        <f>IF(BO47=$B47,0,'Verwerking Bouwdelen'!$D31*BM47*BN47)</f>
        <v>0</v>
      </c>
      <c r="CB47" s="10">
        <f>BM47*BN47*'Verwerking Bouwdelen'!GH31</f>
        <v>0</v>
      </c>
      <c r="CC47" s="10"/>
      <c r="CD47" s="248"/>
      <c r="CE47" s="125">
        <f>IF('Verwerking Bouwdelen'!C31=2,1,0)</f>
        <v>0</v>
      </c>
      <c r="CF47" s="130">
        <f>IF('Verwerking Bouwdelen'!A31=5,1,0)</f>
        <v>0</v>
      </c>
      <c r="CG47" s="208">
        <f>IF($CE47=1,$CF47*'Verwerking Bouwdelen'!DL31,$CF47*'Verwerking Bouwdelen'!T31)</f>
        <v>0</v>
      </c>
      <c r="CH47" s="208">
        <f>IF($CE47=1,$CF47*'Verwerking Bouwdelen'!DM31,$CF47*'Verwerking Bouwdelen'!U31)</f>
        <v>0</v>
      </c>
      <c r="CI47" s="208">
        <f>IF($CE47=1,$CF47*'Verwerking Bouwdelen'!DN31,$CF47*'Verwerking Bouwdelen'!V31)</f>
        <v>0</v>
      </c>
      <c r="CJ47" s="208">
        <f>IF($CE47=1,$CF47*'Verwerking Bouwdelen'!DO31,$CF47*'Verwerking Bouwdelen'!W31)</f>
        <v>0</v>
      </c>
      <c r="CK47" s="208">
        <f>IF($CE47=1,$CF47*'Verwerking Bouwdelen'!DP31,$CF47*'Verwerking Bouwdelen'!X31)</f>
        <v>0</v>
      </c>
      <c r="CL47" s="208">
        <f>IF($CE47=1,$CF47*'Verwerking Bouwdelen'!DQ31,$CF47*'Verwerking Bouwdelen'!Y31)</f>
        <v>0</v>
      </c>
      <c r="CM47" s="208">
        <f>IF($CE47=1,$CF47*'Verwerking Bouwdelen'!DR31,$CF47*'Verwerking Bouwdelen'!Z31)</f>
        <v>0</v>
      </c>
      <c r="CN47" s="208">
        <f>IF($CE47=1,$CF47*'Verwerking Bouwdelen'!DS31,$CF47*'Verwerking Bouwdelen'!AA31)</f>
        <v>0</v>
      </c>
      <c r="CO47" s="208">
        <f>IF($CE47=1,$CF47*'Verwerking Bouwdelen'!DT31,$CF47*'Verwerking Bouwdelen'!AB31)</f>
        <v>0</v>
      </c>
      <c r="CP47" s="208">
        <f>IF($CE47=1,$CF47*'Verwerking Bouwdelen'!DU31,$CF47*'Verwerking Bouwdelen'!AC31)</f>
        <v>0</v>
      </c>
      <c r="CQ47" s="208">
        <f>IF($CE47=1,$CF47*'Verwerking Bouwdelen'!DV31,$CF47*'Verwerking Bouwdelen'!AD31)</f>
        <v>0</v>
      </c>
      <c r="CR47" s="208">
        <f>IF($CE47=1,$CF47*'Verwerking Bouwdelen'!DW31,$CF47*'Verwerking Bouwdelen'!AE31)</f>
        <v>0</v>
      </c>
      <c r="CS47" s="10">
        <f>IF(CG47=$B47,0,('Verwerking Bouwdelen'!$D31-'Verwerking Bouwdelen'!G31)*CE47*CF47)</f>
        <v>0</v>
      </c>
      <c r="CT47" s="261">
        <f>CE47*CF47*'Verwerking Bouwdelen'!$GH$3</f>
        <v>0</v>
      </c>
      <c r="CU47" s="261">
        <f>CE47*CF47*'Verwerking Bouwdelen'!GI31</f>
        <v>0</v>
      </c>
      <c r="CW47" s="209">
        <f>$AC47*'Verwerking Bouwdelen'!EE31</f>
        <v>0</v>
      </c>
      <c r="CX47" s="209">
        <f>$AC47*'Verwerking Bouwdelen'!EF31</f>
        <v>0</v>
      </c>
      <c r="CY47" s="209">
        <f>$AC47*'Verwerking Bouwdelen'!EG31</f>
        <v>0</v>
      </c>
      <c r="CZ47" s="209">
        <f>$AC47*'Verwerking Bouwdelen'!EH31</f>
        <v>0</v>
      </c>
      <c r="DA47" s="209">
        <f>$AC47*'Verwerking Bouwdelen'!EI31</f>
        <v>0</v>
      </c>
      <c r="DB47" s="209">
        <f>$AC47*'Verwerking Bouwdelen'!EJ31</f>
        <v>0</v>
      </c>
      <c r="DC47" s="209">
        <f>$AC47*'Verwerking Bouwdelen'!EK31</f>
        <v>0</v>
      </c>
      <c r="DD47" s="209">
        <f>$AC47*'Verwerking Bouwdelen'!EL31</f>
        <v>0</v>
      </c>
      <c r="DE47" s="209">
        <f>$AC47*'Verwerking Bouwdelen'!EM31</f>
        <v>0</v>
      </c>
      <c r="DF47" s="209">
        <f>$AC47*'Verwerking Bouwdelen'!EN31</f>
        <v>0</v>
      </c>
      <c r="DG47" s="209">
        <f>$AC47*'Verwerking Bouwdelen'!EO31</f>
        <v>0</v>
      </c>
      <c r="DH47" s="209">
        <f>$AC47*'Verwerking Bouwdelen'!EP31</f>
        <v>0</v>
      </c>
      <c r="DI47" s="10">
        <f>IF(CW47=$O47,0,'Verwerking Bouwdelen'!G31)</f>
        <v>0</v>
      </c>
      <c r="DJ47" s="259">
        <f>'Verwerking Bouwdelen'!GK31*CF47</f>
        <v>0</v>
      </c>
      <c r="DK47" s="259">
        <f>'Verwerking Bouwdelen'!GL31*CF47</f>
        <v>0</v>
      </c>
      <c r="DL47" s="125"/>
      <c r="GM47" s="89">
        <f t="shared" si="13"/>
        <v>0</v>
      </c>
      <c r="GN47" s="89">
        <f t="shared" si="14"/>
        <v>0</v>
      </c>
      <c r="GO47" s="208">
        <f>IF($GN47=1,$GN47*$GM47*'Verwerking Bouwdelen'!DL31,$GN47*$GM47*'Verwerking Bouwdelen'!T31)</f>
        <v>0</v>
      </c>
      <c r="GP47" s="208">
        <f>IF($GN47=1,$GN47*$GM47*'Verwerking Bouwdelen'!DM31,$GN47*$GM47*'Verwerking Bouwdelen'!U31)</f>
        <v>0</v>
      </c>
      <c r="GQ47" s="208">
        <f>IF($GN47=1,$GN47*$GM47*'Verwerking Bouwdelen'!DN31,$GN47*$GM47*'Verwerking Bouwdelen'!V31)</f>
        <v>0</v>
      </c>
      <c r="GR47" s="208">
        <f>IF($GN47=1,$GN47*$GM47*'Verwerking Bouwdelen'!DO31,$GN47*$GM47*'Verwerking Bouwdelen'!W31)</f>
        <v>0</v>
      </c>
      <c r="GS47" s="208">
        <f>IF($GN47=1,$GN47*$GM47*'Verwerking Bouwdelen'!DP31,$GN47*$GM47*'Verwerking Bouwdelen'!X31)</f>
        <v>0</v>
      </c>
      <c r="GT47" s="208">
        <f>IF($GN47=1,$GN47*$GM47*'Verwerking Bouwdelen'!DQ31,$GN47*$GM47*'Verwerking Bouwdelen'!Y31)</f>
        <v>0</v>
      </c>
      <c r="GU47" s="208">
        <f>IF($GN47=1,$GN47*$GM47*'Verwerking Bouwdelen'!DR31,$GN47*$GM47*'Verwerking Bouwdelen'!Z31)</f>
        <v>0</v>
      </c>
      <c r="GV47" s="208">
        <f>IF($GN47=1,$GN47*$GM47*'Verwerking Bouwdelen'!DS31,$GN47*$GM47*'Verwerking Bouwdelen'!AA31)</f>
        <v>0</v>
      </c>
      <c r="GW47" s="208">
        <f>IF($GN47=1,$GN47*$GM47*'Verwerking Bouwdelen'!DT31,$GN47*$GM47*'Verwerking Bouwdelen'!AB31)</f>
        <v>0</v>
      </c>
      <c r="GX47" s="208">
        <f>IF($GN47=1,$GN47*$GM47*'Verwerking Bouwdelen'!DU31,$GN47*$GM47*'Verwerking Bouwdelen'!AC31)</f>
        <v>0</v>
      </c>
      <c r="GY47" s="208">
        <f>IF($GN47=1,$GN47*$GM47*'Verwerking Bouwdelen'!DV31,$GN47*$GM47*'Verwerking Bouwdelen'!AD31)</f>
        <v>0</v>
      </c>
      <c r="GZ47" s="208">
        <f>IF($GN47=1,$GN47*$GM47*'Verwerking Bouwdelen'!DW31,$GN47*$GM47*'Verwerking Bouwdelen'!AE31)</f>
        <v>0</v>
      </c>
      <c r="HB47" s="89">
        <f t="shared" si="16"/>
        <v>0</v>
      </c>
      <c r="HC47" s="89">
        <f t="shared" si="17"/>
        <v>0</v>
      </c>
      <c r="HD47" s="89">
        <f t="shared" si="18"/>
        <v>0</v>
      </c>
      <c r="HE47" s="89">
        <f t="shared" si="19"/>
        <v>0</v>
      </c>
      <c r="HF47" s="89">
        <f t="shared" si="19"/>
        <v>0</v>
      </c>
      <c r="HG47" s="89">
        <f t="shared" si="19"/>
        <v>0</v>
      </c>
      <c r="HH47" s="89">
        <f t="shared" si="19"/>
        <v>0</v>
      </c>
      <c r="HI47" s="89">
        <f t="shared" si="19"/>
        <v>0</v>
      </c>
      <c r="HJ47" s="89">
        <f t="shared" si="19"/>
        <v>0</v>
      </c>
      <c r="HK47" s="89">
        <f t="shared" si="19"/>
        <v>0</v>
      </c>
      <c r="HL47" s="89">
        <f t="shared" si="19"/>
        <v>0</v>
      </c>
      <c r="HM47" s="89">
        <f t="shared" si="19"/>
        <v>0</v>
      </c>
    </row>
    <row r="48" spans="1:221" x14ac:dyDescent="0.2">
      <c r="A48" s="130">
        <f>IF('Verwerking Bouwdelen'!A32=5,1,0)</f>
        <v>0</v>
      </c>
      <c r="B48" s="208">
        <f>$A48*'Verwerking Bouwdelen'!T32</f>
        <v>0</v>
      </c>
      <c r="C48" s="208">
        <f>$A48*'Verwerking Bouwdelen'!U32</f>
        <v>0</v>
      </c>
      <c r="D48" s="208">
        <f>$A48*'Verwerking Bouwdelen'!V32</f>
        <v>0</v>
      </c>
      <c r="E48" s="208">
        <f>$A48*'Verwerking Bouwdelen'!W32</f>
        <v>0</v>
      </c>
      <c r="F48" s="208">
        <f>$A48*'Verwerking Bouwdelen'!X32</f>
        <v>0</v>
      </c>
      <c r="G48" s="208">
        <f>$A48*'Verwerking Bouwdelen'!Y32</f>
        <v>0</v>
      </c>
      <c r="H48" s="208">
        <f>$A48*'Verwerking Bouwdelen'!Z32</f>
        <v>0</v>
      </c>
      <c r="I48" s="208">
        <f>$A48*'Verwerking Bouwdelen'!AA32</f>
        <v>0</v>
      </c>
      <c r="J48" s="208">
        <f>$A48*'Verwerking Bouwdelen'!AB32</f>
        <v>0</v>
      </c>
      <c r="K48" s="208">
        <f>$A48*'Verwerking Bouwdelen'!AC32</f>
        <v>0</v>
      </c>
      <c r="L48" s="208">
        <f>$A48*'Verwerking Bouwdelen'!AD32</f>
        <v>0</v>
      </c>
      <c r="M48" s="208">
        <f>$A48*'Verwerking Bouwdelen'!AE32</f>
        <v>0</v>
      </c>
      <c r="O48" s="114">
        <f>$A48*'Verwerking Bouwdelen'!AU32</f>
        <v>0</v>
      </c>
      <c r="P48" s="125">
        <f>$A48*'Verwerking Bouwdelen'!AV32</f>
        <v>0</v>
      </c>
      <c r="Q48" s="125">
        <f>$A48*'Verwerking Bouwdelen'!AW32</f>
        <v>0</v>
      </c>
      <c r="R48" s="125">
        <f>$A48*'Verwerking Bouwdelen'!AX32</f>
        <v>0</v>
      </c>
      <c r="S48" s="125">
        <f>$A48*'Verwerking Bouwdelen'!AY32</f>
        <v>0</v>
      </c>
      <c r="T48" s="125">
        <f>$A48*'Verwerking Bouwdelen'!AZ32</f>
        <v>0</v>
      </c>
      <c r="U48" s="125">
        <f>$A48*'Verwerking Bouwdelen'!BA32</f>
        <v>0</v>
      </c>
      <c r="V48" s="125">
        <f>$A48*'Verwerking Bouwdelen'!BB32</f>
        <v>0</v>
      </c>
      <c r="W48" s="125">
        <f>$A48*'Verwerking Bouwdelen'!BC32</f>
        <v>0</v>
      </c>
      <c r="X48" s="125">
        <f>$A48*'Verwerking Bouwdelen'!BD32</f>
        <v>0</v>
      </c>
      <c r="Y48" s="125">
        <f>$A48*'Verwerking Bouwdelen'!BE32</f>
        <v>0</v>
      </c>
      <c r="Z48" s="195">
        <f>$A48*'Verwerking Bouwdelen'!BF32</f>
        <v>0</v>
      </c>
      <c r="AB48" s="125">
        <f>IF(OR('Verwerking Bouwdelen'!C32=3,'Verwerking Bouwdelen'!C32=6),1,0)</f>
        <v>0</v>
      </c>
      <c r="AC48" s="130">
        <f>IF('Verwerking Bouwdelen'!A32=5,1,0)</f>
        <v>0</v>
      </c>
      <c r="AD48" s="208">
        <f>IF($AB48=1,$AC48*'Verwerking Bouwdelen'!DL32,$AC48*'Verwerking Bouwdelen'!T32)</f>
        <v>0</v>
      </c>
      <c r="AE48" s="208">
        <f>IF($AB48=1,$AC48*'Verwerking Bouwdelen'!DM32,$AC48*'Verwerking Bouwdelen'!U32)</f>
        <v>0</v>
      </c>
      <c r="AF48" s="208">
        <f>IF($AB48=1,$AC48*'Verwerking Bouwdelen'!DN32,$AC48*'Verwerking Bouwdelen'!V32)</f>
        <v>0</v>
      </c>
      <c r="AG48" s="208">
        <f>IF($AB48=1,$AC48*'Verwerking Bouwdelen'!DO32,$AC48*'Verwerking Bouwdelen'!W32)</f>
        <v>0</v>
      </c>
      <c r="AH48" s="208">
        <f>IF($AB48=1,$AC48*'Verwerking Bouwdelen'!DP32,$AC48*'Verwerking Bouwdelen'!X32)</f>
        <v>0</v>
      </c>
      <c r="AI48" s="208">
        <f>IF($AB48=1,$AC48*'Verwerking Bouwdelen'!DQ32,$AC48*'Verwerking Bouwdelen'!Y32)</f>
        <v>0</v>
      </c>
      <c r="AJ48" s="208">
        <f>IF($AB48=1,$AC48*'Verwerking Bouwdelen'!DR32,$AC48*'Verwerking Bouwdelen'!Z32)</f>
        <v>0</v>
      </c>
      <c r="AK48" s="208">
        <f>IF($AB48=1,$AC48*'Verwerking Bouwdelen'!DS32,$AC48*'Verwerking Bouwdelen'!AA32)</f>
        <v>0</v>
      </c>
      <c r="AL48" s="208">
        <f>IF($AB48=1,$AC48*'Verwerking Bouwdelen'!DT32,$AC48*'Verwerking Bouwdelen'!AB32)</f>
        <v>0</v>
      </c>
      <c r="AM48" s="208">
        <f>IF($AB48=1,$AC48*'Verwerking Bouwdelen'!DU32,$AC48*'Verwerking Bouwdelen'!AC32)</f>
        <v>0</v>
      </c>
      <c r="AN48" s="208">
        <f>IF($AB48=1,$AC48*'Verwerking Bouwdelen'!DV32,$AC48*'Verwerking Bouwdelen'!AD32)</f>
        <v>0</v>
      </c>
      <c r="AO48" s="208">
        <f>IF($AB48=1,$AC48*'Verwerking Bouwdelen'!DW32,$AC48*'Verwerking Bouwdelen'!AE32)</f>
        <v>0</v>
      </c>
      <c r="AP48" s="10">
        <f>IF(AD48=B48,0,'Verwerking Bouwdelen'!D32*AB48*AC48)</f>
        <v>0</v>
      </c>
      <c r="AQ48" s="10">
        <f>AB48*AC48*'Verwerking Bouwdelen'!GH32</f>
        <v>0</v>
      </c>
      <c r="AR48" s="10"/>
      <c r="AS48" s="248"/>
      <c r="AT48" s="125">
        <f>IF('Verwerking Bouwdelen'!C32=4,1,0)</f>
        <v>0</v>
      </c>
      <c r="AU48" s="130">
        <f>IF('Verwerking Bouwdelen'!A32=5,1,0)</f>
        <v>0</v>
      </c>
      <c r="AV48" s="208">
        <f>IF($AT48=1,$AU48*'Verwerking Bouwdelen'!DL32,$AU48*'Verwerking Bouwdelen'!T32)</f>
        <v>0</v>
      </c>
      <c r="AW48" s="208">
        <f>IF($AT48=1,$AU48*'Verwerking Bouwdelen'!DM32,$AU48*'Verwerking Bouwdelen'!U32)</f>
        <v>0</v>
      </c>
      <c r="AX48" s="208">
        <f>IF($AT48=1,$AU48*'Verwerking Bouwdelen'!DN32,$AU48*'Verwerking Bouwdelen'!V32)</f>
        <v>0</v>
      </c>
      <c r="AY48" s="208">
        <f>IF($AT48=1,$AU48*'Verwerking Bouwdelen'!DO32,$AU48*'Verwerking Bouwdelen'!W32)</f>
        <v>0</v>
      </c>
      <c r="AZ48" s="208">
        <f>IF($AT48=1,$AU48*'Verwerking Bouwdelen'!DP32,$AU48*'Verwerking Bouwdelen'!X32)</f>
        <v>0</v>
      </c>
      <c r="BA48" s="208">
        <f>IF($AT48=1,$AU48*'Verwerking Bouwdelen'!DQ32,$AU48*'Verwerking Bouwdelen'!Y32)</f>
        <v>0</v>
      </c>
      <c r="BB48" s="208">
        <f>IF($AT48=1,$AU48*'Verwerking Bouwdelen'!DR32,$AU48*'Verwerking Bouwdelen'!Z32)</f>
        <v>0</v>
      </c>
      <c r="BC48" s="208">
        <f>IF($AT48=1,$AU48*'Verwerking Bouwdelen'!DS32,$AU48*'Verwerking Bouwdelen'!AA32)</f>
        <v>0</v>
      </c>
      <c r="BD48" s="208">
        <f>IF($AT48=1,$AU48*'Verwerking Bouwdelen'!DT32,$AU48*'Verwerking Bouwdelen'!AB32)</f>
        <v>0</v>
      </c>
      <c r="BE48" s="208">
        <f>IF($AT48=1,$AU48*'Verwerking Bouwdelen'!DU32,$AU48*'Verwerking Bouwdelen'!AC32)</f>
        <v>0</v>
      </c>
      <c r="BF48" s="208">
        <f>IF($AT48=1,$AU48*'Verwerking Bouwdelen'!DV32,$AU48*'Verwerking Bouwdelen'!AD32)</f>
        <v>0</v>
      </c>
      <c r="BG48" s="208">
        <f>IF($AT48=1,$AU48*'Verwerking Bouwdelen'!DW32,$AU48*'Verwerking Bouwdelen'!AE32)</f>
        <v>0</v>
      </c>
      <c r="BH48" s="10">
        <f>IF(AV48=B48,0,'Verwerking Bouwdelen'!D32*AT48*AU48)</f>
        <v>0</v>
      </c>
      <c r="BI48" s="10">
        <f>AT48*AU48*'Verwerking Bouwdelen'!GH32</f>
        <v>0</v>
      </c>
      <c r="BJ48" s="10"/>
      <c r="BK48" s="10"/>
      <c r="BM48" s="125">
        <f>IF('Verwerking Bouwdelen'!C32=5,1,0)</f>
        <v>0</v>
      </c>
      <c r="BN48" s="130">
        <f>IF('Verwerking Bouwdelen'!A32=5,1,0)</f>
        <v>0</v>
      </c>
      <c r="BO48" s="208">
        <f>IF($BM48=1,$BN48*'Verwerking Bouwdelen'!DL32,$BN48*'Verwerking Bouwdelen'!T32)</f>
        <v>0</v>
      </c>
      <c r="BP48" s="208">
        <f>IF($BM48=1,$BN48*'Verwerking Bouwdelen'!DM32,$BN48*'Verwerking Bouwdelen'!U32)</f>
        <v>0</v>
      </c>
      <c r="BQ48" s="208">
        <f>IF($BM48=1,$BN48*'Verwerking Bouwdelen'!DN32,$BN48*'Verwerking Bouwdelen'!V32)</f>
        <v>0</v>
      </c>
      <c r="BR48" s="208">
        <f>IF($BM48=1,$BN48*'Verwerking Bouwdelen'!DO32,$BN48*'Verwerking Bouwdelen'!W32)</f>
        <v>0</v>
      </c>
      <c r="BS48" s="208">
        <f>IF($BM48=1,$BN48*'Verwerking Bouwdelen'!DP32,$BN48*'Verwerking Bouwdelen'!X32)</f>
        <v>0</v>
      </c>
      <c r="BT48" s="208">
        <f>IF($BM48=1,$BN48*'Verwerking Bouwdelen'!DQ32,$BN48*'Verwerking Bouwdelen'!Y32)</f>
        <v>0</v>
      </c>
      <c r="BU48" s="208">
        <f>IF($BM48=1,$BN48*'Verwerking Bouwdelen'!DR32,$BN48*'Verwerking Bouwdelen'!Z32)</f>
        <v>0</v>
      </c>
      <c r="BV48" s="208">
        <f>IF($BM48=1,$BN48*'Verwerking Bouwdelen'!DS32,$BN48*'Verwerking Bouwdelen'!AA32)</f>
        <v>0</v>
      </c>
      <c r="BW48" s="208">
        <f>IF($BM48=1,$BN48*'Verwerking Bouwdelen'!DT32,$BN48*'Verwerking Bouwdelen'!AB32)</f>
        <v>0</v>
      </c>
      <c r="BX48" s="208">
        <f>IF($BM48=1,$BN48*'Verwerking Bouwdelen'!DU32,$BN48*'Verwerking Bouwdelen'!AC32)</f>
        <v>0</v>
      </c>
      <c r="BY48" s="208">
        <f>IF($BM48=1,$BN48*'Verwerking Bouwdelen'!DV32,$BN48*'Verwerking Bouwdelen'!AD32)</f>
        <v>0</v>
      </c>
      <c r="BZ48" s="208">
        <f>IF($BM48=1,$BN48*'Verwerking Bouwdelen'!DW32,$BN48*'Verwerking Bouwdelen'!AE32)</f>
        <v>0</v>
      </c>
      <c r="CA48" s="10">
        <f>IF(BO48=$B48,0,'Verwerking Bouwdelen'!$D32*BM48*BN48)</f>
        <v>0</v>
      </c>
      <c r="CB48" s="10">
        <f>BM48*BN48*'Verwerking Bouwdelen'!GH32</f>
        <v>0</v>
      </c>
      <c r="CC48" s="10"/>
      <c r="CD48" s="248"/>
      <c r="CE48" s="125">
        <f>IF('Verwerking Bouwdelen'!C32=2,1,0)</f>
        <v>0</v>
      </c>
      <c r="CF48" s="130">
        <f>IF('Verwerking Bouwdelen'!A32=5,1,0)</f>
        <v>0</v>
      </c>
      <c r="CG48" s="208">
        <f>IF($CE48=1,$CF48*'Verwerking Bouwdelen'!DL32,$CF48*'Verwerking Bouwdelen'!T32)</f>
        <v>0</v>
      </c>
      <c r="CH48" s="208">
        <f>IF($CE48=1,$CF48*'Verwerking Bouwdelen'!DM32,$CF48*'Verwerking Bouwdelen'!U32)</f>
        <v>0</v>
      </c>
      <c r="CI48" s="208">
        <f>IF($CE48=1,$CF48*'Verwerking Bouwdelen'!DN32,$CF48*'Verwerking Bouwdelen'!V32)</f>
        <v>0</v>
      </c>
      <c r="CJ48" s="208">
        <f>IF($CE48=1,$CF48*'Verwerking Bouwdelen'!DO32,$CF48*'Verwerking Bouwdelen'!W32)</f>
        <v>0</v>
      </c>
      <c r="CK48" s="208">
        <f>IF($CE48=1,$CF48*'Verwerking Bouwdelen'!DP32,$CF48*'Verwerking Bouwdelen'!X32)</f>
        <v>0</v>
      </c>
      <c r="CL48" s="208">
        <f>IF($CE48=1,$CF48*'Verwerking Bouwdelen'!DQ32,$CF48*'Verwerking Bouwdelen'!Y32)</f>
        <v>0</v>
      </c>
      <c r="CM48" s="208">
        <f>IF($CE48=1,$CF48*'Verwerking Bouwdelen'!DR32,$CF48*'Verwerking Bouwdelen'!Z32)</f>
        <v>0</v>
      </c>
      <c r="CN48" s="208">
        <f>IF($CE48=1,$CF48*'Verwerking Bouwdelen'!DS32,$CF48*'Verwerking Bouwdelen'!AA32)</f>
        <v>0</v>
      </c>
      <c r="CO48" s="208">
        <f>IF($CE48=1,$CF48*'Verwerking Bouwdelen'!DT32,$CF48*'Verwerking Bouwdelen'!AB32)</f>
        <v>0</v>
      </c>
      <c r="CP48" s="208">
        <f>IF($CE48=1,$CF48*'Verwerking Bouwdelen'!DU32,$CF48*'Verwerking Bouwdelen'!AC32)</f>
        <v>0</v>
      </c>
      <c r="CQ48" s="208">
        <f>IF($CE48=1,$CF48*'Verwerking Bouwdelen'!DV32,$CF48*'Verwerking Bouwdelen'!AD32)</f>
        <v>0</v>
      </c>
      <c r="CR48" s="208">
        <f>IF($CE48=1,$CF48*'Verwerking Bouwdelen'!DW32,$CF48*'Verwerking Bouwdelen'!AE32)</f>
        <v>0</v>
      </c>
      <c r="CS48" s="10">
        <f>IF(CG48=$B48,0,('Verwerking Bouwdelen'!$D32-'Verwerking Bouwdelen'!G32)*CE48*CF48)</f>
        <v>0</v>
      </c>
      <c r="CT48" s="261">
        <f>CE48*CF48*'Verwerking Bouwdelen'!$GH$3</f>
        <v>0</v>
      </c>
      <c r="CU48" s="261">
        <f>CE48*CF48*'Verwerking Bouwdelen'!GI32</f>
        <v>0</v>
      </c>
      <c r="CW48" s="209">
        <f>$AC48*'Verwerking Bouwdelen'!EE32</f>
        <v>0</v>
      </c>
      <c r="CX48" s="209">
        <f>$AC48*'Verwerking Bouwdelen'!EF32</f>
        <v>0</v>
      </c>
      <c r="CY48" s="209">
        <f>$AC48*'Verwerking Bouwdelen'!EG32</f>
        <v>0</v>
      </c>
      <c r="CZ48" s="209">
        <f>$AC48*'Verwerking Bouwdelen'!EH32</f>
        <v>0</v>
      </c>
      <c r="DA48" s="209">
        <f>$AC48*'Verwerking Bouwdelen'!EI32</f>
        <v>0</v>
      </c>
      <c r="DB48" s="209">
        <f>$AC48*'Verwerking Bouwdelen'!EJ32</f>
        <v>0</v>
      </c>
      <c r="DC48" s="209">
        <f>$AC48*'Verwerking Bouwdelen'!EK32</f>
        <v>0</v>
      </c>
      <c r="DD48" s="209">
        <f>$AC48*'Verwerking Bouwdelen'!EL32</f>
        <v>0</v>
      </c>
      <c r="DE48" s="209">
        <f>$AC48*'Verwerking Bouwdelen'!EM32</f>
        <v>0</v>
      </c>
      <c r="DF48" s="209">
        <f>$AC48*'Verwerking Bouwdelen'!EN32</f>
        <v>0</v>
      </c>
      <c r="DG48" s="209">
        <f>$AC48*'Verwerking Bouwdelen'!EO32</f>
        <v>0</v>
      </c>
      <c r="DH48" s="209">
        <f>$AC48*'Verwerking Bouwdelen'!EP32</f>
        <v>0</v>
      </c>
      <c r="DI48" s="10">
        <f>IF(CW48=$O48,0,'Verwerking Bouwdelen'!G32)</f>
        <v>0</v>
      </c>
      <c r="DJ48" s="259">
        <f>'Verwerking Bouwdelen'!GK32*CF48</f>
        <v>0</v>
      </c>
      <c r="DK48" s="259">
        <f>'Verwerking Bouwdelen'!GL32*CF48</f>
        <v>0</v>
      </c>
      <c r="DL48" s="125"/>
      <c r="GM48" s="89">
        <f t="shared" si="13"/>
        <v>0</v>
      </c>
      <c r="GN48" s="89">
        <f t="shared" si="14"/>
        <v>0</v>
      </c>
      <c r="GO48" s="208">
        <f>IF($GN48=1,$GN48*$GM48*'Verwerking Bouwdelen'!DL32,$GN48*$GM48*'Verwerking Bouwdelen'!T32)</f>
        <v>0</v>
      </c>
      <c r="GP48" s="208">
        <f>IF($GN48=1,$GN48*$GM48*'Verwerking Bouwdelen'!DM32,$GN48*$GM48*'Verwerking Bouwdelen'!U32)</f>
        <v>0</v>
      </c>
      <c r="GQ48" s="208">
        <f>IF($GN48=1,$GN48*$GM48*'Verwerking Bouwdelen'!DN32,$GN48*$GM48*'Verwerking Bouwdelen'!V32)</f>
        <v>0</v>
      </c>
      <c r="GR48" s="208">
        <f>IF($GN48=1,$GN48*$GM48*'Verwerking Bouwdelen'!DO32,$GN48*$GM48*'Verwerking Bouwdelen'!W32)</f>
        <v>0</v>
      </c>
      <c r="GS48" s="208">
        <f>IF($GN48=1,$GN48*$GM48*'Verwerking Bouwdelen'!DP32,$GN48*$GM48*'Verwerking Bouwdelen'!X32)</f>
        <v>0</v>
      </c>
      <c r="GT48" s="208">
        <f>IF($GN48=1,$GN48*$GM48*'Verwerking Bouwdelen'!DQ32,$GN48*$GM48*'Verwerking Bouwdelen'!Y32)</f>
        <v>0</v>
      </c>
      <c r="GU48" s="208">
        <f>IF($GN48=1,$GN48*$GM48*'Verwerking Bouwdelen'!DR32,$GN48*$GM48*'Verwerking Bouwdelen'!Z32)</f>
        <v>0</v>
      </c>
      <c r="GV48" s="208">
        <f>IF($GN48=1,$GN48*$GM48*'Verwerking Bouwdelen'!DS32,$GN48*$GM48*'Verwerking Bouwdelen'!AA32)</f>
        <v>0</v>
      </c>
      <c r="GW48" s="208">
        <f>IF($GN48=1,$GN48*$GM48*'Verwerking Bouwdelen'!DT32,$GN48*$GM48*'Verwerking Bouwdelen'!AB32)</f>
        <v>0</v>
      </c>
      <c r="GX48" s="208">
        <f>IF($GN48=1,$GN48*$GM48*'Verwerking Bouwdelen'!DU32,$GN48*$GM48*'Verwerking Bouwdelen'!AC32)</f>
        <v>0</v>
      </c>
      <c r="GY48" s="208">
        <f>IF($GN48=1,$GN48*$GM48*'Verwerking Bouwdelen'!DV32,$GN48*$GM48*'Verwerking Bouwdelen'!AD32)</f>
        <v>0</v>
      </c>
      <c r="GZ48" s="208">
        <f>IF($GN48=1,$GN48*$GM48*'Verwerking Bouwdelen'!DW32,$GN48*$GM48*'Verwerking Bouwdelen'!AE32)</f>
        <v>0</v>
      </c>
      <c r="HB48" s="89">
        <f t="shared" si="16"/>
        <v>0</v>
      </c>
      <c r="HC48" s="89">
        <f t="shared" si="17"/>
        <v>0</v>
      </c>
      <c r="HD48" s="89">
        <f t="shared" si="18"/>
        <v>0</v>
      </c>
      <c r="HE48" s="89">
        <f t="shared" si="19"/>
        <v>0</v>
      </c>
      <c r="HF48" s="89">
        <f t="shared" si="19"/>
        <v>0</v>
      </c>
      <c r="HG48" s="89">
        <f t="shared" si="19"/>
        <v>0</v>
      </c>
      <c r="HH48" s="89">
        <f t="shared" si="19"/>
        <v>0</v>
      </c>
      <c r="HI48" s="89">
        <f t="shared" si="19"/>
        <v>0</v>
      </c>
      <c r="HJ48" s="89">
        <f t="shared" si="19"/>
        <v>0</v>
      </c>
      <c r="HK48" s="89">
        <f t="shared" si="19"/>
        <v>0</v>
      </c>
      <c r="HL48" s="89">
        <f t="shared" si="19"/>
        <v>0</v>
      </c>
      <c r="HM48" s="89">
        <f t="shared" si="19"/>
        <v>0</v>
      </c>
    </row>
    <row r="49" spans="1:221" x14ac:dyDescent="0.2">
      <c r="A49" s="130">
        <f>IF('Verwerking Bouwdelen'!A33=5,1,0)</f>
        <v>0</v>
      </c>
      <c r="B49" s="208">
        <f>$A49*'Verwerking Bouwdelen'!T33</f>
        <v>0</v>
      </c>
      <c r="C49" s="208">
        <f>$A49*'Verwerking Bouwdelen'!U33</f>
        <v>0</v>
      </c>
      <c r="D49" s="208">
        <f>$A49*'Verwerking Bouwdelen'!V33</f>
        <v>0</v>
      </c>
      <c r="E49" s="208">
        <f>$A49*'Verwerking Bouwdelen'!W33</f>
        <v>0</v>
      </c>
      <c r="F49" s="208">
        <f>$A49*'Verwerking Bouwdelen'!X33</f>
        <v>0</v>
      </c>
      <c r="G49" s="208">
        <f>$A49*'Verwerking Bouwdelen'!Y33</f>
        <v>0</v>
      </c>
      <c r="H49" s="208">
        <f>$A49*'Verwerking Bouwdelen'!Z33</f>
        <v>0</v>
      </c>
      <c r="I49" s="208">
        <f>$A49*'Verwerking Bouwdelen'!AA33</f>
        <v>0</v>
      </c>
      <c r="J49" s="208">
        <f>$A49*'Verwerking Bouwdelen'!AB33</f>
        <v>0</v>
      </c>
      <c r="K49" s="208">
        <f>$A49*'Verwerking Bouwdelen'!AC33</f>
        <v>0</v>
      </c>
      <c r="L49" s="208">
        <f>$A49*'Verwerking Bouwdelen'!AD33</f>
        <v>0</v>
      </c>
      <c r="M49" s="208">
        <f>$A49*'Verwerking Bouwdelen'!AE33</f>
        <v>0</v>
      </c>
      <c r="O49" s="114">
        <f>$A49*'Verwerking Bouwdelen'!AU33</f>
        <v>0</v>
      </c>
      <c r="P49" s="125">
        <f>$A49*'Verwerking Bouwdelen'!AV33</f>
        <v>0</v>
      </c>
      <c r="Q49" s="125">
        <f>$A49*'Verwerking Bouwdelen'!AW33</f>
        <v>0</v>
      </c>
      <c r="R49" s="125">
        <f>$A49*'Verwerking Bouwdelen'!AX33</f>
        <v>0</v>
      </c>
      <c r="S49" s="125">
        <f>$A49*'Verwerking Bouwdelen'!AY33</f>
        <v>0</v>
      </c>
      <c r="T49" s="125">
        <f>$A49*'Verwerking Bouwdelen'!AZ33</f>
        <v>0</v>
      </c>
      <c r="U49" s="125">
        <f>$A49*'Verwerking Bouwdelen'!BA33</f>
        <v>0</v>
      </c>
      <c r="V49" s="125">
        <f>$A49*'Verwerking Bouwdelen'!BB33</f>
        <v>0</v>
      </c>
      <c r="W49" s="125">
        <f>$A49*'Verwerking Bouwdelen'!BC33</f>
        <v>0</v>
      </c>
      <c r="X49" s="125">
        <f>$A49*'Verwerking Bouwdelen'!BD33</f>
        <v>0</v>
      </c>
      <c r="Y49" s="125">
        <f>$A49*'Verwerking Bouwdelen'!BE33</f>
        <v>0</v>
      </c>
      <c r="Z49" s="195">
        <f>$A49*'Verwerking Bouwdelen'!BF33</f>
        <v>0</v>
      </c>
      <c r="AB49" s="125">
        <f>IF(OR('Verwerking Bouwdelen'!C33=3,'Verwerking Bouwdelen'!C33=6),1,0)</f>
        <v>0</v>
      </c>
      <c r="AC49" s="130">
        <f>IF('Verwerking Bouwdelen'!A33=5,1,0)</f>
        <v>0</v>
      </c>
      <c r="AD49" s="208">
        <f>IF($AB49=1,$AC49*'Verwerking Bouwdelen'!DL33,$AC49*'Verwerking Bouwdelen'!T33)</f>
        <v>0</v>
      </c>
      <c r="AE49" s="208">
        <f>IF($AB49=1,$AC49*'Verwerking Bouwdelen'!DM33,$AC49*'Verwerking Bouwdelen'!U33)</f>
        <v>0</v>
      </c>
      <c r="AF49" s="208">
        <f>IF($AB49=1,$AC49*'Verwerking Bouwdelen'!DN33,$AC49*'Verwerking Bouwdelen'!V33)</f>
        <v>0</v>
      </c>
      <c r="AG49" s="208">
        <f>IF($AB49=1,$AC49*'Verwerking Bouwdelen'!DO33,$AC49*'Verwerking Bouwdelen'!W33)</f>
        <v>0</v>
      </c>
      <c r="AH49" s="208">
        <f>IF($AB49=1,$AC49*'Verwerking Bouwdelen'!DP33,$AC49*'Verwerking Bouwdelen'!X33)</f>
        <v>0</v>
      </c>
      <c r="AI49" s="208">
        <f>IF($AB49=1,$AC49*'Verwerking Bouwdelen'!DQ33,$AC49*'Verwerking Bouwdelen'!Y33)</f>
        <v>0</v>
      </c>
      <c r="AJ49" s="208">
        <f>IF($AB49=1,$AC49*'Verwerking Bouwdelen'!DR33,$AC49*'Verwerking Bouwdelen'!Z33)</f>
        <v>0</v>
      </c>
      <c r="AK49" s="208">
        <f>IF($AB49=1,$AC49*'Verwerking Bouwdelen'!DS33,$AC49*'Verwerking Bouwdelen'!AA33)</f>
        <v>0</v>
      </c>
      <c r="AL49" s="208">
        <f>IF($AB49=1,$AC49*'Verwerking Bouwdelen'!DT33,$AC49*'Verwerking Bouwdelen'!AB33)</f>
        <v>0</v>
      </c>
      <c r="AM49" s="208">
        <f>IF($AB49=1,$AC49*'Verwerking Bouwdelen'!DU33,$AC49*'Verwerking Bouwdelen'!AC33)</f>
        <v>0</v>
      </c>
      <c r="AN49" s="208">
        <f>IF($AB49=1,$AC49*'Verwerking Bouwdelen'!DV33,$AC49*'Verwerking Bouwdelen'!AD33)</f>
        <v>0</v>
      </c>
      <c r="AO49" s="208">
        <f>IF($AB49=1,$AC49*'Verwerking Bouwdelen'!DW33,$AC49*'Verwerking Bouwdelen'!AE33)</f>
        <v>0</v>
      </c>
      <c r="AP49" s="10">
        <f>IF(AD49=B49,0,'Verwerking Bouwdelen'!D33*AB49*AC49)</f>
        <v>0</v>
      </c>
      <c r="AQ49" s="10">
        <f>AB49*AC49*'Verwerking Bouwdelen'!GH33</f>
        <v>0</v>
      </c>
      <c r="AR49" s="10"/>
      <c r="AS49" s="248"/>
      <c r="AT49" s="125">
        <f>IF('Verwerking Bouwdelen'!C33=4,1,0)</f>
        <v>0</v>
      </c>
      <c r="AU49" s="130">
        <f>IF('Verwerking Bouwdelen'!A33=5,1,0)</f>
        <v>0</v>
      </c>
      <c r="AV49" s="208">
        <f>IF($AT49=1,$AU49*'Verwerking Bouwdelen'!DL33,$AU49*'Verwerking Bouwdelen'!T33)</f>
        <v>0</v>
      </c>
      <c r="AW49" s="208">
        <f>IF($AT49=1,$AU49*'Verwerking Bouwdelen'!DM33,$AU49*'Verwerking Bouwdelen'!U33)</f>
        <v>0</v>
      </c>
      <c r="AX49" s="208">
        <f>IF($AT49=1,$AU49*'Verwerking Bouwdelen'!DN33,$AU49*'Verwerking Bouwdelen'!V33)</f>
        <v>0</v>
      </c>
      <c r="AY49" s="208">
        <f>IF($AT49=1,$AU49*'Verwerking Bouwdelen'!DO33,$AU49*'Verwerking Bouwdelen'!W33)</f>
        <v>0</v>
      </c>
      <c r="AZ49" s="208">
        <f>IF($AT49=1,$AU49*'Verwerking Bouwdelen'!DP33,$AU49*'Verwerking Bouwdelen'!X33)</f>
        <v>0</v>
      </c>
      <c r="BA49" s="208">
        <f>IF($AT49=1,$AU49*'Verwerking Bouwdelen'!DQ33,$AU49*'Verwerking Bouwdelen'!Y33)</f>
        <v>0</v>
      </c>
      <c r="BB49" s="208">
        <f>IF($AT49=1,$AU49*'Verwerking Bouwdelen'!DR33,$AU49*'Verwerking Bouwdelen'!Z33)</f>
        <v>0</v>
      </c>
      <c r="BC49" s="208">
        <f>IF($AT49=1,$AU49*'Verwerking Bouwdelen'!DS33,$AU49*'Verwerking Bouwdelen'!AA33)</f>
        <v>0</v>
      </c>
      <c r="BD49" s="208">
        <f>IF($AT49=1,$AU49*'Verwerking Bouwdelen'!DT33,$AU49*'Verwerking Bouwdelen'!AB33)</f>
        <v>0</v>
      </c>
      <c r="BE49" s="208">
        <f>IF($AT49=1,$AU49*'Verwerking Bouwdelen'!DU33,$AU49*'Verwerking Bouwdelen'!AC33)</f>
        <v>0</v>
      </c>
      <c r="BF49" s="208">
        <f>IF($AT49=1,$AU49*'Verwerking Bouwdelen'!DV33,$AU49*'Verwerking Bouwdelen'!AD33)</f>
        <v>0</v>
      </c>
      <c r="BG49" s="208">
        <f>IF($AT49=1,$AU49*'Verwerking Bouwdelen'!DW33,$AU49*'Verwerking Bouwdelen'!AE33)</f>
        <v>0</v>
      </c>
      <c r="BH49" s="10">
        <f>IF(AV49=B49,0,'Verwerking Bouwdelen'!D33*AT49*AU49)</f>
        <v>0</v>
      </c>
      <c r="BI49" s="10">
        <f>AT49*AU49*'Verwerking Bouwdelen'!GH33</f>
        <v>0</v>
      </c>
      <c r="BJ49" s="10"/>
      <c r="BK49" s="10"/>
      <c r="BM49" s="125">
        <f>IF('Verwerking Bouwdelen'!C33=5,1,0)</f>
        <v>0</v>
      </c>
      <c r="BN49" s="130">
        <f>IF('Verwerking Bouwdelen'!A33=5,1,0)</f>
        <v>0</v>
      </c>
      <c r="BO49" s="208">
        <f>IF($BM49=1,$BN49*'Verwerking Bouwdelen'!DL33,$BN49*'Verwerking Bouwdelen'!T33)</f>
        <v>0</v>
      </c>
      <c r="BP49" s="208">
        <f>IF($BM49=1,$BN49*'Verwerking Bouwdelen'!DM33,$BN49*'Verwerking Bouwdelen'!U33)</f>
        <v>0</v>
      </c>
      <c r="BQ49" s="208">
        <f>IF($BM49=1,$BN49*'Verwerking Bouwdelen'!DN33,$BN49*'Verwerking Bouwdelen'!V33)</f>
        <v>0</v>
      </c>
      <c r="BR49" s="208">
        <f>IF($BM49=1,$BN49*'Verwerking Bouwdelen'!DO33,$BN49*'Verwerking Bouwdelen'!W33)</f>
        <v>0</v>
      </c>
      <c r="BS49" s="208">
        <f>IF($BM49=1,$BN49*'Verwerking Bouwdelen'!DP33,$BN49*'Verwerking Bouwdelen'!X33)</f>
        <v>0</v>
      </c>
      <c r="BT49" s="208">
        <f>IF($BM49=1,$BN49*'Verwerking Bouwdelen'!DQ33,$BN49*'Verwerking Bouwdelen'!Y33)</f>
        <v>0</v>
      </c>
      <c r="BU49" s="208">
        <f>IF($BM49=1,$BN49*'Verwerking Bouwdelen'!DR33,$BN49*'Verwerking Bouwdelen'!Z33)</f>
        <v>0</v>
      </c>
      <c r="BV49" s="208">
        <f>IF($BM49=1,$BN49*'Verwerking Bouwdelen'!DS33,$BN49*'Verwerking Bouwdelen'!AA33)</f>
        <v>0</v>
      </c>
      <c r="BW49" s="208">
        <f>IF($BM49=1,$BN49*'Verwerking Bouwdelen'!DT33,$BN49*'Verwerking Bouwdelen'!AB33)</f>
        <v>0</v>
      </c>
      <c r="BX49" s="208">
        <f>IF($BM49=1,$BN49*'Verwerking Bouwdelen'!DU33,$BN49*'Verwerking Bouwdelen'!AC33)</f>
        <v>0</v>
      </c>
      <c r="BY49" s="208">
        <f>IF($BM49=1,$BN49*'Verwerking Bouwdelen'!DV33,$BN49*'Verwerking Bouwdelen'!AD33)</f>
        <v>0</v>
      </c>
      <c r="BZ49" s="208">
        <f>IF($BM49=1,$BN49*'Verwerking Bouwdelen'!DW33,$BN49*'Verwerking Bouwdelen'!AE33)</f>
        <v>0</v>
      </c>
      <c r="CA49" s="10">
        <f>IF(BO49=$B49,0,'Verwerking Bouwdelen'!$D33*BM49*BN49)</f>
        <v>0</v>
      </c>
      <c r="CB49" s="10">
        <f>BM49*BN49*'Verwerking Bouwdelen'!GH33</f>
        <v>0</v>
      </c>
      <c r="CC49" s="10"/>
      <c r="CD49" s="248"/>
      <c r="CE49" s="125">
        <f>IF('Verwerking Bouwdelen'!C33=2,1,0)</f>
        <v>0</v>
      </c>
      <c r="CF49" s="130">
        <f>IF('Verwerking Bouwdelen'!A33=5,1,0)</f>
        <v>0</v>
      </c>
      <c r="CG49" s="208">
        <f>IF($CE49=1,$CF49*'Verwerking Bouwdelen'!DL33,$CF49*'Verwerking Bouwdelen'!T33)</f>
        <v>0</v>
      </c>
      <c r="CH49" s="208">
        <f>IF($CE49=1,$CF49*'Verwerking Bouwdelen'!DM33,$CF49*'Verwerking Bouwdelen'!U33)</f>
        <v>0</v>
      </c>
      <c r="CI49" s="208">
        <f>IF($CE49=1,$CF49*'Verwerking Bouwdelen'!DN33,$CF49*'Verwerking Bouwdelen'!V33)</f>
        <v>0</v>
      </c>
      <c r="CJ49" s="208">
        <f>IF($CE49=1,$CF49*'Verwerking Bouwdelen'!DO33,$CF49*'Verwerking Bouwdelen'!W33)</f>
        <v>0</v>
      </c>
      <c r="CK49" s="208">
        <f>IF($CE49=1,$CF49*'Verwerking Bouwdelen'!DP33,$CF49*'Verwerking Bouwdelen'!X33)</f>
        <v>0</v>
      </c>
      <c r="CL49" s="208">
        <f>IF($CE49=1,$CF49*'Verwerking Bouwdelen'!DQ33,$CF49*'Verwerking Bouwdelen'!Y33)</f>
        <v>0</v>
      </c>
      <c r="CM49" s="208">
        <f>IF($CE49=1,$CF49*'Verwerking Bouwdelen'!DR33,$CF49*'Verwerking Bouwdelen'!Z33)</f>
        <v>0</v>
      </c>
      <c r="CN49" s="208">
        <f>IF($CE49=1,$CF49*'Verwerking Bouwdelen'!DS33,$CF49*'Verwerking Bouwdelen'!AA33)</f>
        <v>0</v>
      </c>
      <c r="CO49" s="208">
        <f>IF($CE49=1,$CF49*'Verwerking Bouwdelen'!DT33,$CF49*'Verwerking Bouwdelen'!AB33)</f>
        <v>0</v>
      </c>
      <c r="CP49" s="208">
        <f>IF($CE49=1,$CF49*'Verwerking Bouwdelen'!DU33,$CF49*'Verwerking Bouwdelen'!AC33)</f>
        <v>0</v>
      </c>
      <c r="CQ49" s="208">
        <f>IF($CE49=1,$CF49*'Verwerking Bouwdelen'!DV33,$CF49*'Verwerking Bouwdelen'!AD33)</f>
        <v>0</v>
      </c>
      <c r="CR49" s="208">
        <f>IF($CE49=1,$CF49*'Verwerking Bouwdelen'!DW33,$CF49*'Verwerking Bouwdelen'!AE33)</f>
        <v>0</v>
      </c>
      <c r="CS49" s="10">
        <f>IF(CG49=$B49,0,('Verwerking Bouwdelen'!$D33-'Verwerking Bouwdelen'!G33)*CE49*CF49)</f>
        <v>0</v>
      </c>
      <c r="CT49" s="261">
        <f>CE49*CF49*'Verwerking Bouwdelen'!$GH$3</f>
        <v>0</v>
      </c>
      <c r="CU49" s="261">
        <f>CE49*CF49*'Verwerking Bouwdelen'!GI33</f>
        <v>0</v>
      </c>
      <c r="CW49" s="209">
        <f>$AC49*'Verwerking Bouwdelen'!EE33</f>
        <v>0</v>
      </c>
      <c r="CX49" s="209">
        <f>$AC49*'Verwerking Bouwdelen'!EF33</f>
        <v>0</v>
      </c>
      <c r="CY49" s="209">
        <f>$AC49*'Verwerking Bouwdelen'!EG33</f>
        <v>0</v>
      </c>
      <c r="CZ49" s="209">
        <f>$AC49*'Verwerking Bouwdelen'!EH33</f>
        <v>0</v>
      </c>
      <c r="DA49" s="209">
        <f>$AC49*'Verwerking Bouwdelen'!EI33</f>
        <v>0</v>
      </c>
      <c r="DB49" s="209">
        <f>$AC49*'Verwerking Bouwdelen'!EJ33</f>
        <v>0</v>
      </c>
      <c r="DC49" s="209">
        <f>$AC49*'Verwerking Bouwdelen'!EK33</f>
        <v>0</v>
      </c>
      <c r="DD49" s="209">
        <f>$AC49*'Verwerking Bouwdelen'!EL33</f>
        <v>0</v>
      </c>
      <c r="DE49" s="209">
        <f>$AC49*'Verwerking Bouwdelen'!EM33</f>
        <v>0</v>
      </c>
      <c r="DF49" s="209">
        <f>$AC49*'Verwerking Bouwdelen'!EN33</f>
        <v>0</v>
      </c>
      <c r="DG49" s="209">
        <f>$AC49*'Verwerking Bouwdelen'!EO33</f>
        <v>0</v>
      </c>
      <c r="DH49" s="209">
        <f>$AC49*'Verwerking Bouwdelen'!EP33</f>
        <v>0</v>
      </c>
      <c r="DI49" s="10">
        <f>IF(CW49=$O49,0,'Verwerking Bouwdelen'!G33)</f>
        <v>0</v>
      </c>
      <c r="DJ49" s="259">
        <f>'Verwerking Bouwdelen'!GK33*CF49</f>
        <v>0</v>
      </c>
      <c r="DK49" s="259">
        <f>'Verwerking Bouwdelen'!GL33*CF49</f>
        <v>0</v>
      </c>
      <c r="DL49" s="125"/>
      <c r="GM49" s="89">
        <f t="shared" si="13"/>
        <v>0</v>
      </c>
      <c r="GN49" s="89">
        <f t="shared" si="14"/>
        <v>0</v>
      </c>
      <c r="GO49" s="208">
        <f>IF($GN49=1,$GN49*$GM49*'Verwerking Bouwdelen'!DL33,$GN49*$GM49*'Verwerking Bouwdelen'!T33)</f>
        <v>0</v>
      </c>
      <c r="GP49" s="208">
        <f>IF($GN49=1,$GN49*$GM49*'Verwerking Bouwdelen'!DM33,$GN49*$GM49*'Verwerking Bouwdelen'!U33)</f>
        <v>0</v>
      </c>
      <c r="GQ49" s="208">
        <f>IF($GN49=1,$GN49*$GM49*'Verwerking Bouwdelen'!DN33,$GN49*$GM49*'Verwerking Bouwdelen'!V33)</f>
        <v>0</v>
      </c>
      <c r="GR49" s="208">
        <f>IF($GN49=1,$GN49*$GM49*'Verwerking Bouwdelen'!DO33,$GN49*$GM49*'Verwerking Bouwdelen'!W33)</f>
        <v>0</v>
      </c>
      <c r="GS49" s="208">
        <f>IF($GN49=1,$GN49*$GM49*'Verwerking Bouwdelen'!DP33,$GN49*$GM49*'Verwerking Bouwdelen'!X33)</f>
        <v>0</v>
      </c>
      <c r="GT49" s="208">
        <f>IF($GN49=1,$GN49*$GM49*'Verwerking Bouwdelen'!DQ33,$GN49*$GM49*'Verwerking Bouwdelen'!Y33)</f>
        <v>0</v>
      </c>
      <c r="GU49" s="208">
        <f>IF($GN49=1,$GN49*$GM49*'Verwerking Bouwdelen'!DR33,$GN49*$GM49*'Verwerking Bouwdelen'!Z33)</f>
        <v>0</v>
      </c>
      <c r="GV49" s="208">
        <f>IF($GN49=1,$GN49*$GM49*'Verwerking Bouwdelen'!DS33,$GN49*$GM49*'Verwerking Bouwdelen'!AA33)</f>
        <v>0</v>
      </c>
      <c r="GW49" s="208">
        <f>IF($GN49=1,$GN49*$GM49*'Verwerking Bouwdelen'!DT33,$GN49*$GM49*'Verwerking Bouwdelen'!AB33)</f>
        <v>0</v>
      </c>
      <c r="GX49" s="208">
        <f>IF($GN49=1,$GN49*$GM49*'Verwerking Bouwdelen'!DU33,$GN49*$GM49*'Verwerking Bouwdelen'!AC33)</f>
        <v>0</v>
      </c>
      <c r="GY49" s="208">
        <f>IF($GN49=1,$GN49*$GM49*'Verwerking Bouwdelen'!DV33,$GN49*$GM49*'Verwerking Bouwdelen'!AD33)</f>
        <v>0</v>
      </c>
      <c r="GZ49" s="208">
        <f>IF($GN49=1,$GN49*$GM49*'Verwerking Bouwdelen'!DW33,$GN49*$GM49*'Verwerking Bouwdelen'!AE33)</f>
        <v>0</v>
      </c>
      <c r="HB49" s="89">
        <f t="shared" si="16"/>
        <v>0</v>
      </c>
      <c r="HC49" s="89">
        <f t="shared" si="17"/>
        <v>0</v>
      </c>
      <c r="HD49" s="89">
        <f t="shared" si="18"/>
        <v>0</v>
      </c>
      <c r="HE49" s="89">
        <f t="shared" si="19"/>
        <v>0</v>
      </c>
      <c r="HF49" s="89">
        <f t="shared" si="19"/>
        <v>0</v>
      </c>
      <c r="HG49" s="89">
        <f t="shared" si="19"/>
        <v>0</v>
      </c>
      <c r="HH49" s="89">
        <f t="shared" si="19"/>
        <v>0</v>
      </c>
      <c r="HI49" s="89">
        <f t="shared" si="19"/>
        <v>0</v>
      </c>
      <c r="HJ49" s="89">
        <f t="shared" si="19"/>
        <v>0</v>
      </c>
      <c r="HK49" s="89">
        <f t="shared" si="19"/>
        <v>0</v>
      </c>
      <c r="HL49" s="89">
        <f t="shared" si="19"/>
        <v>0</v>
      </c>
      <c r="HM49" s="89">
        <f t="shared" si="19"/>
        <v>0</v>
      </c>
    </row>
    <row r="50" spans="1:221" x14ac:dyDescent="0.2">
      <c r="A50" s="130">
        <f>IF('Verwerking Bouwdelen'!A34=5,1,0)</f>
        <v>0</v>
      </c>
      <c r="B50" s="208">
        <f>$A50*'Verwerking Bouwdelen'!T34</f>
        <v>0</v>
      </c>
      <c r="C50" s="208">
        <f>$A50*'Verwerking Bouwdelen'!U34</f>
        <v>0</v>
      </c>
      <c r="D50" s="208">
        <f>$A50*'Verwerking Bouwdelen'!V34</f>
        <v>0</v>
      </c>
      <c r="E50" s="208">
        <f>$A50*'Verwerking Bouwdelen'!W34</f>
        <v>0</v>
      </c>
      <c r="F50" s="208">
        <f>$A50*'Verwerking Bouwdelen'!X34</f>
        <v>0</v>
      </c>
      <c r="G50" s="208">
        <f>$A50*'Verwerking Bouwdelen'!Y34</f>
        <v>0</v>
      </c>
      <c r="H50" s="208">
        <f>$A50*'Verwerking Bouwdelen'!Z34</f>
        <v>0</v>
      </c>
      <c r="I50" s="208">
        <f>$A50*'Verwerking Bouwdelen'!AA34</f>
        <v>0</v>
      </c>
      <c r="J50" s="208">
        <f>$A50*'Verwerking Bouwdelen'!AB34</f>
        <v>0</v>
      </c>
      <c r="K50" s="208">
        <f>$A50*'Verwerking Bouwdelen'!AC34</f>
        <v>0</v>
      </c>
      <c r="L50" s="208">
        <f>$A50*'Verwerking Bouwdelen'!AD34</f>
        <v>0</v>
      </c>
      <c r="M50" s="208">
        <f>$A50*'Verwerking Bouwdelen'!AE34</f>
        <v>0</v>
      </c>
      <c r="O50" s="114">
        <f>$A50*'Verwerking Bouwdelen'!AU34</f>
        <v>0</v>
      </c>
      <c r="P50" s="125">
        <f>$A50*'Verwerking Bouwdelen'!AV34</f>
        <v>0</v>
      </c>
      <c r="Q50" s="125">
        <f>$A50*'Verwerking Bouwdelen'!AW34</f>
        <v>0</v>
      </c>
      <c r="R50" s="125">
        <f>$A50*'Verwerking Bouwdelen'!AX34</f>
        <v>0</v>
      </c>
      <c r="S50" s="125">
        <f>$A50*'Verwerking Bouwdelen'!AY34</f>
        <v>0</v>
      </c>
      <c r="T50" s="125">
        <f>$A50*'Verwerking Bouwdelen'!AZ34</f>
        <v>0</v>
      </c>
      <c r="U50" s="125">
        <f>$A50*'Verwerking Bouwdelen'!BA34</f>
        <v>0</v>
      </c>
      <c r="V50" s="125">
        <f>$A50*'Verwerking Bouwdelen'!BB34</f>
        <v>0</v>
      </c>
      <c r="W50" s="125">
        <f>$A50*'Verwerking Bouwdelen'!BC34</f>
        <v>0</v>
      </c>
      <c r="X50" s="125">
        <f>$A50*'Verwerking Bouwdelen'!BD34</f>
        <v>0</v>
      </c>
      <c r="Y50" s="125">
        <f>$A50*'Verwerking Bouwdelen'!BE34</f>
        <v>0</v>
      </c>
      <c r="Z50" s="195">
        <f>$A50*'Verwerking Bouwdelen'!BF34</f>
        <v>0</v>
      </c>
      <c r="AB50" s="125">
        <f>IF(OR('Verwerking Bouwdelen'!C34=3,'Verwerking Bouwdelen'!C34=6),1,0)</f>
        <v>0</v>
      </c>
      <c r="AC50" s="130">
        <f>IF('Verwerking Bouwdelen'!A34=5,1,0)</f>
        <v>0</v>
      </c>
      <c r="AD50" s="208">
        <f>IF($AB50=1,$AC50*'Verwerking Bouwdelen'!DL34,$AC50*'Verwerking Bouwdelen'!T34)</f>
        <v>0</v>
      </c>
      <c r="AE50" s="208">
        <f>IF($AB50=1,$AC50*'Verwerking Bouwdelen'!DM34,$AC50*'Verwerking Bouwdelen'!U34)</f>
        <v>0</v>
      </c>
      <c r="AF50" s="208">
        <f>IF($AB50=1,$AC50*'Verwerking Bouwdelen'!DN34,$AC50*'Verwerking Bouwdelen'!V34)</f>
        <v>0</v>
      </c>
      <c r="AG50" s="208">
        <f>IF($AB50=1,$AC50*'Verwerking Bouwdelen'!DO34,$AC50*'Verwerking Bouwdelen'!W34)</f>
        <v>0</v>
      </c>
      <c r="AH50" s="208">
        <f>IF($AB50=1,$AC50*'Verwerking Bouwdelen'!DP34,$AC50*'Verwerking Bouwdelen'!X34)</f>
        <v>0</v>
      </c>
      <c r="AI50" s="208">
        <f>IF($AB50=1,$AC50*'Verwerking Bouwdelen'!DQ34,$AC50*'Verwerking Bouwdelen'!Y34)</f>
        <v>0</v>
      </c>
      <c r="AJ50" s="208">
        <f>IF($AB50=1,$AC50*'Verwerking Bouwdelen'!DR34,$AC50*'Verwerking Bouwdelen'!Z34)</f>
        <v>0</v>
      </c>
      <c r="AK50" s="208">
        <f>IF($AB50=1,$AC50*'Verwerking Bouwdelen'!DS34,$AC50*'Verwerking Bouwdelen'!AA34)</f>
        <v>0</v>
      </c>
      <c r="AL50" s="208">
        <f>IF($AB50=1,$AC50*'Verwerking Bouwdelen'!DT34,$AC50*'Verwerking Bouwdelen'!AB34)</f>
        <v>0</v>
      </c>
      <c r="AM50" s="208">
        <f>IF($AB50=1,$AC50*'Verwerking Bouwdelen'!DU34,$AC50*'Verwerking Bouwdelen'!AC34)</f>
        <v>0</v>
      </c>
      <c r="AN50" s="208">
        <f>IF($AB50=1,$AC50*'Verwerking Bouwdelen'!DV34,$AC50*'Verwerking Bouwdelen'!AD34)</f>
        <v>0</v>
      </c>
      <c r="AO50" s="208">
        <f>IF($AB50=1,$AC50*'Verwerking Bouwdelen'!DW34,$AC50*'Verwerking Bouwdelen'!AE34)</f>
        <v>0</v>
      </c>
      <c r="AP50" s="10">
        <f>IF(AD50=B50,0,'Verwerking Bouwdelen'!D34*AB50*AC50)</f>
        <v>0</v>
      </c>
      <c r="AQ50" s="10">
        <f>AB50*AC50*'Verwerking Bouwdelen'!GH34</f>
        <v>0</v>
      </c>
      <c r="AR50" s="10"/>
      <c r="AS50" s="248"/>
      <c r="AT50" s="125">
        <f>IF('Verwerking Bouwdelen'!C34=4,1,0)</f>
        <v>0</v>
      </c>
      <c r="AU50" s="130">
        <f>IF('Verwerking Bouwdelen'!A34=5,1,0)</f>
        <v>0</v>
      </c>
      <c r="AV50" s="208">
        <f>IF($AT50=1,$AU50*'Verwerking Bouwdelen'!DL34,$AU50*'Verwerking Bouwdelen'!T34)</f>
        <v>0</v>
      </c>
      <c r="AW50" s="208">
        <f>IF($AT50=1,$AU50*'Verwerking Bouwdelen'!DM34,$AU50*'Verwerking Bouwdelen'!U34)</f>
        <v>0</v>
      </c>
      <c r="AX50" s="208">
        <f>IF($AT50=1,$AU50*'Verwerking Bouwdelen'!DN34,$AU50*'Verwerking Bouwdelen'!V34)</f>
        <v>0</v>
      </c>
      <c r="AY50" s="208">
        <f>IF($AT50=1,$AU50*'Verwerking Bouwdelen'!DO34,$AU50*'Verwerking Bouwdelen'!W34)</f>
        <v>0</v>
      </c>
      <c r="AZ50" s="208">
        <f>IF($AT50=1,$AU50*'Verwerking Bouwdelen'!DP34,$AU50*'Verwerking Bouwdelen'!X34)</f>
        <v>0</v>
      </c>
      <c r="BA50" s="208">
        <f>IF($AT50=1,$AU50*'Verwerking Bouwdelen'!DQ34,$AU50*'Verwerking Bouwdelen'!Y34)</f>
        <v>0</v>
      </c>
      <c r="BB50" s="208">
        <f>IF($AT50=1,$AU50*'Verwerking Bouwdelen'!DR34,$AU50*'Verwerking Bouwdelen'!Z34)</f>
        <v>0</v>
      </c>
      <c r="BC50" s="208">
        <f>IF($AT50=1,$AU50*'Verwerking Bouwdelen'!DS34,$AU50*'Verwerking Bouwdelen'!AA34)</f>
        <v>0</v>
      </c>
      <c r="BD50" s="208">
        <f>IF($AT50=1,$AU50*'Verwerking Bouwdelen'!DT34,$AU50*'Verwerking Bouwdelen'!AB34)</f>
        <v>0</v>
      </c>
      <c r="BE50" s="208">
        <f>IF($AT50=1,$AU50*'Verwerking Bouwdelen'!DU34,$AU50*'Verwerking Bouwdelen'!AC34)</f>
        <v>0</v>
      </c>
      <c r="BF50" s="208">
        <f>IF($AT50=1,$AU50*'Verwerking Bouwdelen'!DV34,$AU50*'Verwerking Bouwdelen'!AD34)</f>
        <v>0</v>
      </c>
      <c r="BG50" s="208">
        <f>IF($AT50=1,$AU50*'Verwerking Bouwdelen'!DW34,$AU50*'Verwerking Bouwdelen'!AE34)</f>
        <v>0</v>
      </c>
      <c r="BH50" s="10">
        <f>IF(AV50=B50,0,'Verwerking Bouwdelen'!D34*AT50*AU50)</f>
        <v>0</v>
      </c>
      <c r="BI50" s="10">
        <f>AT50*AU50*'Verwerking Bouwdelen'!GH34</f>
        <v>0</v>
      </c>
      <c r="BJ50" s="10"/>
      <c r="BK50" s="10"/>
      <c r="BM50" s="125">
        <f>IF('Verwerking Bouwdelen'!C34=5,1,0)</f>
        <v>0</v>
      </c>
      <c r="BN50" s="130">
        <f>IF('Verwerking Bouwdelen'!A34=5,1,0)</f>
        <v>0</v>
      </c>
      <c r="BO50" s="208">
        <f>IF($BM50=1,$BN50*'Verwerking Bouwdelen'!DL34,$BN50*'Verwerking Bouwdelen'!T34)</f>
        <v>0</v>
      </c>
      <c r="BP50" s="208">
        <f>IF($BM50=1,$BN50*'Verwerking Bouwdelen'!DM34,$BN50*'Verwerking Bouwdelen'!U34)</f>
        <v>0</v>
      </c>
      <c r="BQ50" s="208">
        <f>IF($BM50=1,$BN50*'Verwerking Bouwdelen'!DN34,$BN50*'Verwerking Bouwdelen'!V34)</f>
        <v>0</v>
      </c>
      <c r="BR50" s="208">
        <f>IF($BM50=1,$BN50*'Verwerking Bouwdelen'!DO34,$BN50*'Verwerking Bouwdelen'!W34)</f>
        <v>0</v>
      </c>
      <c r="BS50" s="208">
        <f>IF($BM50=1,$BN50*'Verwerking Bouwdelen'!DP34,$BN50*'Verwerking Bouwdelen'!X34)</f>
        <v>0</v>
      </c>
      <c r="BT50" s="208">
        <f>IF($BM50=1,$BN50*'Verwerking Bouwdelen'!DQ34,$BN50*'Verwerking Bouwdelen'!Y34)</f>
        <v>0</v>
      </c>
      <c r="BU50" s="208">
        <f>IF($BM50=1,$BN50*'Verwerking Bouwdelen'!DR34,$BN50*'Verwerking Bouwdelen'!Z34)</f>
        <v>0</v>
      </c>
      <c r="BV50" s="208">
        <f>IF($BM50=1,$BN50*'Verwerking Bouwdelen'!DS34,$BN50*'Verwerking Bouwdelen'!AA34)</f>
        <v>0</v>
      </c>
      <c r="BW50" s="208">
        <f>IF($BM50=1,$BN50*'Verwerking Bouwdelen'!DT34,$BN50*'Verwerking Bouwdelen'!AB34)</f>
        <v>0</v>
      </c>
      <c r="BX50" s="208">
        <f>IF($BM50=1,$BN50*'Verwerking Bouwdelen'!DU34,$BN50*'Verwerking Bouwdelen'!AC34)</f>
        <v>0</v>
      </c>
      <c r="BY50" s="208">
        <f>IF($BM50=1,$BN50*'Verwerking Bouwdelen'!DV34,$BN50*'Verwerking Bouwdelen'!AD34)</f>
        <v>0</v>
      </c>
      <c r="BZ50" s="208">
        <f>IF($BM50=1,$BN50*'Verwerking Bouwdelen'!DW34,$BN50*'Verwerking Bouwdelen'!AE34)</f>
        <v>0</v>
      </c>
      <c r="CA50" s="10">
        <f>IF(BO50=$B50,0,'Verwerking Bouwdelen'!$D34*BM50*BN50)</f>
        <v>0</v>
      </c>
      <c r="CB50" s="10">
        <f>BM50*BN50*'Verwerking Bouwdelen'!GH34</f>
        <v>0</v>
      </c>
      <c r="CC50" s="10"/>
      <c r="CD50" s="248"/>
      <c r="CE50" s="125">
        <f>IF('Verwerking Bouwdelen'!C34=2,1,0)</f>
        <v>0</v>
      </c>
      <c r="CF50" s="130">
        <f>IF('Verwerking Bouwdelen'!A34=5,1,0)</f>
        <v>0</v>
      </c>
      <c r="CG50" s="208">
        <f>IF($CE50=1,$CF50*'Verwerking Bouwdelen'!DL34,$CF50*'Verwerking Bouwdelen'!T34)</f>
        <v>0</v>
      </c>
      <c r="CH50" s="208">
        <f>IF($CE50=1,$CF50*'Verwerking Bouwdelen'!DM34,$CF50*'Verwerking Bouwdelen'!U34)</f>
        <v>0</v>
      </c>
      <c r="CI50" s="208">
        <f>IF($CE50=1,$CF50*'Verwerking Bouwdelen'!DN34,$CF50*'Verwerking Bouwdelen'!V34)</f>
        <v>0</v>
      </c>
      <c r="CJ50" s="208">
        <f>IF($CE50=1,$CF50*'Verwerking Bouwdelen'!DO34,$CF50*'Verwerking Bouwdelen'!W34)</f>
        <v>0</v>
      </c>
      <c r="CK50" s="208">
        <f>IF($CE50=1,$CF50*'Verwerking Bouwdelen'!DP34,$CF50*'Verwerking Bouwdelen'!X34)</f>
        <v>0</v>
      </c>
      <c r="CL50" s="208">
        <f>IF($CE50=1,$CF50*'Verwerking Bouwdelen'!DQ34,$CF50*'Verwerking Bouwdelen'!Y34)</f>
        <v>0</v>
      </c>
      <c r="CM50" s="208">
        <f>IF($CE50=1,$CF50*'Verwerking Bouwdelen'!DR34,$CF50*'Verwerking Bouwdelen'!Z34)</f>
        <v>0</v>
      </c>
      <c r="CN50" s="208">
        <f>IF($CE50=1,$CF50*'Verwerking Bouwdelen'!DS34,$CF50*'Verwerking Bouwdelen'!AA34)</f>
        <v>0</v>
      </c>
      <c r="CO50" s="208">
        <f>IF($CE50=1,$CF50*'Verwerking Bouwdelen'!DT34,$CF50*'Verwerking Bouwdelen'!AB34)</f>
        <v>0</v>
      </c>
      <c r="CP50" s="208">
        <f>IF($CE50=1,$CF50*'Verwerking Bouwdelen'!DU34,$CF50*'Verwerking Bouwdelen'!AC34)</f>
        <v>0</v>
      </c>
      <c r="CQ50" s="208">
        <f>IF($CE50=1,$CF50*'Verwerking Bouwdelen'!DV34,$CF50*'Verwerking Bouwdelen'!AD34)</f>
        <v>0</v>
      </c>
      <c r="CR50" s="208">
        <f>IF($CE50=1,$CF50*'Verwerking Bouwdelen'!DW34,$CF50*'Verwerking Bouwdelen'!AE34)</f>
        <v>0</v>
      </c>
      <c r="CS50" s="10">
        <f>IF(CG50=$B50,0,('Verwerking Bouwdelen'!$D34-'Verwerking Bouwdelen'!G34)*CE50*CF50)</f>
        <v>0</v>
      </c>
      <c r="CT50" s="261">
        <f>CE50*CF50*'Verwerking Bouwdelen'!$GH$3</f>
        <v>0</v>
      </c>
      <c r="CU50" s="261">
        <f>CE50*CF50*'Verwerking Bouwdelen'!GI34</f>
        <v>0</v>
      </c>
      <c r="CW50" s="209">
        <f>$AC50*'Verwerking Bouwdelen'!EE34</f>
        <v>0</v>
      </c>
      <c r="CX50" s="209">
        <f>$AC50*'Verwerking Bouwdelen'!EF34</f>
        <v>0</v>
      </c>
      <c r="CY50" s="209">
        <f>$AC50*'Verwerking Bouwdelen'!EG34</f>
        <v>0</v>
      </c>
      <c r="CZ50" s="209">
        <f>$AC50*'Verwerking Bouwdelen'!EH34</f>
        <v>0</v>
      </c>
      <c r="DA50" s="209">
        <f>$AC50*'Verwerking Bouwdelen'!EI34</f>
        <v>0</v>
      </c>
      <c r="DB50" s="209">
        <f>$AC50*'Verwerking Bouwdelen'!EJ34</f>
        <v>0</v>
      </c>
      <c r="DC50" s="209">
        <f>$AC50*'Verwerking Bouwdelen'!EK34</f>
        <v>0</v>
      </c>
      <c r="DD50" s="209">
        <f>$AC50*'Verwerking Bouwdelen'!EL34</f>
        <v>0</v>
      </c>
      <c r="DE50" s="209">
        <f>$AC50*'Verwerking Bouwdelen'!EM34</f>
        <v>0</v>
      </c>
      <c r="DF50" s="209">
        <f>$AC50*'Verwerking Bouwdelen'!EN34</f>
        <v>0</v>
      </c>
      <c r="DG50" s="209">
        <f>$AC50*'Verwerking Bouwdelen'!EO34</f>
        <v>0</v>
      </c>
      <c r="DH50" s="209">
        <f>$AC50*'Verwerking Bouwdelen'!EP34</f>
        <v>0</v>
      </c>
      <c r="DI50" s="10">
        <f>IF(CW50=$O50,0,'Verwerking Bouwdelen'!G34)</f>
        <v>0</v>
      </c>
      <c r="DJ50" s="259">
        <f>'Verwerking Bouwdelen'!GK34*CF50</f>
        <v>0</v>
      </c>
      <c r="DK50" s="259">
        <f>'Verwerking Bouwdelen'!GL34*CF50</f>
        <v>0</v>
      </c>
      <c r="DL50" s="125"/>
      <c r="GM50" s="89">
        <f t="shared" si="13"/>
        <v>0</v>
      </c>
      <c r="GN50" s="89">
        <f t="shared" si="14"/>
        <v>0</v>
      </c>
      <c r="GO50" s="208">
        <f>IF($GN50=1,$GN50*$GM50*'Verwerking Bouwdelen'!DL34,$GN50*$GM50*'Verwerking Bouwdelen'!T34)</f>
        <v>0</v>
      </c>
      <c r="GP50" s="208">
        <f>IF($GN50=1,$GN50*$GM50*'Verwerking Bouwdelen'!DM34,$GN50*$GM50*'Verwerking Bouwdelen'!U34)</f>
        <v>0</v>
      </c>
      <c r="GQ50" s="208">
        <f>IF($GN50=1,$GN50*$GM50*'Verwerking Bouwdelen'!DN34,$GN50*$GM50*'Verwerking Bouwdelen'!V34)</f>
        <v>0</v>
      </c>
      <c r="GR50" s="208">
        <f>IF($GN50=1,$GN50*$GM50*'Verwerking Bouwdelen'!DO34,$GN50*$GM50*'Verwerking Bouwdelen'!W34)</f>
        <v>0</v>
      </c>
      <c r="GS50" s="208">
        <f>IF($GN50=1,$GN50*$GM50*'Verwerking Bouwdelen'!DP34,$GN50*$GM50*'Verwerking Bouwdelen'!X34)</f>
        <v>0</v>
      </c>
      <c r="GT50" s="208">
        <f>IF($GN50=1,$GN50*$GM50*'Verwerking Bouwdelen'!DQ34,$GN50*$GM50*'Verwerking Bouwdelen'!Y34)</f>
        <v>0</v>
      </c>
      <c r="GU50" s="208">
        <f>IF($GN50=1,$GN50*$GM50*'Verwerking Bouwdelen'!DR34,$GN50*$GM50*'Verwerking Bouwdelen'!Z34)</f>
        <v>0</v>
      </c>
      <c r="GV50" s="208">
        <f>IF($GN50=1,$GN50*$GM50*'Verwerking Bouwdelen'!DS34,$GN50*$GM50*'Verwerking Bouwdelen'!AA34)</f>
        <v>0</v>
      </c>
      <c r="GW50" s="208">
        <f>IF($GN50=1,$GN50*$GM50*'Verwerking Bouwdelen'!DT34,$GN50*$GM50*'Verwerking Bouwdelen'!AB34)</f>
        <v>0</v>
      </c>
      <c r="GX50" s="208">
        <f>IF($GN50=1,$GN50*$GM50*'Verwerking Bouwdelen'!DU34,$GN50*$GM50*'Verwerking Bouwdelen'!AC34)</f>
        <v>0</v>
      </c>
      <c r="GY50" s="208">
        <f>IF($GN50=1,$GN50*$GM50*'Verwerking Bouwdelen'!DV34,$GN50*$GM50*'Verwerking Bouwdelen'!AD34)</f>
        <v>0</v>
      </c>
      <c r="GZ50" s="208">
        <f>IF($GN50=1,$GN50*$GM50*'Verwerking Bouwdelen'!DW34,$GN50*$GM50*'Verwerking Bouwdelen'!AE34)</f>
        <v>0</v>
      </c>
      <c r="HB50" s="89">
        <f t="shared" si="16"/>
        <v>0</v>
      </c>
      <c r="HC50" s="89">
        <f t="shared" si="17"/>
        <v>0</v>
      </c>
      <c r="HD50" s="89">
        <f t="shared" si="18"/>
        <v>0</v>
      </c>
      <c r="HE50" s="89">
        <f t="shared" si="19"/>
        <v>0</v>
      </c>
      <c r="HF50" s="89">
        <f t="shared" si="19"/>
        <v>0</v>
      </c>
      <c r="HG50" s="89">
        <f t="shared" si="19"/>
        <v>0</v>
      </c>
      <c r="HH50" s="89">
        <f t="shared" si="19"/>
        <v>0</v>
      </c>
      <c r="HI50" s="89">
        <f t="shared" si="19"/>
        <v>0</v>
      </c>
      <c r="HJ50" s="89">
        <f t="shared" si="19"/>
        <v>0</v>
      </c>
      <c r="HK50" s="89">
        <f t="shared" si="19"/>
        <v>0</v>
      </c>
      <c r="HL50" s="89">
        <f t="shared" si="19"/>
        <v>0</v>
      </c>
      <c r="HM50" s="89">
        <f t="shared" si="19"/>
        <v>0</v>
      </c>
    </row>
    <row r="51" spans="1:221" x14ac:dyDescent="0.2">
      <c r="A51" s="130">
        <f>IF('Verwerking Bouwdelen'!A35=5,1,0)</f>
        <v>0</v>
      </c>
      <c r="B51" s="208">
        <f>$A51*'Verwerking Bouwdelen'!T35</f>
        <v>0</v>
      </c>
      <c r="C51" s="208">
        <f>$A51*'Verwerking Bouwdelen'!U35</f>
        <v>0</v>
      </c>
      <c r="D51" s="208">
        <f>$A51*'Verwerking Bouwdelen'!V35</f>
        <v>0</v>
      </c>
      <c r="E51" s="208">
        <f>$A51*'Verwerking Bouwdelen'!W35</f>
        <v>0</v>
      </c>
      <c r="F51" s="208">
        <f>$A51*'Verwerking Bouwdelen'!X35</f>
        <v>0</v>
      </c>
      <c r="G51" s="208">
        <f>$A51*'Verwerking Bouwdelen'!Y35</f>
        <v>0</v>
      </c>
      <c r="H51" s="208">
        <f>$A51*'Verwerking Bouwdelen'!Z35</f>
        <v>0</v>
      </c>
      <c r="I51" s="208">
        <f>$A51*'Verwerking Bouwdelen'!AA35</f>
        <v>0</v>
      </c>
      <c r="J51" s="208">
        <f>$A51*'Verwerking Bouwdelen'!AB35</f>
        <v>0</v>
      </c>
      <c r="K51" s="208">
        <f>$A51*'Verwerking Bouwdelen'!AC35</f>
        <v>0</v>
      </c>
      <c r="L51" s="208">
        <f>$A51*'Verwerking Bouwdelen'!AD35</f>
        <v>0</v>
      </c>
      <c r="M51" s="208">
        <f>$A51*'Verwerking Bouwdelen'!AE35</f>
        <v>0</v>
      </c>
      <c r="O51" s="114">
        <f>$A51*'Verwerking Bouwdelen'!AU35</f>
        <v>0</v>
      </c>
      <c r="P51" s="125">
        <f>$A51*'Verwerking Bouwdelen'!AV35</f>
        <v>0</v>
      </c>
      <c r="Q51" s="125">
        <f>$A51*'Verwerking Bouwdelen'!AW35</f>
        <v>0</v>
      </c>
      <c r="R51" s="125">
        <f>$A51*'Verwerking Bouwdelen'!AX35</f>
        <v>0</v>
      </c>
      <c r="S51" s="125">
        <f>$A51*'Verwerking Bouwdelen'!AY35</f>
        <v>0</v>
      </c>
      <c r="T51" s="125">
        <f>$A51*'Verwerking Bouwdelen'!AZ35</f>
        <v>0</v>
      </c>
      <c r="U51" s="125">
        <f>$A51*'Verwerking Bouwdelen'!BA35</f>
        <v>0</v>
      </c>
      <c r="V51" s="125">
        <f>$A51*'Verwerking Bouwdelen'!BB35</f>
        <v>0</v>
      </c>
      <c r="W51" s="125">
        <f>$A51*'Verwerking Bouwdelen'!BC35</f>
        <v>0</v>
      </c>
      <c r="X51" s="125">
        <f>$A51*'Verwerking Bouwdelen'!BD35</f>
        <v>0</v>
      </c>
      <c r="Y51" s="125">
        <f>$A51*'Verwerking Bouwdelen'!BE35</f>
        <v>0</v>
      </c>
      <c r="Z51" s="195">
        <f>$A51*'Verwerking Bouwdelen'!BF35</f>
        <v>0</v>
      </c>
      <c r="AB51" s="125">
        <f>IF(OR('Verwerking Bouwdelen'!C35=3,'Verwerking Bouwdelen'!C35=6),1,0)</f>
        <v>0</v>
      </c>
      <c r="AC51" s="130">
        <f>IF('Verwerking Bouwdelen'!A35=5,1,0)</f>
        <v>0</v>
      </c>
      <c r="AD51" s="208">
        <f>IF($AB51=1,$AC51*'Verwerking Bouwdelen'!DL35,$AC51*'Verwerking Bouwdelen'!T35)</f>
        <v>0</v>
      </c>
      <c r="AE51" s="208">
        <f>IF($AB51=1,$AC51*'Verwerking Bouwdelen'!DM35,$AC51*'Verwerking Bouwdelen'!U35)</f>
        <v>0</v>
      </c>
      <c r="AF51" s="208">
        <f>IF($AB51=1,$AC51*'Verwerking Bouwdelen'!DN35,$AC51*'Verwerking Bouwdelen'!V35)</f>
        <v>0</v>
      </c>
      <c r="AG51" s="208">
        <f>IF($AB51=1,$AC51*'Verwerking Bouwdelen'!DO35,$AC51*'Verwerking Bouwdelen'!W35)</f>
        <v>0</v>
      </c>
      <c r="AH51" s="208">
        <f>IF($AB51=1,$AC51*'Verwerking Bouwdelen'!DP35,$AC51*'Verwerking Bouwdelen'!X35)</f>
        <v>0</v>
      </c>
      <c r="AI51" s="208">
        <f>IF($AB51=1,$AC51*'Verwerking Bouwdelen'!DQ35,$AC51*'Verwerking Bouwdelen'!Y35)</f>
        <v>0</v>
      </c>
      <c r="AJ51" s="208">
        <f>IF($AB51=1,$AC51*'Verwerking Bouwdelen'!DR35,$AC51*'Verwerking Bouwdelen'!Z35)</f>
        <v>0</v>
      </c>
      <c r="AK51" s="208">
        <f>IF($AB51=1,$AC51*'Verwerking Bouwdelen'!DS35,$AC51*'Verwerking Bouwdelen'!AA35)</f>
        <v>0</v>
      </c>
      <c r="AL51" s="208">
        <f>IF($AB51=1,$AC51*'Verwerking Bouwdelen'!DT35,$AC51*'Verwerking Bouwdelen'!AB35)</f>
        <v>0</v>
      </c>
      <c r="AM51" s="208">
        <f>IF($AB51=1,$AC51*'Verwerking Bouwdelen'!DU35,$AC51*'Verwerking Bouwdelen'!AC35)</f>
        <v>0</v>
      </c>
      <c r="AN51" s="208">
        <f>IF($AB51=1,$AC51*'Verwerking Bouwdelen'!DV35,$AC51*'Verwerking Bouwdelen'!AD35)</f>
        <v>0</v>
      </c>
      <c r="AO51" s="208">
        <f>IF($AB51=1,$AC51*'Verwerking Bouwdelen'!DW35,$AC51*'Verwerking Bouwdelen'!AE35)</f>
        <v>0</v>
      </c>
      <c r="AP51" s="10">
        <f>IF(AD51=B51,0,'Verwerking Bouwdelen'!D35*AB51*AC51)</f>
        <v>0</v>
      </c>
      <c r="AQ51" s="10">
        <f>AB51*AC51*'Verwerking Bouwdelen'!GH35</f>
        <v>0</v>
      </c>
      <c r="AR51" s="10"/>
      <c r="AS51" s="248"/>
      <c r="AT51" s="125">
        <f>IF('Verwerking Bouwdelen'!C35=4,1,0)</f>
        <v>0</v>
      </c>
      <c r="AU51" s="130">
        <f>IF('Verwerking Bouwdelen'!A35=5,1,0)</f>
        <v>0</v>
      </c>
      <c r="AV51" s="208">
        <f>IF($AT51=1,$AU51*'Verwerking Bouwdelen'!DL35,$AU51*'Verwerking Bouwdelen'!T35)</f>
        <v>0</v>
      </c>
      <c r="AW51" s="208">
        <f>IF($AT51=1,$AU51*'Verwerking Bouwdelen'!DM35,$AU51*'Verwerking Bouwdelen'!U35)</f>
        <v>0</v>
      </c>
      <c r="AX51" s="208">
        <f>IF($AT51=1,$AU51*'Verwerking Bouwdelen'!DN35,$AU51*'Verwerking Bouwdelen'!V35)</f>
        <v>0</v>
      </c>
      <c r="AY51" s="208">
        <f>IF($AT51=1,$AU51*'Verwerking Bouwdelen'!DO35,$AU51*'Verwerking Bouwdelen'!W35)</f>
        <v>0</v>
      </c>
      <c r="AZ51" s="208">
        <f>IF($AT51=1,$AU51*'Verwerking Bouwdelen'!DP35,$AU51*'Verwerking Bouwdelen'!X35)</f>
        <v>0</v>
      </c>
      <c r="BA51" s="208">
        <f>IF($AT51=1,$AU51*'Verwerking Bouwdelen'!DQ35,$AU51*'Verwerking Bouwdelen'!Y35)</f>
        <v>0</v>
      </c>
      <c r="BB51" s="208">
        <f>IF($AT51=1,$AU51*'Verwerking Bouwdelen'!DR35,$AU51*'Verwerking Bouwdelen'!Z35)</f>
        <v>0</v>
      </c>
      <c r="BC51" s="208">
        <f>IF($AT51=1,$AU51*'Verwerking Bouwdelen'!DS35,$AU51*'Verwerking Bouwdelen'!AA35)</f>
        <v>0</v>
      </c>
      <c r="BD51" s="208">
        <f>IF($AT51=1,$AU51*'Verwerking Bouwdelen'!DT35,$AU51*'Verwerking Bouwdelen'!AB35)</f>
        <v>0</v>
      </c>
      <c r="BE51" s="208">
        <f>IF($AT51=1,$AU51*'Verwerking Bouwdelen'!DU35,$AU51*'Verwerking Bouwdelen'!AC35)</f>
        <v>0</v>
      </c>
      <c r="BF51" s="208">
        <f>IF($AT51=1,$AU51*'Verwerking Bouwdelen'!DV35,$AU51*'Verwerking Bouwdelen'!AD35)</f>
        <v>0</v>
      </c>
      <c r="BG51" s="208">
        <f>IF($AT51=1,$AU51*'Verwerking Bouwdelen'!DW35,$AU51*'Verwerking Bouwdelen'!AE35)</f>
        <v>0</v>
      </c>
      <c r="BH51" s="10">
        <f>IF(AV51=B51,0,'Verwerking Bouwdelen'!D35*AT51*AU51)</f>
        <v>0</v>
      </c>
      <c r="BI51" s="10">
        <f>AT51*AU51*'Verwerking Bouwdelen'!GH35</f>
        <v>0</v>
      </c>
      <c r="BJ51" s="10"/>
      <c r="BK51" s="10"/>
      <c r="BM51" s="125">
        <f>IF('Verwerking Bouwdelen'!C35=5,1,0)</f>
        <v>0</v>
      </c>
      <c r="BN51" s="130">
        <f>IF('Verwerking Bouwdelen'!A35=5,1,0)</f>
        <v>0</v>
      </c>
      <c r="BO51" s="208">
        <f>IF($BM51=1,$BN51*'Verwerking Bouwdelen'!DL35,$BN51*'Verwerking Bouwdelen'!T35)</f>
        <v>0</v>
      </c>
      <c r="BP51" s="208">
        <f>IF($BM51=1,$BN51*'Verwerking Bouwdelen'!DM35,$BN51*'Verwerking Bouwdelen'!U35)</f>
        <v>0</v>
      </c>
      <c r="BQ51" s="208">
        <f>IF($BM51=1,$BN51*'Verwerking Bouwdelen'!DN35,$BN51*'Verwerking Bouwdelen'!V35)</f>
        <v>0</v>
      </c>
      <c r="BR51" s="208">
        <f>IF($BM51=1,$BN51*'Verwerking Bouwdelen'!DO35,$BN51*'Verwerking Bouwdelen'!W35)</f>
        <v>0</v>
      </c>
      <c r="BS51" s="208">
        <f>IF($BM51=1,$BN51*'Verwerking Bouwdelen'!DP35,$BN51*'Verwerking Bouwdelen'!X35)</f>
        <v>0</v>
      </c>
      <c r="BT51" s="208">
        <f>IF($BM51=1,$BN51*'Verwerking Bouwdelen'!DQ35,$BN51*'Verwerking Bouwdelen'!Y35)</f>
        <v>0</v>
      </c>
      <c r="BU51" s="208">
        <f>IF($BM51=1,$BN51*'Verwerking Bouwdelen'!DR35,$BN51*'Verwerking Bouwdelen'!Z35)</f>
        <v>0</v>
      </c>
      <c r="BV51" s="208">
        <f>IF($BM51=1,$BN51*'Verwerking Bouwdelen'!DS35,$BN51*'Verwerking Bouwdelen'!AA35)</f>
        <v>0</v>
      </c>
      <c r="BW51" s="208">
        <f>IF($BM51=1,$BN51*'Verwerking Bouwdelen'!DT35,$BN51*'Verwerking Bouwdelen'!AB35)</f>
        <v>0</v>
      </c>
      <c r="BX51" s="208">
        <f>IF($BM51=1,$BN51*'Verwerking Bouwdelen'!DU35,$BN51*'Verwerking Bouwdelen'!AC35)</f>
        <v>0</v>
      </c>
      <c r="BY51" s="208">
        <f>IF($BM51=1,$BN51*'Verwerking Bouwdelen'!DV35,$BN51*'Verwerking Bouwdelen'!AD35)</f>
        <v>0</v>
      </c>
      <c r="BZ51" s="208">
        <f>IF($BM51=1,$BN51*'Verwerking Bouwdelen'!DW35,$BN51*'Verwerking Bouwdelen'!AE35)</f>
        <v>0</v>
      </c>
      <c r="CA51" s="10">
        <f>IF(BO51=$B51,0,'Verwerking Bouwdelen'!$D35*BM51*BN51)</f>
        <v>0</v>
      </c>
      <c r="CB51" s="10">
        <f>BM51*BN51*'Verwerking Bouwdelen'!GH35</f>
        <v>0</v>
      </c>
      <c r="CC51" s="10"/>
      <c r="CD51" s="248"/>
      <c r="CE51" s="125">
        <f>IF('Verwerking Bouwdelen'!C35=2,1,0)</f>
        <v>0</v>
      </c>
      <c r="CF51" s="130">
        <f>IF('Verwerking Bouwdelen'!A35=5,1,0)</f>
        <v>0</v>
      </c>
      <c r="CG51" s="208">
        <f>IF($CE51=1,$CF51*'Verwerking Bouwdelen'!DL35,$CF51*'Verwerking Bouwdelen'!T35)</f>
        <v>0</v>
      </c>
      <c r="CH51" s="208">
        <f>IF($CE51=1,$CF51*'Verwerking Bouwdelen'!DM35,$CF51*'Verwerking Bouwdelen'!U35)</f>
        <v>0</v>
      </c>
      <c r="CI51" s="208">
        <f>IF($CE51=1,$CF51*'Verwerking Bouwdelen'!DN35,$CF51*'Verwerking Bouwdelen'!V35)</f>
        <v>0</v>
      </c>
      <c r="CJ51" s="208">
        <f>IF($CE51=1,$CF51*'Verwerking Bouwdelen'!DO35,$CF51*'Verwerking Bouwdelen'!W35)</f>
        <v>0</v>
      </c>
      <c r="CK51" s="208">
        <f>IF($CE51=1,$CF51*'Verwerking Bouwdelen'!DP35,$CF51*'Verwerking Bouwdelen'!X35)</f>
        <v>0</v>
      </c>
      <c r="CL51" s="208">
        <f>IF($CE51=1,$CF51*'Verwerking Bouwdelen'!DQ35,$CF51*'Verwerking Bouwdelen'!Y35)</f>
        <v>0</v>
      </c>
      <c r="CM51" s="208">
        <f>IF($CE51=1,$CF51*'Verwerking Bouwdelen'!DR35,$CF51*'Verwerking Bouwdelen'!Z35)</f>
        <v>0</v>
      </c>
      <c r="CN51" s="208">
        <f>IF($CE51=1,$CF51*'Verwerking Bouwdelen'!DS35,$CF51*'Verwerking Bouwdelen'!AA35)</f>
        <v>0</v>
      </c>
      <c r="CO51" s="208">
        <f>IF($CE51=1,$CF51*'Verwerking Bouwdelen'!DT35,$CF51*'Verwerking Bouwdelen'!AB35)</f>
        <v>0</v>
      </c>
      <c r="CP51" s="208">
        <f>IF($CE51=1,$CF51*'Verwerking Bouwdelen'!DU35,$CF51*'Verwerking Bouwdelen'!AC35)</f>
        <v>0</v>
      </c>
      <c r="CQ51" s="208">
        <f>IF($CE51=1,$CF51*'Verwerking Bouwdelen'!DV35,$CF51*'Verwerking Bouwdelen'!AD35)</f>
        <v>0</v>
      </c>
      <c r="CR51" s="208">
        <f>IF($CE51=1,$CF51*'Verwerking Bouwdelen'!DW35,$CF51*'Verwerking Bouwdelen'!AE35)</f>
        <v>0</v>
      </c>
      <c r="CS51" s="10">
        <f>IF(CG51=$B51,0,('Verwerking Bouwdelen'!$D35-'Verwerking Bouwdelen'!G35)*CE51*CF51)</f>
        <v>0</v>
      </c>
      <c r="CT51" s="261">
        <f>CE51*CF51*'Verwerking Bouwdelen'!$GH$3</f>
        <v>0</v>
      </c>
      <c r="CU51" s="261">
        <f>CE51*CF51*'Verwerking Bouwdelen'!GI35</f>
        <v>0</v>
      </c>
      <c r="CW51" s="209">
        <f>$AC51*'Verwerking Bouwdelen'!EE35</f>
        <v>0</v>
      </c>
      <c r="CX51" s="209">
        <f>$AC51*'Verwerking Bouwdelen'!EF35</f>
        <v>0</v>
      </c>
      <c r="CY51" s="209">
        <f>$AC51*'Verwerking Bouwdelen'!EG35</f>
        <v>0</v>
      </c>
      <c r="CZ51" s="209">
        <f>$AC51*'Verwerking Bouwdelen'!EH35</f>
        <v>0</v>
      </c>
      <c r="DA51" s="209">
        <f>$AC51*'Verwerking Bouwdelen'!EI35</f>
        <v>0</v>
      </c>
      <c r="DB51" s="209">
        <f>$AC51*'Verwerking Bouwdelen'!EJ35</f>
        <v>0</v>
      </c>
      <c r="DC51" s="209">
        <f>$AC51*'Verwerking Bouwdelen'!EK35</f>
        <v>0</v>
      </c>
      <c r="DD51" s="209">
        <f>$AC51*'Verwerking Bouwdelen'!EL35</f>
        <v>0</v>
      </c>
      <c r="DE51" s="209">
        <f>$AC51*'Verwerking Bouwdelen'!EM35</f>
        <v>0</v>
      </c>
      <c r="DF51" s="209">
        <f>$AC51*'Verwerking Bouwdelen'!EN35</f>
        <v>0</v>
      </c>
      <c r="DG51" s="209">
        <f>$AC51*'Verwerking Bouwdelen'!EO35</f>
        <v>0</v>
      </c>
      <c r="DH51" s="209">
        <f>$AC51*'Verwerking Bouwdelen'!EP35</f>
        <v>0</v>
      </c>
      <c r="DI51" s="10">
        <f>IF(CW51=$O51,0,'Verwerking Bouwdelen'!G35)</f>
        <v>0</v>
      </c>
      <c r="DJ51" s="259">
        <f>'Verwerking Bouwdelen'!GK35*CF51</f>
        <v>0</v>
      </c>
      <c r="DK51" s="259">
        <f>'Verwerking Bouwdelen'!GL35*CF51</f>
        <v>0</v>
      </c>
      <c r="DL51" s="125"/>
      <c r="GM51" s="89">
        <f t="shared" si="13"/>
        <v>0</v>
      </c>
      <c r="GN51" s="89">
        <f t="shared" si="14"/>
        <v>0</v>
      </c>
      <c r="GO51" s="208">
        <f>IF($GN51=1,$GN51*$GM51*'Verwerking Bouwdelen'!DL35,$GN51*$GM51*'Verwerking Bouwdelen'!T35)</f>
        <v>0</v>
      </c>
      <c r="GP51" s="208">
        <f>IF($GN51=1,$GN51*$GM51*'Verwerking Bouwdelen'!DM35,$GN51*$GM51*'Verwerking Bouwdelen'!U35)</f>
        <v>0</v>
      </c>
      <c r="GQ51" s="208">
        <f>IF($GN51=1,$GN51*$GM51*'Verwerking Bouwdelen'!DN35,$GN51*$GM51*'Verwerking Bouwdelen'!V35)</f>
        <v>0</v>
      </c>
      <c r="GR51" s="208">
        <f>IF($GN51=1,$GN51*$GM51*'Verwerking Bouwdelen'!DO35,$GN51*$GM51*'Verwerking Bouwdelen'!W35)</f>
        <v>0</v>
      </c>
      <c r="GS51" s="208">
        <f>IF($GN51=1,$GN51*$GM51*'Verwerking Bouwdelen'!DP35,$GN51*$GM51*'Verwerking Bouwdelen'!X35)</f>
        <v>0</v>
      </c>
      <c r="GT51" s="208">
        <f>IF($GN51=1,$GN51*$GM51*'Verwerking Bouwdelen'!DQ35,$GN51*$GM51*'Verwerking Bouwdelen'!Y35)</f>
        <v>0</v>
      </c>
      <c r="GU51" s="208">
        <f>IF($GN51=1,$GN51*$GM51*'Verwerking Bouwdelen'!DR35,$GN51*$GM51*'Verwerking Bouwdelen'!Z35)</f>
        <v>0</v>
      </c>
      <c r="GV51" s="208">
        <f>IF($GN51=1,$GN51*$GM51*'Verwerking Bouwdelen'!DS35,$GN51*$GM51*'Verwerking Bouwdelen'!AA35)</f>
        <v>0</v>
      </c>
      <c r="GW51" s="208">
        <f>IF($GN51=1,$GN51*$GM51*'Verwerking Bouwdelen'!DT35,$GN51*$GM51*'Verwerking Bouwdelen'!AB35)</f>
        <v>0</v>
      </c>
      <c r="GX51" s="208">
        <f>IF($GN51=1,$GN51*$GM51*'Verwerking Bouwdelen'!DU35,$GN51*$GM51*'Verwerking Bouwdelen'!AC35)</f>
        <v>0</v>
      </c>
      <c r="GY51" s="208">
        <f>IF($GN51=1,$GN51*$GM51*'Verwerking Bouwdelen'!DV35,$GN51*$GM51*'Verwerking Bouwdelen'!AD35)</f>
        <v>0</v>
      </c>
      <c r="GZ51" s="208">
        <f>IF($GN51=1,$GN51*$GM51*'Verwerking Bouwdelen'!DW35,$GN51*$GM51*'Verwerking Bouwdelen'!AE35)</f>
        <v>0</v>
      </c>
      <c r="HB51" s="89">
        <f t="shared" si="16"/>
        <v>0</v>
      </c>
      <c r="HC51" s="89">
        <f t="shared" si="17"/>
        <v>0</v>
      </c>
      <c r="HD51" s="89">
        <f t="shared" si="18"/>
        <v>0</v>
      </c>
      <c r="HE51" s="89">
        <f t="shared" si="19"/>
        <v>0</v>
      </c>
      <c r="HF51" s="89">
        <f t="shared" si="19"/>
        <v>0</v>
      </c>
      <c r="HG51" s="89">
        <f t="shared" si="19"/>
        <v>0</v>
      </c>
      <c r="HH51" s="89">
        <f t="shared" si="19"/>
        <v>0</v>
      </c>
      <c r="HI51" s="89">
        <f t="shared" si="19"/>
        <v>0</v>
      </c>
      <c r="HJ51" s="89">
        <f t="shared" si="19"/>
        <v>0</v>
      </c>
      <c r="HK51" s="89">
        <f t="shared" si="19"/>
        <v>0</v>
      </c>
      <c r="HL51" s="89">
        <f t="shared" si="19"/>
        <v>0</v>
      </c>
      <c r="HM51" s="89">
        <f t="shared" si="19"/>
        <v>0</v>
      </c>
    </row>
    <row r="52" spans="1:221" x14ac:dyDescent="0.2">
      <c r="A52" s="130">
        <f>IF('Verwerking Bouwdelen'!A36=5,1,0)</f>
        <v>0</v>
      </c>
      <c r="B52" s="208">
        <f>$A52*'Verwerking Bouwdelen'!T36</f>
        <v>0</v>
      </c>
      <c r="C52" s="208">
        <f>$A52*'Verwerking Bouwdelen'!U36</f>
        <v>0</v>
      </c>
      <c r="D52" s="208">
        <f>$A52*'Verwerking Bouwdelen'!V36</f>
        <v>0</v>
      </c>
      <c r="E52" s="208">
        <f>$A52*'Verwerking Bouwdelen'!W36</f>
        <v>0</v>
      </c>
      <c r="F52" s="208">
        <f>$A52*'Verwerking Bouwdelen'!X36</f>
        <v>0</v>
      </c>
      <c r="G52" s="208">
        <f>$A52*'Verwerking Bouwdelen'!Y36</f>
        <v>0</v>
      </c>
      <c r="H52" s="208">
        <f>$A52*'Verwerking Bouwdelen'!Z36</f>
        <v>0</v>
      </c>
      <c r="I52" s="208">
        <f>$A52*'Verwerking Bouwdelen'!AA36</f>
        <v>0</v>
      </c>
      <c r="J52" s="208">
        <f>$A52*'Verwerking Bouwdelen'!AB36</f>
        <v>0</v>
      </c>
      <c r="K52" s="208">
        <f>$A52*'Verwerking Bouwdelen'!AC36</f>
        <v>0</v>
      </c>
      <c r="L52" s="208">
        <f>$A52*'Verwerking Bouwdelen'!AD36</f>
        <v>0</v>
      </c>
      <c r="M52" s="208">
        <f>$A52*'Verwerking Bouwdelen'!AE36</f>
        <v>0</v>
      </c>
      <c r="O52" s="114">
        <f>$A52*'Verwerking Bouwdelen'!AU36</f>
        <v>0</v>
      </c>
      <c r="P52" s="125">
        <f>$A52*'Verwerking Bouwdelen'!AV36</f>
        <v>0</v>
      </c>
      <c r="Q52" s="125">
        <f>$A52*'Verwerking Bouwdelen'!AW36</f>
        <v>0</v>
      </c>
      <c r="R52" s="125">
        <f>$A52*'Verwerking Bouwdelen'!AX36</f>
        <v>0</v>
      </c>
      <c r="S52" s="125">
        <f>$A52*'Verwerking Bouwdelen'!AY36</f>
        <v>0</v>
      </c>
      <c r="T52" s="125">
        <f>$A52*'Verwerking Bouwdelen'!AZ36</f>
        <v>0</v>
      </c>
      <c r="U52" s="125">
        <f>$A52*'Verwerking Bouwdelen'!BA36</f>
        <v>0</v>
      </c>
      <c r="V52" s="125">
        <f>$A52*'Verwerking Bouwdelen'!BB36</f>
        <v>0</v>
      </c>
      <c r="W52" s="125">
        <f>$A52*'Verwerking Bouwdelen'!BC36</f>
        <v>0</v>
      </c>
      <c r="X52" s="125">
        <f>$A52*'Verwerking Bouwdelen'!BD36</f>
        <v>0</v>
      </c>
      <c r="Y52" s="125">
        <f>$A52*'Verwerking Bouwdelen'!BE36</f>
        <v>0</v>
      </c>
      <c r="Z52" s="195">
        <f>$A52*'Verwerking Bouwdelen'!BF36</f>
        <v>0</v>
      </c>
      <c r="AB52" s="125">
        <f>IF(OR('Verwerking Bouwdelen'!C36=3,'Verwerking Bouwdelen'!C36=6),1,0)</f>
        <v>0</v>
      </c>
      <c r="AC52" s="130">
        <f>IF('Verwerking Bouwdelen'!A36=5,1,0)</f>
        <v>0</v>
      </c>
      <c r="AD52" s="208">
        <f>IF($AB52=1,$AC52*'Verwerking Bouwdelen'!DL36,$AC52*'Verwerking Bouwdelen'!T36)</f>
        <v>0</v>
      </c>
      <c r="AE52" s="208">
        <f>IF($AB52=1,$AC52*'Verwerking Bouwdelen'!DM36,$AC52*'Verwerking Bouwdelen'!U36)</f>
        <v>0</v>
      </c>
      <c r="AF52" s="208">
        <f>IF($AB52=1,$AC52*'Verwerking Bouwdelen'!DN36,$AC52*'Verwerking Bouwdelen'!V36)</f>
        <v>0</v>
      </c>
      <c r="AG52" s="208">
        <f>IF($AB52=1,$AC52*'Verwerking Bouwdelen'!DO36,$AC52*'Verwerking Bouwdelen'!W36)</f>
        <v>0</v>
      </c>
      <c r="AH52" s="208">
        <f>IF($AB52=1,$AC52*'Verwerking Bouwdelen'!DP36,$AC52*'Verwerking Bouwdelen'!X36)</f>
        <v>0</v>
      </c>
      <c r="AI52" s="208">
        <f>IF($AB52=1,$AC52*'Verwerking Bouwdelen'!DQ36,$AC52*'Verwerking Bouwdelen'!Y36)</f>
        <v>0</v>
      </c>
      <c r="AJ52" s="208">
        <f>IF($AB52=1,$AC52*'Verwerking Bouwdelen'!DR36,$AC52*'Verwerking Bouwdelen'!Z36)</f>
        <v>0</v>
      </c>
      <c r="AK52" s="208">
        <f>IF($AB52=1,$AC52*'Verwerking Bouwdelen'!DS36,$AC52*'Verwerking Bouwdelen'!AA36)</f>
        <v>0</v>
      </c>
      <c r="AL52" s="208">
        <f>IF($AB52=1,$AC52*'Verwerking Bouwdelen'!DT36,$AC52*'Verwerking Bouwdelen'!AB36)</f>
        <v>0</v>
      </c>
      <c r="AM52" s="208">
        <f>IF($AB52=1,$AC52*'Verwerking Bouwdelen'!DU36,$AC52*'Verwerking Bouwdelen'!AC36)</f>
        <v>0</v>
      </c>
      <c r="AN52" s="208">
        <f>IF($AB52=1,$AC52*'Verwerking Bouwdelen'!DV36,$AC52*'Verwerking Bouwdelen'!AD36)</f>
        <v>0</v>
      </c>
      <c r="AO52" s="208">
        <f>IF($AB52=1,$AC52*'Verwerking Bouwdelen'!DW36,$AC52*'Verwerking Bouwdelen'!AE36)</f>
        <v>0</v>
      </c>
      <c r="AP52" s="10">
        <f>IF(AD52=B52,0,'Verwerking Bouwdelen'!D36*AB52*AC52)</f>
        <v>0</v>
      </c>
      <c r="AQ52" s="10">
        <f>AB52*AC52*'Verwerking Bouwdelen'!GH36</f>
        <v>0</v>
      </c>
      <c r="AR52" s="10"/>
      <c r="AS52" s="248"/>
      <c r="AT52" s="125">
        <f>IF('Verwerking Bouwdelen'!C36=4,1,0)</f>
        <v>0</v>
      </c>
      <c r="AU52" s="130">
        <f>IF('Verwerking Bouwdelen'!A36=5,1,0)</f>
        <v>0</v>
      </c>
      <c r="AV52" s="208">
        <f>IF($AT52=1,$AU52*'Verwerking Bouwdelen'!DL36,$AU52*'Verwerking Bouwdelen'!T36)</f>
        <v>0</v>
      </c>
      <c r="AW52" s="208">
        <f>IF($AT52=1,$AU52*'Verwerking Bouwdelen'!DM36,$AU52*'Verwerking Bouwdelen'!U36)</f>
        <v>0</v>
      </c>
      <c r="AX52" s="208">
        <f>IF($AT52=1,$AU52*'Verwerking Bouwdelen'!DN36,$AU52*'Verwerking Bouwdelen'!V36)</f>
        <v>0</v>
      </c>
      <c r="AY52" s="208">
        <f>IF($AT52=1,$AU52*'Verwerking Bouwdelen'!DO36,$AU52*'Verwerking Bouwdelen'!W36)</f>
        <v>0</v>
      </c>
      <c r="AZ52" s="208">
        <f>IF($AT52=1,$AU52*'Verwerking Bouwdelen'!DP36,$AU52*'Verwerking Bouwdelen'!X36)</f>
        <v>0</v>
      </c>
      <c r="BA52" s="208">
        <f>IF($AT52=1,$AU52*'Verwerking Bouwdelen'!DQ36,$AU52*'Verwerking Bouwdelen'!Y36)</f>
        <v>0</v>
      </c>
      <c r="BB52" s="208">
        <f>IF($AT52=1,$AU52*'Verwerking Bouwdelen'!DR36,$AU52*'Verwerking Bouwdelen'!Z36)</f>
        <v>0</v>
      </c>
      <c r="BC52" s="208">
        <f>IF($AT52=1,$AU52*'Verwerking Bouwdelen'!DS36,$AU52*'Verwerking Bouwdelen'!AA36)</f>
        <v>0</v>
      </c>
      <c r="BD52" s="208">
        <f>IF($AT52=1,$AU52*'Verwerking Bouwdelen'!DT36,$AU52*'Verwerking Bouwdelen'!AB36)</f>
        <v>0</v>
      </c>
      <c r="BE52" s="208">
        <f>IF($AT52=1,$AU52*'Verwerking Bouwdelen'!DU36,$AU52*'Verwerking Bouwdelen'!AC36)</f>
        <v>0</v>
      </c>
      <c r="BF52" s="208">
        <f>IF($AT52=1,$AU52*'Verwerking Bouwdelen'!DV36,$AU52*'Verwerking Bouwdelen'!AD36)</f>
        <v>0</v>
      </c>
      <c r="BG52" s="208">
        <f>IF($AT52=1,$AU52*'Verwerking Bouwdelen'!DW36,$AU52*'Verwerking Bouwdelen'!AE36)</f>
        <v>0</v>
      </c>
      <c r="BH52" s="10">
        <f>IF(AV52=B52,0,'Verwerking Bouwdelen'!D36*AT52*AU52)</f>
        <v>0</v>
      </c>
      <c r="BI52" s="10">
        <f>AT52*AU52*'Verwerking Bouwdelen'!GH36</f>
        <v>0</v>
      </c>
      <c r="BJ52" s="10"/>
      <c r="BK52" s="10"/>
      <c r="BM52" s="125">
        <f>IF('Verwerking Bouwdelen'!C36=5,1,0)</f>
        <v>0</v>
      </c>
      <c r="BN52" s="130">
        <f>IF('Verwerking Bouwdelen'!A36=5,1,0)</f>
        <v>0</v>
      </c>
      <c r="BO52" s="208">
        <f>IF($BM52=1,$BN52*'Verwerking Bouwdelen'!DL36,$BN52*'Verwerking Bouwdelen'!T36)</f>
        <v>0</v>
      </c>
      <c r="BP52" s="208">
        <f>IF($BM52=1,$BN52*'Verwerking Bouwdelen'!DM36,$BN52*'Verwerking Bouwdelen'!U36)</f>
        <v>0</v>
      </c>
      <c r="BQ52" s="208">
        <f>IF($BM52=1,$BN52*'Verwerking Bouwdelen'!DN36,$BN52*'Verwerking Bouwdelen'!V36)</f>
        <v>0</v>
      </c>
      <c r="BR52" s="208">
        <f>IF($BM52=1,$BN52*'Verwerking Bouwdelen'!DO36,$BN52*'Verwerking Bouwdelen'!W36)</f>
        <v>0</v>
      </c>
      <c r="BS52" s="208">
        <f>IF($BM52=1,$BN52*'Verwerking Bouwdelen'!DP36,$BN52*'Verwerking Bouwdelen'!X36)</f>
        <v>0</v>
      </c>
      <c r="BT52" s="208">
        <f>IF($BM52=1,$BN52*'Verwerking Bouwdelen'!DQ36,$BN52*'Verwerking Bouwdelen'!Y36)</f>
        <v>0</v>
      </c>
      <c r="BU52" s="208">
        <f>IF($BM52=1,$BN52*'Verwerking Bouwdelen'!DR36,$BN52*'Verwerking Bouwdelen'!Z36)</f>
        <v>0</v>
      </c>
      <c r="BV52" s="208">
        <f>IF($BM52=1,$BN52*'Verwerking Bouwdelen'!DS36,$BN52*'Verwerking Bouwdelen'!AA36)</f>
        <v>0</v>
      </c>
      <c r="BW52" s="208">
        <f>IF($BM52=1,$BN52*'Verwerking Bouwdelen'!DT36,$BN52*'Verwerking Bouwdelen'!AB36)</f>
        <v>0</v>
      </c>
      <c r="BX52" s="208">
        <f>IF($BM52=1,$BN52*'Verwerking Bouwdelen'!DU36,$BN52*'Verwerking Bouwdelen'!AC36)</f>
        <v>0</v>
      </c>
      <c r="BY52" s="208">
        <f>IF($BM52=1,$BN52*'Verwerking Bouwdelen'!DV36,$BN52*'Verwerking Bouwdelen'!AD36)</f>
        <v>0</v>
      </c>
      <c r="BZ52" s="208">
        <f>IF($BM52=1,$BN52*'Verwerking Bouwdelen'!DW36,$BN52*'Verwerking Bouwdelen'!AE36)</f>
        <v>0</v>
      </c>
      <c r="CA52" s="10">
        <f>IF(BO52=$B52,0,'Verwerking Bouwdelen'!$D36*BM52*BN52)</f>
        <v>0</v>
      </c>
      <c r="CB52" s="10">
        <f>BM52*BN52*'Verwerking Bouwdelen'!GH36</f>
        <v>0</v>
      </c>
      <c r="CC52" s="10"/>
      <c r="CD52" s="248"/>
      <c r="CE52" s="125">
        <f>IF('Verwerking Bouwdelen'!C36=2,1,0)</f>
        <v>0</v>
      </c>
      <c r="CF52" s="130">
        <f>IF('Verwerking Bouwdelen'!A36=5,1,0)</f>
        <v>0</v>
      </c>
      <c r="CG52" s="208">
        <f>IF($CE52=1,$CF52*'Verwerking Bouwdelen'!DL36,$CF52*'Verwerking Bouwdelen'!T36)</f>
        <v>0</v>
      </c>
      <c r="CH52" s="208">
        <f>IF($CE52=1,$CF52*'Verwerking Bouwdelen'!DM36,$CF52*'Verwerking Bouwdelen'!U36)</f>
        <v>0</v>
      </c>
      <c r="CI52" s="208">
        <f>IF($CE52=1,$CF52*'Verwerking Bouwdelen'!DN36,$CF52*'Verwerking Bouwdelen'!V36)</f>
        <v>0</v>
      </c>
      <c r="CJ52" s="208">
        <f>IF($CE52=1,$CF52*'Verwerking Bouwdelen'!DO36,$CF52*'Verwerking Bouwdelen'!W36)</f>
        <v>0</v>
      </c>
      <c r="CK52" s="208">
        <f>IF($CE52=1,$CF52*'Verwerking Bouwdelen'!DP36,$CF52*'Verwerking Bouwdelen'!X36)</f>
        <v>0</v>
      </c>
      <c r="CL52" s="208">
        <f>IF($CE52=1,$CF52*'Verwerking Bouwdelen'!DQ36,$CF52*'Verwerking Bouwdelen'!Y36)</f>
        <v>0</v>
      </c>
      <c r="CM52" s="208">
        <f>IF($CE52=1,$CF52*'Verwerking Bouwdelen'!DR36,$CF52*'Verwerking Bouwdelen'!Z36)</f>
        <v>0</v>
      </c>
      <c r="CN52" s="208">
        <f>IF($CE52=1,$CF52*'Verwerking Bouwdelen'!DS36,$CF52*'Verwerking Bouwdelen'!AA36)</f>
        <v>0</v>
      </c>
      <c r="CO52" s="208">
        <f>IF($CE52=1,$CF52*'Verwerking Bouwdelen'!DT36,$CF52*'Verwerking Bouwdelen'!AB36)</f>
        <v>0</v>
      </c>
      <c r="CP52" s="208">
        <f>IF($CE52=1,$CF52*'Verwerking Bouwdelen'!DU36,$CF52*'Verwerking Bouwdelen'!AC36)</f>
        <v>0</v>
      </c>
      <c r="CQ52" s="208">
        <f>IF($CE52=1,$CF52*'Verwerking Bouwdelen'!DV36,$CF52*'Verwerking Bouwdelen'!AD36)</f>
        <v>0</v>
      </c>
      <c r="CR52" s="208">
        <f>IF($CE52=1,$CF52*'Verwerking Bouwdelen'!DW36,$CF52*'Verwerking Bouwdelen'!AE36)</f>
        <v>0</v>
      </c>
      <c r="CS52" s="10">
        <f>IF(CG52=$B52,0,('Verwerking Bouwdelen'!$D36-'Verwerking Bouwdelen'!G36)*CE52*CF52)</f>
        <v>0</v>
      </c>
      <c r="CT52" s="261">
        <f>CE52*CF52*'Verwerking Bouwdelen'!$GH$3</f>
        <v>0</v>
      </c>
      <c r="CU52" s="261">
        <f>CE52*CF52*'Verwerking Bouwdelen'!GI36</f>
        <v>0</v>
      </c>
      <c r="CW52" s="209">
        <f>$AC52*'Verwerking Bouwdelen'!EE36</f>
        <v>0</v>
      </c>
      <c r="CX52" s="209">
        <f>$AC52*'Verwerking Bouwdelen'!EF36</f>
        <v>0</v>
      </c>
      <c r="CY52" s="209">
        <f>$AC52*'Verwerking Bouwdelen'!EG36</f>
        <v>0</v>
      </c>
      <c r="CZ52" s="209">
        <f>$AC52*'Verwerking Bouwdelen'!EH36</f>
        <v>0</v>
      </c>
      <c r="DA52" s="209">
        <f>$AC52*'Verwerking Bouwdelen'!EI36</f>
        <v>0</v>
      </c>
      <c r="DB52" s="209">
        <f>$AC52*'Verwerking Bouwdelen'!EJ36</f>
        <v>0</v>
      </c>
      <c r="DC52" s="209">
        <f>$AC52*'Verwerking Bouwdelen'!EK36</f>
        <v>0</v>
      </c>
      <c r="DD52" s="209">
        <f>$AC52*'Verwerking Bouwdelen'!EL36</f>
        <v>0</v>
      </c>
      <c r="DE52" s="209">
        <f>$AC52*'Verwerking Bouwdelen'!EM36</f>
        <v>0</v>
      </c>
      <c r="DF52" s="209">
        <f>$AC52*'Verwerking Bouwdelen'!EN36</f>
        <v>0</v>
      </c>
      <c r="DG52" s="209">
        <f>$AC52*'Verwerking Bouwdelen'!EO36</f>
        <v>0</v>
      </c>
      <c r="DH52" s="209">
        <f>$AC52*'Verwerking Bouwdelen'!EP36</f>
        <v>0</v>
      </c>
      <c r="DI52" s="10">
        <f>IF(CW52=$O52,0,'Verwerking Bouwdelen'!G36)</f>
        <v>0</v>
      </c>
      <c r="DJ52" s="259">
        <f>'Verwerking Bouwdelen'!GK36*CF52</f>
        <v>0</v>
      </c>
      <c r="DK52" s="259">
        <f>'Verwerking Bouwdelen'!GL36*CF52</f>
        <v>0</v>
      </c>
      <c r="DL52" s="125"/>
      <c r="GM52" s="89">
        <f t="shared" si="13"/>
        <v>0</v>
      </c>
      <c r="GN52" s="89">
        <f t="shared" si="14"/>
        <v>0</v>
      </c>
      <c r="GO52" s="208">
        <f>IF($GN52=1,$GN52*$GM52*'Verwerking Bouwdelen'!DL36,$GN52*$GM52*'Verwerking Bouwdelen'!T36)</f>
        <v>0</v>
      </c>
      <c r="GP52" s="208">
        <f>IF($GN52=1,$GN52*$GM52*'Verwerking Bouwdelen'!DM36,$GN52*$GM52*'Verwerking Bouwdelen'!U36)</f>
        <v>0</v>
      </c>
      <c r="GQ52" s="208">
        <f>IF($GN52=1,$GN52*$GM52*'Verwerking Bouwdelen'!DN36,$GN52*$GM52*'Verwerking Bouwdelen'!V36)</f>
        <v>0</v>
      </c>
      <c r="GR52" s="208">
        <f>IF($GN52=1,$GN52*$GM52*'Verwerking Bouwdelen'!DO36,$GN52*$GM52*'Verwerking Bouwdelen'!W36)</f>
        <v>0</v>
      </c>
      <c r="GS52" s="208">
        <f>IF($GN52=1,$GN52*$GM52*'Verwerking Bouwdelen'!DP36,$GN52*$GM52*'Verwerking Bouwdelen'!X36)</f>
        <v>0</v>
      </c>
      <c r="GT52" s="208">
        <f>IF($GN52=1,$GN52*$GM52*'Verwerking Bouwdelen'!DQ36,$GN52*$GM52*'Verwerking Bouwdelen'!Y36)</f>
        <v>0</v>
      </c>
      <c r="GU52" s="208">
        <f>IF($GN52=1,$GN52*$GM52*'Verwerking Bouwdelen'!DR36,$GN52*$GM52*'Verwerking Bouwdelen'!Z36)</f>
        <v>0</v>
      </c>
      <c r="GV52" s="208">
        <f>IF($GN52=1,$GN52*$GM52*'Verwerking Bouwdelen'!DS36,$GN52*$GM52*'Verwerking Bouwdelen'!AA36)</f>
        <v>0</v>
      </c>
      <c r="GW52" s="208">
        <f>IF($GN52=1,$GN52*$GM52*'Verwerking Bouwdelen'!DT36,$GN52*$GM52*'Verwerking Bouwdelen'!AB36)</f>
        <v>0</v>
      </c>
      <c r="GX52" s="208">
        <f>IF($GN52=1,$GN52*$GM52*'Verwerking Bouwdelen'!DU36,$GN52*$GM52*'Verwerking Bouwdelen'!AC36)</f>
        <v>0</v>
      </c>
      <c r="GY52" s="208">
        <f>IF($GN52=1,$GN52*$GM52*'Verwerking Bouwdelen'!DV36,$GN52*$GM52*'Verwerking Bouwdelen'!AD36)</f>
        <v>0</v>
      </c>
      <c r="GZ52" s="208">
        <f>IF($GN52=1,$GN52*$GM52*'Verwerking Bouwdelen'!DW36,$GN52*$GM52*'Verwerking Bouwdelen'!AE36)</f>
        <v>0</v>
      </c>
      <c r="HB52" s="89">
        <f t="shared" si="16"/>
        <v>0</v>
      </c>
      <c r="HC52" s="89">
        <f t="shared" si="17"/>
        <v>0</v>
      </c>
      <c r="HD52" s="89">
        <f t="shared" si="18"/>
        <v>0</v>
      </c>
      <c r="HE52" s="89">
        <f t="shared" si="19"/>
        <v>0</v>
      </c>
      <c r="HF52" s="89">
        <f t="shared" si="19"/>
        <v>0</v>
      </c>
      <c r="HG52" s="89">
        <f t="shared" si="19"/>
        <v>0</v>
      </c>
      <c r="HH52" s="89">
        <f t="shared" si="19"/>
        <v>0</v>
      </c>
      <c r="HI52" s="89">
        <f t="shared" si="19"/>
        <v>0</v>
      </c>
      <c r="HJ52" s="89">
        <f t="shared" si="19"/>
        <v>0</v>
      </c>
      <c r="HK52" s="89">
        <f t="shared" si="19"/>
        <v>0</v>
      </c>
      <c r="HL52" s="89">
        <f t="shared" si="19"/>
        <v>0</v>
      </c>
      <c r="HM52" s="89">
        <f t="shared" si="19"/>
        <v>0</v>
      </c>
    </row>
    <row r="53" spans="1:221" x14ac:dyDescent="0.2">
      <c r="A53" s="130">
        <f>IF('Verwerking Bouwdelen'!A37=5,1,0)</f>
        <v>0</v>
      </c>
      <c r="B53" s="208">
        <f>$A53*'Verwerking Bouwdelen'!T37</f>
        <v>0</v>
      </c>
      <c r="C53" s="208">
        <f>$A53*'Verwerking Bouwdelen'!U37</f>
        <v>0</v>
      </c>
      <c r="D53" s="208">
        <f>$A53*'Verwerking Bouwdelen'!V37</f>
        <v>0</v>
      </c>
      <c r="E53" s="208">
        <f>$A53*'Verwerking Bouwdelen'!W37</f>
        <v>0</v>
      </c>
      <c r="F53" s="208">
        <f>$A53*'Verwerking Bouwdelen'!X37</f>
        <v>0</v>
      </c>
      <c r="G53" s="208">
        <f>$A53*'Verwerking Bouwdelen'!Y37</f>
        <v>0</v>
      </c>
      <c r="H53" s="208">
        <f>$A53*'Verwerking Bouwdelen'!Z37</f>
        <v>0</v>
      </c>
      <c r="I53" s="208">
        <f>$A53*'Verwerking Bouwdelen'!AA37</f>
        <v>0</v>
      </c>
      <c r="J53" s="208">
        <f>$A53*'Verwerking Bouwdelen'!AB37</f>
        <v>0</v>
      </c>
      <c r="K53" s="208">
        <f>$A53*'Verwerking Bouwdelen'!AC37</f>
        <v>0</v>
      </c>
      <c r="L53" s="208">
        <f>$A53*'Verwerking Bouwdelen'!AD37</f>
        <v>0</v>
      </c>
      <c r="M53" s="208">
        <f>$A53*'Verwerking Bouwdelen'!AE37</f>
        <v>0</v>
      </c>
      <c r="O53" s="114">
        <f>$A53*'Verwerking Bouwdelen'!AU37</f>
        <v>0</v>
      </c>
      <c r="P53" s="125">
        <f>$A53*'Verwerking Bouwdelen'!AV37</f>
        <v>0</v>
      </c>
      <c r="Q53" s="125">
        <f>$A53*'Verwerking Bouwdelen'!AW37</f>
        <v>0</v>
      </c>
      <c r="R53" s="125">
        <f>$A53*'Verwerking Bouwdelen'!AX37</f>
        <v>0</v>
      </c>
      <c r="S53" s="125">
        <f>$A53*'Verwerking Bouwdelen'!AY37</f>
        <v>0</v>
      </c>
      <c r="T53" s="125">
        <f>$A53*'Verwerking Bouwdelen'!AZ37</f>
        <v>0</v>
      </c>
      <c r="U53" s="125">
        <f>$A53*'Verwerking Bouwdelen'!BA37</f>
        <v>0</v>
      </c>
      <c r="V53" s="125">
        <f>$A53*'Verwerking Bouwdelen'!BB37</f>
        <v>0</v>
      </c>
      <c r="W53" s="125">
        <f>$A53*'Verwerking Bouwdelen'!BC37</f>
        <v>0</v>
      </c>
      <c r="X53" s="125">
        <f>$A53*'Verwerking Bouwdelen'!BD37</f>
        <v>0</v>
      </c>
      <c r="Y53" s="125">
        <f>$A53*'Verwerking Bouwdelen'!BE37</f>
        <v>0</v>
      </c>
      <c r="Z53" s="195">
        <f>$A53*'Verwerking Bouwdelen'!BF37</f>
        <v>0</v>
      </c>
      <c r="AB53" s="125">
        <f>IF(OR('Verwerking Bouwdelen'!C37=3,'Verwerking Bouwdelen'!C37=6),1,0)</f>
        <v>0</v>
      </c>
      <c r="AC53" s="130">
        <f>IF('Verwerking Bouwdelen'!A37=5,1,0)</f>
        <v>0</v>
      </c>
      <c r="AD53" s="208">
        <f>IF($AB53=1,$AC53*'Verwerking Bouwdelen'!DL37,$AC53*'Verwerking Bouwdelen'!T37)</f>
        <v>0</v>
      </c>
      <c r="AE53" s="208">
        <f>IF($AB53=1,$AC53*'Verwerking Bouwdelen'!DM37,$AC53*'Verwerking Bouwdelen'!U37)</f>
        <v>0</v>
      </c>
      <c r="AF53" s="208">
        <f>IF($AB53=1,$AC53*'Verwerking Bouwdelen'!DN37,$AC53*'Verwerking Bouwdelen'!V37)</f>
        <v>0</v>
      </c>
      <c r="AG53" s="208">
        <f>IF($AB53=1,$AC53*'Verwerking Bouwdelen'!DO37,$AC53*'Verwerking Bouwdelen'!W37)</f>
        <v>0</v>
      </c>
      <c r="AH53" s="208">
        <f>IF($AB53=1,$AC53*'Verwerking Bouwdelen'!DP37,$AC53*'Verwerking Bouwdelen'!X37)</f>
        <v>0</v>
      </c>
      <c r="AI53" s="208">
        <f>IF($AB53=1,$AC53*'Verwerking Bouwdelen'!DQ37,$AC53*'Verwerking Bouwdelen'!Y37)</f>
        <v>0</v>
      </c>
      <c r="AJ53" s="208">
        <f>IF($AB53=1,$AC53*'Verwerking Bouwdelen'!DR37,$AC53*'Verwerking Bouwdelen'!Z37)</f>
        <v>0</v>
      </c>
      <c r="AK53" s="208">
        <f>IF($AB53=1,$AC53*'Verwerking Bouwdelen'!DS37,$AC53*'Verwerking Bouwdelen'!AA37)</f>
        <v>0</v>
      </c>
      <c r="AL53" s="208">
        <f>IF($AB53=1,$AC53*'Verwerking Bouwdelen'!DT37,$AC53*'Verwerking Bouwdelen'!AB37)</f>
        <v>0</v>
      </c>
      <c r="AM53" s="208">
        <f>IF($AB53=1,$AC53*'Verwerking Bouwdelen'!DU37,$AC53*'Verwerking Bouwdelen'!AC37)</f>
        <v>0</v>
      </c>
      <c r="AN53" s="208">
        <f>IF($AB53=1,$AC53*'Verwerking Bouwdelen'!DV37,$AC53*'Verwerking Bouwdelen'!AD37)</f>
        <v>0</v>
      </c>
      <c r="AO53" s="208">
        <f>IF($AB53=1,$AC53*'Verwerking Bouwdelen'!DW37,$AC53*'Verwerking Bouwdelen'!AE37)</f>
        <v>0</v>
      </c>
      <c r="AP53" s="10">
        <f>IF(AD53=B53,0,'Verwerking Bouwdelen'!D37*AB53*AC53)</f>
        <v>0</v>
      </c>
      <c r="AQ53" s="10">
        <f>AB53*AC53*'Verwerking Bouwdelen'!GH37</f>
        <v>0</v>
      </c>
      <c r="AR53" s="10"/>
      <c r="AS53" s="248"/>
      <c r="AT53" s="125">
        <f>IF('Verwerking Bouwdelen'!C37=4,1,0)</f>
        <v>0</v>
      </c>
      <c r="AU53" s="130">
        <f>IF('Verwerking Bouwdelen'!A37=5,1,0)</f>
        <v>0</v>
      </c>
      <c r="AV53" s="208">
        <f>IF($AT53=1,$AU53*'Verwerking Bouwdelen'!DL37,$AU53*'Verwerking Bouwdelen'!T37)</f>
        <v>0</v>
      </c>
      <c r="AW53" s="208">
        <f>IF($AT53=1,$AU53*'Verwerking Bouwdelen'!DM37,$AU53*'Verwerking Bouwdelen'!U37)</f>
        <v>0</v>
      </c>
      <c r="AX53" s="208">
        <f>IF($AT53=1,$AU53*'Verwerking Bouwdelen'!DN37,$AU53*'Verwerking Bouwdelen'!V37)</f>
        <v>0</v>
      </c>
      <c r="AY53" s="208">
        <f>IF($AT53=1,$AU53*'Verwerking Bouwdelen'!DO37,$AU53*'Verwerking Bouwdelen'!W37)</f>
        <v>0</v>
      </c>
      <c r="AZ53" s="208">
        <f>IF($AT53=1,$AU53*'Verwerking Bouwdelen'!DP37,$AU53*'Verwerking Bouwdelen'!X37)</f>
        <v>0</v>
      </c>
      <c r="BA53" s="208">
        <f>IF($AT53=1,$AU53*'Verwerking Bouwdelen'!DQ37,$AU53*'Verwerking Bouwdelen'!Y37)</f>
        <v>0</v>
      </c>
      <c r="BB53" s="208">
        <f>IF($AT53=1,$AU53*'Verwerking Bouwdelen'!DR37,$AU53*'Verwerking Bouwdelen'!Z37)</f>
        <v>0</v>
      </c>
      <c r="BC53" s="208">
        <f>IF($AT53=1,$AU53*'Verwerking Bouwdelen'!DS37,$AU53*'Verwerking Bouwdelen'!AA37)</f>
        <v>0</v>
      </c>
      <c r="BD53" s="208">
        <f>IF($AT53=1,$AU53*'Verwerking Bouwdelen'!DT37,$AU53*'Verwerking Bouwdelen'!AB37)</f>
        <v>0</v>
      </c>
      <c r="BE53" s="208">
        <f>IF($AT53=1,$AU53*'Verwerking Bouwdelen'!DU37,$AU53*'Verwerking Bouwdelen'!AC37)</f>
        <v>0</v>
      </c>
      <c r="BF53" s="208">
        <f>IF($AT53=1,$AU53*'Verwerking Bouwdelen'!DV37,$AU53*'Verwerking Bouwdelen'!AD37)</f>
        <v>0</v>
      </c>
      <c r="BG53" s="208">
        <f>IF($AT53=1,$AU53*'Verwerking Bouwdelen'!DW37,$AU53*'Verwerking Bouwdelen'!AE37)</f>
        <v>0</v>
      </c>
      <c r="BH53" s="10">
        <f>IF(AV53=B53,0,'Verwerking Bouwdelen'!D37*AT53*AU53)</f>
        <v>0</v>
      </c>
      <c r="BI53" s="10">
        <f>AT53*AU53*'Verwerking Bouwdelen'!GH37</f>
        <v>0</v>
      </c>
      <c r="BJ53" s="10"/>
      <c r="BK53" s="10"/>
      <c r="BM53" s="125">
        <f>IF('Verwerking Bouwdelen'!C37=5,1,0)</f>
        <v>0</v>
      </c>
      <c r="BN53" s="130">
        <f>IF('Verwerking Bouwdelen'!A37=5,1,0)</f>
        <v>0</v>
      </c>
      <c r="BO53" s="208">
        <f>IF($BM53=1,$BN53*'Verwerking Bouwdelen'!DL37,$BN53*'Verwerking Bouwdelen'!T37)</f>
        <v>0</v>
      </c>
      <c r="BP53" s="208">
        <f>IF($BM53=1,$BN53*'Verwerking Bouwdelen'!DM37,$BN53*'Verwerking Bouwdelen'!U37)</f>
        <v>0</v>
      </c>
      <c r="BQ53" s="208">
        <f>IF($BM53=1,$BN53*'Verwerking Bouwdelen'!DN37,$BN53*'Verwerking Bouwdelen'!V37)</f>
        <v>0</v>
      </c>
      <c r="BR53" s="208">
        <f>IF($BM53=1,$BN53*'Verwerking Bouwdelen'!DO37,$BN53*'Verwerking Bouwdelen'!W37)</f>
        <v>0</v>
      </c>
      <c r="BS53" s="208">
        <f>IF($BM53=1,$BN53*'Verwerking Bouwdelen'!DP37,$BN53*'Verwerking Bouwdelen'!X37)</f>
        <v>0</v>
      </c>
      <c r="BT53" s="208">
        <f>IF($BM53=1,$BN53*'Verwerking Bouwdelen'!DQ37,$BN53*'Verwerking Bouwdelen'!Y37)</f>
        <v>0</v>
      </c>
      <c r="BU53" s="208">
        <f>IF($BM53=1,$BN53*'Verwerking Bouwdelen'!DR37,$BN53*'Verwerking Bouwdelen'!Z37)</f>
        <v>0</v>
      </c>
      <c r="BV53" s="208">
        <f>IF($BM53=1,$BN53*'Verwerking Bouwdelen'!DS37,$BN53*'Verwerking Bouwdelen'!AA37)</f>
        <v>0</v>
      </c>
      <c r="BW53" s="208">
        <f>IF($BM53=1,$BN53*'Verwerking Bouwdelen'!DT37,$BN53*'Verwerking Bouwdelen'!AB37)</f>
        <v>0</v>
      </c>
      <c r="BX53" s="208">
        <f>IF($BM53=1,$BN53*'Verwerking Bouwdelen'!DU37,$BN53*'Verwerking Bouwdelen'!AC37)</f>
        <v>0</v>
      </c>
      <c r="BY53" s="208">
        <f>IF($BM53=1,$BN53*'Verwerking Bouwdelen'!DV37,$BN53*'Verwerking Bouwdelen'!AD37)</f>
        <v>0</v>
      </c>
      <c r="BZ53" s="208">
        <f>IF($BM53=1,$BN53*'Verwerking Bouwdelen'!DW37,$BN53*'Verwerking Bouwdelen'!AE37)</f>
        <v>0</v>
      </c>
      <c r="CA53" s="10">
        <f>IF(BO53=$B53,0,'Verwerking Bouwdelen'!$D37*BM53*BN53)</f>
        <v>0</v>
      </c>
      <c r="CB53" s="10">
        <f>BM53*BN53*'Verwerking Bouwdelen'!GH37</f>
        <v>0</v>
      </c>
      <c r="CC53" s="10"/>
      <c r="CD53" s="248"/>
      <c r="CE53" s="125">
        <f>IF('Verwerking Bouwdelen'!C37=2,1,0)</f>
        <v>0</v>
      </c>
      <c r="CF53" s="130">
        <f>IF('Verwerking Bouwdelen'!A37=5,1,0)</f>
        <v>0</v>
      </c>
      <c r="CG53" s="208">
        <f>IF($CE53=1,$CF53*'Verwerking Bouwdelen'!DL37,$CF53*'Verwerking Bouwdelen'!T37)</f>
        <v>0</v>
      </c>
      <c r="CH53" s="208">
        <f>IF($CE53=1,$CF53*'Verwerking Bouwdelen'!DM37,$CF53*'Verwerking Bouwdelen'!U37)</f>
        <v>0</v>
      </c>
      <c r="CI53" s="208">
        <f>IF($CE53=1,$CF53*'Verwerking Bouwdelen'!DN37,$CF53*'Verwerking Bouwdelen'!V37)</f>
        <v>0</v>
      </c>
      <c r="CJ53" s="208">
        <f>IF($CE53=1,$CF53*'Verwerking Bouwdelen'!DO37,$CF53*'Verwerking Bouwdelen'!W37)</f>
        <v>0</v>
      </c>
      <c r="CK53" s="208">
        <f>IF($CE53=1,$CF53*'Verwerking Bouwdelen'!DP37,$CF53*'Verwerking Bouwdelen'!X37)</f>
        <v>0</v>
      </c>
      <c r="CL53" s="208">
        <f>IF($CE53=1,$CF53*'Verwerking Bouwdelen'!DQ37,$CF53*'Verwerking Bouwdelen'!Y37)</f>
        <v>0</v>
      </c>
      <c r="CM53" s="208">
        <f>IF($CE53=1,$CF53*'Verwerking Bouwdelen'!DR37,$CF53*'Verwerking Bouwdelen'!Z37)</f>
        <v>0</v>
      </c>
      <c r="CN53" s="208">
        <f>IF($CE53=1,$CF53*'Verwerking Bouwdelen'!DS37,$CF53*'Verwerking Bouwdelen'!AA37)</f>
        <v>0</v>
      </c>
      <c r="CO53" s="208">
        <f>IF($CE53=1,$CF53*'Verwerking Bouwdelen'!DT37,$CF53*'Verwerking Bouwdelen'!AB37)</f>
        <v>0</v>
      </c>
      <c r="CP53" s="208">
        <f>IF($CE53=1,$CF53*'Verwerking Bouwdelen'!DU37,$CF53*'Verwerking Bouwdelen'!AC37)</f>
        <v>0</v>
      </c>
      <c r="CQ53" s="208">
        <f>IF($CE53=1,$CF53*'Verwerking Bouwdelen'!DV37,$CF53*'Verwerking Bouwdelen'!AD37)</f>
        <v>0</v>
      </c>
      <c r="CR53" s="208">
        <f>IF($CE53=1,$CF53*'Verwerking Bouwdelen'!DW37,$CF53*'Verwerking Bouwdelen'!AE37)</f>
        <v>0</v>
      </c>
      <c r="CS53" s="10">
        <f>IF(CG53=$B53,0,('Verwerking Bouwdelen'!$D37-'Verwerking Bouwdelen'!G37)*CE53*CF53)</f>
        <v>0</v>
      </c>
      <c r="CT53" s="261">
        <f>CE53*CF53*'Verwerking Bouwdelen'!$GH$3</f>
        <v>0</v>
      </c>
      <c r="CU53" s="261">
        <f>CE53*CF53*'Verwerking Bouwdelen'!GI37</f>
        <v>0</v>
      </c>
      <c r="CW53" s="209">
        <f>$AC53*'Verwerking Bouwdelen'!EE37</f>
        <v>0</v>
      </c>
      <c r="CX53" s="209">
        <f>$AC53*'Verwerking Bouwdelen'!EF37</f>
        <v>0</v>
      </c>
      <c r="CY53" s="209">
        <f>$AC53*'Verwerking Bouwdelen'!EG37</f>
        <v>0</v>
      </c>
      <c r="CZ53" s="209">
        <f>$AC53*'Verwerking Bouwdelen'!EH37</f>
        <v>0</v>
      </c>
      <c r="DA53" s="209">
        <f>$AC53*'Verwerking Bouwdelen'!EI37</f>
        <v>0</v>
      </c>
      <c r="DB53" s="209">
        <f>$AC53*'Verwerking Bouwdelen'!EJ37</f>
        <v>0</v>
      </c>
      <c r="DC53" s="209">
        <f>$AC53*'Verwerking Bouwdelen'!EK37</f>
        <v>0</v>
      </c>
      <c r="DD53" s="209">
        <f>$AC53*'Verwerking Bouwdelen'!EL37</f>
        <v>0</v>
      </c>
      <c r="DE53" s="209">
        <f>$AC53*'Verwerking Bouwdelen'!EM37</f>
        <v>0</v>
      </c>
      <c r="DF53" s="209">
        <f>$AC53*'Verwerking Bouwdelen'!EN37</f>
        <v>0</v>
      </c>
      <c r="DG53" s="209">
        <f>$AC53*'Verwerking Bouwdelen'!EO37</f>
        <v>0</v>
      </c>
      <c r="DH53" s="209">
        <f>$AC53*'Verwerking Bouwdelen'!EP37</f>
        <v>0</v>
      </c>
      <c r="DI53" s="10">
        <f>IF(CW53=$O53,0,'Verwerking Bouwdelen'!G37)</f>
        <v>0</v>
      </c>
      <c r="DJ53" s="259">
        <f>'Verwerking Bouwdelen'!GK37*CF53</f>
        <v>0</v>
      </c>
      <c r="DK53" s="259">
        <f>'Verwerking Bouwdelen'!GL37*CF53</f>
        <v>0</v>
      </c>
      <c r="DL53" s="125"/>
      <c r="GM53" s="89">
        <f t="shared" si="13"/>
        <v>0</v>
      </c>
      <c r="GN53" s="89">
        <f t="shared" si="14"/>
        <v>0</v>
      </c>
      <c r="GO53" s="208">
        <f>IF($GN53=1,$GN53*$GM53*'Verwerking Bouwdelen'!DL37,$GN53*$GM53*'Verwerking Bouwdelen'!T37)</f>
        <v>0</v>
      </c>
      <c r="GP53" s="208">
        <f>IF($GN53=1,$GN53*$GM53*'Verwerking Bouwdelen'!DM37,$GN53*$GM53*'Verwerking Bouwdelen'!U37)</f>
        <v>0</v>
      </c>
      <c r="GQ53" s="208">
        <f>IF($GN53=1,$GN53*$GM53*'Verwerking Bouwdelen'!DN37,$GN53*$GM53*'Verwerking Bouwdelen'!V37)</f>
        <v>0</v>
      </c>
      <c r="GR53" s="208">
        <f>IF($GN53=1,$GN53*$GM53*'Verwerking Bouwdelen'!DO37,$GN53*$GM53*'Verwerking Bouwdelen'!W37)</f>
        <v>0</v>
      </c>
      <c r="GS53" s="208">
        <f>IF($GN53=1,$GN53*$GM53*'Verwerking Bouwdelen'!DP37,$GN53*$GM53*'Verwerking Bouwdelen'!X37)</f>
        <v>0</v>
      </c>
      <c r="GT53" s="208">
        <f>IF($GN53=1,$GN53*$GM53*'Verwerking Bouwdelen'!DQ37,$GN53*$GM53*'Verwerking Bouwdelen'!Y37)</f>
        <v>0</v>
      </c>
      <c r="GU53" s="208">
        <f>IF($GN53=1,$GN53*$GM53*'Verwerking Bouwdelen'!DR37,$GN53*$GM53*'Verwerking Bouwdelen'!Z37)</f>
        <v>0</v>
      </c>
      <c r="GV53" s="208">
        <f>IF($GN53=1,$GN53*$GM53*'Verwerking Bouwdelen'!DS37,$GN53*$GM53*'Verwerking Bouwdelen'!AA37)</f>
        <v>0</v>
      </c>
      <c r="GW53" s="208">
        <f>IF($GN53=1,$GN53*$GM53*'Verwerking Bouwdelen'!DT37,$GN53*$GM53*'Verwerking Bouwdelen'!AB37)</f>
        <v>0</v>
      </c>
      <c r="GX53" s="208">
        <f>IF($GN53=1,$GN53*$GM53*'Verwerking Bouwdelen'!DU37,$GN53*$GM53*'Verwerking Bouwdelen'!AC37)</f>
        <v>0</v>
      </c>
      <c r="GY53" s="208">
        <f>IF($GN53=1,$GN53*$GM53*'Verwerking Bouwdelen'!DV37,$GN53*$GM53*'Verwerking Bouwdelen'!AD37)</f>
        <v>0</v>
      </c>
      <c r="GZ53" s="208">
        <f>IF($GN53=1,$GN53*$GM53*'Verwerking Bouwdelen'!DW37,$GN53*$GM53*'Verwerking Bouwdelen'!AE37)</f>
        <v>0</v>
      </c>
      <c r="HB53" s="89">
        <f t="shared" si="16"/>
        <v>0</v>
      </c>
      <c r="HC53" s="89">
        <f t="shared" si="17"/>
        <v>0</v>
      </c>
      <c r="HD53" s="89">
        <f t="shared" si="18"/>
        <v>0</v>
      </c>
      <c r="HE53" s="89">
        <f t="shared" si="19"/>
        <v>0</v>
      </c>
      <c r="HF53" s="89">
        <f t="shared" si="19"/>
        <v>0</v>
      </c>
      <c r="HG53" s="89">
        <f t="shared" si="19"/>
        <v>0</v>
      </c>
      <c r="HH53" s="89">
        <f t="shared" si="19"/>
        <v>0</v>
      </c>
      <c r="HI53" s="89">
        <f t="shared" si="19"/>
        <v>0</v>
      </c>
      <c r="HJ53" s="89">
        <f t="shared" si="19"/>
        <v>0</v>
      </c>
      <c r="HK53" s="89">
        <f t="shared" si="19"/>
        <v>0</v>
      </c>
      <c r="HL53" s="89">
        <f t="shared" si="19"/>
        <v>0</v>
      </c>
      <c r="HM53" s="89">
        <f t="shared" si="19"/>
        <v>0</v>
      </c>
    </row>
    <row r="54" spans="1:221" x14ac:dyDescent="0.2">
      <c r="A54" s="130">
        <f>IF('Verwerking Bouwdelen'!A38=5,1,0)</f>
        <v>0</v>
      </c>
      <c r="B54" s="208">
        <f>$A54*'Verwerking Bouwdelen'!T38</f>
        <v>0</v>
      </c>
      <c r="C54" s="208">
        <f>$A54*'Verwerking Bouwdelen'!U38</f>
        <v>0</v>
      </c>
      <c r="D54" s="208">
        <f>$A54*'Verwerking Bouwdelen'!V38</f>
        <v>0</v>
      </c>
      <c r="E54" s="208">
        <f>$A54*'Verwerking Bouwdelen'!W38</f>
        <v>0</v>
      </c>
      <c r="F54" s="208">
        <f>$A54*'Verwerking Bouwdelen'!X38</f>
        <v>0</v>
      </c>
      <c r="G54" s="208">
        <f>$A54*'Verwerking Bouwdelen'!Y38</f>
        <v>0</v>
      </c>
      <c r="H54" s="208">
        <f>$A54*'Verwerking Bouwdelen'!Z38</f>
        <v>0</v>
      </c>
      <c r="I54" s="208">
        <f>$A54*'Verwerking Bouwdelen'!AA38</f>
        <v>0</v>
      </c>
      <c r="J54" s="208">
        <f>$A54*'Verwerking Bouwdelen'!AB38</f>
        <v>0</v>
      </c>
      <c r="K54" s="208">
        <f>$A54*'Verwerking Bouwdelen'!AC38</f>
        <v>0</v>
      </c>
      <c r="L54" s="208">
        <f>$A54*'Verwerking Bouwdelen'!AD38</f>
        <v>0</v>
      </c>
      <c r="M54" s="208">
        <f>$A54*'Verwerking Bouwdelen'!AE38</f>
        <v>0</v>
      </c>
      <c r="O54" s="114">
        <f>$A54*'Verwerking Bouwdelen'!AU38</f>
        <v>0</v>
      </c>
      <c r="P54" s="125">
        <f>$A54*'Verwerking Bouwdelen'!AV38</f>
        <v>0</v>
      </c>
      <c r="Q54" s="125">
        <f>$A54*'Verwerking Bouwdelen'!AW38</f>
        <v>0</v>
      </c>
      <c r="R54" s="125">
        <f>$A54*'Verwerking Bouwdelen'!AX38</f>
        <v>0</v>
      </c>
      <c r="S54" s="125">
        <f>$A54*'Verwerking Bouwdelen'!AY38</f>
        <v>0</v>
      </c>
      <c r="T54" s="125">
        <f>$A54*'Verwerking Bouwdelen'!AZ38</f>
        <v>0</v>
      </c>
      <c r="U54" s="125">
        <f>$A54*'Verwerking Bouwdelen'!BA38</f>
        <v>0</v>
      </c>
      <c r="V54" s="125">
        <f>$A54*'Verwerking Bouwdelen'!BB38</f>
        <v>0</v>
      </c>
      <c r="W54" s="125">
        <f>$A54*'Verwerking Bouwdelen'!BC38</f>
        <v>0</v>
      </c>
      <c r="X54" s="125">
        <f>$A54*'Verwerking Bouwdelen'!BD38</f>
        <v>0</v>
      </c>
      <c r="Y54" s="125">
        <f>$A54*'Verwerking Bouwdelen'!BE38</f>
        <v>0</v>
      </c>
      <c r="Z54" s="195">
        <f>$A54*'Verwerking Bouwdelen'!BF38</f>
        <v>0</v>
      </c>
      <c r="AB54" s="125">
        <f>IF(OR('Verwerking Bouwdelen'!C38=3,'Verwerking Bouwdelen'!C38=6),1,0)</f>
        <v>0</v>
      </c>
      <c r="AC54" s="130">
        <f>IF('Verwerking Bouwdelen'!A38=5,1,0)</f>
        <v>0</v>
      </c>
      <c r="AD54" s="208">
        <f>IF($AB54=1,$AC54*'Verwerking Bouwdelen'!DL38,$AC54*'Verwerking Bouwdelen'!T38)</f>
        <v>0</v>
      </c>
      <c r="AE54" s="208">
        <f>IF($AB54=1,$AC54*'Verwerking Bouwdelen'!DM38,$AC54*'Verwerking Bouwdelen'!U38)</f>
        <v>0</v>
      </c>
      <c r="AF54" s="208">
        <f>IF($AB54=1,$AC54*'Verwerking Bouwdelen'!DN38,$AC54*'Verwerking Bouwdelen'!V38)</f>
        <v>0</v>
      </c>
      <c r="AG54" s="208">
        <f>IF($AB54=1,$AC54*'Verwerking Bouwdelen'!DO38,$AC54*'Verwerking Bouwdelen'!W38)</f>
        <v>0</v>
      </c>
      <c r="AH54" s="208">
        <f>IF($AB54=1,$AC54*'Verwerking Bouwdelen'!DP38,$AC54*'Verwerking Bouwdelen'!X38)</f>
        <v>0</v>
      </c>
      <c r="AI54" s="208">
        <f>IF($AB54=1,$AC54*'Verwerking Bouwdelen'!DQ38,$AC54*'Verwerking Bouwdelen'!Y38)</f>
        <v>0</v>
      </c>
      <c r="AJ54" s="208">
        <f>IF($AB54=1,$AC54*'Verwerking Bouwdelen'!DR38,$AC54*'Verwerking Bouwdelen'!Z38)</f>
        <v>0</v>
      </c>
      <c r="AK54" s="208">
        <f>IF($AB54=1,$AC54*'Verwerking Bouwdelen'!DS38,$AC54*'Verwerking Bouwdelen'!AA38)</f>
        <v>0</v>
      </c>
      <c r="AL54" s="208">
        <f>IF($AB54=1,$AC54*'Verwerking Bouwdelen'!DT38,$AC54*'Verwerking Bouwdelen'!AB38)</f>
        <v>0</v>
      </c>
      <c r="AM54" s="208">
        <f>IF($AB54=1,$AC54*'Verwerking Bouwdelen'!DU38,$AC54*'Verwerking Bouwdelen'!AC38)</f>
        <v>0</v>
      </c>
      <c r="AN54" s="208">
        <f>IF($AB54=1,$AC54*'Verwerking Bouwdelen'!DV38,$AC54*'Verwerking Bouwdelen'!AD38)</f>
        <v>0</v>
      </c>
      <c r="AO54" s="208">
        <f>IF($AB54=1,$AC54*'Verwerking Bouwdelen'!DW38,$AC54*'Verwerking Bouwdelen'!AE38)</f>
        <v>0</v>
      </c>
      <c r="AP54" s="10">
        <f>IF(AD54=B54,0,'Verwerking Bouwdelen'!D38*AB54*AC54)</f>
        <v>0</v>
      </c>
      <c r="AQ54" s="10">
        <f>AB54*AC54*'Verwerking Bouwdelen'!GH38</f>
        <v>0</v>
      </c>
      <c r="AR54" s="10"/>
      <c r="AS54" s="248"/>
      <c r="AT54" s="125">
        <f>IF('Verwerking Bouwdelen'!C38=4,1,0)</f>
        <v>0</v>
      </c>
      <c r="AU54" s="130">
        <f>IF('Verwerking Bouwdelen'!A38=5,1,0)</f>
        <v>0</v>
      </c>
      <c r="AV54" s="208">
        <f>IF($AT54=1,$AU54*'Verwerking Bouwdelen'!DL38,$AU54*'Verwerking Bouwdelen'!T38)</f>
        <v>0</v>
      </c>
      <c r="AW54" s="208">
        <f>IF($AT54=1,$AU54*'Verwerking Bouwdelen'!DM38,$AU54*'Verwerking Bouwdelen'!U38)</f>
        <v>0</v>
      </c>
      <c r="AX54" s="208">
        <f>IF($AT54=1,$AU54*'Verwerking Bouwdelen'!DN38,$AU54*'Verwerking Bouwdelen'!V38)</f>
        <v>0</v>
      </c>
      <c r="AY54" s="208">
        <f>IF($AT54=1,$AU54*'Verwerking Bouwdelen'!DO38,$AU54*'Verwerking Bouwdelen'!W38)</f>
        <v>0</v>
      </c>
      <c r="AZ54" s="208">
        <f>IF($AT54=1,$AU54*'Verwerking Bouwdelen'!DP38,$AU54*'Verwerking Bouwdelen'!X38)</f>
        <v>0</v>
      </c>
      <c r="BA54" s="208">
        <f>IF($AT54=1,$AU54*'Verwerking Bouwdelen'!DQ38,$AU54*'Verwerking Bouwdelen'!Y38)</f>
        <v>0</v>
      </c>
      <c r="BB54" s="208">
        <f>IF($AT54=1,$AU54*'Verwerking Bouwdelen'!DR38,$AU54*'Verwerking Bouwdelen'!Z38)</f>
        <v>0</v>
      </c>
      <c r="BC54" s="208">
        <f>IF($AT54=1,$AU54*'Verwerking Bouwdelen'!DS38,$AU54*'Verwerking Bouwdelen'!AA38)</f>
        <v>0</v>
      </c>
      <c r="BD54" s="208">
        <f>IF($AT54=1,$AU54*'Verwerking Bouwdelen'!DT38,$AU54*'Verwerking Bouwdelen'!AB38)</f>
        <v>0</v>
      </c>
      <c r="BE54" s="208">
        <f>IF($AT54=1,$AU54*'Verwerking Bouwdelen'!DU38,$AU54*'Verwerking Bouwdelen'!AC38)</f>
        <v>0</v>
      </c>
      <c r="BF54" s="208">
        <f>IF($AT54=1,$AU54*'Verwerking Bouwdelen'!DV38,$AU54*'Verwerking Bouwdelen'!AD38)</f>
        <v>0</v>
      </c>
      <c r="BG54" s="208">
        <f>IF($AT54=1,$AU54*'Verwerking Bouwdelen'!DW38,$AU54*'Verwerking Bouwdelen'!AE38)</f>
        <v>0</v>
      </c>
      <c r="BH54" s="10">
        <f>IF(AV54=B54,0,'Verwerking Bouwdelen'!D38*AT54*AU54)</f>
        <v>0</v>
      </c>
      <c r="BI54" s="10">
        <f>AT54*AU54*'Verwerking Bouwdelen'!GH38</f>
        <v>0</v>
      </c>
      <c r="BJ54" s="10"/>
      <c r="BK54" s="10"/>
      <c r="BM54" s="125">
        <f>IF('Verwerking Bouwdelen'!C38=5,1,0)</f>
        <v>0</v>
      </c>
      <c r="BN54" s="130">
        <f>IF('Verwerking Bouwdelen'!A38=5,1,0)</f>
        <v>0</v>
      </c>
      <c r="BO54" s="208">
        <f>IF($BM54=1,$BN54*'Verwerking Bouwdelen'!DL38,$BN54*'Verwerking Bouwdelen'!T38)</f>
        <v>0</v>
      </c>
      <c r="BP54" s="208">
        <f>IF($BM54=1,$BN54*'Verwerking Bouwdelen'!DM38,$BN54*'Verwerking Bouwdelen'!U38)</f>
        <v>0</v>
      </c>
      <c r="BQ54" s="208">
        <f>IF($BM54=1,$BN54*'Verwerking Bouwdelen'!DN38,$BN54*'Verwerking Bouwdelen'!V38)</f>
        <v>0</v>
      </c>
      <c r="BR54" s="208">
        <f>IF($BM54=1,$BN54*'Verwerking Bouwdelen'!DO38,$BN54*'Verwerking Bouwdelen'!W38)</f>
        <v>0</v>
      </c>
      <c r="BS54" s="208">
        <f>IF($BM54=1,$BN54*'Verwerking Bouwdelen'!DP38,$BN54*'Verwerking Bouwdelen'!X38)</f>
        <v>0</v>
      </c>
      <c r="BT54" s="208">
        <f>IF($BM54=1,$BN54*'Verwerking Bouwdelen'!DQ38,$BN54*'Verwerking Bouwdelen'!Y38)</f>
        <v>0</v>
      </c>
      <c r="BU54" s="208">
        <f>IF($BM54=1,$BN54*'Verwerking Bouwdelen'!DR38,$BN54*'Verwerking Bouwdelen'!Z38)</f>
        <v>0</v>
      </c>
      <c r="BV54" s="208">
        <f>IF($BM54=1,$BN54*'Verwerking Bouwdelen'!DS38,$BN54*'Verwerking Bouwdelen'!AA38)</f>
        <v>0</v>
      </c>
      <c r="BW54" s="208">
        <f>IF($BM54=1,$BN54*'Verwerking Bouwdelen'!DT38,$BN54*'Verwerking Bouwdelen'!AB38)</f>
        <v>0</v>
      </c>
      <c r="BX54" s="208">
        <f>IF($BM54=1,$BN54*'Verwerking Bouwdelen'!DU38,$BN54*'Verwerking Bouwdelen'!AC38)</f>
        <v>0</v>
      </c>
      <c r="BY54" s="208">
        <f>IF($BM54=1,$BN54*'Verwerking Bouwdelen'!DV38,$BN54*'Verwerking Bouwdelen'!AD38)</f>
        <v>0</v>
      </c>
      <c r="BZ54" s="208">
        <f>IF($BM54=1,$BN54*'Verwerking Bouwdelen'!DW38,$BN54*'Verwerking Bouwdelen'!AE38)</f>
        <v>0</v>
      </c>
      <c r="CA54" s="10">
        <f>IF(BO54=$B54,0,'Verwerking Bouwdelen'!$D38*BM54*BN54)</f>
        <v>0</v>
      </c>
      <c r="CB54" s="10">
        <f>BM54*BN54*'Verwerking Bouwdelen'!GH38</f>
        <v>0</v>
      </c>
      <c r="CC54" s="10"/>
      <c r="CD54" s="248"/>
      <c r="CE54" s="125">
        <f>IF('Verwerking Bouwdelen'!C38=2,1,0)</f>
        <v>0</v>
      </c>
      <c r="CF54" s="130">
        <f>IF('Verwerking Bouwdelen'!A38=5,1,0)</f>
        <v>0</v>
      </c>
      <c r="CG54" s="208">
        <f>IF($CE54=1,$CF54*'Verwerking Bouwdelen'!DL38,$CF54*'Verwerking Bouwdelen'!T38)</f>
        <v>0</v>
      </c>
      <c r="CH54" s="208">
        <f>IF($CE54=1,$CF54*'Verwerking Bouwdelen'!DM38,$CF54*'Verwerking Bouwdelen'!U38)</f>
        <v>0</v>
      </c>
      <c r="CI54" s="208">
        <f>IF($CE54=1,$CF54*'Verwerking Bouwdelen'!DN38,$CF54*'Verwerking Bouwdelen'!V38)</f>
        <v>0</v>
      </c>
      <c r="CJ54" s="208">
        <f>IF($CE54=1,$CF54*'Verwerking Bouwdelen'!DO38,$CF54*'Verwerking Bouwdelen'!W38)</f>
        <v>0</v>
      </c>
      <c r="CK54" s="208">
        <f>IF($CE54=1,$CF54*'Verwerking Bouwdelen'!DP38,$CF54*'Verwerking Bouwdelen'!X38)</f>
        <v>0</v>
      </c>
      <c r="CL54" s="208">
        <f>IF($CE54=1,$CF54*'Verwerking Bouwdelen'!DQ38,$CF54*'Verwerking Bouwdelen'!Y38)</f>
        <v>0</v>
      </c>
      <c r="CM54" s="208">
        <f>IF($CE54=1,$CF54*'Verwerking Bouwdelen'!DR38,$CF54*'Verwerking Bouwdelen'!Z38)</f>
        <v>0</v>
      </c>
      <c r="CN54" s="208">
        <f>IF($CE54=1,$CF54*'Verwerking Bouwdelen'!DS38,$CF54*'Verwerking Bouwdelen'!AA38)</f>
        <v>0</v>
      </c>
      <c r="CO54" s="208">
        <f>IF($CE54=1,$CF54*'Verwerking Bouwdelen'!DT38,$CF54*'Verwerking Bouwdelen'!AB38)</f>
        <v>0</v>
      </c>
      <c r="CP54" s="208">
        <f>IF($CE54=1,$CF54*'Verwerking Bouwdelen'!DU38,$CF54*'Verwerking Bouwdelen'!AC38)</f>
        <v>0</v>
      </c>
      <c r="CQ54" s="208">
        <f>IF($CE54=1,$CF54*'Verwerking Bouwdelen'!DV38,$CF54*'Verwerking Bouwdelen'!AD38)</f>
        <v>0</v>
      </c>
      <c r="CR54" s="208">
        <f>IF($CE54=1,$CF54*'Verwerking Bouwdelen'!DW38,$CF54*'Verwerking Bouwdelen'!AE38)</f>
        <v>0</v>
      </c>
      <c r="CS54" s="10">
        <f>IF(CG54=$B54,0,('Verwerking Bouwdelen'!$D38-'Verwerking Bouwdelen'!G38)*CE54*CF54)</f>
        <v>0</v>
      </c>
      <c r="CT54" s="261">
        <f>CE54*CF54*'Verwerking Bouwdelen'!$GH$3</f>
        <v>0</v>
      </c>
      <c r="CU54" s="261">
        <f>CE54*CF54*'Verwerking Bouwdelen'!GI38</f>
        <v>0</v>
      </c>
      <c r="CW54" s="209">
        <f>$AC54*'Verwerking Bouwdelen'!EE38</f>
        <v>0</v>
      </c>
      <c r="CX54" s="209">
        <f>$AC54*'Verwerking Bouwdelen'!EF38</f>
        <v>0</v>
      </c>
      <c r="CY54" s="209">
        <f>$AC54*'Verwerking Bouwdelen'!EG38</f>
        <v>0</v>
      </c>
      <c r="CZ54" s="209">
        <f>$AC54*'Verwerking Bouwdelen'!EH38</f>
        <v>0</v>
      </c>
      <c r="DA54" s="209">
        <f>$AC54*'Verwerking Bouwdelen'!EI38</f>
        <v>0</v>
      </c>
      <c r="DB54" s="209">
        <f>$AC54*'Verwerking Bouwdelen'!EJ38</f>
        <v>0</v>
      </c>
      <c r="DC54" s="209">
        <f>$AC54*'Verwerking Bouwdelen'!EK38</f>
        <v>0</v>
      </c>
      <c r="DD54" s="209">
        <f>$AC54*'Verwerking Bouwdelen'!EL38</f>
        <v>0</v>
      </c>
      <c r="DE54" s="209">
        <f>$AC54*'Verwerking Bouwdelen'!EM38</f>
        <v>0</v>
      </c>
      <c r="DF54" s="209">
        <f>$AC54*'Verwerking Bouwdelen'!EN38</f>
        <v>0</v>
      </c>
      <c r="DG54" s="209">
        <f>$AC54*'Verwerking Bouwdelen'!EO38</f>
        <v>0</v>
      </c>
      <c r="DH54" s="209">
        <f>$AC54*'Verwerking Bouwdelen'!EP38</f>
        <v>0</v>
      </c>
      <c r="DI54" s="10">
        <f>IF(CW54=$O54,0,'Verwerking Bouwdelen'!G38)</f>
        <v>0</v>
      </c>
      <c r="DJ54" s="259">
        <f>'Verwerking Bouwdelen'!GK38*CF54</f>
        <v>0</v>
      </c>
      <c r="DK54" s="259">
        <f>'Verwerking Bouwdelen'!GL38*CF54</f>
        <v>0</v>
      </c>
      <c r="DL54" s="125"/>
      <c r="GM54" s="89">
        <f t="shared" si="13"/>
        <v>0</v>
      </c>
      <c r="GN54" s="89">
        <f t="shared" si="14"/>
        <v>0</v>
      </c>
      <c r="GO54" s="208">
        <f>IF($GN54=1,$GN54*$GM54*'Verwerking Bouwdelen'!DL38,$GN54*$GM54*'Verwerking Bouwdelen'!T38)</f>
        <v>0</v>
      </c>
      <c r="GP54" s="208">
        <f>IF($GN54=1,$GN54*$GM54*'Verwerking Bouwdelen'!DM38,$GN54*$GM54*'Verwerking Bouwdelen'!U38)</f>
        <v>0</v>
      </c>
      <c r="GQ54" s="208">
        <f>IF($GN54=1,$GN54*$GM54*'Verwerking Bouwdelen'!DN38,$GN54*$GM54*'Verwerking Bouwdelen'!V38)</f>
        <v>0</v>
      </c>
      <c r="GR54" s="208">
        <f>IF($GN54=1,$GN54*$GM54*'Verwerking Bouwdelen'!DO38,$GN54*$GM54*'Verwerking Bouwdelen'!W38)</f>
        <v>0</v>
      </c>
      <c r="GS54" s="208">
        <f>IF($GN54=1,$GN54*$GM54*'Verwerking Bouwdelen'!DP38,$GN54*$GM54*'Verwerking Bouwdelen'!X38)</f>
        <v>0</v>
      </c>
      <c r="GT54" s="208">
        <f>IF($GN54=1,$GN54*$GM54*'Verwerking Bouwdelen'!DQ38,$GN54*$GM54*'Verwerking Bouwdelen'!Y38)</f>
        <v>0</v>
      </c>
      <c r="GU54" s="208">
        <f>IF($GN54=1,$GN54*$GM54*'Verwerking Bouwdelen'!DR38,$GN54*$GM54*'Verwerking Bouwdelen'!Z38)</f>
        <v>0</v>
      </c>
      <c r="GV54" s="208">
        <f>IF($GN54=1,$GN54*$GM54*'Verwerking Bouwdelen'!DS38,$GN54*$GM54*'Verwerking Bouwdelen'!AA38)</f>
        <v>0</v>
      </c>
      <c r="GW54" s="208">
        <f>IF($GN54=1,$GN54*$GM54*'Verwerking Bouwdelen'!DT38,$GN54*$GM54*'Verwerking Bouwdelen'!AB38)</f>
        <v>0</v>
      </c>
      <c r="GX54" s="208">
        <f>IF($GN54=1,$GN54*$GM54*'Verwerking Bouwdelen'!DU38,$GN54*$GM54*'Verwerking Bouwdelen'!AC38)</f>
        <v>0</v>
      </c>
      <c r="GY54" s="208">
        <f>IF($GN54=1,$GN54*$GM54*'Verwerking Bouwdelen'!DV38,$GN54*$GM54*'Verwerking Bouwdelen'!AD38)</f>
        <v>0</v>
      </c>
      <c r="GZ54" s="208">
        <f>IF($GN54=1,$GN54*$GM54*'Verwerking Bouwdelen'!DW38,$GN54*$GM54*'Verwerking Bouwdelen'!AE38)</f>
        <v>0</v>
      </c>
      <c r="HB54" s="89">
        <f t="shared" si="16"/>
        <v>0</v>
      </c>
      <c r="HC54" s="89">
        <f t="shared" si="17"/>
        <v>0</v>
      </c>
      <c r="HD54" s="89">
        <f t="shared" si="18"/>
        <v>0</v>
      </c>
      <c r="HE54" s="89">
        <f t="shared" si="19"/>
        <v>0</v>
      </c>
      <c r="HF54" s="89">
        <f t="shared" si="19"/>
        <v>0</v>
      </c>
      <c r="HG54" s="89">
        <f t="shared" si="19"/>
        <v>0</v>
      </c>
      <c r="HH54" s="89">
        <f t="shared" si="19"/>
        <v>0</v>
      </c>
      <c r="HI54" s="89">
        <f t="shared" si="19"/>
        <v>0</v>
      </c>
      <c r="HJ54" s="89">
        <f t="shared" si="19"/>
        <v>0</v>
      </c>
      <c r="HK54" s="89">
        <f t="shared" si="19"/>
        <v>0</v>
      </c>
      <c r="HL54" s="89">
        <f t="shared" si="19"/>
        <v>0</v>
      </c>
      <c r="HM54" s="89">
        <f t="shared" si="19"/>
        <v>0</v>
      </c>
    </row>
    <row r="55" spans="1:221" x14ac:dyDescent="0.2">
      <c r="A55" s="130">
        <f>IF('Verwerking Bouwdelen'!A39=5,1,0)</f>
        <v>0</v>
      </c>
      <c r="B55" s="208">
        <f>$A55*'Verwerking Bouwdelen'!T39</f>
        <v>0</v>
      </c>
      <c r="C55" s="208">
        <f>$A55*'Verwerking Bouwdelen'!U39</f>
        <v>0</v>
      </c>
      <c r="D55" s="208">
        <f>$A55*'Verwerking Bouwdelen'!V39</f>
        <v>0</v>
      </c>
      <c r="E55" s="208">
        <f>$A55*'Verwerking Bouwdelen'!W39</f>
        <v>0</v>
      </c>
      <c r="F55" s="208">
        <f>$A55*'Verwerking Bouwdelen'!X39</f>
        <v>0</v>
      </c>
      <c r="G55" s="208">
        <f>$A55*'Verwerking Bouwdelen'!Y39</f>
        <v>0</v>
      </c>
      <c r="H55" s="208">
        <f>$A55*'Verwerking Bouwdelen'!Z39</f>
        <v>0</v>
      </c>
      <c r="I55" s="208">
        <f>$A55*'Verwerking Bouwdelen'!AA39</f>
        <v>0</v>
      </c>
      <c r="J55" s="208">
        <f>$A55*'Verwerking Bouwdelen'!AB39</f>
        <v>0</v>
      </c>
      <c r="K55" s="208">
        <f>$A55*'Verwerking Bouwdelen'!AC39</f>
        <v>0</v>
      </c>
      <c r="L55" s="208">
        <f>$A55*'Verwerking Bouwdelen'!AD39</f>
        <v>0</v>
      </c>
      <c r="M55" s="208">
        <f>$A55*'Verwerking Bouwdelen'!AE39</f>
        <v>0</v>
      </c>
      <c r="O55" s="114">
        <f>$A55*'Verwerking Bouwdelen'!AU39</f>
        <v>0</v>
      </c>
      <c r="P55" s="125">
        <f>$A55*'Verwerking Bouwdelen'!AV39</f>
        <v>0</v>
      </c>
      <c r="Q55" s="125">
        <f>$A55*'Verwerking Bouwdelen'!AW39</f>
        <v>0</v>
      </c>
      <c r="R55" s="125">
        <f>$A55*'Verwerking Bouwdelen'!AX39</f>
        <v>0</v>
      </c>
      <c r="S55" s="125">
        <f>$A55*'Verwerking Bouwdelen'!AY39</f>
        <v>0</v>
      </c>
      <c r="T55" s="125">
        <f>$A55*'Verwerking Bouwdelen'!AZ39</f>
        <v>0</v>
      </c>
      <c r="U55" s="125">
        <f>$A55*'Verwerking Bouwdelen'!BA39</f>
        <v>0</v>
      </c>
      <c r="V55" s="125">
        <f>$A55*'Verwerking Bouwdelen'!BB39</f>
        <v>0</v>
      </c>
      <c r="W55" s="125">
        <f>$A55*'Verwerking Bouwdelen'!BC39</f>
        <v>0</v>
      </c>
      <c r="X55" s="125">
        <f>$A55*'Verwerking Bouwdelen'!BD39</f>
        <v>0</v>
      </c>
      <c r="Y55" s="125">
        <f>$A55*'Verwerking Bouwdelen'!BE39</f>
        <v>0</v>
      </c>
      <c r="Z55" s="195">
        <f>$A55*'Verwerking Bouwdelen'!BF39</f>
        <v>0</v>
      </c>
      <c r="AB55" s="125">
        <f>IF(OR('Verwerking Bouwdelen'!C39=3,'Verwerking Bouwdelen'!C39=6),1,0)</f>
        <v>0</v>
      </c>
      <c r="AC55" s="130">
        <f>IF('Verwerking Bouwdelen'!A39=5,1,0)</f>
        <v>0</v>
      </c>
      <c r="AD55" s="208">
        <f>IF($AB55=1,$AC55*'Verwerking Bouwdelen'!DL39,$AC55*'Verwerking Bouwdelen'!T39)</f>
        <v>0</v>
      </c>
      <c r="AE55" s="208">
        <f>IF($AB55=1,$AC55*'Verwerking Bouwdelen'!DM39,$AC55*'Verwerking Bouwdelen'!U39)</f>
        <v>0</v>
      </c>
      <c r="AF55" s="208">
        <f>IF($AB55=1,$AC55*'Verwerking Bouwdelen'!DN39,$AC55*'Verwerking Bouwdelen'!V39)</f>
        <v>0</v>
      </c>
      <c r="AG55" s="208">
        <f>IF($AB55=1,$AC55*'Verwerking Bouwdelen'!DO39,$AC55*'Verwerking Bouwdelen'!W39)</f>
        <v>0</v>
      </c>
      <c r="AH55" s="208">
        <f>IF($AB55=1,$AC55*'Verwerking Bouwdelen'!DP39,$AC55*'Verwerking Bouwdelen'!X39)</f>
        <v>0</v>
      </c>
      <c r="AI55" s="208">
        <f>IF($AB55=1,$AC55*'Verwerking Bouwdelen'!DQ39,$AC55*'Verwerking Bouwdelen'!Y39)</f>
        <v>0</v>
      </c>
      <c r="AJ55" s="208">
        <f>IF($AB55=1,$AC55*'Verwerking Bouwdelen'!DR39,$AC55*'Verwerking Bouwdelen'!Z39)</f>
        <v>0</v>
      </c>
      <c r="AK55" s="208">
        <f>IF($AB55=1,$AC55*'Verwerking Bouwdelen'!DS39,$AC55*'Verwerking Bouwdelen'!AA39)</f>
        <v>0</v>
      </c>
      <c r="AL55" s="208">
        <f>IF($AB55=1,$AC55*'Verwerking Bouwdelen'!DT39,$AC55*'Verwerking Bouwdelen'!AB39)</f>
        <v>0</v>
      </c>
      <c r="AM55" s="208">
        <f>IF($AB55=1,$AC55*'Verwerking Bouwdelen'!DU39,$AC55*'Verwerking Bouwdelen'!AC39)</f>
        <v>0</v>
      </c>
      <c r="AN55" s="208">
        <f>IF($AB55=1,$AC55*'Verwerking Bouwdelen'!DV39,$AC55*'Verwerking Bouwdelen'!AD39)</f>
        <v>0</v>
      </c>
      <c r="AO55" s="208">
        <f>IF($AB55=1,$AC55*'Verwerking Bouwdelen'!DW39,$AC55*'Verwerking Bouwdelen'!AE39)</f>
        <v>0</v>
      </c>
      <c r="AP55" s="10">
        <f>IF(AD55=B55,0,'Verwerking Bouwdelen'!D39*AB55*AC55)</f>
        <v>0</v>
      </c>
      <c r="AQ55" s="10">
        <f>AB55*AC55*'Verwerking Bouwdelen'!GH39</f>
        <v>0</v>
      </c>
      <c r="AR55" s="10"/>
      <c r="AS55" s="248"/>
      <c r="AT55" s="125">
        <f>IF('Verwerking Bouwdelen'!C39=4,1,0)</f>
        <v>0</v>
      </c>
      <c r="AU55" s="130">
        <f>IF('Verwerking Bouwdelen'!A39=5,1,0)</f>
        <v>0</v>
      </c>
      <c r="AV55" s="208">
        <f>IF($AT55=1,$AU55*'Verwerking Bouwdelen'!DL39,$AU55*'Verwerking Bouwdelen'!T39)</f>
        <v>0</v>
      </c>
      <c r="AW55" s="208">
        <f>IF($AT55=1,$AU55*'Verwerking Bouwdelen'!DM39,$AU55*'Verwerking Bouwdelen'!U39)</f>
        <v>0</v>
      </c>
      <c r="AX55" s="208">
        <f>IF($AT55=1,$AU55*'Verwerking Bouwdelen'!DN39,$AU55*'Verwerking Bouwdelen'!V39)</f>
        <v>0</v>
      </c>
      <c r="AY55" s="208">
        <f>IF($AT55=1,$AU55*'Verwerking Bouwdelen'!DO39,$AU55*'Verwerking Bouwdelen'!W39)</f>
        <v>0</v>
      </c>
      <c r="AZ55" s="208">
        <f>IF($AT55=1,$AU55*'Verwerking Bouwdelen'!DP39,$AU55*'Verwerking Bouwdelen'!X39)</f>
        <v>0</v>
      </c>
      <c r="BA55" s="208">
        <f>IF($AT55=1,$AU55*'Verwerking Bouwdelen'!DQ39,$AU55*'Verwerking Bouwdelen'!Y39)</f>
        <v>0</v>
      </c>
      <c r="BB55" s="208">
        <f>IF($AT55=1,$AU55*'Verwerking Bouwdelen'!DR39,$AU55*'Verwerking Bouwdelen'!Z39)</f>
        <v>0</v>
      </c>
      <c r="BC55" s="208">
        <f>IF($AT55=1,$AU55*'Verwerking Bouwdelen'!DS39,$AU55*'Verwerking Bouwdelen'!AA39)</f>
        <v>0</v>
      </c>
      <c r="BD55" s="208">
        <f>IF($AT55=1,$AU55*'Verwerking Bouwdelen'!DT39,$AU55*'Verwerking Bouwdelen'!AB39)</f>
        <v>0</v>
      </c>
      <c r="BE55" s="208">
        <f>IF($AT55=1,$AU55*'Verwerking Bouwdelen'!DU39,$AU55*'Verwerking Bouwdelen'!AC39)</f>
        <v>0</v>
      </c>
      <c r="BF55" s="208">
        <f>IF($AT55=1,$AU55*'Verwerking Bouwdelen'!DV39,$AU55*'Verwerking Bouwdelen'!AD39)</f>
        <v>0</v>
      </c>
      <c r="BG55" s="208">
        <f>IF($AT55=1,$AU55*'Verwerking Bouwdelen'!DW39,$AU55*'Verwerking Bouwdelen'!AE39)</f>
        <v>0</v>
      </c>
      <c r="BH55" s="10">
        <f>IF(AV55=B55,0,'Verwerking Bouwdelen'!D39*AT55*AU55)</f>
        <v>0</v>
      </c>
      <c r="BI55" s="10">
        <f>AT55*AU55*'Verwerking Bouwdelen'!GH39</f>
        <v>0</v>
      </c>
      <c r="BJ55" s="10"/>
      <c r="BK55" s="10"/>
      <c r="BM55" s="125">
        <f>IF('Verwerking Bouwdelen'!C39=5,1,0)</f>
        <v>0</v>
      </c>
      <c r="BN55" s="130">
        <f>IF('Verwerking Bouwdelen'!A39=5,1,0)</f>
        <v>0</v>
      </c>
      <c r="BO55" s="208">
        <f>IF($BM55=1,$BN55*'Verwerking Bouwdelen'!DL39,$BN55*'Verwerking Bouwdelen'!T39)</f>
        <v>0</v>
      </c>
      <c r="BP55" s="208">
        <f>IF($BM55=1,$BN55*'Verwerking Bouwdelen'!DM39,$BN55*'Verwerking Bouwdelen'!U39)</f>
        <v>0</v>
      </c>
      <c r="BQ55" s="208">
        <f>IF($BM55=1,$BN55*'Verwerking Bouwdelen'!DN39,$BN55*'Verwerking Bouwdelen'!V39)</f>
        <v>0</v>
      </c>
      <c r="BR55" s="208">
        <f>IF($BM55=1,$BN55*'Verwerking Bouwdelen'!DO39,$BN55*'Verwerking Bouwdelen'!W39)</f>
        <v>0</v>
      </c>
      <c r="BS55" s="208">
        <f>IF($BM55=1,$BN55*'Verwerking Bouwdelen'!DP39,$BN55*'Verwerking Bouwdelen'!X39)</f>
        <v>0</v>
      </c>
      <c r="BT55" s="208">
        <f>IF($BM55=1,$BN55*'Verwerking Bouwdelen'!DQ39,$BN55*'Verwerking Bouwdelen'!Y39)</f>
        <v>0</v>
      </c>
      <c r="BU55" s="208">
        <f>IF($BM55=1,$BN55*'Verwerking Bouwdelen'!DR39,$BN55*'Verwerking Bouwdelen'!Z39)</f>
        <v>0</v>
      </c>
      <c r="BV55" s="208">
        <f>IF($BM55=1,$BN55*'Verwerking Bouwdelen'!DS39,$BN55*'Verwerking Bouwdelen'!AA39)</f>
        <v>0</v>
      </c>
      <c r="BW55" s="208">
        <f>IF($BM55=1,$BN55*'Verwerking Bouwdelen'!DT39,$BN55*'Verwerking Bouwdelen'!AB39)</f>
        <v>0</v>
      </c>
      <c r="BX55" s="208">
        <f>IF($BM55=1,$BN55*'Verwerking Bouwdelen'!DU39,$BN55*'Verwerking Bouwdelen'!AC39)</f>
        <v>0</v>
      </c>
      <c r="BY55" s="208">
        <f>IF($BM55=1,$BN55*'Verwerking Bouwdelen'!DV39,$BN55*'Verwerking Bouwdelen'!AD39)</f>
        <v>0</v>
      </c>
      <c r="BZ55" s="208">
        <f>IF($BM55=1,$BN55*'Verwerking Bouwdelen'!DW39,$BN55*'Verwerking Bouwdelen'!AE39)</f>
        <v>0</v>
      </c>
      <c r="CA55" s="10">
        <f>IF(BO55=$B55,0,'Verwerking Bouwdelen'!$D39*BM55*BN55)</f>
        <v>0</v>
      </c>
      <c r="CB55" s="10">
        <f>BM55*BN55*'Verwerking Bouwdelen'!GH39</f>
        <v>0</v>
      </c>
      <c r="CC55" s="10"/>
      <c r="CD55" s="248"/>
      <c r="CE55" s="125">
        <f>IF('Verwerking Bouwdelen'!C39=2,1,0)</f>
        <v>0</v>
      </c>
      <c r="CF55" s="130">
        <f>IF('Verwerking Bouwdelen'!A39=5,1,0)</f>
        <v>0</v>
      </c>
      <c r="CG55" s="208">
        <f>IF($CE55=1,$CF55*'Verwerking Bouwdelen'!DL39,$CF55*'Verwerking Bouwdelen'!T39)</f>
        <v>0</v>
      </c>
      <c r="CH55" s="208">
        <f>IF($CE55=1,$CF55*'Verwerking Bouwdelen'!DM39,$CF55*'Verwerking Bouwdelen'!U39)</f>
        <v>0</v>
      </c>
      <c r="CI55" s="208">
        <f>IF($CE55=1,$CF55*'Verwerking Bouwdelen'!DN39,$CF55*'Verwerking Bouwdelen'!V39)</f>
        <v>0</v>
      </c>
      <c r="CJ55" s="208">
        <f>IF($CE55=1,$CF55*'Verwerking Bouwdelen'!DO39,$CF55*'Verwerking Bouwdelen'!W39)</f>
        <v>0</v>
      </c>
      <c r="CK55" s="208">
        <f>IF($CE55=1,$CF55*'Verwerking Bouwdelen'!DP39,$CF55*'Verwerking Bouwdelen'!X39)</f>
        <v>0</v>
      </c>
      <c r="CL55" s="208">
        <f>IF($CE55=1,$CF55*'Verwerking Bouwdelen'!DQ39,$CF55*'Verwerking Bouwdelen'!Y39)</f>
        <v>0</v>
      </c>
      <c r="CM55" s="208">
        <f>IF($CE55=1,$CF55*'Verwerking Bouwdelen'!DR39,$CF55*'Verwerking Bouwdelen'!Z39)</f>
        <v>0</v>
      </c>
      <c r="CN55" s="208">
        <f>IF($CE55=1,$CF55*'Verwerking Bouwdelen'!DS39,$CF55*'Verwerking Bouwdelen'!AA39)</f>
        <v>0</v>
      </c>
      <c r="CO55" s="208">
        <f>IF($CE55=1,$CF55*'Verwerking Bouwdelen'!DT39,$CF55*'Verwerking Bouwdelen'!AB39)</f>
        <v>0</v>
      </c>
      <c r="CP55" s="208">
        <f>IF($CE55=1,$CF55*'Verwerking Bouwdelen'!DU39,$CF55*'Verwerking Bouwdelen'!AC39)</f>
        <v>0</v>
      </c>
      <c r="CQ55" s="208">
        <f>IF($CE55=1,$CF55*'Verwerking Bouwdelen'!DV39,$CF55*'Verwerking Bouwdelen'!AD39)</f>
        <v>0</v>
      </c>
      <c r="CR55" s="208">
        <f>IF($CE55=1,$CF55*'Verwerking Bouwdelen'!DW39,$CF55*'Verwerking Bouwdelen'!AE39)</f>
        <v>0</v>
      </c>
      <c r="CS55" s="10">
        <f>IF(CG55=$B55,0,('Verwerking Bouwdelen'!$D39-'Verwerking Bouwdelen'!G39)*CE55*CF55)</f>
        <v>0</v>
      </c>
      <c r="CT55" s="261">
        <f>CE55*CF55*'Verwerking Bouwdelen'!$GH$3</f>
        <v>0</v>
      </c>
      <c r="CU55" s="261">
        <f>CE55*CF55*'Verwerking Bouwdelen'!GI39</f>
        <v>0</v>
      </c>
      <c r="CW55" s="209">
        <f>$AC55*'Verwerking Bouwdelen'!EE39</f>
        <v>0</v>
      </c>
      <c r="CX55" s="209">
        <f>$AC55*'Verwerking Bouwdelen'!EF39</f>
        <v>0</v>
      </c>
      <c r="CY55" s="209">
        <f>$AC55*'Verwerking Bouwdelen'!EG39</f>
        <v>0</v>
      </c>
      <c r="CZ55" s="209">
        <f>$AC55*'Verwerking Bouwdelen'!EH39</f>
        <v>0</v>
      </c>
      <c r="DA55" s="209">
        <f>$AC55*'Verwerking Bouwdelen'!EI39</f>
        <v>0</v>
      </c>
      <c r="DB55" s="209">
        <f>$AC55*'Verwerking Bouwdelen'!EJ39</f>
        <v>0</v>
      </c>
      <c r="DC55" s="209">
        <f>$AC55*'Verwerking Bouwdelen'!EK39</f>
        <v>0</v>
      </c>
      <c r="DD55" s="209">
        <f>$AC55*'Verwerking Bouwdelen'!EL39</f>
        <v>0</v>
      </c>
      <c r="DE55" s="209">
        <f>$AC55*'Verwerking Bouwdelen'!EM39</f>
        <v>0</v>
      </c>
      <c r="DF55" s="209">
        <f>$AC55*'Verwerking Bouwdelen'!EN39</f>
        <v>0</v>
      </c>
      <c r="DG55" s="209">
        <f>$AC55*'Verwerking Bouwdelen'!EO39</f>
        <v>0</v>
      </c>
      <c r="DH55" s="209">
        <f>$AC55*'Verwerking Bouwdelen'!EP39</f>
        <v>0</v>
      </c>
      <c r="DI55" s="10">
        <f>IF(CW55=$O55,0,'Verwerking Bouwdelen'!G39)</f>
        <v>0</v>
      </c>
      <c r="DJ55" s="259">
        <f>'Verwerking Bouwdelen'!GK39*CF55</f>
        <v>0</v>
      </c>
      <c r="DK55" s="259">
        <f>'Verwerking Bouwdelen'!GL39*CF55</f>
        <v>0</v>
      </c>
      <c r="DL55" s="125"/>
      <c r="GM55" s="89">
        <f t="shared" si="13"/>
        <v>0</v>
      </c>
      <c r="GN55" s="89">
        <f t="shared" si="14"/>
        <v>0</v>
      </c>
      <c r="GO55" s="208">
        <f>IF($GN55=1,$GN55*$GM55*'Verwerking Bouwdelen'!DL39,$GN55*$GM55*'Verwerking Bouwdelen'!T39)</f>
        <v>0</v>
      </c>
      <c r="GP55" s="208">
        <f>IF($GN55=1,$GN55*$GM55*'Verwerking Bouwdelen'!DM39,$GN55*$GM55*'Verwerking Bouwdelen'!U39)</f>
        <v>0</v>
      </c>
      <c r="GQ55" s="208">
        <f>IF($GN55=1,$GN55*$GM55*'Verwerking Bouwdelen'!DN39,$GN55*$GM55*'Verwerking Bouwdelen'!V39)</f>
        <v>0</v>
      </c>
      <c r="GR55" s="208">
        <f>IF($GN55=1,$GN55*$GM55*'Verwerking Bouwdelen'!DO39,$GN55*$GM55*'Verwerking Bouwdelen'!W39)</f>
        <v>0</v>
      </c>
      <c r="GS55" s="208">
        <f>IF($GN55=1,$GN55*$GM55*'Verwerking Bouwdelen'!DP39,$GN55*$GM55*'Verwerking Bouwdelen'!X39)</f>
        <v>0</v>
      </c>
      <c r="GT55" s="208">
        <f>IF($GN55=1,$GN55*$GM55*'Verwerking Bouwdelen'!DQ39,$GN55*$GM55*'Verwerking Bouwdelen'!Y39)</f>
        <v>0</v>
      </c>
      <c r="GU55" s="208">
        <f>IF($GN55=1,$GN55*$GM55*'Verwerking Bouwdelen'!DR39,$GN55*$GM55*'Verwerking Bouwdelen'!Z39)</f>
        <v>0</v>
      </c>
      <c r="GV55" s="208">
        <f>IF($GN55=1,$GN55*$GM55*'Verwerking Bouwdelen'!DS39,$GN55*$GM55*'Verwerking Bouwdelen'!AA39)</f>
        <v>0</v>
      </c>
      <c r="GW55" s="208">
        <f>IF($GN55=1,$GN55*$GM55*'Verwerking Bouwdelen'!DT39,$GN55*$GM55*'Verwerking Bouwdelen'!AB39)</f>
        <v>0</v>
      </c>
      <c r="GX55" s="208">
        <f>IF($GN55=1,$GN55*$GM55*'Verwerking Bouwdelen'!DU39,$GN55*$GM55*'Verwerking Bouwdelen'!AC39)</f>
        <v>0</v>
      </c>
      <c r="GY55" s="208">
        <f>IF($GN55=1,$GN55*$GM55*'Verwerking Bouwdelen'!DV39,$GN55*$GM55*'Verwerking Bouwdelen'!AD39)</f>
        <v>0</v>
      </c>
      <c r="GZ55" s="208">
        <f>IF($GN55=1,$GN55*$GM55*'Verwerking Bouwdelen'!DW39,$GN55*$GM55*'Verwerking Bouwdelen'!AE39)</f>
        <v>0</v>
      </c>
      <c r="HB55" s="89">
        <f t="shared" si="16"/>
        <v>0</v>
      </c>
      <c r="HC55" s="89">
        <f t="shared" si="17"/>
        <v>0</v>
      </c>
      <c r="HD55" s="89">
        <f t="shared" si="18"/>
        <v>0</v>
      </c>
      <c r="HE55" s="89">
        <f t="shared" si="19"/>
        <v>0</v>
      </c>
      <c r="HF55" s="89">
        <f t="shared" si="19"/>
        <v>0</v>
      </c>
      <c r="HG55" s="89">
        <f t="shared" si="19"/>
        <v>0</v>
      </c>
      <c r="HH55" s="89">
        <f t="shared" si="19"/>
        <v>0</v>
      </c>
      <c r="HI55" s="89">
        <f t="shared" si="19"/>
        <v>0</v>
      </c>
      <c r="HJ55" s="89">
        <f t="shared" si="19"/>
        <v>0</v>
      </c>
      <c r="HK55" s="89">
        <f t="shared" si="19"/>
        <v>0</v>
      </c>
      <c r="HL55" s="89">
        <f t="shared" si="19"/>
        <v>0</v>
      </c>
      <c r="HM55" s="89">
        <f t="shared" si="19"/>
        <v>0</v>
      </c>
    </row>
    <row r="56" spans="1:221" x14ac:dyDescent="0.2">
      <c r="A56" s="130">
        <f>IF('Verwerking Bouwdelen'!A40=5,1,0)</f>
        <v>0</v>
      </c>
      <c r="B56" s="208">
        <f>$A56*'Verwerking Bouwdelen'!T40</f>
        <v>0</v>
      </c>
      <c r="C56" s="208">
        <f>$A56*'Verwerking Bouwdelen'!U40</f>
        <v>0</v>
      </c>
      <c r="D56" s="208">
        <f>$A56*'Verwerking Bouwdelen'!V40</f>
        <v>0</v>
      </c>
      <c r="E56" s="208">
        <f>$A56*'Verwerking Bouwdelen'!W40</f>
        <v>0</v>
      </c>
      <c r="F56" s="208">
        <f>$A56*'Verwerking Bouwdelen'!X40</f>
        <v>0</v>
      </c>
      <c r="G56" s="208">
        <f>$A56*'Verwerking Bouwdelen'!Y40</f>
        <v>0</v>
      </c>
      <c r="H56" s="208">
        <f>$A56*'Verwerking Bouwdelen'!Z40</f>
        <v>0</v>
      </c>
      <c r="I56" s="208">
        <f>$A56*'Verwerking Bouwdelen'!AA40</f>
        <v>0</v>
      </c>
      <c r="J56" s="208">
        <f>$A56*'Verwerking Bouwdelen'!AB40</f>
        <v>0</v>
      </c>
      <c r="K56" s="208">
        <f>$A56*'Verwerking Bouwdelen'!AC40</f>
        <v>0</v>
      </c>
      <c r="L56" s="208">
        <f>$A56*'Verwerking Bouwdelen'!AD40</f>
        <v>0</v>
      </c>
      <c r="M56" s="208">
        <f>$A56*'Verwerking Bouwdelen'!AE40</f>
        <v>0</v>
      </c>
      <c r="O56" s="114">
        <f>$A56*'Verwerking Bouwdelen'!AU40</f>
        <v>0</v>
      </c>
      <c r="P56" s="125">
        <f>$A56*'Verwerking Bouwdelen'!AV40</f>
        <v>0</v>
      </c>
      <c r="Q56" s="125">
        <f>$A56*'Verwerking Bouwdelen'!AW40</f>
        <v>0</v>
      </c>
      <c r="R56" s="125">
        <f>$A56*'Verwerking Bouwdelen'!AX40</f>
        <v>0</v>
      </c>
      <c r="S56" s="125">
        <f>$A56*'Verwerking Bouwdelen'!AY40</f>
        <v>0</v>
      </c>
      <c r="T56" s="125">
        <f>$A56*'Verwerking Bouwdelen'!AZ40</f>
        <v>0</v>
      </c>
      <c r="U56" s="125">
        <f>$A56*'Verwerking Bouwdelen'!BA40</f>
        <v>0</v>
      </c>
      <c r="V56" s="125">
        <f>$A56*'Verwerking Bouwdelen'!BB40</f>
        <v>0</v>
      </c>
      <c r="W56" s="125">
        <f>$A56*'Verwerking Bouwdelen'!BC40</f>
        <v>0</v>
      </c>
      <c r="X56" s="125">
        <f>$A56*'Verwerking Bouwdelen'!BD40</f>
        <v>0</v>
      </c>
      <c r="Y56" s="125">
        <f>$A56*'Verwerking Bouwdelen'!BE40</f>
        <v>0</v>
      </c>
      <c r="Z56" s="195">
        <f>$A56*'Verwerking Bouwdelen'!BF40</f>
        <v>0</v>
      </c>
      <c r="AB56" s="125">
        <f>IF(OR('Verwerking Bouwdelen'!C40=3,'Verwerking Bouwdelen'!C40=6),1,0)</f>
        <v>0</v>
      </c>
      <c r="AC56" s="130">
        <f>IF('Verwerking Bouwdelen'!A40=5,1,0)</f>
        <v>0</v>
      </c>
      <c r="AD56" s="208">
        <f>IF($AB56=1,$AC56*'Verwerking Bouwdelen'!DL40,$AC56*'Verwerking Bouwdelen'!T40)</f>
        <v>0</v>
      </c>
      <c r="AE56" s="208">
        <f>IF($AB56=1,$AC56*'Verwerking Bouwdelen'!DM40,$AC56*'Verwerking Bouwdelen'!U40)</f>
        <v>0</v>
      </c>
      <c r="AF56" s="208">
        <f>IF($AB56=1,$AC56*'Verwerking Bouwdelen'!DN40,$AC56*'Verwerking Bouwdelen'!V40)</f>
        <v>0</v>
      </c>
      <c r="AG56" s="208">
        <f>IF($AB56=1,$AC56*'Verwerking Bouwdelen'!DO40,$AC56*'Verwerking Bouwdelen'!W40)</f>
        <v>0</v>
      </c>
      <c r="AH56" s="208">
        <f>IF($AB56=1,$AC56*'Verwerking Bouwdelen'!DP40,$AC56*'Verwerking Bouwdelen'!X40)</f>
        <v>0</v>
      </c>
      <c r="AI56" s="208">
        <f>IF($AB56=1,$AC56*'Verwerking Bouwdelen'!DQ40,$AC56*'Verwerking Bouwdelen'!Y40)</f>
        <v>0</v>
      </c>
      <c r="AJ56" s="208">
        <f>IF($AB56=1,$AC56*'Verwerking Bouwdelen'!DR40,$AC56*'Verwerking Bouwdelen'!Z40)</f>
        <v>0</v>
      </c>
      <c r="AK56" s="208">
        <f>IF($AB56=1,$AC56*'Verwerking Bouwdelen'!DS40,$AC56*'Verwerking Bouwdelen'!AA40)</f>
        <v>0</v>
      </c>
      <c r="AL56" s="208">
        <f>IF($AB56=1,$AC56*'Verwerking Bouwdelen'!DT40,$AC56*'Verwerking Bouwdelen'!AB40)</f>
        <v>0</v>
      </c>
      <c r="AM56" s="208">
        <f>IF($AB56=1,$AC56*'Verwerking Bouwdelen'!DU40,$AC56*'Verwerking Bouwdelen'!AC40)</f>
        <v>0</v>
      </c>
      <c r="AN56" s="208">
        <f>IF($AB56=1,$AC56*'Verwerking Bouwdelen'!DV40,$AC56*'Verwerking Bouwdelen'!AD40)</f>
        <v>0</v>
      </c>
      <c r="AO56" s="208">
        <f>IF($AB56=1,$AC56*'Verwerking Bouwdelen'!DW40,$AC56*'Verwerking Bouwdelen'!AE40)</f>
        <v>0</v>
      </c>
      <c r="AP56" s="10">
        <f>IF(AD56=B56,0,'Verwerking Bouwdelen'!D40*AB56*AC56)</f>
        <v>0</v>
      </c>
      <c r="AQ56" s="10">
        <f>AB56*AC56*'Verwerking Bouwdelen'!GH40</f>
        <v>0</v>
      </c>
      <c r="AR56" s="10"/>
      <c r="AS56" s="248"/>
      <c r="AT56" s="125">
        <f>IF('Verwerking Bouwdelen'!C40=4,1,0)</f>
        <v>0</v>
      </c>
      <c r="AU56" s="130">
        <f>IF('Verwerking Bouwdelen'!A40=5,1,0)</f>
        <v>0</v>
      </c>
      <c r="AV56" s="208">
        <f>IF($AT56=1,$AU56*'Verwerking Bouwdelen'!DL40,$AU56*'Verwerking Bouwdelen'!T40)</f>
        <v>0</v>
      </c>
      <c r="AW56" s="208">
        <f>IF($AT56=1,$AU56*'Verwerking Bouwdelen'!DM40,$AU56*'Verwerking Bouwdelen'!U40)</f>
        <v>0</v>
      </c>
      <c r="AX56" s="208">
        <f>IF($AT56=1,$AU56*'Verwerking Bouwdelen'!DN40,$AU56*'Verwerking Bouwdelen'!V40)</f>
        <v>0</v>
      </c>
      <c r="AY56" s="208">
        <f>IF($AT56=1,$AU56*'Verwerking Bouwdelen'!DO40,$AU56*'Verwerking Bouwdelen'!W40)</f>
        <v>0</v>
      </c>
      <c r="AZ56" s="208">
        <f>IF($AT56=1,$AU56*'Verwerking Bouwdelen'!DP40,$AU56*'Verwerking Bouwdelen'!X40)</f>
        <v>0</v>
      </c>
      <c r="BA56" s="208">
        <f>IF($AT56=1,$AU56*'Verwerking Bouwdelen'!DQ40,$AU56*'Verwerking Bouwdelen'!Y40)</f>
        <v>0</v>
      </c>
      <c r="BB56" s="208">
        <f>IF($AT56=1,$AU56*'Verwerking Bouwdelen'!DR40,$AU56*'Verwerking Bouwdelen'!Z40)</f>
        <v>0</v>
      </c>
      <c r="BC56" s="208">
        <f>IF($AT56=1,$AU56*'Verwerking Bouwdelen'!DS40,$AU56*'Verwerking Bouwdelen'!AA40)</f>
        <v>0</v>
      </c>
      <c r="BD56" s="208">
        <f>IF($AT56=1,$AU56*'Verwerking Bouwdelen'!DT40,$AU56*'Verwerking Bouwdelen'!AB40)</f>
        <v>0</v>
      </c>
      <c r="BE56" s="208">
        <f>IF($AT56=1,$AU56*'Verwerking Bouwdelen'!DU40,$AU56*'Verwerking Bouwdelen'!AC40)</f>
        <v>0</v>
      </c>
      <c r="BF56" s="208">
        <f>IF($AT56=1,$AU56*'Verwerking Bouwdelen'!DV40,$AU56*'Verwerking Bouwdelen'!AD40)</f>
        <v>0</v>
      </c>
      <c r="BG56" s="208">
        <f>IF($AT56=1,$AU56*'Verwerking Bouwdelen'!DW40,$AU56*'Verwerking Bouwdelen'!AE40)</f>
        <v>0</v>
      </c>
      <c r="BH56" s="10">
        <f>IF(AV56=B56,0,'Verwerking Bouwdelen'!D40*AT56*AU56)</f>
        <v>0</v>
      </c>
      <c r="BI56" s="10">
        <f>AT56*AU56*'Verwerking Bouwdelen'!GH40</f>
        <v>0</v>
      </c>
      <c r="BJ56" s="10"/>
      <c r="BK56" s="10"/>
      <c r="BM56" s="125">
        <f>IF('Verwerking Bouwdelen'!C40=5,1,0)</f>
        <v>0</v>
      </c>
      <c r="BN56" s="130">
        <f>IF('Verwerking Bouwdelen'!A40=5,1,0)</f>
        <v>0</v>
      </c>
      <c r="BO56" s="208">
        <f>IF($BM56=1,$BN56*'Verwerking Bouwdelen'!DL40,$BN56*'Verwerking Bouwdelen'!T40)</f>
        <v>0</v>
      </c>
      <c r="BP56" s="208">
        <f>IF($BM56=1,$BN56*'Verwerking Bouwdelen'!DM40,$BN56*'Verwerking Bouwdelen'!U40)</f>
        <v>0</v>
      </c>
      <c r="BQ56" s="208">
        <f>IF($BM56=1,$BN56*'Verwerking Bouwdelen'!DN40,$BN56*'Verwerking Bouwdelen'!V40)</f>
        <v>0</v>
      </c>
      <c r="BR56" s="208">
        <f>IF($BM56=1,$BN56*'Verwerking Bouwdelen'!DO40,$BN56*'Verwerking Bouwdelen'!W40)</f>
        <v>0</v>
      </c>
      <c r="BS56" s="208">
        <f>IF($BM56=1,$BN56*'Verwerking Bouwdelen'!DP40,$BN56*'Verwerking Bouwdelen'!X40)</f>
        <v>0</v>
      </c>
      <c r="BT56" s="208">
        <f>IF($BM56=1,$BN56*'Verwerking Bouwdelen'!DQ40,$BN56*'Verwerking Bouwdelen'!Y40)</f>
        <v>0</v>
      </c>
      <c r="BU56" s="208">
        <f>IF($BM56=1,$BN56*'Verwerking Bouwdelen'!DR40,$BN56*'Verwerking Bouwdelen'!Z40)</f>
        <v>0</v>
      </c>
      <c r="BV56" s="208">
        <f>IF($BM56=1,$BN56*'Verwerking Bouwdelen'!DS40,$BN56*'Verwerking Bouwdelen'!AA40)</f>
        <v>0</v>
      </c>
      <c r="BW56" s="208">
        <f>IF($BM56=1,$BN56*'Verwerking Bouwdelen'!DT40,$BN56*'Verwerking Bouwdelen'!AB40)</f>
        <v>0</v>
      </c>
      <c r="BX56" s="208">
        <f>IF($BM56=1,$BN56*'Verwerking Bouwdelen'!DU40,$BN56*'Verwerking Bouwdelen'!AC40)</f>
        <v>0</v>
      </c>
      <c r="BY56" s="208">
        <f>IF($BM56=1,$BN56*'Verwerking Bouwdelen'!DV40,$BN56*'Verwerking Bouwdelen'!AD40)</f>
        <v>0</v>
      </c>
      <c r="BZ56" s="208">
        <f>IF($BM56=1,$BN56*'Verwerking Bouwdelen'!DW40,$BN56*'Verwerking Bouwdelen'!AE40)</f>
        <v>0</v>
      </c>
      <c r="CA56" s="10">
        <f>IF(BO56=$B56,0,'Verwerking Bouwdelen'!$D40*BM56*BN56)</f>
        <v>0</v>
      </c>
      <c r="CB56" s="10">
        <f>BM56*BN56*'Verwerking Bouwdelen'!GH40</f>
        <v>0</v>
      </c>
      <c r="CC56" s="10"/>
      <c r="CD56" s="248"/>
      <c r="CE56" s="125">
        <f>IF('Verwerking Bouwdelen'!C40=2,1,0)</f>
        <v>0</v>
      </c>
      <c r="CF56" s="130">
        <f>IF('Verwerking Bouwdelen'!A40=5,1,0)</f>
        <v>0</v>
      </c>
      <c r="CG56" s="208">
        <f>IF($CE56=1,$CF56*'Verwerking Bouwdelen'!DL40,$CF56*'Verwerking Bouwdelen'!T40)</f>
        <v>0</v>
      </c>
      <c r="CH56" s="208">
        <f>IF($CE56=1,$CF56*'Verwerking Bouwdelen'!DM40,$CF56*'Verwerking Bouwdelen'!U40)</f>
        <v>0</v>
      </c>
      <c r="CI56" s="208">
        <f>IF($CE56=1,$CF56*'Verwerking Bouwdelen'!DN40,$CF56*'Verwerking Bouwdelen'!V40)</f>
        <v>0</v>
      </c>
      <c r="CJ56" s="208">
        <f>IF($CE56=1,$CF56*'Verwerking Bouwdelen'!DO40,$CF56*'Verwerking Bouwdelen'!W40)</f>
        <v>0</v>
      </c>
      <c r="CK56" s="208">
        <f>IF($CE56=1,$CF56*'Verwerking Bouwdelen'!DP40,$CF56*'Verwerking Bouwdelen'!X40)</f>
        <v>0</v>
      </c>
      <c r="CL56" s="208">
        <f>IF($CE56=1,$CF56*'Verwerking Bouwdelen'!DQ40,$CF56*'Verwerking Bouwdelen'!Y40)</f>
        <v>0</v>
      </c>
      <c r="CM56" s="208">
        <f>IF($CE56=1,$CF56*'Verwerking Bouwdelen'!DR40,$CF56*'Verwerking Bouwdelen'!Z40)</f>
        <v>0</v>
      </c>
      <c r="CN56" s="208">
        <f>IF($CE56=1,$CF56*'Verwerking Bouwdelen'!DS40,$CF56*'Verwerking Bouwdelen'!AA40)</f>
        <v>0</v>
      </c>
      <c r="CO56" s="208">
        <f>IF($CE56=1,$CF56*'Verwerking Bouwdelen'!DT40,$CF56*'Verwerking Bouwdelen'!AB40)</f>
        <v>0</v>
      </c>
      <c r="CP56" s="208">
        <f>IF($CE56=1,$CF56*'Verwerking Bouwdelen'!DU40,$CF56*'Verwerking Bouwdelen'!AC40)</f>
        <v>0</v>
      </c>
      <c r="CQ56" s="208">
        <f>IF($CE56=1,$CF56*'Verwerking Bouwdelen'!DV40,$CF56*'Verwerking Bouwdelen'!AD40)</f>
        <v>0</v>
      </c>
      <c r="CR56" s="208">
        <f>IF($CE56=1,$CF56*'Verwerking Bouwdelen'!DW40,$CF56*'Verwerking Bouwdelen'!AE40)</f>
        <v>0</v>
      </c>
      <c r="CS56" s="10">
        <f>IF(CG56=$B56,0,('Verwerking Bouwdelen'!$D40-'Verwerking Bouwdelen'!G40)*CE56*CF56)</f>
        <v>0</v>
      </c>
      <c r="CT56" s="261">
        <f>CE56*CF56*'Verwerking Bouwdelen'!$GH$3</f>
        <v>0</v>
      </c>
      <c r="CU56" s="261">
        <f>CE56*CF56*'Verwerking Bouwdelen'!GI40</f>
        <v>0</v>
      </c>
      <c r="CW56" s="209">
        <f>$AC56*'Verwerking Bouwdelen'!EE40</f>
        <v>0</v>
      </c>
      <c r="CX56" s="209">
        <f>$AC56*'Verwerking Bouwdelen'!EF40</f>
        <v>0</v>
      </c>
      <c r="CY56" s="209">
        <f>$AC56*'Verwerking Bouwdelen'!EG40</f>
        <v>0</v>
      </c>
      <c r="CZ56" s="209">
        <f>$AC56*'Verwerking Bouwdelen'!EH40</f>
        <v>0</v>
      </c>
      <c r="DA56" s="209">
        <f>$AC56*'Verwerking Bouwdelen'!EI40</f>
        <v>0</v>
      </c>
      <c r="DB56" s="209">
        <f>$AC56*'Verwerking Bouwdelen'!EJ40</f>
        <v>0</v>
      </c>
      <c r="DC56" s="209">
        <f>$AC56*'Verwerking Bouwdelen'!EK40</f>
        <v>0</v>
      </c>
      <c r="DD56" s="209">
        <f>$AC56*'Verwerking Bouwdelen'!EL40</f>
        <v>0</v>
      </c>
      <c r="DE56" s="209">
        <f>$AC56*'Verwerking Bouwdelen'!EM40</f>
        <v>0</v>
      </c>
      <c r="DF56" s="209">
        <f>$AC56*'Verwerking Bouwdelen'!EN40</f>
        <v>0</v>
      </c>
      <c r="DG56" s="209">
        <f>$AC56*'Verwerking Bouwdelen'!EO40</f>
        <v>0</v>
      </c>
      <c r="DH56" s="209">
        <f>$AC56*'Verwerking Bouwdelen'!EP40</f>
        <v>0</v>
      </c>
      <c r="DI56" s="10">
        <f>IF(CW56=$O56,0,'Verwerking Bouwdelen'!G40)</f>
        <v>0</v>
      </c>
      <c r="DJ56" s="259">
        <f>'Verwerking Bouwdelen'!GK40*CF56</f>
        <v>0</v>
      </c>
      <c r="DK56" s="259">
        <f>'Verwerking Bouwdelen'!GL40*CF56</f>
        <v>0</v>
      </c>
      <c r="DL56" s="125"/>
      <c r="GM56" s="89">
        <f t="shared" si="13"/>
        <v>0</v>
      </c>
      <c r="GN56" s="89">
        <f t="shared" si="14"/>
        <v>0</v>
      </c>
      <c r="GO56" s="208">
        <f>IF($GN56=1,$GN56*$GM56*'Verwerking Bouwdelen'!DL40,$GN56*$GM56*'Verwerking Bouwdelen'!T40)</f>
        <v>0</v>
      </c>
      <c r="GP56" s="208">
        <f>IF($GN56=1,$GN56*$GM56*'Verwerking Bouwdelen'!DM40,$GN56*$GM56*'Verwerking Bouwdelen'!U40)</f>
        <v>0</v>
      </c>
      <c r="GQ56" s="208">
        <f>IF($GN56=1,$GN56*$GM56*'Verwerking Bouwdelen'!DN40,$GN56*$GM56*'Verwerking Bouwdelen'!V40)</f>
        <v>0</v>
      </c>
      <c r="GR56" s="208">
        <f>IF($GN56=1,$GN56*$GM56*'Verwerking Bouwdelen'!DO40,$GN56*$GM56*'Verwerking Bouwdelen'!W40)</f>
        <v>0</v>
      </c>
      <c r="GS56" s="208">
        <f>IF($GN56=1,$GN56*$GM56*'Verwerking Bouwdelen'!DP40,$GN56*$GM56*'Verwerking Bouwdelen'!X40)</f>
        <v>0</v>
      </c>
      <c r="GT56" s="208">
        <f>IF($GN56=1,$GN56*$GM56*'Verwerking Bouwdelen'!DQ40,$GN56*$GM56*'Verwerking Bouwdelen'!Y40)</f>
        <v>0</v>
      </c>
      <c r="GU56" s="208">
        <f>IF($GN56=1,$GN56*$GM56*'Verwerking Bouwdelen'!DR40,$GN56*$GM56*'Verwerking Bouwdelen'!Z40)</f>
        <v>0</v>
      </c>
      <c r="GV56" s="208">
        <f>IF($GN56=1,$GN56*$GM56*'Verwerking Bouwdelen'!DS40,$GN56*$GM56*'Verwerking Bouwdelen'!AA40)</f>
        <v>0</v>
      </c>
      <c r="GW56" s="208">
        <f>IF($GN56=1,$GN56*$GM56*'Verwerking Bouwdelen'!DT40,$GN56*$GM56*'Verwerking Bouwdelen'!AB40)</f>
        <v>0</v>
      </c>
      <c r="GX56" s="208">
        <f>IF($GN56=1,$GN56*$GM56*'Verwerking Bouwdelen'!DU40,$GN56*$GM56*'Verwerking Bouwdelen'!AC40)</f>
        <v>0</v>
      </c>
      <c r="GY56" s="208">
        <f>IF($GN56=1,$GN56*$GM56*'Verwerking Bouwdelen'!DV40,$GN56*$GM56*'Verwerking Bouwdelen'!AD40)</f>
        <v>0</v>
      </c>
      <c r="GZ56" s="208">
        <f>IF($GN56=1,$GN56*$GM56*'Verwerking Bouwdelen'!DW40,$GN56*$GM56*'Verwerking Bouwdelen'!AE40)</f>
        <v>0</v>
      </c>
      <c r="HB56" s="89">
        <f t="shared" si="16"/>
        <v>0</v>
      </c>
      <c r="HC56" s="89">
        <f t="shared" si="17"/>
        <v>0</v>
      </c>
      <c r="HD56" s="89">
        <f t="shared" si="18"/>
        <v>0</v>
      </c>
      <c r="HE56" s="89">
        <f t="shared" si="19"/>
        <v>0</v>
      </c>
      <c r="HF56" s="89">
        <f t="shared" si="19"/>
        <v>0</v>
      </c>
      <c r="HG56" s="89">
        <f t="shared" si="19"/>
        <v>0</v>
      </c>
      <c r="HH56" s="89">
        <f t="shared" si="19"/>
        <v>0</v>
      </c>
      <c r="HI56" s="89">
        <f t="shared" si="19"/>
        <v>0</v>
      </c>
      <c r="HJ56" s="89">
        <f t="shared" si="19"/>
        <v>0</v>
      </c>
      <c r="HK56" s="89">
        <f t="shared" si="19"/>
        <v>0</v>
      </c>
      <c r="HL56" s="89">
        <f t="shared" si="19"/>
        <v>0</v>
      </c>
      <c r="HM56" s="89">
        <f t="shared" si="19"/>
        <v>0</v>
      </c>
    </row>
    <row r="57" spans="1:221" x14ac:dyDescent="0.2">
      <c r="A57" s="130">
        <f>IF('Verwerking Bouwdelen'!A41=5,1,0)</f>
        <v>0</v>
      </c>
      <c r="B57" s="208">
        <f>$A57*'Verwerking Bouwdelen'!T41</f>
        <v>0</v>
      </c>
      <c r="C57" s="208">
        <f>$A57*'Verwerking Bouwdelen'!U41</f>
        <v>0</v>
      </c>
      <c r="D57" s="208">
        <f>$A57*'Verwerking Bouwdelen'!V41</f>
        <v>0</v>
      </c>
      <c r="E57" s="208">
        <f>$A57*'Verwerking Bouwdelen'!W41</f>
        <v>0</v>
      </c>
      <c r="F57" s="208">
        <f>$A57*'Verwerking Bouwdelen'!X41</f>
        <v>0</v>
      </c>
      <c r="G57" s="208">
        <f>$A57*'Verwerking Bouwdelen'!Y41</f>
        <v>0</v>
      </c>
      <c r="H57" s="208">
        <f>$A57*'Verwerking Bouwdelen'!Z41</f>
        <v>0</v>
      </c>
      <c r="I57" s="208">
        <f>$A57*'Verwerking Bouwdelen'!AA41</f>
        <v>0</v>
      </c>
      <c r="J57" s="208">
        <f>$A57*'Verwerking Bouwdelen'!AB41</f>
        <v>0</v>
      </c>
      <c r="K57" s="208">
        <f>$A57*'Verwerking Bouwdelen'!AC41</f>
        <v>0</v>
      </c>
      <c r="L57" s="208">
        <f>$A57*'Verwerking Bouwdelen'!AD41</f>
        <v>0</v>
      </c>
      <c r="M57" s="208">
        <f>$A57*'Verwerking Bouwdelen'!AE41</f>
        <v>0</v>
      </c>
      <c r="O57" s="114">
        <f>$A57*'Verwerking Bouwdelen'!AU41</f>
        <v>0</v>
      </c>
      <c r="P57" s="125">
        <f>$A57*'Verwerking Bouwdelen'!AV41</f>
        <v>0</v>
      </c>
      <c r="Q57" s="125">
        <f>$A57*'Verwerking Bouwdelen'!AW41</f>
        <v>0</v>
      </c>
      <c r="R57" s="125">
        <f>$A57*'Verwerking Bouwdelen'!AX41</f>
        <v>0</v>
      </c>
      <c r="S57" s="125">
        <f>$A57*'Verwerking Bouwdelen'!AY41</f>
        <v>0</v>
      </c>
      <c r="T57" s="125">
        <f>$A57*'Verwerking Bouwdelen'!AZ41</f>
        <v>0</v>
      </c>
      <c r="U57" s="125">
        <f>$A57*'Verwerking Bouwdelen'!BA41</f>
        <v>0</v>
      </c>
      <c r="V57" s="125">
        <f>$A57*'Verwerking Bouwdelen'!BB41</f>
        <v>0</v>
      </c>
      <c r="W57" s="125">
        <f>$A57*'Verwerking Bouwdelen'!BC41</f>
        <v>0</v>
      </c>
      <c r="X57" s="125">
        <f>$A57*'Verwerking Bouwdelen'!BD41</f>
        <v>0</v>
      </c>
      <c r="Y57" s="125">
        <f>$A57*'Verwerking Bouwdelen'!BE41</f>
        <v>0</v>
      </c>
      <c r="Z57" s="195">
        <f>$A57*'Verwerking Bouwdelen'!BF41</f>
        <v>0</v>
      </c>
      <c r="AB57" s="125">
        <f>IF(OR('Verwerking Bouwdelen'!C41=3,'Verwerking Bouwdelen'!C41=6),1,0)</f>
        <v>0</v>
      </c>
      <c r="AC57" s="130">
        <f>IF('Verwerking Bouwdelen'!A41=5,1,0)</f>
        <v>0</v>
      </c>
      <c r="AD57" s="208">
        <f>IF($AB57=1,$AC57*'Verwerking Bouwdelen'!DL41,$AC57*'Verwerking Bouwdelen'!T41)</f>
        <v>0</v>
      </c>
      <c r="AE57" s="208">
        <f>IF($AB57=1,$AC57*'Verwerking Bouwdelen'!DM41,$AC57*'Verwerking Bouwdelen'!U41)</f>
        <v>0</v>
      </c>
      <c r="AF57" s="208">
        <f>IF($AB57=1,$AC57*'Verwerking Bouwdelen'!DN41,$AC57*'Verwerking Bouwdelen'!V41)</f>
        <v>0</v>
      </c>
      <c r="AG57" s="208">
        <f>IF($AB57=1,$AC57*'Verwerking Bouwdelen'!DO41,$AC57*'Verwerking Bouwdelen'!W41)</f>
        <v>0</v>
      </c>
      <c r="AH57" s="208">
        <f>IF($AB57=1,$AC57*'Verwerking Bouwdelen'!DP41,$AC57*'Verwerking Bouwdelen'!X41)</f>
        <v>0</v>
      </c>
      <c r="AI57" s="208">
        <f>IF($AB57=1,$AC57*'Verwerking Bouwdelen'!DQ41,$AC57*'Verwerking Bouwdelen'!Y41)</f>
        <v>0</v>
      </c>
      <c r="AJ57" s="208">
        <f>IF($AB57=1,$AC57*'Verwerking Bouwdelen'!DR41,$AC57*'Verwerking Bouwdelen'!Z41)</f>
        <v>0</v>
      </c>
      <c r="AK57" s="208">
        <f>IF($AB57=1,$AC57*'Verwerking Bouwdelen'!DS41,$AC57*'Verwerking Bouwdelen'!AA41)</f>
        <v>0</v>
      </c>
      <c r="AL57" s="208">
        <f>IF($AB57=1,$AC57*'Verwerking Bouwdelen'!DT41,$AC57*'Verwerking Bouwdelen'!AB41)</f>
        <v>0</v>
      </c>
      <c r="AM57" s="208">
        <f>IF($AB57=1,$AC57*'Verwerking Bouwdelen'!DU41,$AC57*'Verwerking Bouwdelen'!AC41)</f>
        <v>0</v>
      </c>
      <c r="AN57" s="208">
        <f>IF($AB57=1,$AC57*'Verwerking Bouwdelen'!DV41,$AC57*'Verwerking Bouwdelen'!AD41)</f>
        <v>0</v>
      </c>
      <c r="AO57" s="208">
        <f>IF($AB57=1,$AC57*'Verwerking Bouwdelen'!DW41,$AC57*'Verwerking Bouwdelen'!AE41)</f>
        <v>0</v>
      </c>
      <c r="AP57" s="10">
        <f>IF(AD57=B57,0,'Verwerking Bouwdelen'!D41*AB57*AC57)</f>
        <v>0</v>
      </c>
      <c r="AQ57" s="10">
        <f>AB57*AC57*'Verwerking Bouwdelen'!GH41</f>
        <v>0</v>
      </c>
      <c r="AR57" s="10"/>
      <c r="AS57" s="248"/>
      <c r="AT57" s="125">
        <f>IF('Verwerking Bouwdelen'!C41=4,1,0)</f>
        <v>0</v>
      </c>
      <c r="AU57" s="130">
        <f>IF('Verwerking Bouwdelen'!A41=5,1,0)</f>
        <v>0</v>
      </c>
      <c r="AV57" s="208">
        <f>IF($AT57=1,$AU57*'Verwerking Bouwdelen'!DL41,$AU57*'Verwerking Bouwdelen'!T41)</f>
        <v>0</v>
      </c>
      <c r="AW57" s="208">
        <f>IF($AT57=1,$AU57*'Verwerking Bouwdelen'!DM41,$AU57*'Verwerking Bouwdelen'!U41)</f>
        <v>0</v>
      </c>
      <c r="AX57" s="208">
        <f>IF($AT57=1,$AU57*'Verwerking Bouwdelen'!DN41,$AU57*'Verwerking Bouwdelen'!V41)</f>
        <v>0</v>
      </c>
      <c r="AY57" s="208">
        <f>IF($AT57=1,$AU57*'Verwerking Bouwdelen'!DO41,$AU57*'Verwerking Bouwdelen'!W41)</f>
        <v>0</v>
      </c>
      <c r="AZ57" s="208">
        <f>IF($AT57=1,$AU57*'Verwerking Bouwdelen'!DP41,$AU57*'Verwerking Bouwdelen'!X41)</f>
        <v>0</v>
      </c>
      <c r="BA57" s="208">
        <f>IF($AT57=1,$AU57*'Verwerking Bouwdelen'!DQ41,$AU57*'Verwerking Bouwdelen'!Y41)</f>
        <v>0</v>
      </c>
      <c r="BB57" s="208">
        <f>IF($AT57=1,$AU57*'Verwerking Bouwdelen'!DR41,$AU57*'Verwerking Bouwdelen'!Z41)</f>
        <v>0</v>
      </c>
      <c r="BC57" s="208">
        <f>IF($AT57=1,$AU57*'Verwerking Bouwdelen'!DS41,$AU57*'Verwerking Bouwdelen'!AA41)</f>
        <v>0</v>
      </c>
      <c r="BD57" s="208">
        <f>IF($AT57=1,$AU57*'Verwerking Bouwdelen'!DT41,$AU57*'Verwerking Bouwdelen'!AB41)</f>
        <v>0</v>
      </c>
      <c r="BE57" s="208">
        <f>IF($AT57=1,$AU57*'Verwerking Bouwdelen'!DU41,$AU57*'Verwerking Bouwdelen'!AC41)</f>
        <v>0</v>
      </c>
      <c r="BF57" s="208">
        <f>IF($AT57=1,$AU57*'Verwerking Bouwdelen'!DV41,$AU57*'Verwerking Bouwdelen'!AD41)</f>
        <v>0</v>
      </c>
      <c r="BG57" s="208">
        <f>IF($AT57=1,$AU57*'Verwerking Bouwdelen'!DW41,$AU57*'Verwerking Bouwdelen'!AE41)</f>
        <v>0</v>
      </c>
      <c r="BH57" s="10">
        <f>IF(AV57=B57,0,'Verwerking Bouwdelen'!D41*AT57*AU57)</f>
        <v>0</v>
      </c>
      <c r="BI57" s="10">
        <f>AT57*AU57*'Verwerking Bouwdelen'!GH41</f>
        <v>0</v>
      </c>
      <c r="BJ57" s="10"/>
      <c r="BK57" s="10"/>
      <c r="BM57" s="125">
        <f>IF('Verwerking Bouwdelen'!C41=5,1,0)</f>
        <v>0</v>
      </c>
      <c r="BN57" s="130">
        <f>IF('Verwerking Bouwdelen'!A41=5,1,0)</f>
        <v>0</v>
      </c>
      <c r="BO57" s="208">
        <f>IF($BM57=1,$BN57*'Verwerking Bouwdelen'!DL41,$BN57*'Verwerking Bouwdelen'!T41)</f>
        <v>0</v>
      </c>
      <c r="BP57" s="208">
        <f>IF($BM57=1,$BN57*'Verwerking Bouwdelen'!DM41,$BN57*'Verwerking Bouwdelen'!U41)</f>
        <v>0</v>
      </c>
      <c r="BQ57" s="208">
        <f>IF($BM57=1,$BN57*'Verwerking Bouwdelen'!DN41,$BN57*'Verwerking Bouwdelen'!V41)</f>
        <v>0</v>
      </c>
      <c r="BR57" s="208">
        <f>IF($BM57=1,$BN57*'Verwerking Bouwdelen'!DO41,$BN57*'Verwerking Bouwdelen'!W41)</f>
        <v>0</v>
      </c>
      <c r="BS57" s="208">
        <f>IF($BM57=1,$BN57*'Verwerking Bouwdelen'!DP41,$BN57*'Verwerking Bouwdelen'!X41)</f>
        <v>0</v>
      </c>
      <c r="BT57" s="208">
        <f>IF($BM57=1,$BN57*'Verwerking Bouwdelen'!DQ41,$BN57*'Verwerking Bouwdelen'!Y41)</f>
        <v>0</v>
      </c>
      <c r="BU57" s="208">
        <f>IF($BM57=1,$BN57*'Verwerking Bouwdelen'!DR41,$BN57*'Verwerking Bouwdelen'!Z41)</f>
        <v>0</v>
      </c>
      <c r="BV57" s="208">
        <f>IF($BM57=1,$BN57*'Verwerking Bouwdelen'!DS41,$BN57*'Verwerking Bouwdelen'!AA41)</f>
        <v>0</v>
      </c>
      <c r="BW57" s="208">
        <f>IF($BM57=1,$BN57*'Verwerking Bouwdelen'!DT41,$BN57*'Verwerking Bouwdelen'!AB41)</f>
        <v>0</v>
      </c>
      <c r="BX57" s="208">
        <f>IF($BM57=1,$BN57*'Verwerking Bouwdelen'!DU41,$BN57*'Verwerking Bouwdelen'!AC41)</f>
        <v>0</v>
      </c>
      <c r="BY57" s="208">
        <f>IF($BM57=1,$BN57*'Verwerking Bouwdelen'!DV41,$BN57*'Verwerking Bouwdelen'!AD41)</f>
        <v>0</v>
      </c>
      <c r="BZ57" s="208">
        <f>IF($BM57=1,$BN57*'Verwerking Bouwdelen'!DW41,$BN57*'Verwerking Bouwdelen'!AE41)</f>
        <v>0</v>
      </c>
      <c r="CA57" s="10">
        <f>IF(BO57=$B57,0,'Verwerking Bouwdelen'!$D41*BM57*BN57)</f>
        <v>0</v>
      </c>
      <c r="CB57" s="10">
        <f>BM57*BN57*'Verwerking Bouwdelen'!GH41</f>
        <v>0</v>
      </c>
      <c r="CC57" s="10"/>
      <c r="CD57" s="248"/>
      <c r="CE57" s="125">
        <f>IF('Verwerking Bouwdelen'!C41=2,1,0)</f>
        <v>0</v>
      </c>
      <c r="CF57" s="130">
        <f>IF('Verwerking Bouwdelen'!A41=5,1,0)</f>
        <v>0</v>
      </c>
      <c r="CG57" s="208">
        <f>IF($CE57=1,$CF57*'Verwerking Bouwdelen'!DL41,$CF57*'Verwerking Bouwdelen'!T41)</f>
        <v>0</v>
      </c>
      <c r="CH57" s="208">
        <f>IF($CE57=1,$CF57*'Verwerking Bouwdelen'!DM41,$CF57*'Verwerking Bouwdelen'!U41)</f>
        <v>0</v>
      </c>
      <c r="CI57" s="208">
        <f>IF($CE57=1,$CF57*'Verwerking Bouwdelen'!DN41,$CF57*'Verwerking Bouwdelen'!V41)</f>
        <v>0</v>
      </c>
      <c r="CJ57" s="208">
        <f>IF($CE57=1,$CF57*'Verwerking Bouwdelen'!DO41,$CF57*'Verwerking Bouwdelen'!W41)</f>
        <v>0</v>
      </c>
      <c r="CK57" s="208">
        <f>IF($CE57=1,$CF57*'Verwerking Bouwdelen'!DP41,$CF57*'Verwerking Bouwdelen'!X41)</f>
        <v>0</v>
      </c>
      <c r="CL57" s="208">
        <f>IF($CE57=1,$CF57*'Verwerking Bouwdelen'!DQ41,$CF57*'Verwerking Bouwdelen'!Y41)</f>
        <v>0</v>
      </c>
      <c r="CM57" s="208">
        <f>IF($CE57=1,$CF57*'Verwerking Bouwdelen'!DR41,$CF57*'Verwerking Bouwdelen'!Z41)</f>
        <v>0</v>
      </c>
      <c r="CN57" s="208">
        <f>IF($CE57=1,$CF57*'Verwerking Bouwdelen'!DS41,$CF57*'Verwerking Bouwdelen'!AA41)</f>
        <v>0</v>
      </c>
      <c r="CO57" s="208">
        <f>IF($CE57=1,$CF57*'Verwerking Bouwdelen'!DT41,$CF57*'Verwerking Bouwdelen'!AB41)</f>
        <v>0</v>
      </c>
      <c r="CP57" s="208">
        <f>IF($CE57=1,$CF57*'Verwerking Bouwdelen'!DU41,$CF57*'Verwerking Bouwdelen'!AC41)</f>
        <v>0</v>
      </c>
      <c r="CQ57" s="208">
        <f>IF($CE57=1,$CF57*'Verwerking Bouwdelen'!DV41,$CF57*'Verwerking Bouwdelen'!AD41)</f>
        <v>0</v>
      </c>
      <c r="CR57" s="208">
        <f>IF($CE57=1,$CF57*'Verwerking Bouwdelen'!DW41,$CF57*'Verwerking Bouwdelen'!AE41)</f>
        <v>0</v>
      </c>
      <c r="CS57" s="10">
        <f>IF(CG57=$B57,0,('Verwerking Bouwdelen'!$D41-'Verwerking Bouwdelen'!G41)*CE57*CF57)</f>
        <v>0</v>
      </c>
      <c r="CT57" s="261">
        <f>CE57*CF57*'Verwerking Bouwdelen'!$GH$3</f>
        <v>0</v>
      </c>
      <c r="CU57" s="261">
        <f>CE57*CF57*'Verwerking Bouwdelen'!GI41</f>
        <v>0</v>
      </c>
      <c r="CW57" s="209">
        <f>$AC57*'Verwerking Bouwdelen'!EE41</f>
        <v>0</v>
      </c>
      <c r="CX57" s="209">
        <f>$AC57*'Verwerking Bouwdelen'!EF41</f>
        <v>0</v>
      </c>
      <c r="CY57" s="209">
        <f>$AC57*'Verwerking Bouwdelen'!EG41</f>
        <v>0</v>
      </c>
      <c r="CZ57" s="209">
        <f>$AC57*'Verwerking Bouwdelen'!EH41</f>
        <v>0</v>
      </c>
      <c r="DA57" s="209">
        <f>$AC57*'Verwerking Bouwdelen'!EI41</f>
        <v>0</v>
      </c>
      <c r="DB57" s="209">
        <f>$AC57*'Verwerking Bouwdelen'!EJ41</f>
        <v>0</v>
      </c>
      <c r="DC57" s="209">
        <f>$AC57*'Verwerking Bouwdelen'!EK41</f>
        <v>0</v>
      </c>
      <c r="DD57" s="209">
        <f>$AC57*'Verwerking Bouwdelen'!EL41</f>
        <v>0</v>
      </c>
      <c r="DE57" s="209">
        <f>$AC57*'Verwerking Bouwdelen'!EM41</f>
        <v>0</v>
      </c>
      <c r="DF57" s="209">
        <f>$AC57*'Verwerking Bouwdelen'!EN41</f>
        <v>0</v>
      </c>
      <c r="DG57" s="209">
        <f>$AC57*'Verwerking Bouwdelen'!EO41</f>
        <v>0</v>
      </c>
      <c r="DH57" s="209">
        <f>$AC57*'Verwerking Bouwdelen'!EP41</f>
        <v>0</v>
      </c>
      <c r="DI57" s="10">
        <f>IF(CW57=$O57,0,'Verwerking Bouwdelen'!G41)</f>
        <v>0</v>
      </c>
      <c r="DJ57" s="259">
        <f>'Verwerking Bouwdelen'!GK41*CF57</f>
        <v>0</v>
      </c>
      <c r="DK57" s="259">
        <f>'Verwerking Bouwdelen'!GL41*CF57</f>
        <v>0</v>
      </c>
      <c r="DL57" s="125"/>
      <c r="GM57" s="89">
        <f t="shared" si="13"/>
        <v>0</v>
      </c>
      <c r="GN57" s="89">
        <f t="shared" si="14"/>
        <v>0</v>
      </c>
      <c r="GO57" s="208">
        <f>IF($GN57=1,$GN57*$GM57*'Verwerking Bouwdelen'!DL41,$GN57*$GM57*'Verwerking Bouwdelen'!T41)</f>
        <v>0</v>
      </c>
      <c r="GP57" s="208">
        <f>IF($GN57=1,$GN57*$GM57*'Verwerking Bouwdelen'!DM41,$GN57*$GM57*'Verwerking Bouwdelen'!U41)</f>
        <v>0</v>
      </c>
      <c r="GQ57" s="208">
        <f>IF($GN57=1,$GN57*$GM57*'Verwerking Bouwdelen'!DN41,$GN57*$GM57*'Verwerking Bouwdelen'!V41)</f>
        <v>0</v>
      </c>
      <c r="GR57" s="208">
        <f>IF($GN57=1,$GN57*$GM57*'Verwerking Bouwdelen'!DO41,$GN57*$GM57*'Verwerking Bouwdelen'!W41)</f>
        <v>0</v>
      </c>
      <c r="GS57" s="208">
        <f>IF($GN57=1,$GN57*$GM57*'Verwerking Bouwdelen'!DP41,$GN57*$GM57*'Verwerking Bouwdelen'!X41)</f>
        <v>0</v>
      </c>
      <c r="GT57" s="208">
        <f>IF($GN57=1,$GN57*$GM57*'Verwerking Bouwdelen'!DQ41,$GN57*$GM57*'Verwerking Bouwdelen'!Y41)</f>
        <v>0</v>
      </c>
      <c r="GU57" s="208">
        <f>IF($GN57=1,$GN57*$GM57*'Verwerking Bouwdelen'!DR41,$GN57*$GM57*'Verwerking Bouwdelen'!Z41)</f>
        <v>0</v>
      </c>
      <c r="GV57" s="208">
        <f>IF($GN57=1,$GN57*$GM57*'Verwerking Bouwdelen'!DS41,$GN57*$GM57*'Verwerking Bouwdelen'!AA41)</f>
        <v>0</v>
      </c>
      <c r="GW57" s="208">
        <f>IF($GN57=1,$GN57*$GM57*'Verwerking Bouwdelen'!DT41,$GN57*$GM57*'Verwerking Bouwdelen'!AB41)</f>
        <v>0</v>
      </c>
      <c r="GX57" s="208">
        <f>IF($GN57=1,$GN57*$GM57*'Verwerking Bouwdelen'!DU41,$GN57*$GM57*'Verwerking Bouwdelen'!AC41)</f>
        <v>0</v>
      </c>
      <c r="GY57" s="208">
        <f>IF($GN57=1,$GN57*$GM57*'Verwerking Bouwdelen'!DV41,$GN57*$GM57*'Verwerking Bouwdelen'!AD41)</f>
        <v>0</v>
      </c>
      <c r="GZ57" s="208">
        <f>IF($GN57=1,$GN57*$GM57*'Verwerking Bouwdelen'!DW41,$GN57*$GM57*'Verwerking Bouwdelen'!AE41)</f>
        <v>0</v>
      </c>
      <c r="HB57" s="89">
        <f t="shared" si="16"/>
        <v>0</v>
      </c>
      <c r="HC57" s="89">
        <f t="shared" si="17"/>
        <v>0</v>
      </c>
      <c r="HD57" s="89">
        <f t="shared" si="18"/>
        <v>0</v>
      </c>
      <c r="HE57" s="89">
        <f t="shared" si="19"/>
        <v>0</v>
      </c>
      <c r="HF57" s="89">
        <f t="shared" si="19"/>
        <v>0</v>
      </c>
      <c r="HG57" s="89">
        <f t="shared" si="19"/>
        <v>0</v>
      </c>
      <c r="HH57" s="89">
        <f t="shared" si="19"/>
        <v>0</v>
      </c>
      <c r="HI57" s="89">
        <f t="shared" si="19"/>
        <v>0</v>
      </c>
      <c r="HJ57" s="89">
        <f t="shared" si="19"/>
        <v>0</v>
      </c>
      <c r="HK57" s="89">
        <f t="shared" si="19"/>
        <v>0</v>
      </c>
      <c r="HL57" s="89">
        <f t="shared" si="19"/>
        <v>0</v>
      </c>
      <c r="HM57" s="89">
        <f t="shared" si="19"/>
        <v>0</v>
      </c>
    </row>
    <row r="58" spans="1:221" x14ac:dyDescent="0.2">
      <c r="A58" s="130">
        <f>IF('Verwerking Bouwdelen'!A42=5,1,0)</f>
        <v>0</v>
      </c>
      <c r="B58" s="208">
        <f>$A58*'Verwerking Bouwdelen'!T42</f>
        <v>0</v>
      </c>
      <c r="C58" s="208">
        <f>$A58*'Verwerking Bouwdelen'!U42</f>
        <v>0</v>
      </c>
      <c r="D58" s="208">
        <f>$A58*'Verwerking Bouwdelen'!V42</f>
        <v>0</v>
      </c>
      <c r="E58" s="208">
        <f>$A58*'Verwerking Bouwdelen'!W42</f>
        <v>0</v>
      </c>
      <c r="F58" s="208">
        <f>$A58*'Verwerking Bouwdelen'!X42</f>
        <v>0</v>
      </c>
      <c r="G58" s="208">
        <f>$A58*'Verwerking Bouwdelen'!Y42</f>
        <v>0</v>
      </c>
      <c r="H58" s="208">
        <f>$A58*'Verwerking Bouwdelen'!Z42</f>
        <v>0</v>
      </c>
      <c r="I58" s="208">
        <f>$A58*'Verwerking Bouwdelen'!AA42</f>
        <v>0</v>
      </c>
      <c r="J58" s="208">
        <f>$A58*'Verwerking Bouwdelen'!AB42</f>
        <v>0</v>
      </c>
      <c r="K58" s="208">
        <f>$A58*'Verwerking Bouwdelen'!AC42</f>
        <v>0</v>
      </c>
      <c r="L58" s="208">
        <f>$A58*'Verwerking Bouwdelen'!AD42</f>
        <v>0</v>
      </c>
      <c r="M58" s="208">
        <f>$A58*'Verwerking Bouwdelen'!AE42</f>
        <v>0</v>
      </c>
      <c r="O58" s="114">
        <f>$A58*'Verwerking Bouwdelen'!AU42</f>
        <v>0</v>
      </c>
      <c r="P58" s="125">
        <f>$A58*'Verwerking Bouwdelen'!AV42</f>
        <v>0</v>
      </c>
      <c r="Q58" s="125">
        <f>$A58*'Verwerking Bouwdelen'!AW42</f>
        <v>0</v>
      </c>
      <c r="R58" s="125">
        <f>$A58*'Verwerking Bouwdelen'!AX42</f>
        <v>0</v>
      </c>
      <c r="S58" s="125">
        <f>$A58*'Verwerking Bouwdelen'!AY42</f>
        <v>0</v>
      </c>
      <c r="T58" s="125">
        <f>$A58*'Verwerking Bouwdelen'!AZ42</f>
        <v>0</v>
      </c>
      <c r="U58" s="125">
        <f>$A58*'Verwerking Bouwdelen'!BA42</f>
        <v>0</v>
      </c>
      <c r="V58" s="125">
        <f>$A58*'Verwerking Bouwdelen'!BB42</f>
        <v>0</v>
      </c>
      <c r="W58" s="125">
        <f>$A58*'Verwerking Bouwdelen'!BC42</f>
        <v>0</v>
      </c>
      <c r="X58" s="125">
        <f>$A58*'Verwerking Bouwdelen'!BD42</f>
        <v>0</v>
      </c>
      <c r="Y58" s="125">
        <f>$A58*'Verwerking Bouwdelen'!BE42</f>
        <v>0</v>
      </c>
      <c r="Z58" s="195">
        <f>$A58*'Verwerking Bouwdelen'!BF42</f>
        <v>0</v>
      </c>
      <c r="AB58" s="125">
        <f>IF(OR('Verwerking Bouwdelen'!C42=3,'Verwerking Bouwdelen'!C42=6),1,0)</f>
        <v>0</v>
      </c>
      <c r="AC58" s="130">
        <f>IF('Verwerking Bouwdelen'!A42=5,1,0)</f>
        <v>0</v>
      </c>
      <c r="AD58" s="208">
        <f>IF($AB58=1,$AC58*'Verwerking Bouwdelen'!DL42,$AC58*'Verwerking Bouwdelen'!T42)</f>
        <v>0</v>
      </c>
      <c r="AE58" s="208">
        <f>IF($AB58=1,$AC58*'Verwerking Bouwdelen'!DM42,$AC58*'Verwerking Bouwdelen'!U42)</f>
        <v>0</v>
      </c>
      <c r="AF58" s="208">
        <f>IF($AB58=1,$AC58*'Verwerking Bouwdelen'!DN42,$AC58*'Verwerking Bouwdelen'!V42)</f>
        <v>0</v>
      </c>
      <c r="AG58" s="208">
        <f>IF($AB58=1,$AC58*'Verwerking Bouwdelen'!DO42,$AC58*'Verwerking Bouwdelen'!W42)</f>
        <v>0</v>
      </c>
      <c r="AH58" s="208">
        <f>IF($AB58=1,$AC58*'Verwerking Bouwdelen'!DP42,$AC58*'Verwerking Bouwdelen'!X42)</f>
        <v>0</v>
      </c>
      <c r="AI58" s="208">
        <f>IF($AB58=1,$AC58*'Verwerking Bouwdelen'!DQ42,$AC58*'Verwerking Bouwdelen'!Y42)</f>
        <v>0</v>
      </c>
      <c r="AJ58" s="208">
        <f>IF($AB58=1,$AC58*'Verwerking Bouwdelen'!DR42,$AC58*'Verwerking Bouwdelen'!Z42)</f>
        <v>0</v>
      </c>
      <c r="AK58" s="208">
        <f>IF($AB58=1,$AC58*'Verwerking Bouwdelen'!DS42,$AC58*'Verwerking Bouwdelen'!AA42)</f>
        <v>0</v>
      </c>
      <c r="AL58" s="208">
        <f>IF($AB58=1,$AC58*'Verwerking Bouwdelen'!DT42,$AC58*'Verwerking Bouwdelen'!AB42)</f>
        <v>0</v>
      </c>
      <c r="AM58" s="208">
        <f>IF($AB58=1,$AC58*'Verwerking Bouwdelen'!DU42,$AC58*'Verwerking Bouwdelen'!AC42)</f>
        <v>0</v>
      </c>
      <c r="AN58" s="208">
        <f>IF($AB58=1,$AC58*'Verwerking Bouwdelen'!DV42,$AC58*'Verwerking Bouwdelen'!AD42)</f>
        <v>0</v>
      </c>
      <c r="AO58" s="208">
        <f>IF($AB58=1,$AC58*'Verwerking Bouwdelen'!DW42,$AC58*'Verwerking Bouwdelen'!AE42)</f>
        <v>0</v>
      </c>
      <c r="AP58" s="10">
        <f>IF(AD58=B58,0,'Verwerking Bouwdelen'!D42*AB58*AC58)</f>
        <v>0</v>
      </c>
      <c r="AQ58" s="10">
        <f>AB58*AC58*'Verwerking Bouwdelen'!GH42</f>
        <v>0</v>
      </c>
      <c r="AR58" s="10"/>
      <c r="AS58" s="248"/>
      <c r="AT58" s="125">
        <f>IF('Verwerking Bouwdelen'!C42=4,1,0)</f>
        <v>0</v>
      </c>
      <c r="AU58" s="130">
        <f>IF('Verwerking Bouwdelen'!A42=5,1,0)</f>
        <v>0</v>
      </c>
      <c r="AV58" s="208">
        <f>IF($AT58=1,$AU58*'Verwerking Bouwdelen'!DL42,$AU58*'Verwerking Bouwdelen'!T42)</f>
        <v>0</v>
      </c>
      <c r="AW58" s="208">
        <f>IF($AT58=1,$AU58*'Verwerking Bouwdelen'!DM42,$AU58*'Verwerking Bouwdelen'!U42)</f>
        <v>0</v>
      </c>
      <c r="AX58" s="208">
        <f>IF($AT58=1,$AU58*'Verwerking Bouwdelen'!DN42,$AU58*'Verwerking Bouwdelen'!V42)</f>
        <v>0</v>
      </c>
      <c r="AY58" s="208">
        <f>IF($AT58=1,$AU58*'Verwerking Bouwdelen'!DO42,$AU58*'Verwerking Bouwdelen'!W42)</f>
        <v>0</v>
      </c>
      <c r="AZ58" s="208">
        <f>IF($AT58=1,$AU58*'Verwerking Bouwdelen'!DP42,$AU58*'Verwerking Bouwdelen'!X42)</f>
        <v>0</v>
      </c>
      <c r="BA58" s="208">
        <f>IF($AT58=1,$AU58*'Verwerking Bouwdelen'!DQ42,$AU58*'Verwerking Bouwdelen'!Y42)</f>
        <v>0</v>
      </c>
      <c r="BB58" s="208">
        <f>IF($AT58=1,$AU58*'Verwerking Bouwdelen'!DR42,$AU58*'Verwerking Bouwdelen'!Z42)</f>
        <v>0</v>
      </c>
      <c r="BC58" s="208">
        <f>IF($AT58=1,$AU58*'Verwerking Bouwdelen'!DS42,$AU58*'Verwerking Bouwdelen'!AA42)</f>
        <v>0</v>
      </c>
      <c r="BD58" s="208">
        <f>IF($AT58=1,$AU58*'Verwerking Bouwdelen'!DT42,$AU58*'Verwerking Bouwdelen'!AB42)</f>
        <v>0</v>
      </c>
      <c r="BE58" s="208">
        <f>IF($AT58=1,$AU58*'Verwerking Bouwdelen'!DU42,$AU58*'Verwerking Bouwdelen'!AC42)</f>
        <v>0</v>
      </c>
      <c r="BF58" s="208">
        <f>IF($AT58=1,$AU58*'Verwerking Bouwdelen'!DV42,$AU58*'Verwerking Bouwdelen'!AD42)</f>
        <v>0</v>
      </c>
      <c r="BG58" s="208">
        <f>IF($AT58=1,$AU58*'Verwerking Bouwdelen'!DW42,$AU58*'Verwerking Bouwdelen'!AE42)</f>
        <v>0</v>
      </c>
      <c r="BH58" s="10">
        <f>IF(AV58=B58,0,'Verwerking Bouwdelen'!D42*AT58*AU58)</f>
        <v>0</v>
      </c>
      <c r="BI58" s="10">
        <f>AT58*AU58*'Verwerking Bouwdelen'!GH42</f>
        <v>0</v>
      </c>
      <c r="BJ58" s="10"/>
      <c r="BK58" s="10"/>
      <c r="BM58" s="125">
        <f>IF('Verwerking Bouwdelen'!C42=5,1,0)</f>
        <v>0</v>
      </c>
      <c r="BN58" s="130">
        <f>IF('Verwerking Bouwdelen'!A42=5,1,0)</f>
        <v>0</v>
      </c>
      <c r="BO58" s="208">
        <f>IF($BM58=1,$BN58*'Verwerking Bouwdelen'!DL42,$BN58*'Verwerking Bouwdelen'!T42)</f>
        <v>0</v>
      </c>
      <c r="BP58" s="208">
        <f>IF($BM58=1,$BN58*'Verwerking Bouwdelen'!DM42,$BN58*'Verwerking Bouwdelen'!U42)</f>
        <v>0</v>
      </c>
      <c r="BQ58" s="208">
        <f>IF($BM58=1,$BN58*'Verwerking Bouwdelen'!DN42,$BN58*'Verwerking Bouwdelen'!V42)</f>
        <v>0</v>
      </c>
      <c r="BR58" s="208">
        <f>IF($BM58=1,$BN58*'Verwerking Bouwdelen'!DO42,$BN58*'Verwerking Bouwdelen'!W42)</f>
        <v>0</v>
      </c>
      <c r="BS58" s="208">
        <f>IF($BM58=1,$BN58*'Verwerking Bouwdelen'!DP42,$BN58*'Verwerking Bouwdelen'!X42)</f>
        <v>0</v>
      </c>
      <c r="BT58" s="208">
        <f>IF($BM58=1,$BN58*'Verwerking Bouwdelen'!DQ42,$BN58*'Verwerking Bouwdelen'!Y42)</f>
        <v>0</v>
      </c>
      <c r="BU58" s="208">
        <f>IF($BM58=1,$BN58*'Verwerking Bouwdelen'!DR42,$BN58*'Verwerking Bouwdelen'!Z42)</f>
        <v>0</v>
      </c>
      <c r="BV58" s="208">
        <f>IF($BM58=1,$BN58*'Verwerking Bouwdelen'!DS42,$BN58*'Verwerking Bouwdelen'!AA42)</f>
        <v>0</v>
      </c>
      <c r="BW58" s="208">
        <f>IF($BM58=1,$BN58*'Verwerking Bouwdelen'!DT42,$BN58*'Verwerking Bouwdelen'!AB42)</f>
        <v>0</v>
      </c>
      <c r="BX58" s="208">
        <f>IF($BM58=1,$BN58*'Verwerking Bouwdelen'!DU42,$BN58*'Verwerking Bouwdelen'!AC42)</f>
        <v>0</v>
      </c>
      <c r="BY58" s="208">
        <f>IF($BM58=1,$BN58*'Verwerking Bouwdelen'!DV42,$BN58*'Verwerking Bouwdelen'!AD42)</f>
        <v>0</v>
      </c>
      <c r="BZ58" s="208">
        <f>IF($BM58=1,$BN58*'Verwerking Bouwdelen'!DW42,$BN58*'Verwerking Bouwdelen'!AE42)</f>
        <v>0</v>
      </c>
      <c r="CA58" s="10">
        <f>IF(BO58=$B58,0,'Verwerking Bouwdelen'!$D42*BM58*BN58)</f>
        <v>0</v>
      </c>
      <c r="CB58" s="10">
        <f>BM58*BN58*'Verwerking Bouwdelen'!GH42</f>
        <v>0</v>
      </c>
      <c r="CC58" s="10"/>
      <c r="CD58" s="248"/>
      <c r="CE58" s="125">
        <f>IF('Verwerking Bouwdelen'!C42=2,1,0)</f>
        <v>0</v>
      </c>
      <c r="CF58" s="130">
        <f>IF('Verwerking Bouwdelen'!A42=5,1,0)</f>
        <v>0</v>
      </c>
      <c r="CG58" s="208">
        <f>IF($CE58=1,$CF58*'Verwerking Bouwdelen'!DL42,$CF58*'Verwerking Bouwdelen'!T42)</f>
        <v>0</v>
      </c>
      <c r="CH58" s="208">
        <f>IF($CE58=1,$CF58*'Verwerking Bouwdelen'!DM42,$CF58*'Verwerking Bouwdelen'!U42)</f>
        <v>0</v>
      </c>
      <c r="CI58" s="208">
        <f>IF($CE58=1,$CF58*'Verwerking Bouwdelen'!DN42,$CF58*'Verwerking Bouwdelen'!V42)</f>
        <v>0</v>
      </c>
      <c r="CJ58" s="208">
        <f>IF($CE58=1,$CF58*'Verwerking Bouwdelen'!DO42,$CF58*'Verwerking Bouwdelen'!W42)</f>
        <v>0</v>
      </c>
      <c r="CK58" s="208">
        <f>IF($CE58=1,$CF58*'Verwerking Bouwdelen'!DP42,$CF58*'Verwerking Bouwdelen'!X42)</f>
        <v>0</v>
      </c>
      <c r="CL58" s="208">
        <f>IF($CE58=1,$CF58*'Verwerking Bouwdelen'!DQ42,$CF58*'Verwerking Bouwdelen'!Y42)</f>
        <v>0</v>
      </c>
      <c r="CM58" s="208">
        <f>IF($CE58=1,$CF58*'Verwerking Bouwdelen'!DR42,$CF58*'Verwerking Bouwdelen'!Z42)</f>
        <v>0</v>
      </c>
      <c r="CN58" s="208">
        <f>IF($CE58=1,$CF58*'Verwerking Bouwdelen'!DS42,$CF58*'Verwerking Bouwdelen'!AA42)</f>
        <v>0</v>
      </c>
      <c r="CO58" s="208">
        <f>IF($CE58=1,$CF58*'Verwerking Bouwdelen'!DT42,$CF58*'Verwerking Bouwdelen'!AB42)</f>
        <v>0</v>
      </c>
      <c r="CP58" s="208">
        <f>IF($CE58=1,$CF58*'Verwerking Bouwdelen'!DU42,$CF58*'Verwerking Bouwdelen'!AC42)</f>
        <v>0</v>
      </c>
      <c r="CQ58" s="208">
        <f>IF($CE58=1,$CF58*'Verwerking Bouwdelen'!DV42,$CF58*'Verwerking Bouwdelen'!AD42)</f>
        <v>0</v>
      </c>
      <c r="CR58" s="208">
        <f>IF($CE58=1,$CF58*'Verwerking Bouwdelen'!DW42,$CF58*'Verwerking Bouwdelen'!AE42)</f>
        <v>0</v>
      </c>
      <c r="CS58" s="10">
        <f>IF(CG58=$B58,0,('Verwerking Bouwdelen'!$D42-'Verwerking Bouwdelen'!G42)*CE58*CF58)</f>
        <v>0</v>
      </c>
      <c r="CT58" s="261">
        <f>CE58*CF58*'Verwerking Bouwdelen'!$GH$3</f>
        <v>0</v>
      </c>
      <c r="CU58" s="261">
        <f>CE58*CF58*'Verwerking Bouwdelen'!GI42</f>
        <v>0</v>
      </c>
      <c r="CW58" s="209">
        <f>$AC58*'Verwerking Bouwdelen'!EE42</f>
        <v>0</v>
      </c>
      <c r="CX58" s="209">
        <f>$AC58*'Verwerking Bouwdelen'!EF42</f>
        <v>0</v>
      </c>
      <c r="CY58" s="209">
        <f>$AC58*'Verwerking Bouwdelen'!EG42</f>
        <v>0</v>
      </c>
      <c r="CZ58" s="209">
        <f>$AC58*'Verwerking Bouwdelen'!EH42</f>
        <v>0</v>
      </c>
      <c r="DA58" s="209">
        <f>$AC58*'Verwerking Bouwdelen'!EI42</f>
        <v>0</v>
      </c>
      <c r="DB58" s="209">
        <f>$AC58*'Verwerking Bouwdelen'!EJ42</f>
        <v>0</v>
      </c>
      <c r="DC58" s="209">
        <f>$AC58*'Verwerking Bouwdelen'!EK42</f>
        <v>0</v>
      </c>
      <c r="DD58" s="209">
        <f>$AC58*'Verwerking Bouwdelen'!EL42</f>
        <v>0</v>
      </c>
      <c r="DE58" s="209">
        <f>$AC58*'Verwerking Bouwdelen'!EM42</f>
        <v>0</v>
      </c>
      <c r="DF58" s="209">
        <f>$AC58*'Verwerking Bouwdelen'!EN42</f>
        <v>0</v>
      </c>
      <c r="DG58" s="209">
        <f>$AC58*'Verwerking Bouwdelen'!EO42</f>
        <v>0</v>
      </c>
      <c r="DH58" s="209">
        <f>$AC58*'Verwerking Bouwdelen'!EP42</f>
        <v>0</v>
      </c>
      <c r="DI58" s="10">
        <f>IF(CW58=$O58,0,'Verwerking Bouwdelen'!G42)</f>
        <v>0</v>
      </c>
      <c r="DJ58" s="259">
        <f>'Verwerking Bouwdelen'!GK42*CF58</f>
        <v>0</v>
      </c>
      <c r="DK58" s="259">
        <f>'Verwerking Bouwdelen'!GL42*CF58</f>
        <v>0</v>
      </c>
      <c r="DL58" s="125"/>
      <c r="GM58" s="89">
        <f t="shared" si="13"/>
        <v>0</v>
      </c>
      <c r="GN58" s="89">
        <f t="shared" si="14"/>
        <v>0</v>
      </c>
      <c r="GO58" s="208">
        <f>IF($GN58=1,$GN58*$GM58*'Verwerking Bouwdelen'!DL42,$GN58*$GM58*'Verwerking Bouwdelen'!T42)</f>
        <v>0</v>
      </c>
      <c r="GP58" s="208">
        <f>IF($GN58=1,$GN58*$GM58*'Verwerking Bouwdelen'!DM42,$GN58*$GM58*'Verwerking Bouwdelen'!U42)</f>
        <v>0</v>
      </c>
      <c r="GQ58" s="208">
        <f>IF($GN58=1,$GN58*$GM58*'Verwerking Bouwdelen'!DN42,$GN58*$GM58*'Verwerking Bouwdelen'!V42)</f>
        <v>0</v>
      </c>
      <c r="GR58" s="208">
        <f>IF($GN58=1,$GN58*$GM58*'Verwerking Bouwdelen'!DO42,$GN58*$GM58*'Verwerking Bouwdelen'!W42)</f>
        <v>0</v>
      </c>
      <c r="GS58" s="208">
        <f>IF($GN58=1,$GN58*$GM58*'Verwerking Bouwdelen'!DP42,$GN58*$GM58*'Verwerking Bouwdelen'!X42)</f>
        <v>0</v>
      </c>
      <c r="GT58" s="208">
        <f>IF($GN58=1,$GN58*$GM58*'Verwerking Bouwdelen'!DQ42,$GN58*$GM58*'Verwerking Bouwdelen'!Y42)</f>
        <v>0</v>
      </c>
      <c r="GU58" s="208">
        <f>IF($GN58=1,$GN58*$GM58*'Verwerking Bouwdelen'!DR42,$GN58*$GM58*'Verwerking Bouwdelen'!Z42)</f>
        <v>0</v>
      </c>
      <c r="GV58" s="208">
        <f>IF($GN58=1,$GN58*$GM58*'Verwerking Bouwdelen'!DS42,$GN58*$GM58*'Verwerking Bouwdelen'!AA42)</f>
        <v>0</v>
      </c>
      <c r="GW58" s="208">
        <f>IF($GN58=1,$GN58*$GM58*'Verwerking Bouwdelen'!DT42,$GN58*$GM58*'Verwerking Bouwdelen'!AB42)</f>
        <v>0</v>
      </c>
      <c r="GX58" s="208">
        <f>IF($GN58=1,$GN58*$GM58*'Verwerking Bouwdelen'!DU42,$GN58*$GM58*'Verwerking Bouwdelen'!AC42)</f>
        <v>0</v>
      </c>
      <c r="GY58" s="208">
        <f>IF($GN58=1,$GN58*$GM58*'Verwerking Bouwdelen'!DV42,$GN58*$GM58*'Verwerking Bouwdelen'!AD42)</f>
        <v>0</v>
      </c>
      <c r="GZ58" s="208">
        <f>IF($GN58=1,$GN58*$GM58*'Verwerking Bouwdelen'!DW42,$GN58*$GM58*'Verwerking Bouwdelen'!AE42)</f>
        <v>0</v>
      </c>
      <c r="HB58" s="89">
        <f t="shared" si="16"/>
        <v>0</v>
      </c>
      <c r="HC58" s="89">
        <f t="shared" si="17"/>
        <v>0</v>
      </c>
      <c r="HD58" s="89">
        <f t="shared" si="18"/>
        <v>0</v>
      </c>
      <c r="HE58" s="89">
        <f t="shared" si="19"/>
        <v>0</v>
      </c>
      <c r="HF58" s="89">
        <f t="shared" si="19"/>
        <v>0</v>
      </c>
      <c r="HG58" s="89">
        <f t="shared" si="19"/>
        <v>0</v>
      </c>
      <c r="HH58" s="89">
        <f t="shared" si="19"/>
        <v>0</v>
      </c>
      <c r="HI58" s="89">
        <f t="shared" si="19"/>
        <v>0</v>
      </c>
      <c r="HJ58" s="89">
        <f t="shared" si="19"/>
        <v>0</v>
      </c>
      <c r="HK58" s="89">
        <f t="shared" si="19"/>
        <v>0</v>
      </c>
      <c r="HL58" s="89">
        <f t="shared" si="19"/>
        <v>0</v>
      </c>
      <c r="HM58" s="89">
        <f t="shared" si="19"/>
        <v>0</v>
      </c>
    </row>
    <row r="59" spans="1:221" x14ac:dyDescent="0.2">
      <c r="A59" s="130">
        <f>IF('Verwerking Bouwdelen'!A43=5,1,0)</f>
        <v>0</v>
      </c>
      <c r="B59" s="208">
        <f>$A59*'Verwerking Bouwdelen'!T43</f>
        <v>0</v>
      </c>
      <c r="C59" s="208">
        <f>$A59*'Verwerking Bouwdelen'!U43</f>
        <v>0</v>
      </c>
      <c r="D59" s="208">
        <f>$A59*'Verwerking Bouwdelen'!V43</f>
        <v>0</v>
      </c>
      <c r="E59" s="208">
        <f>$A59*'Verwerking Bouwdelen'!W43</f>
        <v>0</v>
      </c>
      <c r="F59" s="208">
        <f>$A59*'Verwerking Bouwdelen'!X43</f>
        <v>0</v>
      </c>
      <c r="G59" s="208">
        <f>$A59*'Verwerking Bouwdelen'!Y43</f>
        <v>0</v>
      </c>
      <c r="H59" s="208">
        <f>$A59*'Verwerking Bouwdelen'!Z43</f>
        <v>0</v>
      </c>
      <c r="I59" s="208">
        <f>$A59*'Verwerking Bouwdelen'!AA43</f>
        <v>0</v>
      </c>
      <c r="J59" s="208">
        <f>$A59*'Verwerking Bouwdelen'!AB43</f>
        <v>0</v>
      </c>
      <c r="K59" s="208">
        <f>$A59*'Verwerking Bouwdelen'!AC43</f>
        <v>0</v>
      </c>
      <c r="L59" s="208">
        <f>$A59*'Verwerking Bouwdelen'!AD43</f>
        <v>0</v>
      </c>
      <c r="M59" s="208">
        <f>$A59*'Verwerking Bouwdelen'!AE43</f>
        <v>0</v>
      </c>
      <c r="O59" s="114">
        <f>$A59*'Verwerking Bouwdelen'!AU43</f>
        <v>0</v>
      </c>
      <c r="P59" s="125">
        <f>$A59*'Verwerking Bouwdelen'!AV43</f>
        <v>0</v>
      </c>
      <c r="Q59" s="125">
        <f>$A59*'Verwerking Bouwdelen'!AW43</f>
        <v>0</v>
      </c>
      <c r="R59" s="125">
        <f>$A59*'Verwerking Bouwdelen'!AX43</f>
        <v>0</v>
      </c>
      <c r="S59" s="125">
        <f>$A59*'Verwerking Bouwdelen'!AY43</f>
        <v>0</v>
      </c>
      <c r="T59" s="125">
        <f>$A59*'Verwerking Bouwdelen'!AZ43</f>
        <v>0</v>
      </c>
      <c r="U59" s="125">
        <f>$A59*'Verwerking Bouwdelen'!BA43</f>
        <v>0</v>
      </c>
      <c r="V59" s="125">
        <f>$A59*'Verwerking Bouwdelen'!BB43</f>
        <v>0</v>
      </c>
      <c r="W59" s="125">
        <f>$A59*'Verwerking Bouwdelen'!BC43</f>
        <v>0</v>
      </c>
      <c r="X59" s="125">
        <f>$A59*'Verwerking Bouwdelen'!BD43</f>
        <v>0</v>
      </c>
      <c r="Y59" s="125">
        <f>$A59*'Verwerking Bouwdelen'!BE43</f>
        <v>0</v>
      </c>
      <c r="Z59" s="195">
        <f>$A59*'Verwerking Bouwdelen'!BF43</f>
        <v>0</v>
      </c>
      <c r="AB59" s="125">
        <f>IF(OR('Verwerking Bouwdelen'!C43=3,'Verwerking Bouwdelen'!C43=6),1,0)</f>
        <v>0</v>
      </c>
      <c r="AC59" s="130">
        <f>IF('Verwerking Bouwdelen'!A43=5,1,0)</f>
        <v>0</v>
      </c>
      <c r="AD59" s="208">
        <f>IF($AB59=1,$AC59*'Verwerking Bouwdelen'!DL43,$AC59*'Verwerking Bouwdelen'!T43)</f>
        <v>0</v>
      </c>
      <c r="AE59" s="208">
        <f>IF($AB59=1,$AC59*'Verwerking Bouwdelen'!DM43,$AC59*'Verwerking Bouwdelen'!U43)</f>
        <v>0</v>
      </c>
      <c r="AF59" s="208">
        <f>IF($AB59=1,$AC59*'Verwerking Bouwdelen'!DN43,$AC59*'Verwerking Bouwdelen'!V43)</f>
        <v>0</v>
      </c>
      <c r="AG59" s="208">
        <f>IF($AB59=1,$AC59*'Verwerking Bouwdelen'!DO43,$AC59*'Verwerking Bouwdelen'!W43)</f>
        <v>0</v>
      </c>
      <c r="AH59" s="208">
        <f>IF($AB59=1,$AC59*'Verwerking Bouwdelen'!DP43,$AC59*'Verwerking Bouwdelen'!X43)</f>
        <v>0</v>
      </c>
      <c r="AI59" s="208">
        <f>IF($AB59=1,$AC59*'Verwerking Bouwdelen'!DQ43,$AC59*'Verwerking Bouwdelen'!Y43)</f>
        <v>0</v>
      </c>
      <c r="AJ59" s="208">
        <f>IF($AB59=1,$AC59*'Verwerking Bouwdelen'!DR43,$AC59*'Verwerking Bouwdelen'!Z43)</f>
        <v>0</v>
      </c>
      <c r="AK59" s="208">
        <f>IF($AB59=1,$AC59*'Verwerking Bouwdelen'!DS43,$AC59*'Verwerking Bouwdelen'!AA43)</f>
        <v>0</v>
      </c>
      <c r="AL59" s="208">
        <f>IF($AB59=1,$AC59*'Verwerking Bouwdelen'!DT43,$AC59*'Verwerking Bouwdelen'!AB43)</f>
        <v>0</v>
      </c>
      <c r="AM59" s="208">
        <f>IF($AB59=1,$AC59*'Verwerking Bouwdelen'!DU43,$AC59*'Verwerking Bouwdelen'!AC43)</f>
        <v>0</v>
      </c>
      <c r="AN59" s="208">
        <f>IF($AB59=1,$AC59*'Verwerking Bouwdelen'!DV43,$AC59*'Verwerking Bouwdelen'!AD43)</f>
        <v>0</v>
      </c>
      <c r="AO59" s="208">
        <f>IF($AB59=1,$AC59*'Verwerking Bouwdelen'!DW43,$AC59*'Verwerking Bouwdelen'!AE43)</f>
        <v>0</v>
      </c>
      <c r="AP59" s="10">
        <f>IF(AD59=B59,0,'Verwerking Bouwdelen'!D43*AB59*AC59)</f>
        <v>0</v>
      </c>
      <c r="AQ59" s="10">
        <f>AB59*AC59*'Verwerking Bouwdelen'!GH43</f>
        <v>0</v>
      </c>
      <c r="AR59" s="10"/>
      <c r="AS59" s="248"/>
      <c r="AT59" s="125">
        <f>IF('Verwerking Bouwdelen'!C43=4,1,0)</f>
        <v>0</v>
      </c>
      <c r="AU59" s="130">
        <f>IF('Verwerking Bouwdelen'!A43=5,1,0)</f>
        <v>0</v>
      </c>
      <c r="AV59" s="208">
        <f>IF($AT59=1,$AU59*'Verwerking Bouwdelen'!DL43,$AU59*'Verwerking Bouwdelen'!T43)</f>
        <v>0</v>
      </c>
      <c r="AW59" s="208">
        <f>IF($AT59=1,$AU59*'Verwerking Bouwdelen'!DM43,$AU59*'Verwerking Bouwdelen'!U43)</f>
        <v>0</v>
      </c>
      <c r="AX59" s="208">
        <f>IF($AT59=1,$AU59*'Verwerking Bouwdelen'!DN43,$AU59*'Verwerking Bouwdelen'!V43)</f>
        <v>0</v>
      </c>
      <c r="AY59" s="208">
        <f>IF($AT59=1,$AU59*'Verwerking Bouwdelen'!DO43,$AU59*'Verwerking Bouwdelen'!W43)</f>
        <v>0</v>
      </c>
      <c r="AZ59" s="208">
        <f>IF($AT59=1,$AU59*'Verwerking Bouwdelen'!DP43,$AU59*'Verwerking Bouwdelen'!X43)</f>
        <v>0</v>
      </c>
      <c r="BA59" s="208">
        <f>IF($AT59=1,$AU59*'Verwerking Bouwdelen'!DQ43,$AU59*'Verwerking Bouwdelen'!Y43)</f>
        <v>0</v>
      </c>
      <c r="BB59" s="208">
        <f>IF($AT59=1,$AU59*'Verwerking Bouwdelen'!DR43,$AU59*'Verwerking Bouwdelen'!Z43)</f>
        <v>0</v>
      </c>
      <c r="BC59" s="208">
        <f>IF($AT59=1,$AU59*'Verwerking Bouwdelen'!DS43,$AU59*'Verwerking Bouwdelen'!AA43)</f>
        <v>0</v>
      </c>
      <c r="BD59" s="208">
        <f>IF($AT59=1,$AU59*'Verwerking Bouwdelen'!DT43,$AU59*'Verwerking Bouwdelen'!AB43)</f>
        <v>0</v>
      </c>
      <c r="BE59" s="208">
        <f>IF($AT59=1,$AU59*'Verwerking Bouwdelen'!DU43,$AU59*'Verwerking Bouwdelen'!AC43)</f>
        <v>0</v>
      </c>
      <c r="BF59" s="208">
        <f>IF($AT59=1,$AU59*'Verwerking Bouwdelen'!DV43,$AU59*'Verwerking Bouwdelen'!AD43)</f>
        <v>0</v>
      </c>
      <c r="BG59" s="208">
        <f>IF($AT59=1,$AU59*'Verwerking Bouwdelen'!DW43,$AU59*'Verwerking Bouwdelen'!AE43)</f>
        <v>0</v>
      </c>
      <c r="BH59" s="10">
        <f>IF(AV59=B59,0,'Verwerking Bouwdelen'!D43*AT59*AU59)</f>
        <v>0</v>
      </c>
      <c r="BI59" s="10">
        <f>AT59*AU59*'Verwerking Bouwdelen'!GH43</f>
        <v>0</v>
      </c>
      <c r="BJ59" s="10"/>
      <c r="BK59" s="10"/>
      <c r="BM59" s="125">
        <f>IF('Verwerking Bouwdelen'!C43=5,1,0)</f>
        <v>0</v>
      </c>
      <c r="BN59" s="130">
        <f>IF('Verwerking Bouwdelen'!A43=5,1,0)</f>
        <v>0</v>
      </c>
      <c r="BO59" s="208">
        <f>IF($BM59=1,$BN59*'Verwerking Bouwdelen'!DL43,$BN59*'Verwerking Bouwdelen'!T43)</f>
        <v>0</v>
      </c>
      <c r="BP59" s="208">
        <f>IF($BM59=1,$BN59*'Verwerking Bouwdelen'!DM43,$BN59*'Verwerking Bouwdelen'!U43)</f>
        <v>0</v>
      </c>
      <c r="BQ59" s="208">
        <f>IF($BM59=1,$BN59*'Verwerking Bouwdelen'!DN43,$BN59*'Verwerking Bouwdelen'!V43)</f>
        <v>0</v>
      </c>
      <c r="BR59" s="208">
        <f>IF($BM59=1,$BN59*'Verwerking Bouwdelen'!DO43,$BN59*'Verwerking Bouwdelen'!W43)</f>
        <v>0</v>
      </c>
      <c r="BS59" s="208">
        <f>IF($BM59=1,$BN59*'Verwerking Bouwdelen'!DP43,$BN59*'Verwerking Bouwdelen'!X43)</f>
        <v>0</v>
      </c>
      <c r="BT59" s="208">
        <f>IF($BM59=1,$BN59*'Verwerking Bouwdelen'!DQ43,$BN59*'Verwerking Bouwdelen'!Y43)</f>
        <v>0</v>
      </c>
      <c r="BU59" s="208">
        <f>IF($BM59=1,$BN59*'Verwerking Bouwdelen'!DR43,$BN59*'Verwerking Bouwdelen'!Z43)</f>
        <v>0</v>
      </c>
      <c r="BV59" s="208">
        <f>IF($BM59=1,$BN59*'Verwerking Bouwdelen'!DS43,$BN59*'Verwerking Bouwdelen'!AA43)</f>
        <v>0</v>
      </c>
      <c r="BW59" s="208">
        <f>IF($BM59=1,$BN59*'Verwerking Bouwdelen'!DT43,$BN59*'Verwerking Bouwdelen'!AB43)</f>
        <v>0</v>
      </c>
      <c r="BX59" s="208">
        <f>IF($BM59=1,$BN59*'Verwerking Bouwdelen'!DU43,$BN59*'Verwerking Bouwdelen'!AC43)</f>
        <v>0</v>
      </c>
      <c r="BY59" s="208">
        <f>IF($BM59=1,$BN59*'Verwerking Bouwdelen'!DV43,$BN59*'Verwerking Bouwdelen'!AD43)</f>
        <v>0</v>
      </c>
      <c r="BZ59" s="208">
        <f>IF($BM59=1,$BN59*'Verwerking Bouwdelen'!DW43,$BN59*'Verwerking Bouwdelen'!AE43)</f>
        <v>0</v>
      </c>
      <c r="CA59" s="10">
        <f>IF(BO59=$B59,0,'Verwerking Bouwdelen'!$D43*BM59*BN59)</f>
        <v>0</v>
      </c>
      <c r="CB59" s="10">
        <f>BM59*BN59*'Verwerking Bouwdelen'!GH43</f>
        <v>0</v>
      </c>
      <c r="CC59" s="10"/>
      <c r="CD59" s="248"/>
      <c r="CE59" s="125">
        <f>IF('Verwerking Bouwdelen'!C43=2,1,0)</f>
        <v>0</v>
      </c>
      <c r="CF59" s="130">
        <f>IF('Verwerking Bouwdelen'!A43=5,1,0)</f>
        <v>0</v>
      </c>
      <c r="CG59" s="208">
        <f>IF($CE59=1,$CF59*'Verwerking Bouwdelen'!DL43,$CF59*'Verwerking Bouwdelen'!T43)</f>
        <v>0</v>
      </c>
      <c r="CH59" s="208">
        <f>IF($CE59=1,$CF59*'Verwerking Bouwdelen'!DM43,$CF59*'Verwerking Bouwdelen'!U43)</f>
        <v>0</v>
      </c>
      <c r="CI59" s="208">
        <f>IF($CE59=1,$CF59*'Verwerking Bouwdelen'!DN43,$CF59*'Verwerking Bouwdelen'!V43)</f>
        <v>0</v>
      </c>
      <c r="CJ59" s="208">
        <f>IF($CE59=1,$CF59*'Verwerking Bouwdelen'!DO43,$CF59*'Verwerking Bouwdelen'!W43)</f>
        <v>0</v>
      </c>
      <c r="CK59" s="208">
        <f>IF($CE59=1,$CF59*'Verwerking Bouwdelen'!DP43,$CF59*'Verwerking Bouwdelen'!X43)</f>
        <v>0</v>
      </c>
      <c r="CL59" s="208">
        <f>IF($CE59=1,$CF59*'Verwerking Bouwdelen'!DQ43,$CF59*'Verwerking Bouwdelen'!Y43)</f>
        <v>0</v>
      </c>
      <c r="CM59" s="208">
        <f>IF($CE59=1,$CF59*'Verwerking Bouwdelen'!DR43,$CF59*'Verwerking Bouwdelen'!Z43)</f>
        <v>0</v>
      </c>
      <c r="CN59" s="208">
        <f>IF($CE59=1,$CF59*'Verwerking Bouwdelen'!DS43,$CF59*'Verwerking Bouwdelen'!AA43)</f>
        <v>0</v>
      </c>
      <c r="CO59" s="208">
        <f>IF($CE59=1,$CF59*'Verwerking Bouwdelen'!DT43,$CF59*'Verwerking Bouwdelen'!AB43)</f>
        <v>0</v>
      </c>
      <c r="CP59" s="208">
        <f>IF($CE59=1,$CF59*'Verwerking Bouwdelen'!DU43,$CF59*'Verwerking Bouwdelen'!AC43)</f>
        <v>0</v>
      </c>
      <c r="CQ59" s="208">
        <f>IF($CE59=1,$CF59*'Verwerking Bouwdelen'!DV43,$CF59*'Verwerking Bouwdelen'!AD43)</f>
        <v>0</v>
      </c>
      <c r="CR59" s="208">
        <f>IF($CE59=1,$CF59*'Verwerking Bouwdelen'!DW43,$CF59*'Verwerking Bouwdelen'!AE43)</f>
        <v>0</v>
      </c>
      <c r="CS59" s="10">
        <f>IF(CG59=$B59,0,('Verwerking Bouwdelen'!$D43-'Verwerking Bouwdelen'!G43)*CE59*CF59)</f>
        <v>0</v>
      </c>
      <c r="CT59" s="261">
        <f>CE59*CF59*'Verwerking Bouwdelen'!$GH$3</f>
        <v>0</v>
      </c>
      <c r="CU59" s="261">
        <f>CE59*CF59*'Verwerking Bouwdelen'!GI43</f>
        <v>0</v>
      </c>
      <c r="CW59" s="209">
        <f>$AC59*'Verwerking Bouwdelen'!EE43</f>
        <v>0</v>
      </c>
      <c r="CX59" s="209">
        <f>$AC59*'Verwerking Bouwdelen'!EF43</f>
        <v>0</v>
      </c>
      <c r="CY59" s="209">
        <f>$AC59*'Verwerking Bouwdelen'!EG43</f>
        <v>0</v>
      </c>
      <c r="CZ59" s="209">
        <f>$AC59*'Verwerking Bouwdelen'!EH43</f>
        <v>0</v>
      </c>
      <c r="DA59" s="209">
        <f>$AC59*'Verwerking Bouwdelen'!EI43</f>
        <v>0</v>
      </c>
      <c r="DB59" s="209">
        <f>$AC59*'Verwerking Bouwdelen'!EJ43</f>
        <v>0</v>
      </c>
      <c r="DC59" s="209">
        <f>$AC59*'Verwerking Bouwdelen'!EK43</f>
        <v>0</v>
      </c>
      <c r="DD59" s="209">
        <f>$AC59*'Verwerking Bouwdelen'!EL43</f>
        <v>0</v>
      </c>
      <c r="DE59" s="209">
        <f>$AC59*'Verwerking Bouwdelen'!EM43</f>
        <v>0</v>
      </c>
      <c r="DF59" s="209">
        <f>$AC59*'Verwerking Bouwdelen'!EN43</f>
        <v>0</v>
      </c>
      <c r="DG59" s="209">
        <f>$AC59*'Verwerking Bouwdelen'!EO43</f>
        <v>0</v>
      </c>
      <c r="DH59" s="209">
        <f>$AC59*'Verwerking Bouwdelen'!EP43</f>
        <v>0</v>
      </c>
      <c r="DI59" s="10">
        <f>IF(CW59=$O59,0,'Verwerking Bouwdelen'!G43)</f>
        <v>0</v>
      </c>
      <c r="DJ59" s="259">
        <f>'Verwerking Bouwdelen'!GK43*CF59</f>
        <v>0</v>
      </c>
      <c r="DK59" s="259">
        <f>'Verwerking Bouwdelen'!GL43*CF59</f>
        <v>0</v>
      </c>
      <c r="DL59" s="125"/>
      <c r="GM59" s="89">
        <f t="shared" si="13"/>
        <v>0</v>
      </c>
      <c r="GN59" s="89">
        <f t="shared" si="14"/>
        <v>0</v>
      </c>
      <c r="GO59" s="208">
        <f>IF($GN59=1,$GN59*$GM59*'Verwerking Bouwdelen'!DL43,$GN59*$GM59*'Verwerking Bouwdelen'!T43)</f>
        <v>0</v>
      </c>
      <c r="GP59" s="208">
        <f>IF($GN59=1,$GN59*$GM59*'Verwerking Bouwdelen'!DM43,$GN59*$GM59*'Verwerking Bouwdelen'!U43)</f>
        <v>0</v>
      </c>
      <c r="GQ59" s="208">
        <f>IF($GN59=1,$GN59*$GM59*'Verwerking Bouwdelen'!DN43,$GN59*$GM59*'Verwerking Bouwdelen'!V43)</f>
        <v>0</v>
      </c>
      <c r="GR59" s="208">
        <f>IF($GN59=1,$GN59*$GM59*'Verwerking Bouwdelen'!DO43,$GN59*$GM59*'Verwerking Bouwdelen'!W43)</f>
        <v>0</v>
      </c>
      <c r="GS59" s="208">
        <f>IF($GN59=1,$GN59*$GM59*'Verwerking Bouwdelen'!DP43,$GN59*$GM59*'Verwerking Bouwdelen'!X43)</f>
        <v>0</v>
      </c>
      <c r="GT59" s="208">
        <f>IF($GN59=1,$GN59*$GM59*'Verwerking Bouwdelen'!DQ43,$GN59*$GM59*'Verwerking Bouwdelen'!Y43)</f>
        <v>0</v>
      </c>
      <c r="GU59" s="208">
        <f>IF($GN59=1,$GN59*$GM59*'Verwerking Bouwdelen'!DR43,$GN59*$GM59*'Verwerking Bouwdelen'!Z43)</f>
        <v>0</v>
      </c>
      <c r="GV59" s="208">
        <f>IF($GN59=1,$GN59*$GM59*'Verwerking Bouwdelen'!DS43,$GN59*$GM59*'Verwerking Bouwdelen'!AA43)</f>
        <v>0</v>
      </c>
      <c r="GW59" s="208">
        <f>IF($GN59=1,$GN59*$GM59*'Verwerking Bouwdelen'!DT43,$GN59*$GM59*'Verwerking Bouwdelen'!AB43)</f>
        <v>0</v>
      </c>
      <c r="GX59" s="208">
        <f>IF($GN59=1,$GN59*$GM59*'Verwerking Bouwdelen'!DU43,$GN59*$GM59*'Verwerking Bouwdelen'!AC43)</f>
        <v>0</v>
      </c>
      <c r="GY59" s="208">
        <f>IF($GN59=1,$GN59*$GM59*'Verwerking Bouwdelen'!DV43,$GN59*$GM59*'Verwerking Bouwdelen'!AD43)</f>
        <v>0</v>
      </c>
      <c r="GZ59" s="208">
        <f>IF($GN59=1,$GN59*$GM59*'Verwerking Bouwdelen'!DW43,$GN59*$GM59*'Verwerking Bouwdelen'!AE43)</f>
        <v>0</v>
      </c>
      <c r="HB59" s="89">
        <f t="shared" si="16"/>
        <v>0</v>
      </c>
      <c r="HC59" s="89">
        <f t="shared" si="17"/>
        <v>0</v>
      </c>
      <c r="HD59" s="89">
        <f t="shared" si="18"/>
        <v>0</v>
      </c>
      <c r="HE59" s="89">
        <f t="shared" si="19"/>
        <v>0</v>
      </c>
      <c r="HF59" s="89">
        <f t="shared" si="19"/>
        <v>0</v>
      </c>
      <c r="HG59" s="89">
        <f t="shared" si="19"/>
        <v>0</v>
      </c>
      <c r="HH59" s="89">
        <f t="shared" si="19"/>
        <v>0</v>
      </c>
      <c r="HI59" s="89">
        <f t="shared" si="19"/>
        <v>0</v>
      </c>
      <c r="HJ59" s="89">
        <f t="shared" si="19"/>
        <v>0</v>
      </c>
      <c r="HK59" s="89">
        <f t="shared" si="19"/>
        <v>0</v>
      </c>
      <c r="HL59" s="89">
        <f t="shared" si="19"/>
        <v>0</v>
      </c>
      <c r="HM59" s="89">
        <f t="shared" si="19"/>
        <v>0</v>
      </c>
    </row>
    <row r="60" spans="1:221" x14ac:dyDescent="0.2">
      <c r="A60" s="130">
        <f>IF('Verwerking Bouwdelen'!A44=5,1,0)</f>
        <v>0</v>
      </c>
      <c r="B60" s="208">
        <f>$A60*'Verwerking Bouwdelen'!T44</f>
        <v>0</v>
      </c>
      <c r="C60" s="208">
        <f>$A60*'Verwerking Bouwdelen'!U44</f>
        <v>0</v>
      </c>
      <c r="D60" s="208">
        <f>$A60*'Verwerking Bouwdelen'!V44</f>
        <v>0</v>
      </c>
      <c r="E60" s="208">
        <f>$A60*'Verwerking Bouwdelen'!W44</f>
        <v>0</v>
      </c>
      <c r="F60" s="208">
        <f>$A60*'Verwerking Bouwdelen'!X44</f>
        <v>0</v>
      </c>
      <c r="G60" s="208">
        <f>$A60*'Verwerking Bouwdelen'!Y44</f>
        <v>0</v>
      </c>
      <c r="H60" s="208">
        <f>$A60*'Verwerking Bouwdelen'!Z44</f>
        <v>0</v>
      </c>
      <c r="I60" s="208">
        <f>$A60*'Verwerking Bouwdelen'!AA44</f>
        <v>0</v>
      </c>
      <c r="J60" s="208">
        <f>$A60*'Verwerking Bouwdelen'!AB44</f>
        <v>0</v>
      </c>
      <c r="K60" s="208">
        <f>$A60*'Verwerking Bouwdelen'!AC44</f>
        <v>0</v>
      </c>
      <c r="L60" s="208">
        <f>$A60*'Verwerking Bouwdelen'!AD44</f>
        <v>0</v>
      </c>
      <c r="M60" s="208">
        <f>$A60*'Verwerking Bouwdelen'!AE44</f>
        <v>0</v>
      </c>
      <c r="O60" s="212">
        <f>$A60*'Verwerking Bouwdelen'!AU44</f>
        <v>0</v>
      </c>
      <c r="P60" s="213">
        <f>$A60*'Verwerking Bouwdelen'!AV44</f>
        <v>0</v>
      </c>
      <c r="Q60" s="213">
        <f>$A60*'Verwerking Bouwdelen'!AW44</f>
        <v>0</v>
      </c>
      <c r="R60" s="213">
        <f>$A60*'Verwerking Bouwdelen'!AX44</f>
        <v>0</v>
      </c>
      <c r="S60" s="213">
        <f>$A60*'Verwerking Bouwdelen'!AY44</f>
        <v>0</v>
      </c>
      <c r="T60" s="213">
        <f>$A60*'Verwerking Bouwdelen'!AZ44</f>
        <v>0</v>
      </c>
      <c r="U60" s="213">
        <f>$A60*'Verwerking Bouwdelen'!BA44</f>
        <v>0</v>
      </c>
      <c r="V60" s="213">
        <f>$A60*'Verwerking Bouwdelen'!BB44</f>
        <v>0</v>
      </c>
      <c r="W60" s="213">
        <f>$A60*'Verwerking Bouwdelen'!BC44</f>
        <v>0</v>
      </c>
      <c r="X60" s="213">
        <f>$A60*'Verwerking Bouwdelen'!BD44</f>
        <v>0</v>
      </c>
      <c r="Y60" s="213">
        <f>$A60*'Verwerking Bouwdelen'!BE44</f>
        <v>0</v>
      </c>
      <c r="Z60" s="214">
        <f>$A60*'Verwerking Bouwdelen'!BF44</f>
        <v>0</v>
      </c>
      <c r="AB60" s="125">
        <f>IF(OR('Verwerking Bouwdelen'!C44=3,'Verwerking Bouwdelen'!C44=6),1,0)</f>
        <v>0</v>
      </c>
      <c r="AC60" s="130">
        <f>IF('Verwerking Bouwdelen'!A44=5,1,0)</f>
        <v>0</v>
      </c>
      <c r="AD60" s="208">
        <f>IF($AB60=1,$AC60*'Verwerking Bouwdelen'!DL44,$AC60*'Verwerking Bouwdelen'!T44)</f>
        <v>0</v>
      </c>
      <c r="AE60" s="208">
        <f>IF($AB60=1,$AC60*'Verwerking Bouwdelen'!DM44,$AC60*'Verwerking Bouwdelen'!U44)</f>
        <v>0</v>
      </c>
      <c r="AF60" s="208">
        <f>IF($AB60=1,$AC60*'Verwerking Bouwdelen'!DN44,$AC60*'Verwerking Bouwdelen'!V44)</f>
        <v>0</v>
      </c>
      <c r="AG60" s="208">
        <f>IF($AB60=1,$AC60*'Verwerking Bouwdelen'!DO44,$AC60*'Verwerking Bouwdelen'!W44)</f>
        <v>0</v>
      </c>
      <c r="AH60" s="208">
        <f>IF($AB60=1,$AC60*'Verwerking Bouwdelen'!DP44,$AC60*'Verwerking Bouwdelen'!X44)</f>
        <v>0</v>
      </c>
      <c r="AI60" s="208">
        <f>IF($AB60=1,$AC60*'Verwerking Bouwdelen'!DQ44,$AC60*'Verwerking Bouwdelen'!Y44)</f>
        <v>0</v>
      </c>
      <c r="AJ60" s="208">
        <f>IF($AB60=1,$AC60*'Verwerking Bouwdelen'!DR44,$AC60*'Verwerking Bouwdelen'!Z44)</f>
        <v>0</v>
      </c>
      <c r="AK60" s="208">
        <f>IF($AB60=1,$AC60*'Verwerking Bouwdelen'!DS44,$AC60*'Verwerking Bouwdelen'!AA44)</f>
        <v>0</v>
      </c>
      <c r="AL60" s="208">
        <f>IF($AB60=1,$AC60*'Verwerking Bouwdelen'!DT44,$AC60*'Verwerking Bouwdelen'!AB44)</f>
        <v>0</v>
      </c>
      <c r="AM60" s="208">
        <f>IF($AB60=1,$AC60*'Verwerking Bouwdelen'!DU44,$AC60*'Verwerking Bouwdelen'!AC44)</f>
        <v>0</v>
      </c>
      <c r="AN60" s="208">
        <f>IF($AB60=1,$AC60*'Verwerking Bouwdelen'!DV44,$AC60*'Verwerking Bouwdelen'!AD44)</f>
        <v>0</v>
      </c>
      <c r="AO60" s="208">
        <f>IF($AB60=1,$AC60*'Verwerking Bouwdelen'!DW44,$AC60*'Verwerking Bouwdelen'!AE44)</f>
        <v>0</v>
      </c>
      <c r="AP60" s="10">
        <f>IF(AD60=B60,0,'Verwerking Bouwdelen'!D44*AB60*AC60)</f>
        <v>0</v>
      </c>
      <c r="AQ60" s="10">
        <f>AB60*AC60*'Verwerking Bouwdelen'!GH44</f>
        <v>0</v>
      </c>
      <c r="AR60" s="10"/>
      <c r="AS60" s="248"/>
      <c r="AT60" s="125">
        <f>IF('Verwerking Bouwdelen'!C44=4,1,0)</f>
        <v>0</v>
      </c>
      <c r="AU60" s="130">
        <f>IF('Verwerking Bouwdelen'!A44=5,1,0)</f>
        <v>0</v>
      </c>
      <c r="AV60" s="208">
        <f>IF($AT60=1,$AU60*'Verwerking Bouwdelen'!DL44,$AU60*'Verwerking Bouwdelen'!T44)</f>
        <v>0</v>
      </c>
      <c r="AW60" s="208">
        <f>IF($AT60=1,$AU60*'Verwerking Bouwdelen'!DM44,$AU60*'Verwerking Bouwdelen'!U44)</f>
        <v>0</v>
      </c>
      <c r="AX60" s="208">
        <f>IF($AT60=1,$AU60*'Verwerking Bouwdelen'!DN44,$AU60*'Verwerking Bouwdelen'!V44)</f>
        <v>0</v>
      </c>
      <c r="AY60" s="208">
        <f>IF($AT60=1,$AU60*'Verwerking Bouwdelen'!DO44,$AU60*'Verwerking Bouwdelen'!W44)</f>
        <v>0</v>
      </c>
      <c r="AZ60" s="208">
        <f>IF($AT60=1,$AU60*'Verwerking Bouwdelen'!DP44,$AU60*'Verwerking Bouwdelen'!X44)</f>
        <v>0</v>
      </c>
      <c r="BA60" s="208">
        <f>IF($AT60=1,$AU60*'Verwerking Bouwdelen'!DQ44,$AU60*'Verwerking Bouwdelen'!Y44)</f>
        <v>0</v>
      </c>
      <c r="BB60" s="208">
        <f>IF($AT60=1,$AU60*'Verwerking Bouwdelen'!DR44,$AU60*'Verwerking Bouwdelen'!Z44)</f>
        <v>0</v>
      </c>
      <c r="BC60" s="208">
        <f>IF($AT60=1,$AU60*'Verwerking Bouwdelen'!DS44,$AU60*'Verwerking Bouwdelen'!AA44)</f>
        <v>0</v>
      </c>
      <c r="BD60" s="208">
        <f>IF($AT60=1,$AU60*'Verwerking Bouwdelen'!DT44,$AU60*'Verwerking Bouwdelen'!AB44)</f>
        <v>0</v>
      </c>
      <c r="BE60" s="208">
        <f>IF($AT60=1,$AU60*'Verwerking Bouwdelen'!DU44,$AU60*'Verwerking Bouwdelen'!AC44)</f>
        <v>0</v>
      </c>
      <c r="BF60" s="208">
        <f>IF($AT60=1,$AU60*'Verwerking Bouwdelen'!DV44,$AU60*'Verwerking Bouwdelen'!AD44)</f>
        <v>0</v>
      </c>
      <c r="BG60" s="208">
        <f>IF($AT60=1,$AU60*'Verwerking Bouwdelen'!DW44,$AU60*'Verwerking Bouwdelen'!AE44)</f>
        <v>0</v>
      </c>
      <c r="BH60" s="10">
        <f>IF(AV60=B60,0,'Verwerking Bouwdelen'!D44*AT60*AU60)</f>
        <v>0</v>
      </c>
      <c r="BI60" s="10">
        <f>AT60*AU60*'Verwerking Bouwdelen'!GH44</f>
        <v>0</v>
      </c>
      <c r="BJ60" s="10"/>
      <c r="BK60" s="10"/>
      <c r="BM60" s="125">
        <f>IF('Verwerking Bouwdelen'!C44=5,1,0)</f>
        <v>0</v>
      </c>
      <c r="BN60" s="130">
        <f>IF('Verwerking Bouwdelen'!A44=5,1,0)</f>
        <v>0</v>
      </c>
      <c r="BO60" s="208">
        <f>IF($BM60=1,$BN60*'Verwerking Bouwdelen'!DL44,$BN60*'Verwerking Bouwdelen'!T44)</f>
        <v>0</v>
      </c>
      <c r="BP60" s="208">
        <f>IF($BM60=1,$BN60*'Verwerking Bouwdelen'!DM44,$BN60*'Verwerking Bouwdelen'!U44)</f>
        <v>0</v>
      </c>
      <c r="BQ60" s="208">
        <f>IF($BM60=1,$BN60*'Verwerking Bouwdelen'!DN44,$BN60*'Verwerking Bouwdelen'!V44)</f>
        <v>0</v>
      </c>
      <c r="BR60" s="208">
        <f>IF($BM60=1,$BN60*'Verwerking Bouwdelen'!DO44,$BN60*'Verwerking Bouwdelen'!W44)</f>
        <v>0</v>
      </c>
      <c r="BS60" s="208">
        <f>IF($BM60=1,$BN60*'Verwerking Bouwdelen'!DP44,$BN60*'Verwerking Bouwdelen'!X44)</f>
        <v>0</v>
      </c>
      <c r="BT60" s="208">
        <f>IF($BM60=1,$BN60*'Verwerking Bouwdelen'!DQ44,$BN60*'Verwerking Bouwdelen'!Y44)</f>
        <v>0</v>
      </c>
      <c r="BU60" s="208">
        <f>IF($BM60=1,$BN60*'Verwerking Bouwdelen'!DR44,$BN60*'Verwerking Bouwdelen'!Z44)</f>
        <v>0</v>
      </c>
      <c r="BV60" s="208">
        <f>IF($BM60=1,$BN60*'Verwerking Bouwdelen'!DS44,$BN60*'Verwerking Bouwdelen'!AA44)</f>
        <v>0</v>
      </c>
      <c r="BW60" s="208">
        <f>IF($BM60=1,$BN60*'Verwerking Bouwdelen'!DT44,$BN60*'Verwerking Bouwdelen'!AB44)</f>
        <v>0</v>
      </c>
      <c r="BX60" s="208">
        <f>IF($BM60=1,$BN60*'Verwerking Bouwdelen'!DU44,$BN60*'Verwerking Bouwdelen'!AC44)</f>
        <v>0</v>
      </c>
      <c r="BY60" s="208">
        <f>IF($BM60=1,$BN60*'Verwerking Bouwdelen'!DV44,$BN60*'Verwerking Bouwdelen'!AD44)</f>
        <v>0</v>
      </c>
      <c r="BZ60" s="208">
        <f>IF($BM60=1,$BN60*'Verwerking Bouwdelen'!DW44,$BN60*'Verwerking Bouwdelen'!AE44)</f>
        <v>0</v>
      </c>
      <c r="CA60" s="10">
        <f>IF(BO60=$B60,0,'Verwerking Bouwdelen'!$D44*BM60*BN60)</f>
        <v>0</v>
      </c>
      <c r="CB60" s="10">
        <f>BM60*BN60*'Verwerking Bouwdelen'!GH44</f>
        <v>0</v>
      </c>
      <c r="CC60" s="10"/>
      <c r="CD60" s="248"/>
      <c r="CE60" s="125">
        <f>IF('Verwerking Bouwdelen'!C44=2,1,0)</f>
        <v>0</v>
      </c>
      <c r="CF60" s="130">
        <f>IF('Verwerking Bouwdelen'!A44=5,1,0)</f>
        <v>0</v>
      </c>
      <c r="CG60" s="208">
        <f>IF($CE60=1,$CF60*'Verwerking Bouwdelen'!DL44,$CF60*'Verwerking Bouwdelen'!T44)</f>
        <v>0</v>
      </c>
      <c r="CH60" s="208">
        <f>IF($CE60=1,$CF60*'Verwerking Bouwdelen'!DM44,$CF60*'Verwerking Bouwdelen'!U44)</f>
        <v>0</v>
      </c>
      <c r="CI60" s="208">
        <f>IF($CE60=1,$CF60*'Verwerking Bouwdelen'!DN44,$CF60*'Verwerking Bouwdelen'!V44)</f>
        <v>0</v>
      </c>
      <c r="CJ60" s="208">
        <f>IF($CE60=1,$CF60*'Verwerking Bouwdelen'!DO44,$CF60*'Verwerking Bouwdelen'!W44)</f>
        <v>0</v>
      </c>
      <c r="CK60" s="208">
        <f>IF($CE60=1,$CF60*'Verwerking Bouwdelen'!DP44,$CF60*'Verwerking Bouwdelen'!X44)</f>
        <v>0</v>
      </c>
      <c r="CL60" s="208">
        <f>IF($CE60=1,$CF60*'Verwerking Bouwdelen'!DQ44,$CF60*'Verwerking Bouwdelen'!Y44)</f>
        <v>0</v>
      </c>
      <c r="CM60" s="208">
        <f>IF($CE60=1,$CF60*'Verwerking Bouwdelen'!DR44,$CF60*'Verwerking Bouwdelen'!Z44)</f>
        <v>0</v>
      </c>
      <c r="CN60" s="208">
        <f>IF($CE60=1,$CF60*'Verwerking Bouwdelen'!DS44,$CF60*'Verwerking Bouwdelen'!AA44)</f>
        <v>0</v>
      </c>
      <c r="CO60" s="208">
        <f>IF($CE60=1,$CF60*'Verwerking Bouwdelen'!DT44,$CF60*'Verwerking Bouwdelen'!AB44)</f>
        <v>0</v>
      </c>
      <c r="CP60" s="208">
        <f>IF($CE60=1,$CF60*'Verwerking Bouwdelen'!DU44,$CF60*'Verwerking Bouwdelen'!AC44)</f>
        <v>0</v>
      </c>
      <c r="CQ60" s="208">
        <f>IF($CE60=1,$CF60*'Verwerking Bouwdelen'!DV44,$CF60*'Verwerking Bouwdelen'!AD44)</f>
        <v>0</v>
      </c>
      <c r="CR60" s="208">
        <f>IF($CE60=1,$CF60*'Verwerking Bouwdelen'!DW44,$CF60*'Verwerking Bouwdelen'!AE44)</f>
        <v>0</v>
      </c>
      <c r="CS60" s="10">
        <f>IF(CG60=$B60,0,('Verwerking Bouwdelen'!$D44-'Verwerking Bouwdelen'!G44)*CE60*CF60)</f>
        <v>0</v>
      </c>
      <c r="CT60" s="262">
        <f>CE60*CF60*'Verwerking Bouwdelen'!$GH$3</f>
        <v>0</v>
      </c>
      <c r="CU60" s="262">
        <f>CE60*CF60*'Verwerking Bouwdelen'!GI44</f>
        <v>0</v>
      </c>
      <c r="CW60" s="209">
        <f>$AC60*'Verwerking Bouwdelen'!EE44</f>
        <v>0</v>
      </c>
      <c r="CX60" s="209">
        <f>$AC60*'Verwerking Bouwdelen'!EF44</f>
        <v>0</v>
      </c>
      <c r="CY60" s="209">
        <f>$AC60*'Verwerking Bouwdelen'!EG44</f>
        <v>0</v>
      </c>
      <c r="CZ60" s="209">
        <f>$AC60*'Verwerking Bouwdelen'!EH44</f>
        <v>0</v>
      </c>
      <c r="DA60" s="209">
        <f>$AC60*'Verwerking Bouwdelen'!EI44</f>
        <v>0</v>
      </c>
      <c r="DB60" s="209">
        <f>$AC60*'Verwerking Bouwdelen'!EJ44</f>
        <v>0</v>
      </c>
      <c r="DC60" s="209">
        <f>$AC60*'Verwerking Bouwdelen'!EK44</f>
        <v>0</v>
      </c>
      <c r="DD60" s="209">
        <f>$AC60*'Verwerking Bouwdelen'!EL44</f>
        <v>0</v>
      </c>
      <c r="DE60" s="209">
        <f>$AC60*'Verwerking Bouwdelen'!EM44</f>
        <v>0</v>
      </c>
      <c r="DF60" s="209">
        <f>$AC60*'Verwerking Bouwdelen'!EN44</f>
        <v>0</v>
      </c>
      <c r="DG60" s="209">
        <f>$AC60*'Verwerking Bouwdelen'!EO44</f>
        <v>0</v>
      </c>
      <c r="DH60" s="209">
        <f>$AC60*'Verwerking Bouwdelen'!EP44</f>
        <v>0</v>
      </c>
      <c r="DI60" s="10">
        <f>IF(CW60=$O60,0,'Verwerking Bouwdelen'!G44)</f>
        <v>0</v>
      </c>
      <c r="DJ60" s="259">
        <f>'Verwerking Bouwdelen'!GK44*CF60</f>
        <v>0</v>
      </c>
      <c r="DK60" s="259">
        <f>'Verwerking Bouwdelen'!GL44*CF60</f>
        <v>0</v>
      </c>
      <c r="DL60" s="125"/>
      <c r="GM60" s="89">
        <f t="shared" si="13"/>
        <v>0</v>
      </c>
      <c r="GN60" s="89">
        <f t="shared" si="14"/>
        <v>0</v>
      </c>
      <c r="GO60" s="208">
        <f>IF($GN60=1,$GN60*$GM60*'Verwerking Bouwdelen'!DL44,$GN60*$GM60*'Verwerking Bouwdelen'!T44)</f>
        <v>0</v>
      </c>
      <c r="GP60" s="208">
        <f>IF($GN60=1,$GN60*$GM60*'Verwerking Bouwdelen'!DM44,$GN60*$GM60*'Verwerking Bouwdelen'!U44)</f>
        <v>0</v>
      </c>
      <c r="GQ60" s="208">
        <f>IF($GN60=1,$GN60*$GM60*'Verwerking Bouwdelen'!DN44,$GN60*$GM60*'Verwerking Bouwdelen'!V44)</f>
        <v>0</v>
      </c>
      <c r="GR60" s="208">
        <f>IF($GN60=1,$GN60*$GM60*'Verwerking Bouwdelen'!DO44,$GN60*$GM60*'Verwerking Bouwdelen'!W44)</f>
        <v>0</v>
      </c>
      <c r="GS60" s="208">
        <f>IF($GN60=1,$GN60*$GM60*'Verwerking Bouwdelen'!DP44,$GN60*$GM60*'Verwerking Bouwdelen'!X44)</f>
        <v>0</v>
      </c>
      <c r="GT60" s="208">
        <f>IF($GN60=1,$GN60*$GM60*'Verwerking Bouwdelen'!DQ44,$GN60*$GM60*'Verwerking Bouwdelen'!Y44)</f>
        <v>0</v>
      </c>
      <c r="GU60" s="208">
        <f>IF($GN60=1,$GN60*$GM60*'Verwerking Bouwdelen'!DR44,$GN60*$GM60*'Verwerking Bouwdelen'!Z44)</f>
        <v>0</v>
      </c>
      <c r="GV60" s="208">
        <f>IF($GN60=1,$GN60*$GM60*'Verwerking Bouwdelen'!DS44,$GN60*$GM60*'Verwerking Bouwdelen'!AA44)</f>
        <v>0</v>
      </c>
      <c r="GW60" s="208">
        <f>IF($GN60=1,$GN60*$GM60*'Verwerking Bouwdelen'!DT44,$GN60*$GM60*'Verwerking Bouwdelen'!AB44)</f>
        <v>0</v>
      </c>
      <c r="GX60" s="208">
        <f>IF($GN60=1,$GN60*$GM60*'Verwerking Bouwdelen'!DU44,$GN60*$GM60*'Verwerking Bouwdelen'!AC44)</f>
        <v>0</v>
      </c>
      <c r="GY60" s="208">
        <f>IF($GN60=1,$GN60*$GM60*'Verwerking Bouwdelen'!DV44,$GN60*$GM60*'Verwerking Bouwdelen'!AD44)</f>
        <v>0</v>
      </c>
      <c r="GZ60" s="208">
        <f>IF($GN60=1,$GN60*$GM60*'Verwerking Bouwdelen'!DW44,$GN60*$GM60*'Verwerking Bouwdelen'!AE44)</f>
        <v>0</v>
      </c>
      <c r="HB60" s="89">
        <f t="shared" si="16"/>
        <v>0</v>
      </c>
      <c r="HC60" s="89">
        <f t="shared" si="17"/>
        <v>0</v>
      </c>
      <c r="HD60" s="89">
        <f t="shared" si="18"/>
        <v>0</v>
      </c>
      <c r="HE60" s="89">
        <f t="shared" ref="HE60:HM61" si="20">CZ60</f>
        <v>0</v>
      </c>
      <c r="HF60" s="89">
        <f t="shared" si="20"/>
        <v>0</v>
      </c>
      <c r="HG60" s="89">
        <f t="shared" si="20"/>
        <v>0</v>
      </c>
      <c r="HH60" s="89">
        <f t="shared" si="20"/>
        <v>0</v>
      </c>
      <c r="HI60" s="89">
        <f t="shared" si="20"/>
        <v>0</v>
      </c>
      <c r="HJ60" s="89">
        <f t="shared" si="20"/>
        <v>0</v>
      </c>
      <c r="HK60" s="89">
        <f t="shared" si="20"/>
        <v>0</v>
      </c>
      <c r="HL60" s="89">
        <f t="shared" si="20"/>
        <v>0</v>
      </c>
      <c r="HM60" s="89">
        <f t="shared" si="20"/>
        <v>0</v>
      </c>
    </row>
    <row r="61" spans="1:221" x14ac:dyDescent="0.2">
      <c r="B61" s="207">
        <f t="shared" ref="B61:M61" si="21">SUM(B19:B60)</f>
        <v>0</v>
      </c>
      <c r="C61" s="207">
        <f t="shared" si="21"/>
        <v>0</v>
      </c>
      <c r="D61" s="207">
        <f t="shared" si="21"/>
        <v>0</v>
      </c>
      <c r="E61" s="207">
        <f t="shared" si="21"/>
        <v>0</v>
      </c>
      <c r="F61" s="207">
        <f t="shared" si="21"/>
        <v>0</v>
      </c>
      <c r="G61" s="207">
        <f t="shared" si="21"/>
        <v>0</v>
      </c>
      <c r="H61" s="207">
        <f t="shared" si="21"/>
        <v>0</v>
      </c>
      <c r="I61" s="207">
        <f t="shared" si="21"/>
        <v>0</v>
      </c>
      <c r="J61" s="207">
        <f t="shared" si="21"/>
        <v>0</v>
      </c>
      <c r="K61" s="207">
        <f t="shared" si="21"/>
        <v>0</v>
      </c>
      <c r="L61" s="207">
        <f t="shared" si="21"/>
        <v>0</v>
      </c>
      <c r="M61" s="207">
        <f t="shared" si="21"/>
        <v>0</v>
      </c>
      <c r="O61" s="215">
        <f t="shared" ref="O61:Z61" si="22">SUM(O19:O60)</f>
        <v>0</v>
      </c>
      <c r="P61" s="216">
        <f t="shared" si="22"/>
        <v>0</v>
      </c>
      <c r="Q61" s="216">
        <f t="shared" si="22"/>
        <v>0</v>
      </c>
      <c r="R61" s="216">
        <f t="shared" si="22"/>
        <v>0</v>
      </c>
      <c r="S61" s="217">
        <f t="shared" si="22"/>
        <v>0</v>
      </c>
      <c r="T61" s="217">
        <f t="shared" si="22"/>
        <v>0</v>
      </c>
      <c r="U61" s="217">
        <f t="shared" si="22"/>
        <v>0</v>
      </c>
      <c r="V61" s="217">
        <f t="shared" si="22"/>
        <v>0</v>
      </c>
      <c r="W61" s="217">
        <f t="shared" si="22"/>
        <v>0</v>
      </c>
      <c r="X61" s="217">
        <f t="shared" si="22"/>
        <v>0</v>
      </c>
      <c r="Y61" s="217">
        <f t="shared" si="22"/>
        <v>0</v>
      </c>
      <c r="Z61" s="218">
        <f t="shared" si="22"/>
        <v>0</v>
      </c>
      <c r="AD61" s="207">
        <f t="shared" ref="AD61:AO61" si="23">SUM(AD19:AD60)</f>
        <v>0</v>
      </c>
      <c r="AE61" s="207">
        <f t="shared" si="23"/>
        <v>0</v>
      </c>
      <c r="AF61" s="207">
        <f t="shared" si="23"/>
        <v>0</v>
      </c>
      <c r="AG61" s="207">
        <f t="shared" si="23"/>
        <v>0</v>
      </c>
      <c r="AH61" s="207">
        <f t="shared" si="23"/>
        <v>0</v>
      </c>
      <c r="AI61" s="207">
        <f t="shared" si="23"/>
        <v>0</v>
      </c>
      <c r="AJ61" s="207">
        <f t="shared" si="23"/>
        <v>0</v>
      </c>
      <c r="AK61" s="207">
        <f t="shared" si="23"/>
        <v>0</v>
      </c>
      <c r="AL61" s="207">
        <f t="shared" si="23"/>
        <v>0</v>
      </c>
      <c r="AM61" s="207">
        <f t="shared" si="23"/>
        <v>0</v>
      </c>
      <c r="AN61" s="207">
        <f t="shared" si="23"/>
        <v>0</v>
      </c>
      <c r="AO61" s="207">
        <f t="shared" si="23"/>
        <v>0</v>
      </c>
      <c r="AP61" s="362">
        <f>SUM(AP19:AP60)</f>
        <v>0</v>
      </c>
      <c r="AQ61" s="25">
        <f>SUM(AQ19:AQ60)</f>
        <v>0</v>
      </c>
      <c r="AR61" s="25">
        <f>0.6*AQ61</f>
        <v>0</v>
      </c>
      <c r="AS61" s="249"/>
      <c r="AV61" s="207">
        <f t="shared" ref="AV61:BG61" si="24">SUM(AV19:AV60)</f>
        <v>0</v>
      </c>
      <c r="AW61" s="207">
        <f t="shared" si="24"/>
        <v>0</v>
      </c>
      <c r="AX61" s="207">
        <f t="shared" si="24"/>
        <v>0</v>
      </c>
      <c r="AY61" s="207">
        <f t="shared" si="24"/>
        <v>0</v>
      </c>
      <c r="AZ61" s="207">
        <f t="shared" si="24"/>
        <v>0</v>
      </c>
      <c r="BA61" s="207">
        <f t="shared" si="24"/>
        <v>0</v>
      </c>
      <c r="BB61" s="207">
        <f t="shared" si="24"/>
        <v>0</v>
      </c>
      <c r="BC61" s="207">
        <f t="shared" si="24"/>
        <v>0</v>
      </c>
      <c r="BD61" s="207">
        <f t="shared" si="24"/>
        <v>0</v>
      </c>
      <c r="BE61" s="207">
        <f t="shared" si="24"/>
        <v>0</v>
      </c>
      <c r="BF61" s="207">
        <f t="shared" si="24"/>
        <v>0</v>
      </c>
      <c r="BG61" s="207">
        <f t="shared" si="24"/>
        <v>0</v>
      </c>
      <c r="BH61" s="362">
        <f>SUM(BH19:BH60)</f>
        <v>0</v>
      </c>
      <c r="BI61" s="25">
        <f>SUM(BI19:BI60)</f>
        <v>0</v>
      </c>
      <c r="BJ61" s="25">
        <f>0.6*BI61</f>
        <v>0</v>
      </c>
      <c r="BK61" s="25"/>
      <c r="BO61" s="207">
        <f t="shared" ref="BO61:BZ61" si="25">SUM(BO19:BO60)</f>
        <v>0</v>
      </c>
      <c r="BP61" s="207">
        <f t="shared" si="25"/>
        <v>0</v>
      </c>
      <c r="BQ61" s="207">
        <f t="shared" si="25"/>
        <v>0</v>
      </c>
      <c r="BR61" s="207">
        <f t="shared" si="25"/>
        <v>0</v>
      </c>
      <c r="BS61" s="207">
        <f t="shared" si="25"/>
        <v>0</v>
      </c>
      <c r="BT61" s="207">
        <f t="shared" si="25"/>
        <v>0</v>
      </c>
      <c r="BU61" s="207">
        <f t="shared" si="25"/>
        <v>0</v>
      </c>
      <c r="BV61" s="207">
        <f t="shared" si="25"/>
        <v>0</v>
      </c>
      <c r="BW61" s="207">
        <f t="shared" si="25"/>
        <v>0</v>
      </c>
      <c r="BX61" s="207">
        <f t="shared" si="25"/>
        <v>0</v>
      </c>
      <c r="BY61" s="207">
        <f t="shared" si="25"/>
        <v>0</v>
      </c>
      <c r="BZ61" s="207">
        <f t="shared" si="25"/>
        <v>0</v>
      </c>
      <c r="CA61" s="362">
        <f>SUM(CA19:CA60)</f>
        <v>0</v>
      </c>
      <c r="CB61" s="25">
        <f>SUM(CB19:CB60)</f>
        <v>0</v>
      </c>
      <c r="CC61" s="25"/>
      <c r="CD61" s="249"/>
      <c r="CG61" s="207">
        <f t="shared" ref="CG61:CR61" si="26">SUM(CG19:CG60)</f>
        <v>0</v>
      </c>
      <c r="CH61" s="207">
        <f t="shared" si="26"/>
        <v>0</v>
      </c>
      <c r="CI61" s="207">
        <f t="shared" si="26"/>
        <v>0</v>
      </c>
      <c r="CJ61" s="207">
        <f t="shared" si="26"/>
        <v>0</v>
      </c>
      <c r="CK61" s="207">
        <f t="shared" si="26"/>
        <v>0</v>
      </c>
      <c r="CL61" s="207">
        <f t="shared" si="26"/>
        <v>0</v>
      </c>
      <c r="CM61" s="207">
        <f t="shared" si="26"/>
        <v>0</v>
      </c>
      <c r="CN61" s="207">
        <f t="shared" si="26"/>
        <v>0</v>
      </c>
      <c r="CO61" s="207">
        <f t="shared" si="26"/>
        <v>0</v>
      </c>
      <c r="CP61" s="207">
        <f t="shared" si="26"/>
        <v>0</v>
      </c>
      <c r="CQ61" s="207">
        <f t="shared" si="26"/>
        <v>0</v>
      </c>
      <c r="CR61" s="207">
        <f t="shared" si="26"/>
        <v>0</v>
      </c>
      <c r="CS61" s="362">
        <f>SUM(CS19:CS60)</f>
        <v>0</v>
      </c>
      <c r="CT61" s="207">
        <f>SUM(CT19:CT60)</f>
        <v>0</v>
      </c>
      <c r="CU61" s="207">
        <f>SUM(CU19:CU60)</f>
        <v>0</v>
      </c>
      <c r="CW61" s="215">
        <f t="shared" ref="CW61:DH61" si="27">SUM(CW19:CW60)</f>
        <v>0</v>
      </c>
      <c r="CX61" s="216">
        <f t="shared" si="27"/>
        <v>0</v>
      </c>
      <c r="CY61" s="216">
        <f t="shared" si="27"/>
        <v>0</v>
      </c>
      <c r="CZ61" s="216">
        <f t="shared" si="27"/>
        <v>0</v>
      </c>
      <c r="DA61" s="217">
        <f t="shared" si="27"/>
        <v>0</v>
      </c>
      <c r="DB61" s="217">
        <f t="shared" si="27"/>
        <v>0</v>
      </c>
      <c r="DC61" s="217">
        <f t="shared" si="27"/>
        <v>0</v>
      </c>
      <c r="DD61" s="217">
        <f t="shared" si="27"/>
        <v>0</v>
      </c>
      <c r="DE61" s="217">
        <f t="shared" si="27"/>
        <v>0</v>
      </c>
      <c r="DF61" s="217">
        <f t="shared" si="27"/>
        <v>0</v>
      </c>
      <c r="DG61" s="217">
        <f t="shared" si="27"/>
        <v>0</v>
      </c>
      <c r="DH61" s="218">
        <f t="shared" si="27"/>
        <v>0</v>
      </c>
      <c r="DI61" s="246">
        <f>SUM(DI19:DI60)</f>
        <v>0</v>
      </c>
      <c r="DJ61" s="258">
        <f>SUM(DJ19:DJ60)</f>
        <v>0</v>
      </c>
      <c r="DK61" s="258">
        <f>SUM(DK19:DK60)</f>
        <v>0</v>
      </c>
      <c r="DL61" s="246"/>
      <c r="GO61" s="89">
        <f t="shared" ref="GO61:GZ61" si="28">SUM(GO19:GO60)</f>
        <v>0</v>
      </c>
      <c r="GP61" s="89">
        <f t="shared" si="28"/>
        <v>0</v>
      </c>
      <c r="GQ61" s="89">
        <f t="shared" si="28"/>
        <v>0</v>
      </c>
      <c r="GR61" s="89">
        <f t="shared" si="28"/>
        <v>0</v>
      </c>
      <c r="GS61" s="89">
        <f t="shared" si="28"/>
        <v>0</v>
      </c>
      <c r="GT61" s="89">
        <f t="shared" si="28"/>
        <v>0</v>
      </c>
      <c r="GU61" s="89">
        <f t="shared" si="28"/>
        <v>0</v>
      </c>
      <c r="GV61" s="89">
        <f t="shared" si="28"/>
        <v>0</v>
      </c>
      <c r="GW61" s="89">
        <f t="shared" si="28"/>
        <v>0</v>
      </c>
      <c r="GX61" s="89">
        <f t="shared" si="28"/>
        <v>0</v>
      </c>
      <c r="GY61" s="89">
        <f t="shared" si="28"/>
        <v>0</v>
      </c>
      <c r="GZ61" s="89">
        <f t="shared" si="28"/>
        <v>0</v>
      </c>
      <c r="HB61" s="89">
        <f t="shared" si="16"/>
        <v>0</v>
      </c>
      <c r="HC61" s="89">
        <f t="shared" si="17"/>
        <v>0</v>
      </c>
      <c r="HD61" s="89">
        <f t="shared" si="18"/>
        <v>0</v>
      </c>
      <c r="HE61" s="89">
        <f t="shared" si="20"/>
        <v>0</v>
      </c>
      <c r="HF61" s="89">
        <f t="shared" si="20"/>
        <v>0</v>
      </c>
      <c r="HG61" s="89">
        <f t="shared" si="20"/>
        <v>0</v>
      </c>
      <c r="HH61" s="89">
        <f t="shared" si="20"/>
        <v>0</v>
      </c>
      <c r="HI61" s="89">
        <f t="shared" si="20"/>
        <v>0</v>
      </c>
      <c r="HJ61" s="89">
        <f t="shared" si="20"/>
        <v>0</v>
      </c>
      <c r="HK61" s="89">
        <f t="shared" si="20"/>
        <v>0</v>
      </c>
      <c r="HL61" s="89">
        <f t="shared" si="20"/>
        <v>0</v>
      </c>
      <c r="HM61" s="89">
        <f t="shared" si="20"/>
        <v>0</v>
      </c>
    </row>
    <row r="63" spans="1:221" x14ac:dyDescent="0.2">
      <c r="A63" s="127" t="s">
        <v>895</v>
      </c>
      <c r="FV63" s="127" t="s">
        <v>895</v>
      </c>
    </row>
    <row r="64" spans="1:221" x14ac:dyDescent="0.2">
      <c r="A64" s="127"/>
      <c r="FV64" s="127"/>
      <c r="FW64" s="89" t="s">
        <v>767</v>
      </c>
      <c r="FX64" s="89" t="s">
        <v>768</v>
      </c>
      <c r="FY64" s="89" t="s">
        <v>769</v>
      </c>
    </row>
    <row r="65" spans="1:207" x14ac:dyDescent="0.2">
      <c r="A65" s="127" t="s">
        <v>508</v>
      </c>
      <c r="B65" s="89">
        <f>'Verwerken verlichting'!T29</f>
        <v>0</v>
      </c>
      <c r="FV65" s="127" t="s">
        <v>508</v>
      </c>
      <c r="FW65" s="89">
        <f>'Verwerken verlichting'!BJ29</f>
        <v>0</v>
      </c>
      <c r="FX65" s="89">
        <f>'Verwerken verlichting'!BA29</f>
        <v>0</v>
      </c>
      <c r="FY65" s="89">
        <f>'Verwerken verlichting'!AR29</f>
        <v>0</v>
      </c>
      <c r="GM65" s="127" t="s">
        <v>508</v>
      </c>
      <c r="GN65" s="89">
        <f>'Verwerken verlichting'!BJ29</f>
        <v>0</v>
      </c>
    </row>
    <row r="66" spans="1:207" x14ac:dyDescent="0.2">
      <c r="A66" s="127" t="s">
        <v>539</v>
      </c>
      <c r="B66" s="89">
        <f>'Verwerken verlichting'!X29</f>
        <v>0</v>
      </c>
      <c r="FV66" s="127" t="s">
        <v>539</v>
      </c>
      <c r="FW66" s="89">
        <f>'Verwerken verlichting'!BN19</f>
        <v>0</v>
      </c>
      <c r="FX66" s="89">
        <f>'Verwerken verlichting'!BE29</f>
        <v>0</v>
      </c>
      <c r="FY66" s="89">
        <f>'Verwerken verlichting'!AV29</f>
        <v>0</v>
      </c>
      <c r="GM66" s="127" t="s">
        <v>539</v>
      </c>
      <c r="GN66" s="89">
        <f>'Verwerken verlichting'!BN29</f>
        <v>0</v>
      </c>
    </row>
    <row r="68" spans="1:207" x14ac:dyDescent="0.2">
      <c r="A68" s="127" t="s">
        <v>898</v>
      </c>
      <c r="FV68" s="127" t="s">
        <v>898</v>
      </c>
      <c r="GM68" s="127" t="s">
        <v>898</v>
      </c>
    </row>
    <row r="70" spans="1:207" x14ac:dyDescent="0.2">
      <c r="B70" s="89" t="s">
        <v>505</v>
      </c>
      <c r="C70" s="89" t="s">
        <v>506</v>
      </c>
      <c r="D70" s="89" t="s">
        <v>507</v>
      </c>
      <c r="E70" s="89" t="s">
        <v>508</v>
      </c>
      <c r="F70" s="89" t="s">
        <v>509</v>
      </c>
      <c r="G70" s="89" t="s">
        <v>527</v>
      </c>
      <c r="FW70" s="89" t="s">
        <v>505</v>
      </c>
      <c r="FX70" s="89" t="s">
        <v>506</v>
      </c>
      <c r="FY70" s="89" t="s">
        <v>507</v>
      </c>
      <c r="FZ70" s="89" t="s">
        <v>508</v>
      </c>
      <c r="GA70" s="89" t="s">
        <v>509</v>
      </c>
      <c r="GB70" s="89" t="s">
        <v>527</v>
      </c>
      <c r="GN70" s="89" t="s">
        <v>505</v>
      </c>
      <c r="GO70" s="89" t="s">
        <v>506</v>
      </c>
      <c r="GP70" s="89" t="s">
        <v>507</v>
      </c>
      <c r="GQ70" s="89" t="s">
        <v>508</v>
      </c>
      <c r="GR70" s="89" t="s">
        <v>509</v>
      </c>
      <c r="GS70" s="89" t="s">
        <v>527</v>
      </c>
    </row>
    <row r="71" spans="1:207" x14ac:dyDescent="0.2">
      <c r="B71" s="89">
        <f>0.3*'Invoer Algemeen'!D19*2.63*'Fitten energieverbruik'!C19</f>
        <v>0</v>
      </c>
      <c r="C71" s="89">
        <f>'Fitten energieverbruik'!C18*2.63*'Invoer Algemeen'!D18</f>
        <v>0</v>
      </c>
      <c r="D71" s="89">
        <f>0.8*0.39*'Verwerken ventilatie'!D62</f>
        <v>0</v>
      </c>
      <c r="E71" s="89">
        <f>'Verwerken verlichting'!X29</f>
        <v>0</v>
      </c>
      <c r="F71" s="89">
        <v>0.8</v>
      </c>
      <c r="G71" s="89">
        <f>F71*(B71+C71+D71+E71)</f>
        <v>0</v>
      </c>
      <c r="FW71" s="89">
        <f>B71</f>
        <v>0</v>
      </c>
      <c r="FX71" s="89">
        <f>C71</f>
        <v>0</v>
      </c>
      <c r="FY71" s="89">
        <f>D71</f>
        <v>0</v>
      </c>
      <c r="FZ71" s="89">
        <f>'Verwerken verlichting'!AV29</f>
        <v>0</v>
      </c>
      <c r="GA71" s="89">
        <v>0.8</v>
      </c>
      <c r="GB71" s="89">
        <f>GA71*(FW71+FX71+FY71+FZ71)</f>
        <v>0</v>
      </c>
      <c r="GN71" s="89">
        <f>FW71</f>
        <v>0</v>
      </c>
      <c r="GO71" s="89">
        <f>FX71</f>
        <v>0</v>
      </c>
      <c r="GP71" s="89">
        <f>0.8*0.39*'Verwerken ventilatie'!AM62</f>
        <v>0</v>
      </c>
      <c r="GQ71" s="89">
        <f>'Verwerken verlichting'!BN29</f>
        <v>0</v>
      </c>
      <c r="GR71" s="89">
        <f>GA71</f>
        <v>0.8</v>
      </c>
      <c r="GS71" s="89">
        <f>GR71*(GN71+GO71+GP71+GQ71)</f>
        <v>0</v>
      </c>
    </row>
    <row r="73" spans="1:207" x14ac:dyDescent="0.2">
      <c r="A73" s="127" t="s">
        <v>899</v>
      </c>
    </row>
    <row r="75" spans="1:207" x14ac:dyDescent="0.2">
      <c r="B75" s="125" t="s">
        <v>452</v>
      </c>
      <c r="C75" s="125" t="s">
        <v>453</v>
      </c>
      <c r="D75" s="125" t="s">
        <v>398</v>
      </c>
      <c r="E75" s="125" t="s">
        <v>399</v>
      </c>
      <c r="F75" s="125" t="s">
        <v>400</v>
      </c>
      <c r="G75" s="125" t="s">
        <v>401</v>
      </c>
      <c r="H75" s="125" t="s">
        <v>402</v>
      </c>
      <c r="I75" s="125" t="s">
        <v>454</v>
      </c>
      <c r="J75" s="125" t="s">
        <v>455</v>
      </c>
      <c r="K75" s="125" t="s">
        <v>456</v>
      </c>
      <c r="L75" s="125" t="s">
        <v>457</v>
      </c>
      <c r="M75" s="125" t="s">
        <v>458</v>
      </c>
      <c r="DO75" s="125" t="s">
        <v>452</v>
      </c>
      <c r="DP75" s="125" t="s">
        <v>453</v>
      </c>
      <c r="DQ75" s="125" t="s">
        <v>398</v>
      </c>
      <c r="DR75" s="125" t="s">
        <v>399</v>
      </c>
      <c r="DS75" s="125" t="s">
        <v>400</v>
      </c>
      <c r="DT75" s="125" t="s">
        <v>401</v>
      </c>
      <c r="DU75" s="125" t="s">
        <v>402</v>
      </c>
      <c r="DV75" s="125" t="s">
        <v>454</v>
      </c>
      <c r="DW75" s="125" t="s">
        <v>455</v>
      </c>
      <c r="DX75" s="125" t="s">
        <v>456</v>
      </c>
      <c r="DY75" s="125" t="s">
        <v>457</v>
      </c>
      <c r="DZ75" s="125" t="s">
        <v>458</v>
      </c>
      <c r="EA75" s="125" t="s">
        <v>754</v>
      </c>
      <c r="EB75" s="125" t="s">
        <v>47</v>
      </c>
      <c r="EC75" s="125" t="s">
        <v>614</v>
      </c>
      <c r="GN75" s="125" t="s">
        <v>452</v>
      </c>
      <c r="GO75" s="125" t="s">
        <v>453</v>
      </c>
      <c r="GP75" s="125" t="s">
        <v>398</v>
      </c>
      <c r="GQ75" s="125" t="s">
        <v>399</v>
      </c>
      <c r="GR75" s="125" t="s">
        <v>400</v>
      </c>
      <c r="GS75" s="125" t="s">
        <v>401</v>
      </c>
      <c r="GT75" s="125" t="s">
        <v>402</v>
      </c>
      <c r="GU75" s="125" t="s">
        <v>454</v>
      </c>
      <c r="GV75" s="125" t="s">
        <v>455</v>
      </c>
      <c r="GW75" s="125" t="s">
        <v>456</v>
      </c>
      <c r="GX75" s="125" t="s">
        <v>457</v>
      </c>
      <c r="GY75" s="125" t="s">
        <v>458</v>
      </c>
    </row>
    <row r="76" spans="1:207" x14ac:dyDescent="0.2">
      <c r="A76" s="89">
        <f>IF('Verwerking Bouwdelen'!A3=5,1,0)</f>
        <v>0</v>
      </c>
      <c r="B76" s="223">
        <f>$A76*'Verwerking Bouwdelen'!CJ3</f>
        <v>0</v>
      </c>
      <c r="C76" s="224">
        <f>$A76*'Verwerking Bouwdelen'!CK3</f>
        <v>0</v>
      </c>
      <c r="D76" s="224">
        <f>$A76*'Verwerking Bouwdelen'!CL3</f>
        <v>0</v>
      </c>
      <c r="E76" s="224">
        <f>$A76*'Verwerking Bouwdelen'!CM3</f>
        <v>0</v>
      </c>
      <c r="F76" s="224">
        <f>$A76*'Verwerking Bouwdelen'!CN3</f>
        <v>0</v>
      </c>
      <c r="G76" s="224">
        <f>$A76*'Verwerking Bouwdelen'!CO3</f>
        <v>0</v>
      </c>
      <c r="H76" s="224">
        <f>$A76*'Verwerking Bouwdelen'!CP3</f>
        <v>0</v>
      </c>
      <c r="I76" s="224">
        <f>$A76*'Verwerking Bouwdelen'!CQ3</f>
        <v>0</v>
      </c>
      <c r="J76" s="224">
        <f>$A76*'Verwerking Bouwdelen'!CR3</f>
        <v>0</v>
      </c>
      <c r="K76" s="224">
        <f>$A76*'Verwerking Bouwdelen'!CS3</f>
        <v>0</v>
      </c>
      <c r="L76" s="224">
        <f>$A76*'Verwerking Bouwdelen'!CT3</f>
        <v>0</v>
      </c>
      <c r="M76" s="225">
        <f>$A76*'Verwerking Bouwdelen'!CU3</f>
        <v>0</v>
      </c>
      <c r="DN76" s="89">
        <f>IF('Verwerking Bouwdelen'!A3=5,1,0)</f>
        <v>0</v>
      </c>
      <c r="DO76" s="223">
        <f>$DN76*'Verwerking Bouwdelen'!FT3</f>
        <v>0</v>
      </c>
      <c r="DP76" s="223">
        <f>$DN76*'Verwerking Bouwdelen'!FU3</f>
        <v>0</v>
      </c>
      <c r="DQ76" s="223">
        <f>$DN76*'Verwerking Bouwdelen'!FV3</f>
        <v>0</v>
      </c>
      <c r="DR76" s="223">
        <f>$DN76*'Verwerking Bouwdelen'!FW3</f>
        <v>0</v>
      </c>
      <c r="DS76" s="223">
        <f>$DN76*'Verwerking Bouwdelen'!FX3</f>
        <v>0</v>
      </c>
      <c r="DT76" s="223">
        <f>$DN76*'Verwerking Bouwdelen'!FY3</f>
        <v>0</v>
      </c>
      <c r="DU76" s="223">
        <f>$DN76*'Verwerking Bouwdelen'!FZ3</f>
        <v>0</v>
      </c>
      <c r="DV76" s="223">
        <f>$DN76*'Verwerking Bouwdelen'!GA3</f>
        <v>0</v>
      </c>
      <c r="DW76" s="223">
        <f>$DN76*'Verwerking Bouwdelen'!GB3</f>
        <v>0</v>
      </c>
      <c r="DX76" s="223">
        <f>$DN76*'Verwerking Bouwdelen'!GC3</f>
        <v>0</v>
      </c>
      <c r="DY76" s="223">
        <f>$DN76*'Verwerking Bouwdelen'!GD3</f>
        <v>0</v>
      </c>
      <c r="DZ76" s="223">
        <f>$DN76*'Verwerking Bouwdelen'!GE3</f>
        <v>0</v>
      </c>
      <c r="EA76" s="89">
        <f>'Verwerking Bouwdelen'!GO3*DN76</f>
        <v>0</v>
      </c>
      <c r="EB76" s="125">
        <f>'Verwerking Bouwdelen'!GP3*DN76</f>
        <v>0</v>
      </c>
      <c r="EC76" s="89">
        <f>0.6*DN76</f>
        <v>0</v>
      </c>
      <c r="GN76" s="220">
        <f t="shared" ref="GN76:GN96" si="29">DO76</f>
        <v>0</v>
      </c>
      <c r="GO76" s="220">
        <f t="shared" ref="GO76:GO96" si="30">DP76</f>
        <v>0</v>
      </c>
      <c r="GP76" s="220">
        <f t="shared" ref="GP76:GP96" si="31">DQ76</f>
        <v>0</v>
      </c>
      <c r="GQ76" s="220">
        <f t="shared" ref="GQ76:GQ96" si="32">DR76</f>
        <v>0</v>
      </c>
      <c r="GR76" s="220">
        <f t="shared" ref="GR76:GR96" si="33">DS76</f>
        <v>0</v>
      </c>
      <c r="GS76" s="220">
        <f t="shared" ref="GS76:GS96" si="34">DT76</f>
        <v>0</v>
      </c>
      <c r="GT76" s="220">
        <f t="shared" ref="GT76:GT96" si="35">DU76</f>
        <v>0</v>
      </c>
      <c r="GU76" s="220">
        <f t="shared" ref="GU76:GU96" si="36">DV76</f>
        <v>0</v>
      </c>
      <c r="GV76" s="220">
        <f t="shared" ref="GV76:GV96" si="37">DW76</f>
        <v>0</v>
      </c>
      <c r="GW76" s="220">
        <f t="shared" ref="GW76:GW96" si="38">DX76</f>
        <v>0</v>
      </c>
      <c r="GX76" s="220">
        <f t="shared" ref="GX76:GX96" si="39">DY76</f>
        <v>0</v>
      </c>
      <c r="GY76" s="220">
        <f t="shared" ref="GY76:GY96" si="40">DZ76</f>
        <v>0</v>
      </c>
    </row>
    <row r="77" spans="1:207" x14ac:dyDescent="0.2">
      <c r="A77" s="89">
        <f>IF('Verwerking Bouwdelen'!A4=5,1,0)</f>
        <v>0</v>
      </c>
      <c r="B77" s="226">
        <f>$A77*'Verwerking Bouwdelen'!CJ4</f>
        <v>0</v>
      </c>
      <c r="C77" s="227">
        <f>$A77*'Verwerking Bouwdelen'!CK4</f>
        <v>0</v>
      </c>
      <c r="D77" s="227">
        <f>$A77*'Verwerking Bouwdelen'!CL4</f>
        <v>0</v>
      </c>
      <c r="E77" s="227">
        <f>$A77*'Verwerking Bouwdelen'!CM4</f>
        <v>0</v>
      </c>
      <c r="F77" s="227">
        <f>$A77*'Verwerking Bouwdelen'!CN4</f>
        <v>0</v>
      </c>
      <c r="G77" s="227">
        <f>$A77*'Verwerking Bouwdelen'!CO4</f>
        <v>0</v>
      </c>
      <c r="H77" s="227">
        <f>$A77*'Verwerking Bouwdelen'!CP4</f>
        <v>0</v>
      </c>
      <c r="I77" s="227">
        <f>$A77*'Verwerking Bouwdelen'!CQ4</f>
        <v>0</v>
      </c>
      <c r="J77" s="227">
        <f>$A77*'Verwerking Bouwdelen'!CR4</f>
        <v>0</v>
      </c>
      <c r="K77" s="227">
        <f>$A77*'Verwerking Bouwdelen'!CS4</f>
        <v>0</v>
      </c>
      <c r="L77" s="227">
        <f>$A77*'Verwerking Bouwdelen'!CT4</f>
        <v>0</v>
      </c>
      <c r="M77" s="228">
        <f>$A77*'Verwerking Bouwdelen'!CU4</f>
        <v>0</v>
      </c>
      <c r="DN77" s="89">
        <f>IF('Verwerking Bouwdelen'!A4=5,1,0)</f>
        <v>0</v>
      </c>
      <c r="DO77" s="223">
        <f>$DN77*'Verwerking Bouwdelen'!FT4</f>
        <v>0</v>
      </c>
      <c r="DP77" s="223">
        <f>$DN77*'Verwerking Bouwdelen'!FU4</f>
        <v>0</v>
      </c>
      <c r="DQ77" s="223">
        <f>$DN77*'Verwerking Bouwdelen'!FV4</f>
        <v>0</v>
      </c>
      <c r="DR77" s="223">
        <f>$DN77*'Verwerking Bouwdelen'!FW4</f>
        <v>0</v>
      </c>
      <c r="DS77" s="223">
        <f>$DN77*'Verwerking Bouwdelen'!FX4</f>
        <v>0</v>
      </c>
      <c r="DT77" s="223">
        <f>$DN77*'Verwerking Bouwdelen'!FY4</f>
        <v>0</v>
      </c>
      <c r="DU77" s="223">
        <f>$DN77*'Verwerking Bouwdelen'!FZ4</f>
        <v>0</v>
      </c>
      <c r="DV77" s="223">
        <f>$DN77*'Verwerking Bouwdelen'!GA4</f>
        <v>0</v>
      </c>
      <c r="DW77" s="223">
        <f>$DN77*'Verwerking Bouwdelen'!GB4</f>
        <v>0</v>
      </c>
      <c r="DX77" s="223">
        <f>$DN77*'Verwerking Bouwdelen'!GC4</f>
        <v>0</v>
      </c>
      <c r="DY77" s="223">
        <f>$DN77*'Verwerking Bouwdelen'!GD4</f>
        <v>0</v>
      </c>
      <c r="DZ77" s="223">
        <f>$DN77*'Verwerking Bouwdelen'!GE4</f>
        <v>0</v>
      </c>
      <c r="EA77" s="89">
        <f>'Verwerking Bouwdelen'!GO4*DN77</f>
        <v>0</v>
      </c>
      <c r="EB77" s="125">
        <f>'Verwerking Bouwdelen'!GP4*DN77</f>
        <v>0</v>
      </c>
      <c r="EC77" s="89">
        <f t="shared" ref="EC77:EC117" si="41">0.6*DN77</f>
        <v>0</v>
      </c>
      <c r="GN77" s="220">
        <f t="shared" si="29"/>
        <v>0</v>
      </c>
      <c r="GO77" s="220">
        <f t="shared" si="30"/>
        <v>0</v>
      </c>
      <c r="GP77" s="220">
        <f t="shared" si="31"/>
        <v>0</v>
      </c>
      <c r="GQ77" s="220">
        <f t="shared" si="32"/>
        <v>0</v>
      </c>
      <c r="GR77" s="220">
        <f t="shared" si="33"/>
        <v>0</v>
      </c>
      <c r="GS77" s="220">
        <f t="shared" si="34"/>
        <v>0</v>
      </c>
      <c r="GT77" s="220">
        <f t="shared" si="35"/>
        <v>0</v>
      </c>
      <c r="GU77" s="220">
        <f t="shared" si="36"/>
        <v>0</v>
      </c>
      <c r="GV77" s="220">
        <f t="shared" si="37"/>
        <v>0</v>
      </c>
      <c r="GW77" s="220">
        <f t="shared" si="38"/>
        <v>0</v>
      </c>
      <c r="GX77" s="220">
        <f t="shared" si="39"/>
        <v>0</v>
      </c>
      <c r="GY77" s="220">
        <f t="shared" si="40"/>
        <v>0</v>
      </c>
    </row>
    <row r="78" spans="1:207" x14ac:dyDescent="0.2">
      <c r="A78" s="89">
        <f>IF('Verwerking Bouwdelen'!A5=5,1,0)</f>
        <v>0</v>
      </c>
      <c r="B78" s="226">
        <f>$A78*'Verwerking Bouwdelen'!CJ5</f>
        <v>0</v>
      </c>
      <c r="C78" s="227">
        <f>$A78*'Verwerking Bouwdelen'!CK5</f>
        <v>0</v>
      </c>
      <c r="D78" s="227">
        <f>$A78*'Verwerking Bouwdelen'!CL5</f>
        <v>0</v>
      </c>
      <c r="E78" s="227">
        <f>$A78*'Verwerking Bouwdelen'!CM5</f>
        <v>0</v>
      </c>
      <c r="F78" s="227">
        <f>$A78*'Verwerking Bouwdelen'!CN5</f>
        <v>0</v>
      </c>
      <c r="G78" s="227">
        <f>$A78*'Verwerking Bouwdelen'!CO5</f>
        <v>0</v>
      </c>
      <c r="H78" s="227">
        <f>$A78*'Verwerking Bouwdelen'!CP5</f>
        <v>0</v>
      </c>
      <c r="I78" s="227">
        <f>$A78*'Verwerking Bouwdelen'!CQ5</f>
        <v>0</v>
      </c>
      <c r="J78" s="227">
        <f>$A78*'Verwerking Bouwdelen'!CR5</f>
        <v>0</v>
      </c>
      <c r="K78" s="227">
        <f>$A78*'Verwerking Bouwdelen'!CS5</f>
        <v>0</v>
      </c>
      <c r="L78" s="227">
        <f>$A78*'Verwerking Bouwdelen'!CT5</f>
        <v>0</v>
      </c>
      <c r="M78" s="228">
        <f>$A78*'Verwerking Bouwdelen'!CU5</f>
        <v>0</v>
      </c>
      <c r="DN78" s="89">
        <f>IF('Verwerking Bouwdelen'!A5=5,1,0)</f>
        <v>0</v>
      </c>
      <c r="DO78" s="223">
        <f>$DN78*'Verwerking Bouwdelen'!FT5</f>
        <v>0</v>
      </c>
      <c r="DP78" s="223">
        <f>$DN78*'Verwerking Bouwdelen'!FU5</f>
        <v>0</v>
      </c>
      <c r="DQ78" s="223">
        <f>$DN78*'Verwerking Bouwdelen'!FV5</f>
        <v>0</v>
      </c>
      <c r="DR78" s="223">
        <f>$DN78*'Verwerking Bouwdelen'!FW5</f>
        <v>0</v>
      </c>
      <c r="DS78" s="223">
        <f>$DN78*'Verwerking Bouwdelen'!FX5</f>
        <v>0</v>
      </c>
      <c r="DT78" s="223">
        <f>$DN78*'Verwerking Bouwdelen'!FY5</f>
        <v>0</v>
      </c>
      <c r="DU78" s="223">
        <f>$DN78*'Verwerking Bouwdelen'!FZ5</f>
        <v>0</v>
      </c>
      <c r="DV78" s="223">
        <f>$DN78*'Verwerking Bouwdelen'!GA5</f>
        <v>0</v>
      </c>
      <c r="DW78" s="223">
        <f>$DN78*'Verwerking Bouwdelen'!GB5</f>
        <v>0</v>
      </c>
      <c r="DX78" s="223">
        <f>$DN78*'Verwerking Bouwdelen'!GC5</f>
        <v>0</v>
      </c>
      <c r="DY78" s="223">
        <f>$DN78*'Verwerking Bouwdelen'!GD5</f>
        <v>0</v>
      </c>
      <c r="DZ78" s="223">
        <f>$DN78*'Verwerking Bouwdelen'!GE5</f>
        <v>0</v>
      </c>
      <c r="EA78" s="89">
        <f>'Verwerking Bouwdelen'!GO5*DN78</f>
        <v>0</v>
      </c>
      <c r="EB78" s="125">
        <f>'Verwerking Bouwdelen'!GP5*DN78</f>
        <v>0</v>
      </c>
      <c r="EC78" s="89">
        <f t="shared" si="41"/>
        <v>0</v>
      </c>
      <c r="GN78" s="220">
        <f t="shared" si="29"/>
        <v>0</v>
      </c>
      <c r="GO78" s="220">
        <f t="shared" si="30"/>
        <v>0</v>
      </c>
      <c r="GP78" s="220">
        <f t="shared" si="31"/>
        <v>0</v>
      </c>
      <c r="GQ78" s="220">
        <f t="shared" si="32"/>
        <v>0</v>
      </c>
      <c r="GR78" s="220">
        <f t="shared" si="33"/>
        <v>0</v>
      </c>
      <c r="GS78" s="220">
        <f t="shared" si="34"/>
        <v>0</v>
      </c>
      <c r="GT78" s="220">
        <f t="shared" si="35"/>
        <v>0</v>
      </c>
      <c r="GU78" s="220">
        <f t="shared" si="36"/>
        <v>0</v>
      </c>
      <c r="GV78" s="220">
        <f t="shared" si="37"/>
        <v>0</v>
      </c>
      <c r="GW78" s="220">
        <f t="shared" si="38"/>
        <v>0</v>
      </c>
      <c r="GX78" s="220">
        <f t="shared" si="39"/>
        <v>0</v>
      </c>
      <c r="GY78" s="220">
        <f t="shared" si="40"/>
        <v>0</v>
      </c>
    </row>
    <row r="79" spans="1:207" x14ac:dyDescent="0.2">
      <c r="A79" s="89">
        <f>IF('Verwerking Bouwdelen'!A6=5,1,0)</f>
        <v>0</v>
      </c>
      <c r="B79" s="226">
        <f>$A79*'Verwerking Bouwdelen'!CJ6</f>
        <v>0</v>
      </c>
      <c r="C79" s="227">
        <f>$A79*'Verwerking Bouwdelen'!CK6</f>
        <v>0</v>
      </c>
      <c r="D79" s="227">
        <f>$A79*'Verwerking Bouwdelen'!CL6</f>
        <v>0</v>
      </c>
      <c r="E79" s="227">
        <f>$A79*'Verwerking Bouwdelen'!CM6</f>
        <v>0</v>
      </c>
      <c r="F79" s="227">
        <f>$A79*'Verwerking Bouwdelen'!CN6</f>
        <v>0</v>
      </c>
      <c r="G79" s="227">
        <f>$A79*'Verwerking Bouwdelen'!CO6</f>
        <v>0</v>
      </c>
      <c r="H79" s="227">
        <f>$A79*'Verwerking Bouwdelen'!CP6</f>
        <v>0</v>
      </c>
      <c r="I79" s="227">
        <f>$A79*'Verwerking Bouwdelen'!CQ6</f>
        <v>0</v>
      </c>
      <c r="J79" s="227">
        <f>$A79*'Verwerking Bouwdelen'!CR6</f>
        <v>0</v>
      </c>
      <c r="K79" s="227">
        <f>$A79*'Verwerking Bouwdelen'!CS6</f>
        <v>0</v>
      </c>
      <c r="L79" s="227">
        <f>$A79*'Verwerking Bouwdelen'!CT6</f>
        <v>0</v>
      </c>
      <c r="M79" s="228">
        <f>$A79*'Verwerking Bouwdelen'!CU6</f>
        <v>0</v>
      </c>
      <c r="DN79" s="89">
        <f>IF('Verwerking Bouwdelen'!A6=5,1,0)</f>
        <v>0</v>
      </c>
      <c r="DO79" s="223">
        <f>$DN79*'Verwerking Bouwdelen'!FT6</f>
        <v>0</v>
      </c>
      <c r="DP79" s="223">
        <f>$DN79*'Verwerking Bouwdelen'!FU6</f>
        <v>0</v>
      </c>
      <c r="DQ79" s="223">
        <f>$DN79*'Verwerking Bouwdelen'!FV6</f>
        <v>0</v>
      </c>
      <c r="DR79" s="223">
        <f>$DN79*'Verwerking Bouwdelen'!FW6</f>
        <v>0</v>
      </c>
      <c r="DS79" s="223">
        <f>$DN79*'Verwerking Bouwdelen'!FX6</f>
        <v>0</v>
      </c>
      <c r="DT79" s="223">
        <f>$DN79*'Verwerking Bouwdelen'!FY6</f>
        <v>0</v>
      </c>
      <c r="DU79" s="223">
        <f>$DN79*'Verwerking Bouwdelen'!FZ6</f>
        <v>0</v>
      </c>
      <c r="DV79" s="223">
        <f>$DN79*'Verwerking Bouwdelen'!GA6</f>
        <v>0</v>
      </c>
      <c r="DW79" s="223">
        <f>$DN79*'Verwerking Bouwdelen'!GB6</f>
        <v>0</v>
      </c>
      <c r="DX79" s="223">
        <f>$DN79*'Verwerking Bouwdelen'!GC6</f>
        <v>0</v>
      </c>
      <c r="DY79" s="223">
        <f>$DN79*'Verwerking Bouwdelen'!GD6</f>
        <v>0</v>
      </c>
      <c r="DZ79" s="223">
        <f>$DN79*'Verwerking Bouwdelen'!GE6</f>
        <v>0</v>
      </c>
      <c r="EA79" s="89">
        <f>'Verwerking Bouwdelen'!GO6*DN79</f>
        <v>0</v>
      </c>
      <c r="EB79" s="125">
        <f>'Verwerking Bouwdelen'!GP6*DN79</f>
        <v>0</v>
      </c>
      <c r="EC79" s="89">
        <f t="shared" si="41"/>
        <v>0</v>
      </c>
      <c r="GN79" s="220">
        <f t="shared" si="29"/>
        <v>0</v>
      </c>
      <c r="GO79" s="220">
        <f t="shared" si="30"/>
        <v>0</v>
      </c>
      <c r="GP79" s="220">
        <f t="shared" si="31"/>
        <v>0</v>
      </c>
      <c r="GQ79" s="220">
        <f t="shared" si="32"/>
        <v>0</v>
      </c>
      <c r="GR79" s="220">
        <f t="shared" si="33"/>
        <v>0</v>
      </c>
      <c r="GS79" s="220">
        <f t="shared" si="34"/>
        <v>0</v>
      </c>
      <c r="GT79" s="220">
        <f t="shared" si="35"/>
        <v>0</v>
      </c>
      <c r="GU79" s="220">
        <f t="shared" si="36"/>
        <v>0</v>
      </c>
      <c r="GV79" s="220">
        <f t="shared" si="37"/>
        <v>0</v>
      </c>
      <c r="GW79" s="220">
        <f t="shared" si="38"/>
        <v>0</v>
      </c>
      <c r="GX79" s="220">
        <f t="shared" si="39"/>
        <v>0</v>
      </c>
      <c r="GY79" s="220">
        <f t="shared" si="40"/>
        <v>0</v>
      </c>
    </row>
    <row r="80" spans="1:207" x14ac:dyDescent="0.2">
      <c r="A80" s="89">
        <f>IF('Verwerking Bouwdelen'!A7=5,1,0)</f>
        <v>0</v>
      </c>
      <c r="B80" s="226">
        <f>$A80*'Verwerking Bouwdelen'!CJ7</f>
        <v>0</v>
      </c>
      <c r="C80" s="227">
        <f>$A80*'Verwerking Bouwdelen'!CK7</f>
        <v>0</v>
      </c>
      <c r="D80" s="227">
        <f>$A80*'Verwerking Bouwdelen'!CL7</f>
        <v>0</v>
      </c>
      <c r="E80" s="227">
        <f>$A80*'Verwerking Bouwdelen'!CM7</f>
        <v>0</v>
      </c>
      <c r="F80" s="227">
        <f>$A80*'Verwerking Bouwdelen'!CN7</f>
        <v>0</v>
      </c>
      <c r="G80" s="227">
        <f>$A80*'Verwerking Bouwdelen'!CO7</f>
        <v>0</v>
      </c>
      <c r="H80" s="227">
        <f>$A80*'Verwerking Bouwdelen'!CP7</f>
        <v>0</v>
      </c>
      <c r="I80" s="227">
        <f>$A80*'Verwerking Bouwdelen'!CQ7</f>
        <v>0</v>
      </c>
      <c r="J80" s="227">
        <f>$A80*'Verwerking Bouwdelen'!CR7</f>
        <v>0</v>
      </c>
      <c r="K80" s="227">
        <f>$A80*'Verwerking Bouwdelen'!CS7</f>
        <v>0</v>
      </c>
      <c r="L80" s="227">
        <f>$A80*'Verwerking Bouwdelen'!CT7</f>
        <v>0</v>
      </c>
      <c r="M80" s="228">
        <f>$A80*'Verwerking Bouwdelen'!CU7</f>
        <v>0</v>
      </c>
      <c r="DN80" s="89">
        <f>IF('Verwerking Bouwdelen'!A7=5,1,0)</f>
        <v>0</v>
      </c>
      <c r="DO80" s="223">
        <f>$DN80*'Verwerking Bouwdelen'!FT7</f>
        <v>0</v>
      </c>
      <c r="DP80" s="223">
        <f>$DN80*'Verwerking Bouwdelen'!FU7</f>
        <v>0</v>
      </c>
      <c r="DQ80" s="223">
        <f>$DN80*'Verwerking Bouwdelen'!FV7</f>
        <v>0</v>
      </c>
      <c r="DR80" s="223">
        <f>$DN80*'Verwerking Bouwdelen'!FW7</f>
        <v>0</v>
      </c>
      <c r="DS80" s="223">
        <f>$DN80*'Verwerking Bouwdelen'!FX7</f>
        <v>0</v>
      </c>
      <c r="DT80" s="223">
        <f>$DN80*'Verwerking Bouwdelen'!FY7</f>
        <v>0</v>
      </c>
      <c r="DU80" s="223">
        <f>$DN80*'Verwerking Bouwdelen'!FZ7</f>
        <v>0</v>
      </c>
      <c r="DV80" s="223">
        <f>$DN80*'Verwerking Bouwdelen'!GA7</f>
        <v>0</v>
      </c>
      <c r="DW80" s="223">
        <f>$DN80*'Verwerking Bouwdelen'!GB7</f>
        <v>0</v>
      </c>
      <c r="DX80" s="223">
        <f>$DN80*'Verwerking Bouwdelen'!GC7</f>
        <v>0</v>
      </c>
      <c r="DY80" s="223">
        <f>$DN80*'Verwerking Bouwdelen'!GD7</f>
        <v>0</v>
      </c>
      <c r="DZ80" s="223">
        <f>$DN80*'Verwerking Bouwdelen'!GE7</f>
        <v>0</v>
      </c>
      <c r="EA80" s="89">
        <f>'Verwerking Bouwdelen'!GO7*DN80</f>
        <v>0</v>
      </c>
      <c r="EB80" s="125">
        <f>'Verwerking Bouwdelen'!GP7*DN80</f>
        <v>0</v>
      </c>
      <c r="EC80" s="89">
        <f t="shared" si="41"/>
        <v>0</v>
      </c>
      <c r="GN80" s="220">
        <f t="shared" si="29"/>
        <v>0</v>
      </c>
      <c r="GO80" s="220">
        <f t="shared" si="30"/>
        <v>0</v>
      </c>
      <c r="GP80" s="220">
        <f t="shared" si="31"/>
        <v>0</v>
      </c>
      <c r="GQ80" s="220">
        <f t="shared" si="32"/>
        <v>0</v>
      </c>
      <c r="GR80" s="220">
        <f t="shared" si="33"/>
        <v>0</v>
      </c>
      <c r="GS80" s="220">
        <f t="shared" si="34"/>
        <v>0</v>
      </c>
      <c r="GT80" s="220">
        <f t="shared" si="35"/>
        <v>0</v>
      </c>
      <c r="GU80" s="220">
        <f t="shared" si="36"/>
        <v>0</v>
      </c>
      <c r="GV80" s="220">
        <f t="shared" si="37"/>
        <v>0</v>
      </c>
      <c r="GW80" s="220">
        <f t="shared" si="38"/>
        <v>0</v>
      </c>
      <c r="GX80" s="220">
        <f t="shared" si="39"/>
        <v>0</v>
      </c>
      <c r="GY80" s="220">
        <f t="shared" si="40"/>
        <v>0</v>
      </c>
    </row>
    <row r="81" spans="1:207" x14ac:dyDescent="0.2">
      <c r="A81" s="89">
        <f>IF('Verwerking Bouwdelen'!A8=5,1,0)</f>
        <v>0</v>
      </c>
      <c r="B81" s="226">
        <f>$A81*'Verwerking Bouwdelen'!CJ8</f>
        <v>0</v>
      </c>
      <c r="C81" s="227">
        <f>$A81*'Verwerking Bouwdelen'!CK8</f>
        <v>0</v>
      </c>
      <c r="D81" s="227">
        <f>$A81*'Verwerking Bouwdelen'!CL8</f>
        <v>0</v>
      </c>
      <c r="E81" s="227">
        <f>$A81*'Verwerking Bouwdelen'!CM8</f>
        <v>0</v>
      </c>
      <c r="F81" s="227">
        <f>$A81*'Verwerking Bouwdelen'!CN8</f>
        <v>0</v>
      </c>
      <c r="G81" s="227">
        <f>$A81*'Verwerking Bouwdelen'!CO8</f>
        <v>0</v>
      </c>
      <c r="H81" s="227">
        <f>$A81*'Verwerking Bouwdelen'!CP8</f>
        <v>0</v>
      </c>
      <c r="I81" s="227">
        <f>$A81*'Verwerking Bouwdelen'!CQ8</f>
        <v>0</v>
      </c>
      <c r="J81" s="227">
        <f>$A81*'Verwerking Bouwdelen'!CR8</f>
        <v>0</v>
      </c>
      <c r="K81" s="227">
        <f>$A81*'Verwerking Bouwdelen'!CS8</f>
        <v>0</v>
      </c>
      <c r="L81" s="227">
        <f>$A81*'Verwerking Bouwdelen'!CT8</f>
        <v>0</v>
      </c>
      <c r="M81" s="228">
        <f>$A81*'Verwerking Bouwdelen'!CU8</f>
        <v>0</v>
      </c>
      <c r="DN81" s="89">
        <f>IF('Verwerking Bouwdelen'!A8=5,1,0)</f>
        <v>0</v>
      </c>
      <c r="DO81" s="223">
        <f>$DN81*'Verwerking Bouwdelen'!FT8</f>
        <v>0</v>
      </c>
      <c r="DP81" s="223">
        <f>$DN81*'Verwerking Bouwdelen'!FU8</f>
        <v>0</v>
      </c>
      <c r="DQ81" s="223">
        <f>$DN81*'Verwerking Bouwdelen'!FV8</f>
        <v>0</v>
      </c>
      <c r="DR81" s="223">
        <f>$DN81*'Verwerking Bouwdelen'!FW8</f>
        <v>0</v>
      </c>
      <c r="DS81" s="223">
        <f>$DN81*'Verwerking Bouwdelen'!FX8</f>
        <v>0</v>
      </c>
      <c r="DT81" s="223">
        <f>$DN81*'Verwerking Bouwdelen'!FY8</f>
        <v>0</v>
      </c>
      <c r="DU81" s="223">
        <f>$DN81*'Verwerking Bouwdelen'!FZ8</f>
        <v>0</v>
      </c>
      <c r="DV81" s="223">
        <f>$DN81*'Verwerking Bouwdelen'!GA8</f>
        <v>0</v>
      </c>
      <c r="DW81" s="223">
        <f>$DN81*'Verwerking Bouwdelen'!GB8</f>
        <v>0</v>
      </c>
      <c r="DX81" s="223">
        <f>$DN81*'Verwerking Bouwdelen'!GC8</f>
        <v>0</v>
      </c>
      <c r="DY81" s="223">
        <f>$DN81*'Verwerking Bouwdelen'!GD8</f>
        <v>0</v>
      </c>
      <c r="DZ81" s="223">
        <f>$DN81*'Verwerking Bouwdelen'!GE8</f>
        <v>0</v>
      </c>
      <c r="EA81" s="89">
        <f>'Verwerking Bouwdelen'!GO8*DN81</f>
        <v>0</v>
      </c>
      <c r="EB81" s="125">
        <f>'Verwerking Bouwdelen'!GP8*DN81</f>
        <v>0</v>
      </c>
      <c r="EC81" s="89">
        <f t="shared" si="41"/>
        <v>0</v>
      </c>
      <c r="GN81" s="220">
        <f t="shared" si="29"/>
        <v>0</v>
      </c>
      <c r="GO81" s="220">
        <f t="shared" si="30"/>
        <v>0</v>
      </c>
      <c r="GP81" s="220">
        <f t="shared" si="31"/>
        <v>0</v>
      </c>
      <c r="GQ81" s="220">
        <f t="shared" si="32"/>
        <v>0</v>
      </c>
      <c r="GR81" s="220">
        <f t="shared" si="33"/>
        <v>0</v>
      </c>
      <c r="GS81" s="220">
        <f t="shared" si="34"/>
        <v>0</v>
      </c>
      <c r="GT81" s="220">
        <f t="shared" si="35"/>
        <v>0</v>
      </c>
      <c r="GU81" s="220">
        <f t="shared" si="36"/>
        <v>0</v>
      </c>
      <c r="GV81" s="220">
        <f t="shared" si="37"/>
        <v>0</v>
      </c>
      <c r="GW81" s="220">
        <f t="shared" si="38"/>
        <v>0</v>
      </c>
      <c r="GX81" s="220">
        <f t="shared" si="39"/>
        <v>0</v>
      </c>
      <c r="GY81" s="220">
        <f t="shared" si="40"/>
        <v>0</v>
      </c>
    </row>
    <row r="82" spans="1:207" x14ac:dyDescent="0.2">
      <c r="A82" s="89">
        <f>IF('Verwerking Bouwdelen'!A9=5,1,0)</f>
        <v>0</v>
      </c>
      <c r="B82" s="226">
        <f>$A82*'Verwerking Bouwdelen'!CJ9</f>
        <v>0</v>
      </c>
      <c r="C82" s="227">
        <f>$A82*'Verwerking Bouwdelen'!CK9</f>
        <v>0</v>
      </c>
      <c r="D82" s="227">
        <f>$A82*'Verwerking Bouwdelen'!CL9</f>
        <v>0</v>
      </c>
      <c r="E82" s="227">
        <f>$A82*'Verwerking Bouwdelen'!CM9</f>
        <v>0</v>
      </c>
      <c r="F82" s="227">
        <f>$A82*'Verwerking Bouwdelen'!CN9</f>
        <v>0</v>
      </c>
      <c r="G82" s="227">
        <f>$A82*'Verwerking Bouwdelen'!CO9</f>
        <v>0</v>
      </c>
      <c r="H82" s="227">
        <f>$A82*'Verwerking Bouwdelen'!CP9</f>
        <v>0</v>
      </c>
      <c r="I82" s="227">
        <f>$A82*'Verwerking Bouwdelen'!CQ9</f>
        <v>0</v>
      </c>
      <c r="J82" s="227">
        <f>$A82*'Verwerking Bouwdelen'!CR9</f>
        <v>0</v>
      </c>
      <c r="K82" s="227">
        <f>$A82*'Verwerking Bouwdelen'!CS9</f>
        <v>0</v>
      </c>
      <c r="L82" s="227">
        <f>$A82*'Verwerking Bouwdelen'!CT9</f>
        <v>0</v>
      </c>
      <c r="M82" s="228">
        <f>$A82*'Verwerking Bouwdelen'!CU9</f>
        <v>0</v>
      </c>
      <c r="DN82" s="89">
        <f>IF('Verwerking Bouwdelen'!A9=5,1,0)</f>
        <v>0</v>
      </c>
      <c r="DO82" s="223">
        <f>$DN82*'Verwerking Bouwdelen'!FT9</f>
        <v>0</v>
      </c>
      <c r="DP82" s="223">
        <f>$DN82*'Verwerking Bouwdelen'!FU9</f>
        <v>0</v>
      </c>
      <c r="DQ82" s="223">
        <f>$DN82*'Verwerking Bouwdelen'!FV9</f>
        <v>0</v>
      </c>
      <c r="DR82" s="223">
        <f>$DN82*'Verwerking Bouwdelen'!FW9</f>
        <v>0</v>
      </c>
      <c r="DS82" s="223">
        <f>$DN82*'Verwerking Bouwdelen'!FX9</f>
        <v>0</v>
      </c>
      <c r="DT82" s="223">
        <f>$DN82*'Verwerking Bouwdelen'!FY9</f>
        <v>0</v>
      </c>
      <c r="DU82" s="223">
        <f>$DN82*'Verwerking Bouwdelen'!FZ9</f>
        <v>0</v>
      </c>
      <c r="DV82" s="223">
        <f>$DN82*'Verwerking Bouwdelen'!GA9</f>
        <v>0</v>
      </c>
      <c r="DW82" s="223">
        <f>$DN82*'Verwerking Bouwdelen'!GB9</f>
        <v>0</v>
      </c>
      <c r="DX82" s="223">
        <f>$DN82*'Verwerking Bouwdelen'!GC9</f>
        <v>0</v>
      </c>
      <c r="DY82" s="223">
        <f>$DN82*'Verwerking Bouwdelen'!GD9</f>
        <v>0</v>
      </c>
      <c r="DZ82" s="223">
        <f>$DN82*'Verwerking Bouwdelen'!GE9</f>
        <v>0</v>
      </c>
      <c r="EA82" s="89">
        <f>'Verwerking Bouwdelen'!GO9*DN82</f>
        <v>0</v>
      </c>
      <c r="EB82" s="125">
        <f>'Verwerking Bouwdelen'!GP9*DN82</f>
        <v>0</v>
      </c>
      <c r="EC82" s="89">
        <f t="shared" si="41"/>
        <v>0</v>
      </c>
      <c r="GN82" s="220">
        <f t="shared" si="29"/>
        <v>0</v>
      </c>
      <c r="GO82" s="220">
        <f t="shared" si="30"/>
        <v>0</v>
      </c>
      <c r="GP82" s="220">
        <f t="shared" si="31"/>
        <v>0</v>
      </c>
      <c r="GQ82" s="220">
        <f t="shared" si="32"/>
        <v>0</v>
      </c>
      <c r="GR82" s="220">
        <f t="shared" si="33"/>
        <v>0</v>
      </c>
      <c r="GS82" s="220">
        <f t="shared" si="34"/>
        <v>0</v>
      </c>
      <c r="GT82" s="220">
        <f t="shared" si="35"/>
        <v>0</v>
      </c>
      <c r="GU82" s="220">
        <f t="shared" si="36"/>
        <v>0</v>
      </c>
      <c r="GV82" s="220">
        <f t="shared" si="37"/>
        <v>0</v>
      </c>
      <c r="GW82" s="220">
        <f t="shared" si="38"/>
        <v>0</v>
      </c>
      <c r="GX82" s="220">
        <f t="shared" si="39"/>
        <v>0</v>
      </c>
      <c r="GY82" s="220">
        <f t="shared" si="40"/>
        <v>0</v>
      </c>
    </row>
    <row r="83" spans="1:207" x14ac:dyDescent="0.2">
      <c r="A83" s="89">
        <f>IF('Verwerking Bouwdelen'!A10=5,1,0)</f>
        <v>0</v>
      </c>
      <c r="B83" s="226">
        <f>$A83*'Verwerking Bouwdelen'!CJ10</f>
        <v>0</v>
      </c>
      <c r="C83" s="227">
        <f>$A83*'Verwerking Bouwdelen'!CK10</f>
        <v>0</v>
      </c>
      <c r="D83" s="227">
        <f>$A83*'Verwerking Bouwdelen'!CL10</f>
        <v>0</v>
      </c>
      <c r="E83" s="227">
        <f>$A83*'Verwerking Bouwdelen'!CM10</f>
        <v>0</v>
      </c>
      <c r="F83" s="227">
        <f>$A83*'Verwerking Bouwdelen'!CN10</f>
        <v>0</v>
      </c>
      <c r="G83" s="227">
        <f>$A83*'Verwerking Bouwdelen'!CO10</f>
        <v>0</v>
      </c>
      <c r="H83" s="227">
        <f>$A83*'Verwerking Bouwdelen'!CP10</f>
        <v>0</v>
      </c>
      <c r="I83" s="227">
        <f>$A83*'Verwerking Bouwdelen'!CQ10</f>
        <v>0</v>
      </c>
      <c r="J83" s="227">
        <f>$A83*'Verwerking Bouwdelen'!CR10</f>
        <v>0</v>
      </c>
      <c r="K83" s="227">
        <f>$A83*'Verwerking Bouwdelen'!CS10</f>
        <v>0</v>
      </c>
      <c r="L83" s="227">
        <f>$A83*'Verwerking Bouwdelen'!CT10</f>
        <v>0</v>
      </c>
      <c r="M83" s="228">
        <f>$A83*'Verwerking Bouwdelen'!CU10</f>
        <v>0</v>
      </c>
      <c r="DN83" s="89">
        <f>IF('Verwerking Bouwdelen'!A10=5,1,0)</f>
        <v>0</v>
      </c>
      <c r="DO83" s="223">
        <f>$DN83*'Verwerking Bouwdelen'!FT10</f>
        <v>0</v>
      </c>
      <c r="DP83" s="223">
        <f>$DN83*'Verwerking Bouwdelen'!FU10</f>
        <v>0</v>
      </c>
      <c r="DQ83" s="223">
        <f>$DN83*'Verwerking Bouwdelen'!FV10</f>
        <v>0</v>
      </c>
      <c r="DR83" s="223">
        <f>$DN83*'Verwerking Bouwdelen'!FW10</f>
        <v>0</v>
      </c>
      <c r="DS83" s="223">
        <f>$DN83*'Verwerking Bouwdelen'!FX10</f>
        <v>0</v>
      </c>
      <c r="DT83" s="223">
        <f>$DN83*'Verwerking Bouwdelen'!FY10</f>
        <v>0</v>
      </c>
      <c r="DU83" s="223">
        <f>$DN83*'Verwerking Bouwdelen'!FZ10</f>
        <v>0</v>
      </c>
      <c r="DV83" s="223">
        <f>$DN83*'Verwerking Bouwdelen'!GA10</f>
        <v>0</v>
      </c>
      <c r="DW83" s="223">
        <f>$DN83*'Verwerking Bouwdelen'!GB10</f>
        <v>0</v>
      </c>
      <c r="DX83" s="223">
        <f>$DN83*'Verwerking Bouwdelen'!GC10</f>
        <v>0</v>
      </c>
      <c r="DY83" s="223">
        <f>$DN83*'Verwerking Bouwdelen'!GD10</f>
        <v>0</v>
      </c>
      <c r="DZ83" s="223">
        <f>$DN83*'Verwerking Bouwdelen'!GE10</f>
        <v>0</v>
      </c>
      <c r="EA83" s="89">
        <f>'Verwerking Bouwdelen'!GO10*DN83</f>
        <v>0</v>
      </c>
      <c r="EB83" s="125">
        <f>'Verwerking Bouwdelen'!GP10*DN83</f>
        <v>0</v>
      </c>
      <c r="EC83" s="89">
        <f t="shared" si="41"/>
        <v>0</v>
      </c>
      <c r="GN83" s="220">
        <f t="shared" si="29"/>
        <v>0</v>
      </c>
      <c r="GO83" s="220">
        <f t="shared" si="30"/>
        <v>0</v>
      </c>
      <c r="GP83" s="220">
        <f t="shared" si="31"/>
        <v>0</v>
      </c>
      <c r="GQ83" s="220">
        <f t="shared" si="32"/>
        <v>0</v>
      </c>
      <c r="GR83" s="220">
        <f t="shared" si="33"/>
        <v>0</v>
      </c>
      <c r="GS83" s="220">
        <f t="shared" si="34"/>
        <v>0</v>
      </c>
      <c r="GT83" s="220">
        <f t="shared" si="35"/>
        <v>0</v>
      </c>
      <c r="GU83" s="220">
        <f t="shared" si="36"/>
        <v>0</v>
      </c>
      <c r="GV83" s="220">
        <f t="shared" si="37"/>
        <v>0</v>
      </c>
      <c r="GW83" s="220">
        <f t="shared" si="38"/>
        <v>0</v>
      </c>
      <c r="GX83" s="220">
        <f t="shared" si="39"/>
        <v>0</v>
      </c>
      <c r="GY83" s="220">
        <f t="shared" si="40"/>
        <v>0</v>
      </c>
    </row>
    <row r="84" spans="1:207" x14ac:dyDescent="0.2">
      <c r="A84" s="89">
        <f>IF('Verwerking Bouwdelen'!A11=5,1,0)</f>
        <v>0</v>
      </c>
      <c r="B84" s="226">
        <f>$A84*'Verwerking Bouwdelen'!CJ11</f>
        <v>0</v>
      </c>
      <c r="C84" s="227">
        <f>$A84*'Verwerking Bouwdelen'!CK11</f>
        <v>0</v>
      </c>
      <c r="D84" s="227">
        <f>$A84*'Verwerking Bouwdelen'!CL11</f>
        <v>0</v>
      </c>
      <c r="E84" s="227">
        <f>$A84*'Verwerking Bouwdelen'!CM11</f>
        <v>0</v>
      </c>
      <c r="F84" s="227">
        <f>$A84*'Verwerking Bouwdelen'!CN11</f>
        <v>0</v>
      </c>
      <c r="G84" s="227">
        <f>$A84*'Verwerking Bouwdelen'!CO11</f>
        <v>0</v>
      </c>
      <c r="H84" s="227">
        <f>$A84*'Verwerking Bouwdelen'!CP11</f>
        <v>0</v>
      </c>
      <c r="I84" s="227">
        <f>$A84*'Verwerking Bouwdelen'!CQ11</f>
        <v>0</v>
      </c>
      <c r="J84" s="227">
        <f>$A84*'Verwerking Bouwdelen'!CR11</f>
        <v>0</v>
      </c>
      <c r="K84" s="227">
        <f>$A84*'Verwerking Bouwdelen'!CS11</f>
        <v>0</v>
      </c>
      <c r="L84" s="227">
        <f>$A84*'Verwerking Bouwdelen'!CT11</f>
        <v>0</v>
      </c>
      <c r="M84" s="228">
        <f>$A84*'Verwerking Bouwdelen'!CU11</f>
        <v>0</v>
      </c>
      <c r="DN84" s="89">
        <f>IF('Verwerking Bouwdelen'!A11=5,1,0)</f>
        <v>0</v>
      </c>
      <c r="DO84" s="223">
        <f>$DN84*'Verwerking Bouwdelen'!FT11</f>
        <v>0</v>
      </c>
      <c r="DP84" s="223">
        <f>$DN84*'Verwerking Bouwdelen'!FU11</f>
        <v>0</v>
      </c>
      <c r="DQ84" s="223">
        <f>$DN84*'Verwerking Bouwdelen'!FV11</f>
        <v>0</v>
      </c>
      <c r="DR84" s="223">
        <f>$DN84*'Verwerking Bouwdelen'!FW11</f>
        <v>0</v>
      </c>
      <c r="DS84" s="223">
        <f>$DN84*'Verwerking Bouwdelen'!FX11</f>
        <v>0</v>
      </c>
      <c r="DT84" s="223">
        <f>$DN84*'Verwerking Bouwdelen'!FY11</f>
        <v>0</v>
      </c>
      <c r="DU84" s="223">
        <f>$DN84*'Verwerking Bouwdelen'!FZ11</f>
        <v>0</v>
      </c>
      <c r="DV84" s="223">
        <f>$DN84*'Verwerking Bouwdelen'!GA11</f>
        <v>0</v>
      </c>
      <c r="DW84" s="223">
        <f>$DN84*'Verwerking Bouwdelen'!GB11</f>
        <v>0</v>
      </c>
      <c r="DX84" s="223">
        <f>$DN84*'Verwerking Bouwdelen'!GC11</f>
        <v>0</v>
      </c>
      <c r="DY84" s="223">
        <f>$DN84*'Verwerking Bouwdelen'!GD11</f>
        <v>0</v>
      </c>
      <c r="DZ84" s="223">
        <f>$DN84*'Verwerking Bouwdelen'!GE11</f>
        <v>0</v>
      </c>
      <c r="EA84" s="89">
        <f>'Verwerking Bouwdelen'!GO11*DN84</f>
        <v>0</v>
      </c>
      <c r="EB84" s="125">
        <f>'Verwerking Bouwdelen'!GP11*DN84</f>
        <v>0</v>
      </c>
      <c r="EC84" s="89">
        <f t="shared" si="41"/>
        <v>0</v>
      </c>
      <c r="GN84" s="220">
        <f t="shared" si="29"/>
        <v>0</v>
      </c>
      <c r="GO84" s="220">
        <f t="shared" si="30"/>
        <v>0</v>
      </c>
      <c r="GP84" s="220">
        <f t="shared" si="31"/>
        <v>0</v>
      </c>
      <c r="GQ84" s="220">
        <f t="shared" si="32"/>
        <v>0</v>
      </c>
      <c r="GR84" s="220">
        <f t="shared" si="33"/>
        <v>0</v>
      </c>
      <c r="GS84" s="220">
        <f t="shared" si="34"/>
        <v>0</v>
      </c>
      <c r="GT84" s="220">
        <f t="shared" si="35"/>
        <v>0</v>
      </c>
      <c r="GU84" s="220">
        <f t="shared" si="36"/>
        <v>0</v>
      </c>
      <c r="GV84" s="220">
        <f t="shared" si="37"/>
        <v>0</v>
      </c>
      <c r="GW84" s="220">
        <f t="shared" si="38"/>
        <v>0</v>
      </c>
      <c r="GX84" s="220">
        <f t="shared" si="39"/>
        <v>0</v>
      </c>
      <c r="GY84" s="220">
        <f t="shared" si="40"/>
        <v>0</v>
      </c>
    </row>
    <row r="85" spans="1:207" x14ac:dyDescent="0.2">
      <c r="A85" s="89">
        <f>IF('Verwerking Bouwdelen'!A12=5,1,0)</f>
        <v>0</v>
      </c>
      <c r="B85" s="226">
        <f>$A85*'Verwerking Bouwdelen'!CJ12</f>
        <v>0</v>
      </c>
      <c r="C85" s="227">
        <f>$A85*'Verwerking Bouwdelen'!CK12</f>
        <v>0</v>
      </c>
      <c r="D85" s="227">
        <f>$A85*'Verwerking Bouwdelen'!CL12</f>
        <v>0</v>
      </c>
      <c r="E85" s="227">
        <f>$A85*'Verwerking Bouwdelen'!CM12</f>
        <v>0</v>
      </c>
      <c r="F85" s="227">
        <f>$A85*'Verwerking Bouwdelen'!CN12</f>
        <v>0</v>
      </c>
      <c r="G85" s="227">
        <f>$A85*'Verwerking Bouwdelen'!CO12</f>
        <v>0</v>
      </c>
      <c r="H85" s="227">
        <f>$A85*'Verwerking Bouwdelen'!CP12</f>
        <v>0</v>
      </c>
      <c r="I85" s="227">
        <f>$A85*'Verwerking Bouwdelen'!CQ12</f>
        <v>0</v>
      </c>
      <c r="J85" s="227">
        <f>$A85*'Verwerking Bouwdelen'!CR12</f>
        <v>0</v>
      </c>
      <c r="K85" s="227">
        <f>$A85*'Verwerking Bouwdelen'!CS12</f>
        <v>0</v>
      </c>
      <c r="L85" s="227">
        <f>$A85*'Verwerking Bouwdelen'!CT12</f>
        <v>0</v>
      </c>
      <c r="M85" s="228">
        <f>$A85*'Verwerking Bouwdelen'!CU12</f>
        <v>0</v>
      </c>
      <c r="DN85" s="89">
        <f>IF('Verwerking Bouwdelen'!A12=5,1,0)</f>
        <v>0</v>
      </c>
      <c r="DO85" s="223">
        <f>$DN85*'Verwerking Bouwdelen'!FT12</f>
        <v>0</v>
      </c>
      <c r="DP85" s="223">
        <f>$DN85*'Verwerking Bouwdelen'!FU12</f>
        <v>0</v>
      </c>
      <c r="DQ85" s="223">
        <f>$DN85*'Verwerking Bouwdelen'!FV12</f>
        <v>0</v>
      </c>
      <c r="DR85" s="223">
        <f>$DN85*'Verwerking Bouwdelen'!FW12</f>
        <v>0</v>
      </c>
      <c r="DS85" s="223">
        <f>$DN85*'Verwerking Bouwdelen'!FX12</f>
        <v>0</v>
      </c>
      <c r="DT85" s="223">
        <f>$DN85*'Verwerking Bouwdelen'!FY12</f>
        <v>0</v>
      </c>
      <c r="DU85" s="223">
        <f>$DN85*'Verwerking Bouwdelen'!FZ12</f>
        <v>0</v>
      </c>
      <c r="DV85" s="223">
        <f>$DN85*'Verwerking Bouwdelen'!GA12</f>
        <v>0</v>
      </c>
      <c r="DW85" s="223">
        <f>$DN85*'Verwerking Bouwdelen'!GB12</f>
        <v>0</v>
      </c>
      <c r="DX85" s="223">
        <f>$DN85*'Verwerking Bouwdelen'!GC12</f>
        <v>0</v>
      </c>
      <c r="DY85" s="223">
        <f>$DN85*'Verwerking Bouwdelen'!GD12</f>
        <v>0</v>
      </c>
      <c r="DZ85" s="223">
        <f>$DN85*'Verwerking Bouwdelen'!GE12</f>
        <v>0</v>
      </c>
      <c r="EA85" s="89">
        <f>'Verwerking Bouwdelen'!GO12*DN85</f>
        <v>0</v>
      </c>
      <c r="EB85" s="125">
        <f>'Verwerking Bouwdelen'!GP12*DN85</f>
        <v>0</v>
      </c>
      <c r="EC85" s="89">
        <f t="shared" si="41"/>
        <v>0</v>
      </c>
      <c r="GN85" s="220">
        <f t="shared" si="29"/>
        <v>0</v>
      </c>
      <c r="GO85" s="220">
        <f t="shared" si="30"/>
        <v>0</v>
      </c>
      <c r="GP85" s="220">
        <f t="shared" si="31"/>
        <v>0</v>
      </c>
      <c r="GQ85" s="220">
        <f t="shared" si="32"/>
        <v>0</v>
      </c>
      <c r="GR85" s="220">
        <f t="shared" si="33"/>
        <v>0</v>
      </c>
      <c r="GS85" s="220">
        <f t="shared" si="34"/>
        <v>0</v>
      </c>
      <c r="GT85" s="220">
        <f t="shared" si="35"/>
        <v>0</v>
      </c>
      <c r="GU85" s="220">
        <f t="shared" si="36"/>
        <v>0</v>
      </c>
      <c r="GV85" s="220">
        <f t="shared" si="37"/>
        <v>0</v>
      </c>
      <c r="GW85" s="220">
        <f t="shared" si="38"/>
        <v>0</v>
      </c>
      <c r="GX85" s="220">
        <f t="shared" si="39"/>
        <v>0</v>
      </c>
      <c r="GY85" s="220">
        <f t="shared" si="40"/>
        <v>0</v>
      </c>
    </row>
    <row r="86" spans="1:207" x14ac:dyDescent="0.2">
      <c r="A86" s="89">
        <f>IF('Verwerking Bouwdelen'!A13=5,1,0)</f>
        <v>0</v>
      </c>
      <c r="B86" s="226">
        <f>$A86*'Verwerking Bouwdelen'!CJ13</f>
        <v>0</v>
      </c>
      <c r="C86" s="227">
        <f>$A86*'Verwerking Bouwdelen'!CK13</f>
        <v>0</v>
      </c>
      <c r="D86" s="227">
        <f>$A86*'Verwerking Bouwdelen'!CL13</f>
        <v>0</v>
      </c>
      <c r="E86" s="227">
        <f>$A86*'Verwerking Bouwdelen'!CM13</f>
        <v>0</v>
      </c>
      <c r="F86" s="227">
        <f>$A86*'Verwerking Bouwdelen'!CN13</f>
        <v>0</v>
      </c>
      <c r="G86" s="227">
        <f>$A86*'Verwerking Bouwdelen'!CO13</f>
        <v>0</v>
      </c>
      <c r="H86" s="227">
        <f>$A86*'Verwerking Bouwdelen'!CP13</f>
        <v>0</v>
      </c>
      <c r="I86" s="227">
        <f>$A86*'Verwerking Bouwdelen'!CQ13</f>
        <v>0</v>
      </c>
      <c r="J86" s="227">
        <f>$A86*'Verwerking Bouwdelen'!CR13</f>
        <v>0</v>
      </c>
      <c r="K86" s="227">
        <f>$A86*'Verwerking Bouwdelen'!CS13</f>
        <v>0</v>
      </c>
      <c r="L86" s="227">
        <f>$A86*'Verwerking Bouwdelen'!CT13</f>
        <v>0</v>
      </c>
      <c r="M86" s="228">
        <f>$A86*'Verwerking Bouwdelen'!CU13</f>
        <v>0</v>
      </c>
      <c r="DN86" s="89">
        <f>IF('Verwerking Bouwdelen'!A13=5,1,0)</f>
        <v>0</v>
      </c>
      <c r="DO86" s="223">
        <f>$DN86*'Verwerking Bouwdelen'!FT13</f>
        <v>0</v>
      </c>
      <c r="DP86" s="223">
        <f>$DN86*'Verwerking Bouwdelen'!FU13</f>
        <v>0</v>
      </c>
      <c r="DQ86" s="223">
        <f>$DN86*'Verwerking Bouwdelen'!FV13</f>
        <v>0</v>
      </c>
      <c r="DR86" s="223">
        <f>$DN86*'Verwerking Bouwdelen'!FW13</f>
        <v>0</v>
      </c>
      <c r="DS86" s="223">
        <f>$DN86*'Verwerking Bouwdelen'!FX13</f>
        <v>0</v>
      </c>
      <c r="DT86" s="223">
        <f>$DN86*'Verwerking Bouwdelen'!FY13</f>
        <v>0</v>
      </c>
      <c r="DU86" s="223">
        <f>$DN86*'Verwerking Bouwdelen'!FZ13</f>
        <v>0</v>
      </c>
      <c r="DV86" s="223">
        <f>$DN86*'Verwerking Bouwdelen'!GA13</f>
        <v>0</v>
      </c>
      <c r="DW86" s="223">
        <f>$DN86*'Verwerking Bouwdelen'!GB13</f>
        <v>0</v>
      </c>
      <c r="DX86" s="223">
        <f>$DN86*'Verwerking Bouwdelen'!GC13</f>
        <v>0</v>
      </c>
      <c r="DY86" s="223">
        <f>$DN86*'Verwerking Bouwdelen'!GD13</f>
        <v>0</v>
      </c>
      <c r="DZ86" s="223">
        <f>$DN86*'Verwerking Bouwdelen'!GE13</f>
        <v>0</v>
      </c>
      <c r="EA86" s="89">
        <f>'Verwerking Bouwdelen'!GO13*DN86</f>
        <v>0</v>
      </c>
      <c r="EB86" s="125">
        <f>'Verwerking Bouwdelen'!GP13*DN86</f>
        <v>0</v>
      </c>
      <c r="EC86" s="89">
        <f t="shared" si="41"/>
        <v>0</v>
      </c>
      <c r="GN86" s="220">
        <f t="shared" si="29"/>
        <v>0</v>
      </c>
      <c r="GO86" s="220">
        <f t="shared" si="30"/>
        <v>0</v>
      </c>
      <c r="GP86" s="220">
        <f t="shared" si="31"/>
        <v>0</v>
      </c>
      <c r="GQ86" s="220">
        <f t="shared" si="32"/>
        <v>0</v>
      </c>
      <c r="GR86" s="220">
        <f t="shared" si="33"/>
        <v>0</v>
      </c>
      <c r="GS86" s="220">
        <f t="shared" si="34"/>
        <v>0</v>
      </c>
      <c r="GT86" s="220">
        <f t="shared" si="35"/>
        <v>0</v>
      </c>
      <c r="GU86" s="220">
        <f t="shared" si="36"/>
        <v>0</v>
      </c>
      <c r="GV86" s="220">
        <f t="shared" si="37"/>
        <v>0</v>
      </c>
      <c r="GW86" s="220">
        <f t="shared" si="38"/>
        <v>0</v>
      </c>
      <c r="GX86" s="220">
        <f t="shared" si="39"/>
        <v>0</v>
      </c>
      <c r="GY86" s="220">
        <f t="shared" si="40"/>
        <v>0</v>
      </c>
    </row>
    <row r="87" spans="1:207" x14ac:dyDescent="0.2">
      <c r="A87" s="89">
        <f>IF('Verwerking Bouwdelen'!A14=5,1,0)</f>
        <v>0</v>
      </c>
      <c r="B87" s="226">
        <f>$A87*'Verwerking Bouwdelen'!CJ14</f>
        <v>0</v>
      </c>
      <c r="C87" s="227">
        <f>$A87*'Verwerking Bouwdelen'!CK14</f>
        <v>0</v>
      </c>
      <c r="D87" s="227">
        <f>$A87*'Verwerking Bouwdelen'!CL14</f>
        <v>0</v>
      </c>
      <c r="E87" s="227">
        <f>$A87*'Verwerking Bouwdelen'!CM14</f>
        <v>0</v>
      </c>
      <c r="F87" s="227">
        <f>$A87*'Verwerking Bouwdelen'!CN14</f>
        <v>0</v>
      </c>
      <c r="G87" s="227">
        <f>$A87*'Verwerking Bouwdelen'!CO14</f>
        <v>0</v>
      </c>
      <c r="H87" s="227">
        <f>$A87*'Verwerking Bouwdelen'!CP14</f>
        <v>0</v>
      </c>
      <c r="I87" s="227">
        <f>$A87*'Verwerking Bouwdelen'!CQ14</f>
        <v>0</v>
      </c>
      <c r="J87" s="227">
        <f>$A87*'Verwerking Bouwdelen'!CR14</f>
        <v>0</v>
      </c>
      <c r="K87" s="227">
        <f>$A87*'Verwerking Bouwdelen'!CS14</f>
        <v>0</v>
      </c>
      <c r="L87" s="227">
        <f>$A87*'Verwerking Bouwdelen'!CT14</f>
        <v>0</v>
      </c>
      <c r="M87" s="228">
        <f>$A87*'Verwerking Bouwdelen'!CU14</f>
        <v>0</v>
      </c>
      <c r="DN87" s="89">
        <f>IF('Verwerking Bouwdelen'!A14=5,1,0)</f>
        <v>0</v>
      </c>
      <c r="DO87" s="223">
        <f>$DN87*'Verwerking Bouwdelen'!FT14</f>
        <v>0</v>
      </c>
      <c r="DP87" s="223">
        <f>$DN87*'Verwerking Bouwdelen'!FU14</f>
        <v>0</v>
      </c>
      <c r="DQ87" s="223">
        <f>$DN87*'Verwerking Bouwdelen'!FV14</f>
        <v>0</v>
      </c>
      <c r="DR87" s="223">
        <f>$DN87*'Verwerking Bouwdelen'!FW14</f>
        <v>0</v>
      </c>
      <c r="DS87" s="223">
        <f>$DN87*'Verwerking Bouwdelen'!FX14</f>
        <v>0</v>
      </c>
      <c r="DT87" s="223">
        <f>$DN87*'Verwerking Bouwdelen'!FY14</f>
        <v>0</v>
      </c>
      <c r="DU87" s="223">
        <f>$DN87*'Verwerking Bouwdelen'!FZ14</f>
        <v>0</v>
      </c>
      <c r="DV87" s="223">
        <f>$DN87*'Verwerking Bouwdelen'!GA14</f>
        <v>0</v>
      </c>
      <c r="DW87" s="223">
        <f>$DN87*'Verwerking Bouwdelen'!GB14</f>
        <v>0</v>
      </c>
      <c r="DX87" s="223">
        <f>$DN87*'Verwerking Bouwdelen'!GC14</f>
        <v>0</v>
      </c>
      <c r="DY87" s="223">
        <f>$DN87*'Verwerking Bouwdelen'!GD14</f>
        <v>0</v>
      </c>
      <c r="DZ87" s="223">
        <f>$DN87*'Verwerking Bouwdelen'!GE14</f>
        <v>0</v>
      </c>
      <c r="EA87" s="89">
        <f>'Verwerking Bouwdelen'!GO14*DN87</f>
        <v>0</v>
      </c>
      <c r="EB87" s="125">
        <f>'Verwerking Bouwdelen'!GP14*DN87</f>
        <v>0</v>
      </c>
      <c r="EC87" s="89">
        <f t="shared" si="41"/>
        <v>0</v>
      </c>
      <c r="GN87" s="220">
        <f t="shared" si="29"/>
        <v>0</v>
      </c>
      <c r="GO87" s="220">
        <f t="shared" si="30"/>
        <v>0</v>
      </c>
      <c r="GP87" s="220">
        <f t="shared" si="31"/>
        <v>0</v>
      </c>
      <c r="GQ87" s="220">
        <f t="shared" si="32"/>
        <v>0</v>
      </c>
      <c r="GR87" s="220">
        <f t="shared" si="33"/>
        <v>0</v>
      </c>
      <c r="GS87" s="220">
        <f t="shared" si="34"/>
        <v>0</v>
      </c>
      <c r="GT87" s="220">
        <f t="shared" si="35"/>
        <v>0</v>
      </c>
      <c r="GU87" s="220">
        <f t="shared" si="36"/>
        <v>0</v>
      </c>
      <c r="GV87" s="220">
        <f t="shared" si="37"/>
        <v>0</v>
      </c>
      <c r="GW87" s="220">
        <f t="shared" si="38"/>
        <v>0</v>
      </c>
      <c r="GX87" s="220">
        <f t="shared" si="39"/>
        <v>0</v>
      </c>
      <c r="GY87" s="220">
        <f t="shared" si="40"/>
        <v>0</v>
      </c>
    </row>
    <row r="88" spans="1:207" x14ac:dyDescent="0.2">
      <c r="A88" s="89">
        <f>IF('Verwerking Bouwdelen'!A15=5,1,0)</f>
        <v>0</v>
      </c>
      <c r="B88" s="226">
        <f>$A88*'Verwerking Bouwdelen'!CJ15</f>
        <v>0</v>
      </c>
      <c r="C88" s="227">
        <f>$A88*'Verwerking Bouwdelen'!CK15</f>
        <v>0</v>
      </c>
      <c r="D88" s="227">
        <f>$A88*'Verwerking Bouwdelen'!CL15</f>
        <v>0</v>
      </c>
      <c r="E88" s="227">
        <f>$A88*'Verwerking Bouwdelen'!CM15</f>
        <v>0</v>
      </c>
      <c r="F88" s="227">
        <f>$A88*'Verwerking Bouwdelen'!CN15</f>
        <v>0</v>
      </c>
      <c r="G88" s="227">
        <f>$A88*'Verwerking Bouwdelen'!CO15</f>
        <v>0</v>
      </c>
      <c r="H88" s="227">
        <f>$A88*'Verwerking Bouwdelen'!CP15</f>
        <v>0</v>
      </c>
      <c r="I88" s="227">
        <f>$A88*'Verwerking Bouwdelen'!CQ15</f>
        <v>0</v>
      </c>
      <c r="J88" s="227">
        <f>$A88*'Verwerking Bouwdelen'!CR15</f>
        <v>0</v>
      </c>
      <c r="K88" s="227">
        <f>$A88*'Verwerking Bouwdelen'!CS15</f>
        <v>0</v>
      </c>
      <c r="L88" s="227">
        <f>$A88*'Verwerking Bouwdelen'!CT15</f>
        <v>0</v>
      </c>
      <c r="M88" s="228">
        <f>$A88*'Verwerking Bouwdelen'!CU15</f>
        <v>0</v>
      </c>
      <c r="DN88" s="89">
        <f>IF('Verwerking Bouwdelen'!A15=5,1,0)</f>
        <v>0</v>
      </c>
      <c r="DO88" s="223">
        <f>$DN88*'Verwerking Bouwdelen'!FT15</f>
        <v>0</v>
      </c>
      <c r="DP88" s="223">
        <f>$DN88*'Verwerking Bouwdelen'!FU15</f>
        <v>0</v>
      </c>
      <c r="DQ88" s="223">
        <f>$DN88*'Verwerking Bouwdelen'!FV15</f>
        <v>0</v>
      </c>
      <c r="DR88" s="223">
        <f>$DN88*'Verwerking Bouwdelen'!FW15</f>
        <v>0</v>
      </c>
      <c r="DS88" s="223">
        <f>$DN88*'Verwerking Bouwdelen'!FX15</f>
        <v>0</v>
      </c>
      <c r="DT88" s="223">
        <f>$DN88*'Verwerking Bouwdelen'!FY15</f>
        <v>0</v>
      </c>
      <c r="DU88" s="223">
        <f>$DN88*'Verwerking Bouwdelen'!FZ15</f>
        <v>0</v>
      </c>
      <c r="DV88" s="223">
        <f>$DN88*'Verwerking Bouwdelen'!GA15</f>
        <v>0</v>
      </c>
      <c r="DW88" s="223">
        <f>$DN88*'Verwerking Bouwdelen'!GB15</f>
        <v>0</v>
      </c>
      <c r="DX88" s="223">
        <f>$DN88*'Verwerking Bouwdelen'!GC15</f>
        <v>0</v>
      </c>
      <c r="DY88" s="223">
        <f>$DN88*'Verwerking Bouwdelen'!GD15</f>
        <v>0</v>
      </c>
      <c r="DZ88" s="223">
        <f>$DN88*'Verwerking Bouwdelen'!GE15</f>
        <v>0</v>
      </c>
      <c r="EA88" s="89">
        <f>'Verwerking Bouwdelen'!GO15*DN88</f>
        <v>0</v>
      </c>
      <c r="EB88" s="125">
        <f>'Verwerking Bouwdelen'!GP15*DN88</f>
        <v>0</v>
      </c>
      <c r="EC88" s="89">
        <f t="shared" si="41"/>
        <v>0</v>
      </c>
      <c r="GN88" s="220">
        <f t="shared" si="29"/>
        <v>0</v>
      </c>
      <c r="GO88" s="220">
        <f t="shared" si="30"/>
        <v>0</v>
      </c>
      <c r="GP88" s="220">
        <f t="shared" si="31"/>
        <v>0</v>
      </c>
      <c r="GQ88" s="220">
        <f t="shared" si="32"/>
        <v>0</v>
      </c>
      <c r="GR88" s="220">
        <f t="shared" si="33"/>
        <v>0</v>
      </c>
      <c r="GS88" s="220">
        <f t="shared" si="34"/>
        <v>0</v>
      </c>
      <c r="GT88" s="220">
        <f t="shared" si="35"/>
        <v>0</v>
      </c>
      <c r="GU88" s="220">
        <f t="shared" si="36"/>
        <v>0</v>
      </c>
      <c r="GV88" s="220">
        <f t="shared" si="37"/>
        <v>0</v>
      </c>
      <c r="GW88" s="220">
        <f t="shared" si="38"/>
        <v>0</v>
      </c>
      <c r="GX88" s="220">
        <f t="shared" si="39"/>
        <v>0</v>
      </c>
      <c r="GY88" s="220">
        <f t="shared" si="40"/>
        <v>0</v>
      </c>
    </row>
    <row r="89" spans="1:207" x14ac:dyDescent="0.2">
      <c r="A89" s="89">
        <f>IF('Verwerking Bouwdelen'!A16=5,1,0)</f>
        <v>0</v>
      </c>
      <c r="B89" s="226">
        <f>$A89*'Verwerking Bouwdelen'!CJ16</f>
        <v>0</v>
      </c>
      <c r="C89" s="227">
        <f>$A89*'Verwerking Bouwdelen'!CK16</f>
        <v>0</v>
      </c>
      <c r="D89" s="227">
        <f>$A89*'Verwerking Bouwdelen'!CL16</f>
        <v>0</v>
      </c>
      <c r="E89" s="227">
        <f>$A89*'Verwerking Bouwdelen'!CM16</f>
        <v>0</v>
      </c>
      <c r="F89" s="227">
        <f>$A89*'Verwerking Bouwdelen'!CN16</f>
        <v>0</v>
      </c>
      <c r="G89" s="227">
        <f>$A89*'Verwerking Bouwdelen'!CO16</f>
        <v>0</v>
      </c>
      <c r="H89" s="227">
        <f>$A89*'Verwerking Bouwdelen'!CP16</f>
        <v>0</v>
      </c>
      <c r="I89" s="227">
        <f>$A89*'Verwerking Bouwdelen'!CQ16</f>
        <v>0</v>
      </c>
      <c r="J89" s="227">
        <f>$A89*'Verwerking Bouwdelen'!CR16</f>
        <v>0</v>
      </c>
      <c r="K89" s="227">
        <f>$A89*'Verwerking Bouwdelen'!CS16</f>
        <v>0</v>
      </c>
      <c r="L89" s="227">
        <f>$A89*'Verwerking Bouwdelen'!CT16</f>
        <v>0</v>
      </c>
      <c r="M89" s="228">
        <f>$A89*'Verwerking Bouwdelen'!CU16</f>
        <v>0</v>
      </c>
      <c r="DN89" s="89">
        <f>IF('Verwerking Bouwdelen'!A16=5,1,0)</f>
        <v>0</v>
      </c>
      <c r="DO89" s="223">
        <f>$DN89*'Verwerking Bouwdelen'!FT16</f>
        <v>0</v>
      </c>
      <c r="DP89" s="223">
        <f>$DN89*'Verwerking Bouwdelen'!FU16</f>
        <v>0</v>
      </c>
      <c r="DQ89" s="223">
        <f>$DN89*'Verwerking Bouwdelen'!FV16</f>
        <v>0</v>
      </c>
      <c r="DR89" s="223">
        <f>$DN89*'Verwerking Bouwdelen'!FW16</f>
        <v>0</v>
      </c>
      <c r="DS89" s="223">
        <f>$DN89*'Verwerking Bouwdelen'!FX16</f>
        <v>0</v>
      </c>
      <c r="DT89" s="223">
        <f>$DN89*'Verwerking Bouwdelen'!FY16</f>
        <v>0</v>
      </c>
      <c r="DU89" s="223">
        <f>$DN89*'Verwerking Bouwdelen'!FZ16</f>
        <v>0</v>
      </c>
      <c r="DV89" s="223">
        <f>$DN89*'Verwerking Bouwdelen'!GA16</f>
        <v>0</v>
      </c>
      <c r="DW89" s="223">
        <f>$DN89*'Verwerking Bouwdelen'!GB16</f>
        <v>0</v>
      </c>
      <c r="DX89" s="223">
        <f>$DN89*'Verwerking Bouwdelen'!GC16</f>
        <v>0</v>
      </c>
      <c r="DY89" s="223">
        <f>$DN89*'Verwerking Bouwdelen'!GD16</f>
        <v>0</v>
      </c>
      <c r="DZ89" s="223">
        <f>$DN89*'Verwerking Bouwdelen'!GE16</f>
        <v>0</v>
      </c>
      <c r="EA89" s="89">
        <f>'Verwerking Bouwdelen'!GO16*DN89</f>
        <v>0</v>
      </c>
      <c r="EB89" s="125">
        <f>'Verwerking Bouwdelen'!GP16*DN89</f>
        <v>0</v>
      </c>
      <c r="EC89" s="89">
        <f t="shared" si="41"/>
        <v>0</v>
      </c>
      <c r="GN89" s="220">
        <f t="shared" si="29"/>
        <v>0</v>
      </c>
      <c r="GO89" s="220">
        <f t="shared" si="30"/>
        <v>0</v>
      </c>
      <c r="GP89" s="220">
        <f t="shared" si="31"/>
        <v>0</v>
      </c>
      <c r="GQ89" s="220">
        <f t="shared" si="32"/>
        <v>0</v>
      </c>
      <c r="GR89" s="220">
        <f t="shared" si="33"/>
        <v>0</v>
      </c>
      <c r="GS89" s="220">
        <f t="shared" si="34"/>
        <v>0</v>
      </c>
      <c r="GT89" s="220">
        <f t="shared" si="35"/>
        <v>0</v>
      </c>
      <c r="GU89" s="220">
        <f t="shared" si="36"/>
        <v>0</v>
      </c>
      <c r="GV89" s="220">
        <f t="shared" si="37"/>
        <v>0</v>
      </c>
      <c r="GW89" s="220">
        <f t="shared" si="38"/>
        <v>0</v>
      </c>
      <c r="GX89" s="220">
        <f t="shared" si="39"/>
        <v>0</v>
      </c>
      <c r="GY89" s="220">
        <f t="shared" si="40"/>
        <v>0</v>
      </c>
    </row>
    <row r="90" spans="1:207" x14ac:dyDescent="0.2">
      <c r="A90" s="89">
        <f>IF('Verwerking Bouwdelen'!A17=5,1,0)</f>
        <v>0</v>
      </c>
      <c r="B90" s="226">
        <f>$A90*'Verwerking Bouwdelen'!CJ17</f>
        <v>0</v>
      </c>
      <c r="C90" s="227">
        <f>$A90*'Verwerking Bouwdelen'!CK17</f>
        <v>0</v>
      </c>
      <c r="D90" s="227">
        <f>$A90*'Verwerking Bouwdelen'!CL17</f>
        <v>0</v>
      </c>
      <c r="E90" s="227">
        <f>$A90*'Verwerking Bouwdelen'!CM17</f>
        <v>0</v>
      </c>
      <c r="F90" s="227">
        <f>$A90*'Verwerking Bouwdelen'!CN17</f>
        <v>0</v>
      </c>
      <c r="G90" s="227">
        <f>$A90*'Verwerking Bouwdelen'!CO17</f>
        <v>0</v>
      </c>
      <c r="H90" s="227">
        <f>$A90*'Verwerking Bouwdelen'!CP17</f>
        <v>0</v>
      </c>
      <c r="I90" s="227">
        <f>$A90*'Verwerking Bouwdelen'!CQ17</f>
        <v>0</v>
      </c>
      <c r="J90" s="227">
        <f>$A90*'Verwerking Bouwdelen'!CR17</f>
        <v>0</v>
      </c>
      <c r="K90" s="227">
        <f>$A90*'Verwerking Bouwdelen'!CS17</f>
        <v>0</v>
      </c>
      <c r="L90" s="227">
        <f>$A90*'Verwerking Bouwdelen'!CT17</f>
        <v>0</v>
      </c>
      <c r="M90" s="228">
        <f>$A90*'Verwerking Bouwdelen'!CU17</f>
        <v>0</v>
      </c>
      <c r="DN90" s="89">
        <f>IF('Verwerking Bouwdelen'!A17=5,1,0)</f>
        <v>0</v>
      </c>
      <c r="DO90" s="223">
        <f>$DN90*'Verwerking Bouwdelen'!FT17</f>
        <v>0</v>
      </c>
      <c r="DP90" s="223">
        <f>$DN90*'Verwerking Bouwdelen'!FU17</f>
        <v>0</v>
      </c>
      <c r="DQ90" s="223">
        <f>$DN90*'Verwerking Bouwdelen'!FV17</f>
        <v>0</v>
      </c>
      <c r="DR90" s="223">
        <f>$DN90*'Verwerking Bouwdelen'!FW17</f>
        <v>0</v>
      </c>
      <c r="DS90" s="223">
        <f>$DN90*'Verwerking Bouwdelen'!FX17</f>
        <v>0</v>
      </c>
      <c r="DT90" s="223">
        <f>$DN90*'Verwerking Bouwdelen'!FY17</f>
        <v>0</v>
      </c>
      <c r="DU90" s="223">
        <f>$DN90*'Verwerking Bouwdelen'!FZ17</f>
        <v>0</v>
      </c>
      <c r="DV90" s="223">
        <f>$DN90*'Verwerking Bouwdelen'!GA17</f>
        <v>0</v>
      </c>
      <c r="DW90" s="223">
        <f>$DN90*'Verwerking Bouwdelen'!GB17</f>
        <v>0</v>
      </c>
      <c r="DX90" s="223">
        <f>$DN90*'Verwerking Bouwdelen'!GC17</f>
        <v>0</v>
      </c>
      <c r="DY90" s="223">
        <f>$DN90*'Verwerking Bouwdelen'!GD17</f>
        <v>0</v>
      </c>
      <c r="DZ90" s="223">
        <f>$DN90*'Verwerking Bouwdelen'!GE17</f>
        <v>0</v>
      </c>
      <c r="EA90" s="89">
        <f>'Verwerking Bouwdelen'!GO17*DN90</f>
        <v>0</v>
      </c>
      <c r="EB90" s="125">
        <f>'Verwerking Bouwdelen'!GP17*DN90</f>
        <v>0</v>
      </c>
      <c r="EC90" s="89">
        <f t="shared" si="41"/>
        <v>0</v>
      </c>
      <c r="GN90" s="220">
        <f t="shared" si="29"/>
        <v>0</v>
      </c>
      <c r="GO90" s="220">
        <f t="shared" si="30"/>
        <v>0</v>
      </c>
      <c r="GP90" s="220">
        <f t="shared" si="31"/>
        <v>0</v>
      </c>
      <c r="GQ90" s="220">
        <f t="shared" si="32"/>
        <v>0</v>
      </c>
      <c r="GR90" s="220">
        <f t="shared" si="33"/>
        <v>0</v>
      </c>
      <c r="GS90" s="220">
        <f t="shared" si="34"/>
        <v>0</v>
      </c>
      <c r="GT90" s="220">
        <f t="shared" si="35"/>
        <v>0</v>
      </c>
      <c r="GU90" s="220">
        <f t="shared" si="36"/>
        <v>0</v>
      </c>
      <c r="GV90" s="220">
        <f t="shared" si="37"/>
        <v>0</v>
      </c>
      <c r="GW90" s="220">
        <f t="shared" si="38"/>
        <v>0</v>
      </c>
      <c r="GX90" s="220">
        <f t="shared" si="39"/>
        <v>0</v>
      </c>
      <c r="GY90" s="220">
        <f t="shared" si="40"/>
        <v>0</v>
      </c>
    </row>
    <row r="91" spans="1:207" x14ac:dyDescent="0.2">
      <c r="A91" s="89">
        <f>IF('Verwerking Bouwdelen'!A18=5,1,0)</f>
        <v>0</v>
      </c>
      <c r="B91" s="226">
        <f>$A91*'Verwerking Bouwdelen'!CJ18</f>
        <v>0</v>
      </c>
      <c r="C91" s="227">
        <f>$A91*'Verwerking Bouwdelen'!CK18</f>
        <v>0</v>
      </c>
      <c r="D91" s="227">
        <f>$A91*'Verwerking Bouwdelen'!CL18</f>
        <v>0</v>
      </c>
      <c r="E91" s="227">
        <f>$A91*'Verwerking Bouwdelen'!CM18</f>
        <v>0</v>
      </c>
      <c r="F91" s="227">
        <f>$A91*'Verwerking Bouwdelen'!CN18</f>
        <v>0</v>
      </c>
      <c r="G91" s="227">
        <f>$A91*'Verwerking Bouwdelen'!CO18</f>
        <v>0</v>
      </c>
      <c r="H91" s="227">
        <f>$A91*'Verwerking Bouwdelen'!CP18</f>
        <v>0</v>
      </c>
      <c r="I91" s="227">
        <f>$A91*'Verwerking Bouwdelen'!CQ18</f>
        <v>0</v>
      </c>
      <c r="J91" s="227">
        <f>$A91*'Verwerking Bouwdelen'!CR18</f>
        <v>0</v>
      </c>
      <c r="K91" s="227">
        <f>$A91*'Verwerking Bouwdelen'!CS18</f>
        <v>0</v>
      </c>
      <c r="L91" s="227">
        <f>$A91*'Verwerking Bouwdelen'!CT18</f>
        <v>0</v>
      </c>
      <c r="M91" s="228">
        <f>$A91*'Verwerking Bouwdelen'!CU18</f>
        <v>0</v>
      </c>
      <c r="DN91" s="89">
        <f>IF('Verwerking Bouwdelen'!A18=5,1,0)</f>
        <v>0</v>
      </c>
      <c r="DO91" s="223">
        <f>$DN91*'Verwerking Bouwdelen'!FT18</f>
        <v>0</v>
      </c>
      <c r="DP91" s="223">
        <f>$DN91*'Verwerking Bouwdelen'!FU18</f>
        <v>0</v>
      </c>
      <c r="DQ91" s="223">
        <f>$DN91*'Verwerking Bouwdelen'!FV18</f>
        <v>0</v>
      </c>
      <c r="DR91" s="223">
        <f>$DN91*'Verwerking Bouwdelen'!FW18</f>
        <v>0</v>
      </c>
      <c r="DS91" s="223">
        <f>$DN91*'Verwerking Bouwdelen'!FX18</f>
        <v>0</v>
      </c>
      <c r="DT91" s="223">
        <f>$DN91*'Verwerking Bouwdelen'!FY18</f>
        <v>0</v>
      </c>
      <c r="DU91" s="223">
        <f>$DN91*'Verwerking Bouwdelen'!FZ18</f>
        <v>0</v>
      </c>
      <c r="DV91" s="223">
        <f>$DN91*'Verwerking Bouwdelen'!GA18</f>
        <v>0</v>
      </c>
      <c r="DW91" s="223">
        <f>$DN91*'Verwerking Bouwdelen'!GB18</f>
        <v>0</v>
      </c>
      <c r="DX91" s="223">
        <f>$DN91*'Verwerking Bouwdelen'!GC18</f>
        <v>0</v>
      </c>
      <c r="DY91" s="223">
        <f>$DN91*'Verwerking Bouwdelen'!GD18</f>
        <v>0</v>
      </c>
      <c r="DZ91" s="223">
        <f>$DN91*'Verwerking Bouwdelen'!GE18</f>
        <v>0</v>
      </c>
      <c r="EA91" s="89">
        <f>'Verwerking Bouwdelen'!GO18*DN91</f>
        <v>0</v>
      </c>
      <c r="EB91" s="125">
        <f>'Verwerking Bouwdelen'!GP18*DN91</f>
        <v>0</v>
      </c>
      <c r="EC91" s="89">
        <f t="shared" si="41"/>
        <v>0</v>
      </c>
      <c r="GN91" s="220">
        <f t="shared" si="29"/>
        <v>0</v>
      </c>
      <c r="GO91" s="220">
        <f t="shared" si="30"/>
        <v>0</v>
      </c>
      <c r="GP91" s="220">
        <f t="shared" si="31"/>
        <v>0</v>
      </c>
      <c r="GQ91" s="220">
        <f t="shared" si="32"/>
        <v>0</v>
      </c>
      <c r="GR91" s="220">
        <f t="shared" si="33"/>
        <v>0</v>
      </c>
      <c r="GS91" s="220">
        <f t="shared" si="34"/>
        <v>0</v>
      </c>
      <c r="GT91" s="220">
        <f t="shared" si="35"/>
        <v>0</v>
      </c>
      <c r="GU91" s="220">
        <f t="shared" si="36"/>
        <v>0</v>
      </c>
      <c r="GV91" s="220">
        <f t="shared" si="37"/>
        <v>0</v>
      </c>
      <c r="GW91" s="220">
        <f t="shared" si="38"/>
        <v>0</v>
      </c>
      <c r="GX91" s="220">
        <f t="shared" si="39"/>
        <v>0</v>
      </c>
      <c r="GY91" s="220">
        <f t="shared" si="40"/>
        <v>0</v>
      </c>
    </row>
    <row r="92" spans="1:207" x14ac:dyDescent="0.2">
      <c r="A92" s="89">
        <f>IF('Verwerking Bouwdelen'!A19=5,1,0)</f>
        <v>0</v>
      </c>
      <c r="B92" s="226">
        <f>$A92*'Verwerking Bouwdelen'!CJ19</f>
        <v>0</v>
      </c>
      <c r="C92" s="227">
        <f>$A92*'Verwerking Bouwdelen'!CK19</f>
        <v>0</v>
      </c>
      <c r="D92" s="227">
        <f>$A92*'Verwerking Bouwdelen'!CL19</f>
        <v>0</v>
      </c>
      <c r="E92" s="227">
        <f>$A92*'Verwerking Bouwdelen'!CM19</f>
        <v>0</v>
      </c>
      <c r="F92" s="227">
        <f>$A92*'Verwerking Bouwdelen'!CN19</f>
        <v>0</v>
      </c>
      <c r="G92" s="227">
        <f>$A92*'Verwerking Bouwdelen'!CO19</f>
        <v>0</v>
      </c>
      <c r="H92" s="227">
        <f>$A92*'Verwerking Bouwdelen'!CP19</f>
        <v>0</v>
      </c>
      <c r="I92" s="227">
        <f>$A92*'Verwerking Bouwdelen'!CQ19</f>
        <v>0</v>
      </c>
      <c r="J92" s="227">
        <f>$A92*'Verwerking Bouwdelen'!CR19</f>
        <v>0</v>
      </c>
      <c r="K92" s="227">
        <f>$A92*'Verwerking Bouwdelen'!CS19</f>
        <v>0</v>
      </c>
      <c r="L92" s="227">
        <f>$A92*'Verwerking Bouwdelen'!CT19</f>
        <v>0</v>
      </c>
      <c r="M92" s="228">
        <f>$A92*'Verwerking Bouwdelen'!CU19</f>
        <v>0</v>
      </c>
      <c r="DN92" s="89">
        <f>IF('Verwerking Bouwdelen'!A19=5,1,0)</f>
        <v>0</v>
      </c>
      <c r="DO92" s="223">
        <f>$DN92*'Verwerking Bouwdelen'!FT19</f>
        <v>0</v>
      </c>
      <c r="DP92" s="223">
        <f>$DN92*'Verwerking Bouwdelen'!FU19</f>
        <v>0</v>
      </c>
      <c r="DQ92" s="223">
        <f>$DN92*'Verwerking Bouwdelen'!FV19</f>
        <v>0</v>
      </c>
      <c r="DR92" s="223">
        <f>$DN92*'Verwerking Bouwdelen'!FW19</f>
        <v>0</v>
      </c>
      <c r="DS92" s="223">
        <f>$DN92*'Verwerking Bouwdelen'!FX19</f>
        <v>0</v>
      </c>
      <c r="DT92" s="223">
        <f>$DN92*'Verwerking Bouwdelen'!FY19</f>
        <v>0</v>
      </c>
      <c r="DU92" s="223">
        <f>$DN92*'Verwerking Bouwdelen'!FZ19</f>
        <v>0</v>
      </c>
      <c r="DV92" s="223">
        <f>$DN92*'Verwerking Bouwdelen'!GA19</f>
        <v>0</v>
      </c>
      <c r="DW92" s="223">
        <f>$DN92*'Verwerking Bouwdelen'!GB19</f>
        <v>0</v>
      </c>
      <c r="DX92" s="223">
        <f>$DN92*'Verwerking Bouwdelen'!GC19</f>
        <v>0</v>
      </c>
      <c r="DY92" s="223">
        <f>$DN92*'Verwerking Bouwdelen'!GD19</f>
        <v>0</v>
      </c>
      <c r="DZ92" s="223">
        <f>$DN92*'Verwerking Bouwdelen'!GE19</f>
        <v>0</v>
      </c>
      <c r="EA92" s="89">
        <f>'Verwerking Bouwdelen'!GO19*DN92</f>
        <v>0</v>
      </c>
      <c r="EB92" s="125">
        <f>'Verwerking Bouwdelen'!GP19*DN92</f>
        <v>0</v>
      </c>
      <c r="EC92" s="89">
        <f t="shared" si="41"/>
        <v>0</v>
      </c>
      <c r="GN92" s="220">
        <f t="shared" si="29"/>
        <v>0</v>
      </c>
      <c r="GO92" s="220">
        <f t="shared" si="30"/>
        <v>0</v>
      </c>
      <c r="GP92" s="220">
        <f t="shared" si="31"/>
        <v>0</v>
      </c>
      <c r="GQ92" s="220">
        <f t="shared" si="32"/>
        <v>0</v>
      </c>
      <c r="GR92" s="220">
        <f t="shared" si="33"/>
        <v>0</v>
      </c>
      <c r="GS92" s="220">
        <f t="shared" si="34"/>
        <v>0</v>
      </c>
      <c r="GT92" s="220">
        <f t="shared" si="35"/>
        <v>0</v>
      </c>
      <c r="GU92" s="220">
        <f t="shared" si="36"/>
        <v>0</v>
      </c>
      <c r="GV92" s="220">
        <f t="shared" si="37"/>
        <v>0</v>
      </c>
      <c r="GW92" s="220">
        <f t="shared" si="38"/>
        <v>0</v>
      </c>
      <c r="GX92" s="220">
        <f t="shared" si="39"/>
        <v>0</v>
      </c>
      <c r="GY92" s="220">
        <f t="shared" si="40"/>
        <v>0</v>
      </c>
    </row>
    <row r="93" spans="1:207" x14ac:dyDescent="0.2">
      <c r="A93" s="89">
        <f>IF('Verwerking Bouwdelen'!A20=5,1,0)</f>
        <v>0</v>
      </c>
      <c r="B93" s="226">
        <f>$A93*'Verwerking Bouwdelen'!CJ20</f>
        <v>0</v>
      </c>
      <c r="C93" s="227">
        <f>$A93*'Verwerking Bouwdelen'!CK20</f>
        <v>0</v>
      </c>
      <c r="D93" s="227">
        <f>$A93*'Verwerking Bouwdelen'!CL20</f>
        <v>0</v>
      </c>
      <c r="E93" s="227">
        <f>$A93*'Verwerking Bouwdelen'!CM20</f>
        <v>0</v>
      </c>
      <c r="F93" s="227">
        <f>$A93*'Verwerking Bouwdelen'!CN20</f>
        <v>0</v>
      </c>
      <c r="G93" s="227">
        <f>$A93*'Verwerking Bouwdelen'!CO20</f>
        <v>0</v>
      </c>
      <c r="H93" s="227">
        <f>$A93*'Verwerking Bouwdelen'!CP20</f>
        <v>0</v>
      </c>
      <c r="I93" s="227">
        <f>$A93*'Verwerking Bouwdelen'!CQ20</f>
        <v>0</v>
      </c>
      <c r="J93" s="227">
        <f>$A93*'Verwerking Bouwdelen'!CR20</f>
        <v>0</v>
      </c>
      <c r="K93" s="227">
        <f>$A93*'Verwerking Bouwdelen'!CS20</f>
        <v>0</v>
      </c>
      <c r="L93" s="227">
        <f>$A93*'Verwerking Bouwdelen'!CT20</f>
        <v>0</v>
      </c>
      <c r="M93" s="228">
        <f>$A93*'Verwerking Bouwdelen'!CU20</f>
        <v>0</v>
      </c>
      <c r="DN93" s="89">
        <f>IF('Verwerking Bouwdelen'!A20=5,1,0)</f>
        <v>0</v>
      </c>
      <c r="DO93" s="223">
        <f>$DN93*'Verwerking Bouwdelen'!FT20</f>
        <v>0</v>
      </c>
      <c r="DP93" s="223">
        <f>$DN93*'Verwerking Bouwdelen'!FU20</f>
        <v>0</v>
      </c>
      <c r="DQ93" s="223">
        <f>$DN93*'Verwerking Bouwdelen'!FV20</f>
        <v>0</v>
      </c>
      <c r="DR93" s="223">
        <f>$DN93*'Verwerking Bouwdelen'!FW20</f>
        <v>0</v>
      </c>
      <c r="DS93" s="223">
        <f>$DN93*'Verwerking Bouwdelen'!FX20</f>
        <v>0</v>
      </c>
      <c r="DT93" s="223">
        <f>$DN93*'Verwerking Bouwdelen'!FY20</f>
        <v>0</v>
      </c>
      <c r="DU93" s="223">
        <f>$DN93*'Verwerking Bouwdelen'!FZ20</f>
        <v>0</v>
      </c>
      <c r="DV93" s="223">
        <f>$DN93*'Verwerking Bouwdelen'!GA20</f>
        <v>0</v>
      </c>
      <c r="DW93" s="223">
        <f>$DN93*'Verwerking Bouwdelen'!GB20</f>
        <v>0</v>
      </c>
      <c r="DX93" s="223">
        <f>$DN93*'Verwerking Bouwdelen'!GC20</f>
        <v>0</v>
      </c>
      <c r="DY93" s="223">
        <f>$DN93*'Verwerking Bouwdelen'!GD20</f>
        <v>0</v>
      </c>
      <c r="DZ93" s="223">
        <f>$DN93*'Verwerking Bouwdelen'!GE20</f>
        <v>0</v>
      </c>
      <c r="EA93" s="89">
        <f>'Verwerking Bouwdelen'!GO20*DN93</f>
        <v>0</v>
      </c>
      <c r="EB93" s="125">
        <f>'Verwerking Bouwdelen'!GP20*DN93</f>
        <v>0</v>
      </c>
      <c r="EC93" s="89">
        <f t="shared" si="41"/>
        <v>0</v>
      </c>
      <c r="GN93" s="220">
        <f t="shared" si="29"/>
        <v>0</v>
      </c>
      <c r="GO93" s="220">
        <f t="shared" si="30"/>
        <v>0</v>
      </c>
      <c r="GP93" s="220">
        <f t="shared" si="31"/>
        <v>0</v>
      </c>
      <c r="GQ93" s="220">
        <f t="shared" si="32"/>
        <v>0</v>
      </c>
      <c r="GR93" s="220">
        <f t="shared" si="33"/>
        <v>0</v>
      </c>
      <c r="GS93" s="220">
        <f t="shared" si="34"/>
        <v>0</v>
      </c>
      <c r="GT93" s="220">
        <f t="shared" si="35"/>
        <v>0</v>
      </c>
      <c r="GU93" s="220">
        <f t="shared" si="36"/>
        <v>0</v>
      </c>
      <c r="GV93" s="220">
        <f t="shared" si="37"/>
        <v>0</v>
      </c>
      <c r="GW93" s="220">
        <f t="shared" si="38"/>
        <v>0</v>
      </c>
      <c r="GX93" s="220">
        <f t="shared" si="39"/>
        <v>0</v>
      </c>
      <c r="GY93" s="220">
        <f t="shared" si="40"/>
        <v>0</v>
      </c>
    </row>
    <row r="94" spans="1:207" x14ac:dyDescent="0.2">
      <c r="A94" s="89">
        <f>IF('Verwerking Bouwdelen'!A21=5,1,0)</f>
        <v>0</v>
      </c>
      <c r="B94" s="226">
        <f>$A94*'Verwerking Bouwdelen'!CJ21</f>
        <v>0</v>
      </c>
      <c r="C94" s="227">
        <f>$A94*'Verwerking Bouwdelen'!CK21</f>
        <v>0</v>
      </c>
      <c r="D94" s="227">
        <f>$A94*'Verwerking Bouwdelen'!CL21</f>
        <v>0</v>
      </c>
      <c r="E94" s="227">
        <f>$A94*'Verwerking Bouwdelen'!CM21</f>
        <v>0</v>
      </c>
      <c r="F94" s="227">
        <f>$A94*'Verwerking Bouwdelen'!CN21</f>
        <v>0</v>
      </c>
      <c r="G94" s="227">
        <f>$A94*'Verwerking Bouwdelen'!CO21</f>
        <v>0</v>
      </c>
      <c r="H94" s="227">
        <f>$A94*'Verwerking Bouwdelen'!CP21</f>
        <v>0</v>
      </c>
      <c r="I94" s="227">
        <f>$A94*'Verwerking Bouwdelen'!CQ21</f>
        <v>0</v>
      </c>
      <c r="J94" s="227">
        <f>$A94*'Verwerking Bouwdelen'!CR21</f>
        <v>0</v>
      </c>
      <c r="K94" s="227">
        <f>$A94*'Verwerking Bouwdelen'!CS21</f>
        <v>0</v>
      </c>
      <c r="L94" s="227">
        <f>$A94*'Verwerking Bouwdelen'!CT21</f>
        <v>0</v>
      </c>
      <c r="M94" s="228">
        <f>$A94*'Verwerking Bouwdelen'!CU21</f>
        <v>0</v>
      </c>
      <c r="DN94" s="89">
        <f>IF('Verwerking Bouwdelen'!A21=5,1,0)</f>
        <v>0</v>
      </c>
      <c r="DO94" s="223">
        <f>$DN94*'Verwerking Bouwdelen'!FT21</f>
        <v>0</v>
      </c>
      <c r="DP94" s="223">
        <f>$DN94*'Verwerking Bouwdelen'!FU21</f>
        <v>0</v>
      </c>
      <c r="DQ94" s="223">
        <f>$DN94*'Verwerking Bouwdelen'!FV21</f>
        <v>0</v>
      </c>
      <c r="DR94" s="223">
        <f>$DN94*'Verwerking Bouwdelen'!FW21</f>
        <v>0</v>
      </c>
      <c r="DS94" s="223">
        <f>$DN94*'Verwerking Bouwdelen'!FX21</f>
        <v>0</v>
      </c>
      <c r="DT94" s="223">
        <f>$DN94*'Verwerking Bouwdelen'!FY21</f>
        <v>0</v>
      </c>
      <c r="DU94" s="223">
        <f>$DN94*'Verwerking Bouwdelen'!FZ21</f>
        <v>0</v>
      </c>
      <c r="DV94" s="223">
        <f>$DN94*'Verwerking Bouwdelen'!GA21</f>
        <v>0</v>
      </c>
      <c r="DW94" s="223">
        <f>$DN94*'Verwerking Bouwdelen'!GB21</f>
        <v>0</v>
      </c>
      <c r="DX94" s="223">
        <f>$DN94*'Verwerking Bouwdelen'!GC21</f>
        <v>0</v>
      </c>
      <c r="DY94" s="223">
        <f>$DN94*'Verwerking Bouwdelen'!GD21</f>
        <v>0</v>
      </c>
      <c r="DZ94" s="223">
        <f>$DN94*'Verwerking Bouwdelen'!GE21</f>
        <v>0</v>
      </c>
      <c r="EA94" s="89">
        <f>'Verwerking Bouwdelen'!GO21*DN94</f>
        <v>0</v>
      </c>
      <c r="EB94" s="125">
        <f>'Verwerking Bouwdelen'!GP21*DN94</f>
        <v>0</v>
      </c>
      <c r="EC94" s="89">
        <f t="shared" si="41"/>
        <v>0</v>
      </c>
      <c r="GN94" s="220">
        <f t="shared" si="29"/>
        <v>0</v>
      </c>
      <c r="GO94" s="220">
        <f t="shared" si="30"/>
        <v>0</v>
      </c>
      <c r="GP94" s="220">
        <f t="shared" si="31"/>
        <v>0</v>
      </c>
      <c r="GQ94" s="220">
        <f t="shared" si="32"/>
        <v>0</v>
      </c>
      <c r="GR94" s="220">
        <f t="shared" si="33"/>
        <v>0</v>
      </c>
      <c r="GS94" s="220">
        <f t="shared" si="34"/>
        <v>0</v>
      </c>
      <c r="GT94" s="220">
        <f t="shared" si="35"/>
        <v>0</v>
      </c>
      <c r="GU94" s="220">
        <f t="shared" si="36"/>
        <v>0</v>
      </c>
      <c r="GV94" s="220">
        <f t="shared" si="37"/>
        <v>0</v>
      </c>
      <c r="GW94" s="220">
        <f t="shared" si="38"/>
        <v>0</v>
      </c>
      <c r="GX94" s="220">
        <f t="shared" si="39"/>
        <v>0</v>
      </c>
      <c r="GY94" s="220">
        <f t="shared" si="40"/>
        <v>0</v>
      </c>
    </row>
    <row r="95" spans="1:207" x14ac:dyDescent="0.2">
      <c r="A95" s="89">
        <f>IF('Verwerking Bouwdelen'!A22=5,1,0)</f>
        <v>0</v>
      </c>
      <c r="B95" s="226">
        <f>$A95*'Verwerking Bouwdelen'!CJ22</f>
        <v>0</v>
      </c>
      <c r="C95" s="227">
        <f>$A95*'Verwerking Bouwdelen'!CK22</f>
        <v>0</v>
      </c>
      <c r="D95" s="227">
        <f>$A95*'Verwerking Bouwdelen'!CL22</f>
        <v>0</v>
      </c>
      <c r="E95" s="227">
        <f>$A95*'Verwerking Bouwdelen'!CM22</f>
        <v>0</v>
      </c>
      <c r="F95" s="227">
        <f>$A95*'Verwerking Bouwdelen'!CN22</f>
        <v>0</v>
      </c>
      <c r="G95" s="227">
        <f>$A95*'Verwerking Bouwdelen'!CO22</f>
        <v>0</v>
      </c>
      <c r="H95" s="227">
        <f>$A95*'Verwerking Bouwdelen'!CP22</f>
        <v>0</v>
      </c>
      <c r="I95" s="227">
        <f>$A95*'Verwerking Bouwdelen'!CQ22</f>
        <v>0</v>
      </c>
      <c r="J95" s="227">
        <f>$A95*'Verwerking Bouwdelen'!CR22</f>
        <v>0</v>
      </c>
      <c r="K95" s="227">
        <f>$A95*'Verwerking Bouwdelen'!CS22</f>
        <v>0</v>
      </c>
      <c r="L95" s="227">
        <f>$A95*'Verwerking Bouwdelen'!CT22</f>
        <v>0</v>
      </c>
      <c r="M95" s="228">
        <f>$A95*'Verwerking Bouwdelen'!CU22</f>
        <v>0</v>
      </c>
      <c r="DN95" s="89">
        <f>IF('Verwerking Bouwdelen'!A22=5,1,0)</f>
        <v>0</v>
      </c>
      <c r="DO95" s="223">
        <f>$DN95*'Verwerking Bouwdelen'!FT22</f>
        <v>0</v>
      </c>
      <c r="DP95" s="223">
        <f>$DN95*'Verwerking Bouwdelen'!FU22</f>
        <v>0</v>
      </c>
      <c r="DQ95" s="223">
        <f>$DN95*'Verwerking Bouwdelen'!FV22</f>
        <v>0</v>
      </c>
      <c r="DR95" s="223">
        <f>$DN95*'Verwerking Bouwdelen'!FW22</f>
        <v>0</v>
      </c>
      <c r="DS95" s="223">
        <f>$DN95*'Verwerking Bouwdelen'!FX22</f>
        <v>0</v>
      </c>
      <c r="DT95" s="223">
        <f>$DN95*'Verwerking Bouwdelen'!FY22</f>
        <v>0</v>
      </c>
      <c r="DU95" s="223">
        <f>$DN95*'Verwerking Bouwdelen'!FZ22</f>
        <v>0</v>
      </c>
      <c r="DV95" s="223">
        <f>$DN95*'Verwerking Bouwdelen'!GA22</f>
        <v>0</v>
      </c>
      <c r="DW95" s="223">
        <f>$DN95*'Verwerking Bouwdelen'!GB22</f>
        <v>0</v>
      </c>
      <c r="DX95" s="223">
        <f>$DN95*'Verwerking Bouwdelen'!GC22</f>
        <v>0</v>
      </c>
      <c r="DY95" s="223">
        <f>$DN95*'Verwerking Bouwdelen'!GD22</f>
        <v>0</v>
      </c>
      <c r="DZ95" s="223">
        <f>$DN95*'Verwerking Bouwdelen'!GE22</f>
        <v>0</v>
      </c>
      <c r="EA95" s="89">
        <f>'Verwerking Bouwdelen'!GO22*DN95</f>
        <v>0</v>
      </c>
      <c r="EB95" s="125">
        <f>'Verwerking Bouwdelen'!GP22*DN95</f>
        <v>0</v>
      </c>
      <c r="EC95" s="89">
        <f t="shared" si="41"/>
        <v>0</v>
      </c>
      <c r="GN95" s="220">
        <f t="shared" si="29"/>
        <v>0</v>
      </c>
      <c r="GO95" s="220">
        <f t="shared" si="30"/>
        <v>0</v>
      </c>
      <c r="GP95" s="220">
        <f t="shared" si="31"/>
        <v>0</v>
      </c>
      <c r="GQ95" s="220">
        <f t="shared" si="32"/>
        <v>0</v>
      </c>
      <c r="GR95" s="220">
        <f t="shared" si="33"/>
        <v>0</v>
      </c>
      <c r="GS95" s="220">
        <f t="shared" si="34"/>
        <v>0</v>
      </c>
      <c r="GT95" s="220">
        <f t="shared" si="35"/>
        <v>0</v>
      </c>
      <c r="GU95" s="220">
        <f t="shared" si="36"/>
        <v>0</v>
      </c>
      <c r="GV95" s="220">
        <f t="shared" si="37"/>
        <v>0</v>
      </c>
      <c r="GW95" s="220">
        <f t="shared" si="38"/>
        <v>0</v>
      </c>
      <c r="GX95" s="220">
        <f t="shared" si="39"/>
        <v>0</v>
      </c>
      <c r="GY95" s="220">
        <f t="shared" si="40"/>
        <v>0</v>
      </c>
    </row>
    <row r="96" spans="1:207" x14ac:dyDescent="0.2">
      <c r="A96" s="89">
        <f>IF('Verwerking Bouwdelen'!A23=5,1,0)</f>
        <v>0</v>
      </c>
      <c r="B96" s="226">
        <f>$A96*'Verwerking Bouwdelen'!CJ23</f>
        <v>0</v>
      </c>
      <c r="C96" s="227">
        <f>$A96*'Verwerking Bouwdelen'!CK23</f>
        <v>0</v>
      </c>
      <c r="D96" s="227">
        <f>$A96*'Verwerking Bouwdelen'!CL23</f>
        <v>0</v>
      </c>
      <c r="E96" s="227">
        <f>$A96*'Verwerking Bouwdelen'!CM23</f>
        <v>0</v>
      </c>
      <c r="F96" s="227">
        <f>$A96*'Verwerking Bouwdelen'!CN23</f>
        <v>0</v>
      </c>
      <c r="G96" s="227">
        <f>$A96*'Verwerking Bouwdelen'!CO23</f>
        <v>0</v>
      </c>
      <c r="H96" s="227">
        <f>$A96*'Verwerking Bouwdelen'!CP23</f>
        <v>0</v>
      </c>
      <c r="I96" s="227">
        <f>$A96*'Verwerking Bouwdelen'!CQ23</f>
        <v>0</v>
      </c>
      <c r="J96" s="227">
        <f>$A96*'Verwerking Bouwdelen'!CR23</f>
        <v>0</v>
      </c>
      <c r="K96" s="227">
        <f>$A96*'Verwerking Bouwdelen'!CS23</f>
        <v>0</v>
      </c>
      <c r="L96" s="227">
        <f>$A96*'Verwerking Bouwdelen'!CT23</f>
        <v>0</v>
      </c>
      <c r="M96" s="228">
        <f>$A96*'Verwerking Bouwdelen'!CU23</f>
        <v>0</v>
      </c>
      <c r="DN96" s="89">
        <f>IF('Verwerking Bouwdelen'!A23=5,1,0)</f>
        <v>0</v>
      </c>
      <c r="DO96" s="223">
        <f>$DN96*'Verwerking Bouwdelen'!FT23</f>
        <v>0</v>
      </c>
      <c r="DP96" s="223">
        <f>$DN96*'Verwerking Bouwdelen'!FU23</f>
        <v>0</v>
      </c>
      <c r="DQ96" s="223">
        <f>$DN96*'Verwerking Bouwdelen'!FV23</f>
        <v>0</v>
      </c>
      <c r="DR96" s="223">
        <f>$DN96*'Verwerking Bouwdelen'!FW23</f>
        <v>0</v>
      </c>
      <c r="DS96" s="223">
        <f>$DN96*'Verwerking Bouwdelen'!FX23</f>
        <v>0</v>
      </c>
      <c r="DT96" s="223">
        <f>$DN96*'Verwerking Bouwdelen'!FY23</f>
        <v>0</v>
      </c>
      <c r="DU96" s="223">
        <f>$DN96*'Verwerking Bouwdelen'!FZ23</f>
        <v>0</v>
      </c>
      <c r="DV96" s="223">
        <f>$DN96*'Verwerking Bouwdelen'!GA23</f>
        <v>0</v>
      </c>
      <c r="DW96" s="223">
        <f>$DN96*'Verwerking Bouwdelen'!GB23</f>
        <v>0</v>
      </c>
      <c r="DX96" s="223">
        <f>$DN96*'Verwerking Bouwdelen'!GC23</f>
        <v>0</v>
      </c>
      <c r="DY96" s="223">
        <f>$DN96*'Verwerking Bouwdelen'!GD23</f>
        <v>0</v>
      </c>
      <c r="DZ96" s="223">
        <f>$DN96*'Verwerking Bouwdelen'!GE23</f>
        <v>0</v>
      </c>
      <c r="EA96" s="89">
        <f>'Verwerking Bouwdelen'!GO23*DN96</f>
        <v>0</v>
      </c>
      <c r="EB96" s="125">
        <f>'Verwerking Bouwdelen'!GP23*DN96</f>
        <v>0</v>
      </c>
      <c r="EC96" s="89">
        <f t="shared" si="41"/>
        <v>0</v>
      </c>
      <c r="GN96" s="220">
        <f t="shared" si="29"/>
        <v>0</v>
      </c>
      <c r="GO96" s="220">
        <f t="shared" si="30"/>
        <v>0</v>
      </c>
      <c r="GP96" s="220">
        <f t="shared" si="31"/>
        <v>0</v>
      </c>
      <c r="GQ96" s="220">
        <f t="shared" si="32"/>
        <v>0</v>
      </c>
      <c r="GR96" s="220">
        <f t="shared" si="33"/>
        <v>0</v>
      </c>
      <c r="GS96" s="220">
        <f t="shared" si="34"/>
        <v>0</v>
      </c>
      <c r="GT96" s="220">
        <f t="shared" si="35"/>
        <v>0</v>
      </c>
      <c r="GU96" s="220">
        <f t="shared" si="36"/>
        <v>0</v>
      </c>
      <c r="GV96" s="220">
        <f t="shared" si="37"/>
        <v>0</v>
      </c>
      <c r="GW96" s="220">
        <f t="shared" si="38"/>
        <v>0</v>
      </c>
      <c r="GX96" s="220">
        <f t="shared" si="39"/>
        <v>0</v>
      </c>
      <c r="GY96" s="220">
        <f t="shared" si="40"/>
        <v>0</v>
      </c>
    </row>
    <row r="97" spans="1:207" x14ac:dyDescent="0.2">
      <c r="A97" s="89">
        <f>IF('Verwerking Bouwdelen'!A24=5,1,0)</f>
        <v>0</v>
      </c>
      <c r="B97" s="226">
        <f>$A97*'Verwerking Bouwdelen'!CJ24</f>
        <v>0</v>
      </c>
      <c r="C97" s="227">
        <f>$A97*'Verwerking Bouwdelen'!CK24</f>
        <v>0</v>
      </c>
      <c r="D97" s="227">
        <f>$A97*'Verwerking Bouwdelen'!CL24</f>
        <v>0</v>
      </c>
      <c r="E97" s="227">
        <f>$A97*'Verwerking Bouwdelen'!CM24</f>
        <v>0</v>
      </c>
      <c r="F97" s="227">
        <f>$A97*'Verwerking Bouwdelen'!CN24</f>
        <v>0</v>
      </c>
      <c r="G97" s="227">
        <f>$A97*'Verwerking Bouwdelen'!CO24</f>
        <v>0</v>
      </c>
      <c r="H97" s="227">
        <f>$A97*'Verwerking Bouwdelen'!CP24</f>
        <v>0</v>
      </c>
      <c r="I97" s="227">
        <f>$A97*'Verwerking Bouwdelen'!CQ24</f>
        <v>0</v>
      </c>
      <c r="J97" s="227">
        <f>$A97*'Verwerking Bouwdelen'!CR24</f>
        <v>0</v>
      </c>
      <c r="K97" s="227">
        <f>$A97*'Verwerking Bouwdelen'!CS24</f>
        <v>0</v>
      </c>
      <c r="L97" s="227">
        <f>$A97*'Verwerking Bouwdelen'!CT24</f>
        <v>0</v>
      </c>
      <c r="M97" s="228">
        <f>$A97*'Verwerking Bouwdelen'!CU24</f>
        <v>0</v>
      </c>
      <c r="DN97" s="89">
        <f>IF('Verwerking Bouwdelen'!A24=5,1,0)</f>
        <v>0</v>
      </c>
      <c r="DO97" s="223">
        <f>$DN97*'Verwerking Bouwdelen'!FT24</f>
        <v>0</v>
      </c>
      <c r="DP97" s="223">
        <f>$DN97*'Verwerking Bouwdelen'!FU24</f>
        <v>0</v>
      </c>
      <c r="DQ97" s="223">
        <f>$DN97*'Verwerking Bouwdelen'!FV24</f>
        <v>0</v>
      </c>
      <c r="DR97" s="223">
        <f>$DN97*'Verwerking Bouwdelen'!FW24</f>
        <v>0</v>
      </c>
      <c r="DS97" s="223">
        <f>$DN97*'Verwerking Bouwdelen'!FX24</f>
        <v>0</v>
      </c>
      <c r="DT97" s="223">
        <f>$DN97*'Verwerking Bouwdelen'!FY24</f>
        <v>0</v>
      </c>
      <c r="DU97" s="223">
        <f>$DN97*'Verwerking Bouwdelen'!FZ24</f>
        <v>0</v>
      </c>
      <c r="DV97" s="223">
        <f>$DN97*'Verwerking Bouwdelen'!GA24</f>
        <v>0</v>
      </c>
      <c r="DW97" s="223">
        <f>$DN97*'Verwerking Bouwdelen'!GB24</f>
        <v>0</v>
      </c>
      <c r="DX97" s="223">
        <f>$DN97*'Verwerking Bouwdelen'!GC24</f>
        <v>0</v>
      </c>
      <c r="DY97" s="223">
        <f>$DN97*'Verwerking Bouwdelen'!GD24</f>
        <v>0</v>
      </c>
      <c r="DZ97" s="223">
        <f>$DN97*'Verwerking Bouwdelen'!GE24</f>
        <v>0</v>
      </c>
      <c r="EA97" s="89">
        <f>'Verwerking Bouwdelen'!GO24*DN97</f>
        <v>0</v>
      </c>
      <c r="EB97" s="125">
        <f>'Verwerking Bouwdelen'!GP24*DN97</f>
        <v>0</v>
      </c>
      <c r="EC97" s="89">
        <f t="shared" si="41"/>
        <v>0</v>
      </c>
      <c r="GN97" s="220">
        <f t="shared" ref="GN97:GN118" si="42">DO97</f>
        <v>0</v>
      </c>
      <c r="GO97" s="220">
        <f t="shared" ref="GO97:GO118" si="43">DP97</f>
        <v>0</v>
      </c>
      <c r="GP97" s="220">
        <f t="shared" ref="GP97:GP118" si="44">DQ97</f>
        <v>0</v>
      </c>
      <c r="GQ97" s="220">
        <f t="shared" ref="GQ97:GY116" si="45">DR97</f>
        <v>0</v>
      </c>
      <c r="GR97" s="220">
        <f t="shared" si="45"/>
        <v>0</v>
      </c>
      <c r="GS97" s="220">
        <f t="shared" si="45"/>
        <v>0</v>
      </c>
      <c r="GT97" s="220">
        <f t="shared" si="45"/>
        <v>0</v>
      </c>
      <c r="GU97" s="220">
        <f t="shared" si="45"/>
        <v>0</v>
      </c>
      <c r="GV97" s="220">
        <f t="shared" si="45"/>
        <v>0</v>
      </c>
      <c r="GW97" s="220">
        <f t="shared" si="45"/>
        <v>0</v>
      </c>
      <c r="GX97" s="220">
        <f t="shared" si="45"/>
        <v>0</v>
      </c>
      <c r="GY97" s="220">
        <f t="shared" si="45"/>
        <v>0</v>
      </c>
    </row>
    <row r="98" spans="1:207" x14ac:dyDescent="0.2">
      <c r="A98" s="89">
        <f>IF('Verwerking Bouwdelen'!A25=5,1,0)</f>
        <v>0</v>
      </c>
      <c r="B98" s="226">
        <f>$A98*'Verwerking Bouwdelen'!CJ25</f>
        <v>0</v>
      </c>
      <c r="C98" s="227">
        <f>$A98*'Verwerking Bouwdelen'!CK25</f>
        <v>0</v>
      </c>
      <c r="D98" s="227">
        <f>$A98*'Verwerking Bouwdelen'!CL25</f>
        <v>0</v>
      </c>
      <c r="E98" s="227">
        <f>$A98*'Verwerking Bouwdelen'!CM25</f>
        <v>0</v>
      </c>
      <c r="F98" s="227">
        <f>$A98*'Verwerking Bouwdelen'!CN25</f>
        <v>0</v>
      </c>
      <c r="G98" s="227">
        <f>$A98*'Verwerking Bouwdelen'!CO25</f>
        <v>0</v>
      </c>
      <c r="H98" s="227">
        <f>$A98*'Verwerking Bouwdelen'!CP25</f>
        <v>0</v>
      </c>
      <c r="I98" s="227">
        <f>$A98*'Verwerking Bouwdelen'!CQ25</f>
        <v>0</v>
      </c>
      <c r="J98" s="227">
        <f>$A98*'Verwerking Bouwdelen'!CR25</f>
        <v>0</v>
      </c>
      <c r="K98" s="227">
        <f>$A98*'Verwerking Bouwdelen'!CS25</f>
        <v>0</v>
      </c>
      <c r="L98" s="227">
        <f>$A98*'Verwerking Bouwdelen'!CT25</f>
        <v>0</v>
      </c>
      <c r="M98" s="228">
        <f>$A98*'Verwerking Bouwdelen'!CU25</f>
        <v>0</v>
      </c>
      <c r="DN98" s="89">
        <f>IF('Verwerking Bouwdelen'!A25=5,1,0)</f>
        <v>0</v>
      </c>
      <c r="DO98" s="223">
        <f>$DN98*'Verwerking Bouwdelen'!FT25</f>
        <v>0</v>
      </c>
      <c r="DP98" s="223">
        <f>$DN98*'Verwerking Bouwdelen'!FU25</f>
        <v>0</v>
      </c>
      <c r="DQ98" s="223">
        <f>$DN98*'Verwerking Bouwdelen'!FV25</f>
        <v>0</v>
      </c>
      <c r="DR98" s="223">
        <f>$DN98*'Verwerking Bouwdelen'!FW25</f>
        <v>0</v>
      </c>
      <c r="DS98" s="223">
        <f>$DN98*'Verwerking Bouwdelen'!FX25</f>
        <v>0</v>
      </c>
      <c r="DT98" s="223">
        <f>$DN98*'Verwerking Bouwdelen'!FY25</f>
        <v>0</v>
      </c>
      <c r="DU98" s="223">
        <f>$DN98*'Verwerking Bouwdelen'!FZ25</f>
        <v>0</v>
      </c>
      <c r="DV98" s="223">
        <f>$DN98*'Verwerking Bouwdelen'!GA25</f>
        <v>0</v>
      </c>
      <c r="DW98" s="223">
        <f>$DN98*'Verwerking Bouwdelen'!GB25</f>
        <v>0</v>
      </c>
      <c r="DX98" s="223">
        <f>$DN98*'Verwerking Bouwdelen'!GC25</f>
        <v>0</v>
      </c>
      <c r="DY98" s="223">
        <f>$DN98*'Verwerking Bouwdelen'!GD25</f>
        <v>0</v>
      </c>
      <c r="DZ98" s="223">
        <f>$DN98*'Verwerking Bouwdelen'!GE25</f>
        <v>0</v>
      </c>
      <c r="EA98" s="89">
        <f>'Verwerking Bouwdelen'!GO25*DN98</f>
        <v>0</v>
      </c>
      <c r="EB98" s="125">
        <f>'Verwerking Bouwdelen'!GP25*DN98</f>
        <v>0</v>
      </c>
      <c r="EC98" s="89">
        <f t="shared" si="41"/>
        <v>0</v>
      </c>
      <c r="GN98" s="220">
        <f t="shared" si="42"/>
        <v>0</v>
      </c>
      <c r="GO98" s="220">
        <f t="shared" si="43"/>
        <v>0</v>
      </c>
      <c r="GP98" s="220">
        <f t="shared" si="44"/>
        <v>0</v>
      </c>
      <c r="GQ98" s="220">
        <f t="shared" si="45"/>
        <v>0</v>
      </c>
      <c r="GR98" s="220">
        <f t="shared" si="45"/>
        <v>0</v>
      </c>
      <c r="GS98" s="220">
        <f t="shared" si="45"/>
        <v>0</v>
      </c>
      <c r="GT98" s="220">
        <f t="shared" si="45"/>
        <v>0</v>
      </c>
      <c r="GU98" s="220">
        <f t="shared" si="45"/>
        <v>0</v>
      </c>
      <c r="GV98" s="220">
        <f t="shared" si="45"/>
        <v>0</v>
      </c>
      <c r="GW98" s="220">
        <f t="shared" si="45"/>
        <v>0</v>
      </c>
      <c r="GX98" s="220">
        <f t="shared" si="45"/>
        <v>0</v>
      </c>
      <c r="GY98" s="220">
        <f t="shared" si="45"/>
        <v>0</v>
      </c>
    </row>
    <row r="99" spans="1:207" x14ac:dyDescent="0.2">
      <c r="A99" s="89">
        <f>IF('Verwerking Bouwdelen'!A26=5,1,0)</f>
        <v>0</v>
      </c>
      <c r="B99" s="226">
        <f>$A99*'Verwerking Bouwdelen'!CJ26</f>
        <v>0</v>
      </c>
      <c r="C99" s="227">
        <f>$A99*'Verwerking Bouwdelen'!CK26</f>
        <v>0</v>
      </c>
      <c r="D99" s="227">
        <f>$A99*'Verwerking Bouwdelen'!CL26</f>
        <v>0</v>
      </c>
      <c r="E99" s="227">
        <f>$A99*'Verwerking Bouwdelen'!CM26</f>
        <v>0</v>
      </c>
      <c r="F99" s="227">
        <f>$A99*'Verwerking Bouwdelen'!CN26</f>
        <v>0</v>
      </c>
      <c r="G99" s="227">
        <f>$A99*'Verwerking Bouwdelen'!CO26</f>
        <v>0</v>
      </c>
      <c r="H99" s="227">
        <f>$A99*'Verwerking Bouwdelen'!CP26</f>
        <v>0</v>
      </c>
      <c r="I99" s="227">
        <f>$A99*'Verwerking Bouwdelen'!CQ26</f>
        <v>0</v>
      </c>
      <c r="J99" s="227">
        <f>$A99*'Verwerking Bouwdelen'!CR26</f>
        <v>0</v>
      </c>
      <c r="K99" s="227">
        <f>$A99*'Verwerking Bouwdelen'!CS26</f>
        <v>0</v>
      </c>
      <c r="L99" s="227">
        <f>$A99*'Verwerking Bouwdelen'!CT26</f>
        <v>0</v>
      </c>
      <c r="M99" s="228">
        <f>$A99*'Verwerking Bouwdelen'!CU26</f>
        <v>0</v>
      </c>
      <c r="DN99" s="89">
        <f>IF('Verwerking Bouwdelen'!A26=5,1,0)</f>
        <v>0</v>
      </c>
      <c r="DO99" s="223">
        <f>$DN99*'Verwerking Bouwdelen'!FT26</f>
        <v>0</v>
      </c>
      <c r="DP99" s="223">
        <f>$DN99*'Verwerking Bouwdelen'!FU26</f>
        <v>0</v>
      </c>
      <c r="DQ99" s="223">
        <f>$DN99*'Verwerking Bouwdelen'!FV26</f>
        <v>0</v>
      </c>
      <c r="DR99" s="223">
        <f>$DN99*'Verwerking Bouwdelen'!FW26</f>
        <v>0</v>
      </c>
      <c r="DS99" s="223">
        <f>$DN99*'Verwerking Bouwdelen'!FX26</f>
        <v>0</v>
      </c>
      <c r="DT99" s="223">
        <f>$DN99*'Verwerking Bouwdelen'!FY26</f>
        <v>0</v>
      </c>
      <c r="DU99" s="223">
        <f>$DN99*'Verwerking Bouwdelen'!FZ26</f>
        <v>0</v>
      </c>
      <c r="DV99" s="223">
        <f>$DN99*'Verwerking Bouwdelen'!GA26</f>
        <v>0</v>
      </c>
      <c r="DW99" s="223">
        <f>$DN99*'Verwerking Bouwdelen'!GB26</f>
        <v>0</v>
      </c>
      <c r="DX99" s="223">
        <f>$DN99*'Verwerking Bouwdelen'!GC26</f>
        <v>0</v>
      </c>
      <c r="DY99" s="223">
        <f>$DN99*'Verwerking Bouwdelen'!GD26</f>
        <v>0</v>
      </c>
      <c r="DZ99" s="223">
        <f>$DN99*'Verwerking Bouwdelen'!GE26</f>
        <v>0</v>
      </c>
      <c r="EA99" s="89">
        <f>'Verwerking Bouwdelen'!GO26*DN99</f>
        <v>0</v>
      </c>
      <c r="EB99" s="125">
        <f>'Verwerking Bouwdelen'!GP26*DN99</f>
        <v>0</v>
      </c>
      <c r="EC99" s="89">
        <f t="shared" si="41"/>
        <v>0</v>
      </c>
      <c r="GN99" s="220">
        <f t="shared" si="42"/>
        <v>0</v>
      </c>
      <c r="GO99" s="220">
        <f t="shared" si="43"/>
        <v>0</v>
      </c>
      <c r="GP99" s="220">
        <f t="shared" si="44"/>
        <v>0</v>
      </c>
      <c r="GQ99" s="220">
        <f t="shared" si="45"/>
        <v>0</v>
      </c>
      <c r="GR99" s="220">
        <f t="shared" si="45"/>
        <v>0</v>
      </c>
      <c r="GS99" s="220">
        <f t="shared" si="45"/>
        <v>0</v>
      </c>
      <c r="GT99" s="220">
        <f t="shared" si="45"/>
        <v>0</v>
      </c>
      <c r="GU99" s="220">
        <f t="shared" si="45"/>
        <v>0</v>
      </c>
      <c r="GV99" s="220">
        <f t="shared" si="45"/>
        <v>0</v>
      </c>
      <c r="GW99" s="220">
        <f t="shared" si="45"/>
        <v>0</v>
      </c>
      <c r="GX99" s="220">
        <f t="shared" si="45"/>
        <v>0</v>
      </c>
      <c r="GY99" s="220">
        <f t="shared" si="45"/>
        <v>0</v>
      </c>
    </row>
    <row r="100" spans="1:207" x14ac:dyDescent="0.2">
      <c r="A100" s="89">
        <f>IF('Verwerking Bouwdelen'!A27=5,1,0)</f>
        <v>0</v>
      </c>
      <c r="B100" s="226">
        <f>$A100*'Verwerking Bouwdelen'!CJ27</f>
        <v>0</v>
      </c>
      <c r="C100" s="227">
        <f>$A100*'Verwerking Bouwdelen'!CK27</f>
        <v>0</v>
      </c>
      <c r="D100" s="227">
        <f>$A100*'Verwerking Bouwdelen'!CL27</f>
        <v>0</v>
      </c>
      <c r="E100" s="227">
        <f>$A100*'Verwerking Bouwdelen'!CM27</f>
        <v>0</v>
      </c>
      <c r="F100" s="227">
        <f>$A100*'Verwerking Bouwdelen'!CN27</f>
        <v>0</v>
      </c>
      <c r="G100" s="227">
        <f>$A100*'Verwerking Bouwdelen'!CO27</f>
        <v>0</v>
      </c>
      <c r="H100" s="227">
        <f>$A100*'Verwerking Bouwdelen'!CP27</f>
        <v>0</v>
      </c>
      <c r="I100" s="227">
        <f>$A100*'Verwerking Bouwdelen'!CQ27</f>
        <v>0</v>
      </c>
      <c r="J100" s="227">
        <f>$A100*'Verwerking Bouwdelen'!CR27</f>
        <v>0</v>
      </c>
      <c r="K100" s="227">
        <f>$A100*'Verwerking Bouwdelen'!CS27</f>
        <v>0</v>
      </c>
      <c r="L100" s="227">
        <f>$A100*'Verwerking Bouwdelen'!CT27</f>
        <v>0</v>
      </c>
      <c r="M100" s="228">
        <f>$A100*'Verwerking Bouwdelen'!CU27</f>
        <v>0</v>
      </c>
      <c r="DN100" s="89">
        <f>IF('Verwerking Bouwdelen'!A27=5,1,0)</f>
        <v>0</v>
      </c>
      <c r="DO100" s="223">
        <f>$DN100*'Verwerking Bouwdelen'!FT27</f>
        <v>0</v>
      </c>
      <c r="DP100" s="223">
        <f>$DN100*'Verwerking Bouwdelen'!FU27</f>
        <v>0</v>
      </c>
      <c r="DQ100" s="223">
        <f>$DN100*'Verwerking Bouwdelen'!FV27</f>
        <v>0</v>
      </c>
      <c r="DR100" s="223">
        <f>$DN100*'Verwerking Bouwdelen'!FW27</f>
        <v>0</v>
      </c>
      <c r="DS100" s="223">
        <f>$DN100*'Verwerking Bouwdelen'!FX27</f>
        <v>0</v>
      </c>
      <c r="DT100" s="223">
        <f>$DN100*'Verwerking Bouwdelen'!FY27</f>
        <v>0</v>
      </c>
      <c r="DU100" s="223">
        <f>$DN100*'Verwerking Bouwdelen'!FZ27</f>
        <v>0</v>
      </c>
      <c r="DV100" s="223">
        <f>$DN100*'Verwerking Bouwdelen'!GA27</f>
        <v>0</v>
      </c>
      <c r="DW100" s="223">
        <f>$DN100*'Verwerking Bouwdelen'!GB27</f>
        <v>0</v>
      </c>
      <c r="DX100" s="223">
        <f>$DN100*'Verwerking Bouwdelen'!GC27</f>
        <v>0</v>
      </c>
      <c r="DY100" s="223">
        <f>$DN100*'Verwerking Bouwdelen'!GD27</f>
        <v>0</v>
      </c>
      <c r="DZ100" s="223">
        <f>$DN100*'Verwerking Bouwdelen'!GE27</f>
        <v>0</v>
      </c>
      <c r="EA100" s="89">
        <f>'Verwerking Bouwdelen'!GO27*DN100</f>
        <v>0</v>
      </c>
      <c r="EB100" s="125">
        <f>'Verwerking Bouwdelen'!GP27*DN100</f>
        <v>0</v>
      </c>
      <c r="EC100" s="89">
        <f t="shared" si="41"/>
        <v>0</v>
      </c>
      <c r="GN100" s="220">
        <f t="shared" si="42"/>
        <v>0</v>
      </c>
      <c r="GO100" s="220">
        <f t="shared" si="43"/>
        <v>0</v>
      </c>
      <c r="GP100" s="220">
        <f t="shared" si="44"/>
        <v>0</v>
      </c>
      <c r="GQ100" s="220">
        <f t="shared" si="45"/>
        <v>0</v>
      </c>
      <c r="GR100" s="220">
        <f t="shared" si="45"/>
        <v>0</v>
      </c>
      <c r="GS100" s="220">
        <f t="shared" si="45"/>
        <v>0</v>
      </c>
      <c r="GT100" s="220">
        <f t="shared" si="45"/>
        <v>0</v>
      </c>
      <c r="GU100" s="220">
        <f t="shared" si="45"/>
        <v>0</v>
      </c>
      <c r="GV100" s="220">
        <f t="shared" si="45"/>
        <v>0</v>
      </c>
      <c r="GW100" s="220">
        <f t="shared" si="45"/>
        <v>0</v>
      </c>
      <c r="GX100" s="220">
        <f t="shared" si="45"/>
        <v>0</v>
      </c>
      <c r="GY100" s="220">
        <f t="shared" si="45"/>
        <v>0</v>
      </c>
    </row>
    <row r="101" spans="1:207" x14ac:dyDescent="0.2">
      <c r="A101" s="89">
        <f>IF('Verwerking Bouwdelen'!A28=5,1,0)</f>
        <v>0</v>
      </c>
      <c r="B101" s="226">
        <f>$A101*'Verwerking Bouwdelen'!CJ28</f>
        <v>0</v>
      </c>
      <c r="C101" s="227">
        <f>$A101*'Verwerking Bouwdelen'!CK28</f>
        <v>0</v>
      </c>
      <c r="D101" s="227">
        <f>$A101*'Verwerking Bouwdelen'!CL28</f>
        <v>0</v>
      </c>
      <c r="E101" s="227">
        <f>$A101*'Verwerking Bouwdelen'!CM28</f>
        <v>0</v>
      </c>
      <c r="F101" s="227">
        <f>$A101*'Verwerking Bouwdelen'!CN28</f>
        <v>0</v>
      </c>
      <c r="G101" s="227">
        <f>$A101*'Verwerking Bouwdelen'!CO28</f>
        <v>0</v>
      </c>
      <c r="H101" s="227">
        <f>$A101*'Verwerking Bouwdelen'!CP28</f>
        <v>0</v>
      </c>
      <c r="I101" s="227">
        <f>$A101*'Verwerking Bouwdelen'!CQ28</f>
        <v>0</v>
      </c>
      <c r="J101" s="227">
        <f>$A101*'Verwerking Bouwdelen'!CR28</f>
        <v>0</v>
      </c>
      <c r="K101" s="227">
        <f>$A101*'Verwerking Bouwdelen'!CS28</f>
        <v>0</v>
      </c>
      <c r="L101" s="227">
        <f>$A101*'Verwerking Bouwdelen'!CT28</f>
        <v>0</v>
      </c>
      <c r="M101" s="228">
        <f>$A101*'Verwerking Bouwdelen'!CU28</f>
        <v>0</v>
      </c>
      <c r="DN101" s="89">
        <f>IF('Verwerking Bouwdelen'!A28=5,1,0)</f>
        <v>0</v>
      </c>
      <c r="DO101" s="223">
        <f>$DN101*'Verwerking Bouwdelen'!FT28</f>
        <v>0</v>
      </c>
      <c r="DP101" s="223">
        <f>$DN101*'Verwerking Bouwdelen'!FU28</f>
        <v>0</v>
      </c>
      <c r="DQ101" s="223">
        <f>$DN101*'Verwerking Bouwdelen'!FV28</f>
        <v>0</v>
      </c>
      <c r="DR101" s="223">
        <f>$DN101*'Verwerking Bouwdelen'!FW28</f>
        <v>0</v>
      </c>
      <c r="DS101" s="223">
        <f>$DN101*'Verwerking Bouwdelen'!FX28</f>
        <v>0</v>
      </c>
      <c r="DT101" s="223">
        <f>$DN101*'Verwerking Bouwdelen'!FY28</f>
        <v>0</v>
      </c>
      <c r="DU101" s="223">
        <f>$DN101*'Verwerking Bouwdelen'!FZ28</f>
        <v>0</v>
      </c>
      <c r="DV101" s="223">
        <f>$DN101*'Verwerking Bouwdelen'!GA28</f>
        <v>0</v>
      </c>
      <c r="DW101" s="223">
        <f>$DN101*'Verwerking Bouwdelen'!GB28</f>
        <v>0</v>
      </c>
      <c r="DX101" s="223">
        <f>$DN101*'Verwerking Bouwdelen'!GC28</f>
        <v>0</v>
      </c>
      <c r="DY101" s="223">
        <f>$DN101*'Verwerking Bouwdelen'!GD28</f>
        <v>0</v>
      </c>
      <c r="DZ101" s="223">
        <f>$DN101*'Verwerking Bouwdelen'!GE28</f>
        <v>0</v>
      </c>
      <c r="EA101" s="89">
        <f>'Verwerking Bouwdelen'!GO28*DN101</f>
        <v>0</v>
      </c>
      <c r="EB101" s="125">
        <f>'Verwerking Bouwdelen'!GP28*DN101</f>
        <v>0</v>
      </c>
      <c r="EC101" s="89">
        <f t="shared" si="41"/>
        <v>0</v>
      </c>
      <c r="GN101" s="220">
        <f t="shared" si="42"/>
        <v>0</v>
      </c>
      <c r="GO101" s="220">
        <f t="shared" si="43"/>
        <v>0</v>
      </c>
      <c r="GP101" s="220">
        <f t="shared" si="44"/>
        <v>0</v>
      </c>
      <c r="GQ101" s="220">
        <f t="shared" si="45"/>
        <v>0</v>
      </c>
      <c r="GR101" s="220">
        <f t="shared" si="45"/>
        <v>0</v>
      </c>
      <c r="GS101" s="220">
        <f t="shared" si="45"/>
        <v>0</v>
      </c>
      <c r="GT101" s="220">
        <f t="shared" si="45"/>
        <v>0</v>
      </c>
      <c r="GU101" s="220">
        <f t="shared" si="45"/>
        <v>0</v>
      </c>
      <c r="GV101" s="220">
        <f t="shared" si="45"/>
        <v>0</v>
      </c>
      <c r="GW101" s="220">
        <f t="shared" si="45"/>
        <v>0</v>
      </c>
      <c r="GX101" s="220">
        <f t="shared" si="45"/>
        <v>0</v>
      </c>
      <c r="GY101" s="220">
        <f t="shared" si="45"/>
        <v>0</v>
      </c>
    </row>
    <row r="102" spans="1:207" x14ac:dyDescent="0.2">
      <c r="A102" s="89">
        <f>IF('Verwerking Bouwdelen'!A29=5,1,0)</f>
        <v>0</v>
      </c>
      <c r="B102" s="226">
        <f>$A102*'Verwerking Bouwdelen'!CJ29</f>
        <v>0</v>
      </c>
      <c r="C102" s="227">
        <f>$A102*'Verwerking Bouwdelen'!CK29</f>
        <v>0</v>
      </c>
      <c r="D102" s="227">
        <f>$A102*'Verwerking Bouwdelen'!CL29</f>
        <v>0</v>
      </c>
      <c r="E102" s="227">
        <f>$A102*'Verwerking Bouwdelen'!CM29</f>
        <v>0</v>
      </c>
      <c r="F102" s="227">
        <f>$A102*'Verwerking Bouwdelen'!CN29</f>
        <v>0</v>
      </c>
      <c r="G102" s="227">
        <f>$A102*'Verwerking Bouwdelen'!CO29</f>
        <v>0</v>
      </c>
      <c r="H102" s="227">
        <f>$A102*'Verwerking Bouwdelen'!CP29</f>
        <v>0</v>
      </c>
      <c r="I102" s="227">
        <f>$A102*'Verwerking Bouwdelen'!CQ29</f>
        <v>0</v>
      </c>
      <c r="J102" s="227">
        <f>$A102*'Verwerking Bouwdelen'!CR29</f>
        <v>0</v>
      </c>
      <c r="K102" s="227">
        <f>$A102*'Verwerking Bouwdelen'!CS29</f>
        <v>0</v>
      </c>
      <c r="L102" s="227">
        <f>$A102*'Verwerking Bouwdelen'!CT29</f>
        <v>0</v>
      </c>
      <c r="M102" s="228">
        <f>$A102*'Verwerking Bouwdelen'!CU29</f>
        <v>0</v>
      </c>
      <c r="DN102" s="89">
        <f>IF('Verwerking Bouwdelen'!A29=5,1,0)</f>
        <v>0</v>
      </c>
      <c r="DO102" s="223">
        <f>$DN102*'Verwerking Bouwdelen'!FT29</f>
        <v>0</v>
      </c>
      <c r="DP102" s="223">
        <f>$DN102*'Verwerking Bouwdelen'!FU29</f>
        <v>0</v>
      </c>
      <c r="DQ102" s="223">
        <f>$DN102*'Verwerking Bouwdelen'!FV29</f>
        <v>0</v>
      </c>
      <c r="DR102" s="223">
        <f>$DN102*'Verwerking Bouwdelen'!FW29</f>
        <v>0</v>
      </c>
      <c r="DS102" s="223">
        <f>$DN102*'Verwerking Bouwdelen'!FX29</f>
        <v>0</v>
      </c>
      <c r="DT102" s="223">
        <f>$DN102*'Verwerking Bouwdelen'!FY29</f>
        <v>0</v>
      </c>
      <c r="DU102" s="223">
        <f>$DN102*'Verwerking Bouwdelen'!FZ29</f>
        <v>0</v>
      </c>
      <c r="DV102" s="223">
        <f>$DN102*'Verwerking Bouwdelen'!GA29</f>
        <v>0</v>
      </c>
      <c r="DW102" s="223">
        <f>$DN102*'Verwerking Bouwdelen'!GB29</f>
        <v>0</v>
      </c>
      <c r="DX102" s="223">
        <f>$DN102*'Verwerking Bouwdelen'!GC29</f>
        <v>0</v>
      </c>
      <c r="DY102" s="223">
        <f>$DN102*'Verwerking Bouwdelen'!GD29</f>
        <v>0</v>
      </c>
      <c r="DZ102" s="223">
        <f>$DN102*'Verwerking Bouwdelen'!GE29</f>
        <v>0</v>
      </c>
      <c r="EA102" s="89">
        <f>'Verwerking Bouwdelen'!GO29*DN102</f>
        <v>0</v>
      </c>
      <c r="EB102" s="125">
        <f>'Verwerking Bouwdelen'!GP29*DN102</f>
        <v>0</v>
      </c>
      <c r="EC102" s="89">
        <f t="shared" si="41"/>
        <v>0</v>
      </c>
      <c r="GN102" s="220">
        <f t="shared" si="42"/>
        <v>0</v>
      </c>
      <c r="GO102" s="220">
        <f t="shared" si="43"/>
        <v>0</v>
      </c>
      <c r="GP102" s="220">
        <f t="shared" si="44"/>
        <v>0</v>
      </c>
      <c r="GQ102" s="220">
        <f t="shared" si="45"/>
        <v>0</v>
      </c>
      <c r="GR102" s="220">
        <f t="shared" si="45"/>
        <v>0</v>
      </c>
      <c r="GS102" s="220">
        <f t="shared" si="45"/>
        <v>0</v>
      </c>
      <c r="GT102" s="220">
        <f t="shared" si="45"/>
        <v>0</v>
      </c>
      <c r="GU102" s="220">
        <f t="shared" si="45"/>
        <v>0</v>
      </c>
      <c r="GV102" s="220">
        <f t="shared" si="45"/>
        <v>0</v>
      </c>
      <c r="GW102" s="220">
        <f t="shared" si="45"/>
        <v>0</v>
      </c>
      <c r="GX102" s="220">
        <f t="shared" si="45"/>
        <v>0</v>
      </c>
      <c r="GY102" s="220">
        <f t="shared" si="45"/>
        <v>0</v>
      </c>
    </row>
    <row r="103" spans="1:207" x14ac:dyDescent="0.2">
      <c r="A103" s="89">
        <f>IF('Verwerking Bouwdelen'!A30=5,1,0)</f>
        <v>0</v>
      </c>
      <c r="B103" s="226">
        <f>$A103*'Verwerking Bouwdelen'!CJ30</f>
        <v>0</v>
      </c>
      <c r="C103" s="227">
        <f>$A103*'Verwerking Bouwdelen'!CK30</f>
        <v>0</v>
      </c>
      <c r="D103" s="227">
        <f>$A103*'Verwerking Bouwdelen'!CL30</f>
        <v>0</v>
      </c>
      <c r="E103" s="227">
        <f>$A103*'Verwerking Bouwdelen'!CM30</f>
        <v>0</v>
      </c>
      <c r="F103" s="227">
        <f>$A103*'Verwerking Bouwdelen'!CN30</f>
        <v>0</v>
      </c>
      <c r="G103" s="227">
        <f>$A103*'Verwerking Bouwdelen'!CO30</f>
        <v>0</v>
      </c>
      <c r="H103" s="227">
        <f>$A103*'Verwerking Bouwdelen'!CP30</f>
        <v>0</v>
      </c>
      <c r="I103" s="227">
        <f>$A103*'Verwerking Bouwdelen'!CQ30</f>
        <v>0</v>
      </c>
      <c r="J103" s="227">
        <f>$A103*'Verwerking Bouwdelen'!CR30</f>
        <v>0</v>
      </c>
      <c r="K103" s="227">
        <f>$A103*'Verwerking Bouwdelen'!CS30</f>
        <v>0</v>
      </c>
      <c r="L103" s="227">
        <f>$A103*'Verwerking Bouwdelen'!CT30</f>
        <v>0</v>
      </c>
      <c r="M103" s="228">
        <f>$A103*'Verwerking Bouwdelen'!CU30</f>
        <v>0</v>
      </c>
      <c r="DN103" s="89">
        <f>IF('Verwerking Bouwdelen'!A30=5,1,0)</f>
        <v>0</v>
      </c>
      <c r="DO103" s="223">
        <f>$DN103*'Verwerking Bouwdelen'!FT30</f>
        <v>0</v>
      </c>
      <c r="DP103" s="223">
        <f>$DN103*'Verwerking Bouwdelen'!FU30</f>
        <v>0</v>
      </c>
      <c r="DQ103" s="223">
        <f>$DN103*'Verwerking Bouwdelen'!FV30</f>
        <v>0</v>
      </c>
      <c r="DR103" s="223">
        <f>$DN103*'Verwerking Bouwdelen'!FW30</f>
        <v>0</v>
      </c>
      <c r="DS103" s="223">
        <f>$DN103*'Verwerking Bouwdelen'!FX30</f>
        <v>0</v>
      </c>
      <c r="DT103" s="223">
        <f>$DN103*'Verwerking Bouwdelen'!FY30</f>
        <v>0</v>
      </c>
      <c r="DU103" s="223">
        <f>$DN103*'Verwerking Bouwdelen'!FZ30</f>
        <v>0</v>
      </c>
      <c r="DV103" s="223">
        <f>$DN103*'Verwerking Bouwdelen'!GA30</f>
        <v>0</v>
      </c>
      <c r="DW103" s="223">
        <f>$DN103*'Verwerking Bouwdelen'!GB30</f>
        <v>0</v>
      </c>
      <c r="DX103" s="223">
        <f>$DN103*'Verwerking Bouwdelen'!GC30</f>
        <v>0</v>
      </c>
      <c r="DY103" s="223">
        <f>$DN103*'Verwerking Bouwdelen'!GD30</f>
        <v>0</v>
      </c>
      <c r="DZ103" s="223">
        <f>$DN103*'Verwerking Bouwdelen'!GE30</f>
        <v>0</v>
      </c>
      <c r="EA103" s="89">
        <f>'Verwerking Bouwdelen'!GO30*DN103</f>
        <v>0</v>
      </c>
      <c r="EB103" s="125">
        <f>'Verwerking Bouwdelen'!GP30*DN103</f>
        <v>0</v>
      </c>
      <c r="EC103" s="89">
        <f t="shared" si="41"/>
        <v>0</v>
      </c>
      <c r="GN103" s="220">
        <f t="shared" si="42"/>
        <v>0</v>
      </c>
      <c r="GO103" s="220">
        <f t="shared" si="43"/>
        <v>0</v>
      </c>
      <c r="GP103" s="220">
        <f t="shared" si="44"/>
        <v>0</v>
      </c>
      <c r="GQ103" s="220">
        <f t="shared" si="45"/>
        <v>0</v>
      </c>
      <c r="GR103" s="220">
        <f t="shared" si="45"/>
        <v>0</v>
      </c>
      <c r="GS103" s="220">
        <f t="shared" si="45"/>
        <v>0</v>
      </c>
      <c r="GT103" s="220">
        <f t="shared" si="45"/>
        <v>0</v>
      </c>
      <c r="GU103" s="220">
        <f t="shared" si="45"/>
        <v>0</v>
      </c>
      <c r="GV103" s="220">
        <f t="shared" si="45"/>
        <v>0</v>
      </c>
      <c r="GW103" s="220">
        <f t="shared" si="45"/>
        <v>0</v>
      </c>
      <c r="GX103" s="220">
        <f t="shared" si="45"/>
        <v>0</v>
      </c>
      <c r="GY103" s="220">
        <f t="shared" si="45"/>
        <v>0</v>
      </c>
    </row>
    <row r="104" spans="1:207" x14ac:dyDescent="0.2">
      <c r="A104" s="89">
        <f>IF('Verwerking Bouwdelen'!A31=5,1,0)</f>
        <v>0</v>
      </c>
      <c r="B104" s="226">
        <f>$A104*'Verwerking Bouwdelen'!CJ31</f>
        <v>0</v>
      </c>
      <c r="C104" s="227">
        <f>$A104*'Verwerking Bouwdelen'!CK31</f>
        <v>0</v>
      </c>
      <c r="D104" s="227">
        <f>$A104*'Verwerking Bouwdelen'!CL31</f>
        <v>0</v>
      </c>
      <c r="E104" s="227">
        <f>$A104*'Verwerking Bouwdelen'!CM31</f>
        <v>0</v>
      </c>
      <c r="F104" s="227">
        <f>$A104*'Verwerking Bouwdelen'!CN31</f>
        <v>0</v>
      </c>
      <c r="G104" s="227">
        <f>$A104*'Verwerking Bouwdelen'!CO31</f>
        <v>0</v>
      </c>
      <c r="H104" s="227">
        <f>$A104*'Verwerking Bouwdelen'!CP31</f>
        <v>0</v>
      </c>
      <c r="I104" s="227">
        <f>$A104*'Verwerking Bouwdelen'!CQ31</f>
        <v>0</v>
      </c>
      <c r="J104" s="227">
        <f>$A104*'Verwerking Bouwdelen'!CR31</f>
        <v>0</v>
      </c>
      <c r="K104" s="227">
        <f>$A104*'Verwerking Bouwdelen'!CS31</f>
        <v>0</v>
      </c>
      <c r="L104" s="227">
        <f>$A104*'Verwerking Bouwdelen'!CT31</f>
        <v>0</v>
      </c>
      <c r="M104" s="228">
        <f>$A104*'Verwerking Bouwdelen'!CU31</f>
        <v>0</v>
      </c>
      <c r="DN104" s="89">
        <f>IF('Verwerking Bouwdelen'!A31=5,1,0)</f>
        <v>0</v>
      </c>
      <c r="DO104" s="223">
        <f>$DN104*'Verwerking Bouwdelen'!FT31</f>
        <v>0</v>
      </c>
      <c r="DP104" s="223">
        <f>$DN104*'Verwerking Bouwdelen'!FU31</f>
        <v>0</v>
      </c>
      <c r="DQ104" s="223">
        <f>$DN104*'Verwerking Bouwdelen'!FV31</f>
        <v>0</v>
      </c>
      <c r="DR104" s="223">
        <f>$DN104*'Verwerking Bouwdelen'!FW31</f>
        <v>0</v>
      </c>
      <c r="DS104" s="223">
        <f>$DN104*'Verwerking Bouwdelen'!FX31</f>
        <v>0</v>
      </c>
      <c r="DT104" s="223">
        <f>$DN104*'Verwerking Bouwdelen'!FY31</f>
        <v>0</v>
      </c>
      <c r="DU104" s="223">
        <f>$DN104*'Verwerking Bouwdelen'!FZ31</f>
        <v>0</v>
      </c>
      <c r="DV104" s="223">
        <f>$DN104*'Verwerking Bouwdelen'!GA31</f>
        <v>0</v>
      </c>
      <c r="DW104" s="223">
        <f>$DN104*'Verwerking Bouwdelen'!GB31</f>
        <v>0</v>
      </c>
      <c r="DX104" s="223">
        <f>$DN104*'Verwerking Bouwdelen'!GC31</f>
        <v>0</v>
      </c>
      <c r="DY104" s="223">
        <f>$DN104*'Verwerking Bouwdelen'!GD31</f>
        <v>0</v>
      </c>
      <c r="DZ104" s="223">
        <f>$DN104*'Verwerking Bouwdelen'!GE31</f>
        <v>0</v>
      </c>
      <c r="EA104" s="89">
        <f>'Verwerking Bouwdelen'!GO31*DN104</f>
        <v>0</v>
      </c>
      <c r="EB104" s="125">
        <f>'Verwerking Bouwdelen'!GP31*DN104</f>
        <v>0</v>
      </c>
      <c r="EC104" s="89">
        <f t="shared" si="41"/>
        <v>0</v>
      </c>
      <c r="GN104" s="220">
        <f t="shared" si="42"/>
        <v>0</v>
      </c>
      <c r="GO104" s="220">
        <f t="shared" si="43"/>
        <v>0</v>
      </c>
      <c r="GP104" s="220">
        <f t="shared" si="44"/>
        <v>0</v>
      </c>
      <c r="GQ104" s="220">
        <f t="shared" si="45"/>
        <v>0</v>
      </c>
      <c r="GR104" s="220">
        <f t="shared" si="45"/>
        <v>0</v>
      </c>
      <c r="GS104" s="220">
        <f t="shared" si="45"/>
        <v>0</v>
      </c>
      <c r="GT104" s="220">
        <f t="shared" si="45"/>
        <v>0</v>
      </c>
      <c r="GU104" s="220">
        <f t="shared" si="45"/>
        <v>0</v>
      </c>
      <c r="GV104" s="220">
        <f t="shared" si="45"/>
        <v>0</v>
      </c>
      <c r="GW104" s="220">
        <f t="shared" si="45"/>
        <v>0</v>
      </c>
      <c r="GX104" s="220">
        <f t="shared" si="45"/>
        <v>0</v>
      </c>
      <c r="GY104" s="220">
        <f t="shared" si="45"/>
        <v>0</v>
      </c>
    </row>
    <row r="105" spans="1:207" x14ac:dyDescent="0.2">
      <c r="A105" s="89">
        <f>IF('Verwerking Bouwdelen'!A32=5,1,0)</f>
        <v>0</v>
      </c>
      <c r="B105" s="226">
        <f>$A105*'Verwerking Bouwdelen'!CJ32</f>
        <v>0</v>
      </c>
      <c r="C105" s="227">
        <f>$A105*'Verwerking Bouwdelen'!CK32</f>
        <v>0</v>
      </c>
      <c r="D105" s="227">
        <f>$A105*'Verwerking Bouwdelen'!CL32</f>
        <v>0</v>
      </c>
      <c r="E105" s="227">
        <f>$A105*'Verwerking Bouwdelen'!CM32</f>
        <v>0</v>
      </c>
      <c r="F105" s="227">
        <f>$A105*'Verwerking Bouwdelen'!CN32</f>
        <v>0</v>
      </c>
      <c r="G105" s="227">
        <f>$A105*'Verwerking Bouwdelen'!CO32</f>
        <v>0</v>
      </c>
      <c r="H105" s="227">
        <f>$A105*'Verwerking Bouwdelen'!CP32</f>
        <v>0</v>
      </c>
      <c r="I105" s="227">
        <f>$A105*'Verwerking Bouwdelen'!CQ32</f>
        <v>0</v>
      </c>
      <c r="J105" s="227">
        <f>$A105*'Verwerking Bouwdelen'!CR32</f>
        <v>0</v>
      </c>
      <c r="K105" s="227">
        <f>$A105*'Verwerking Bouwdelen'!CS32</f>
        <v>0</v>
      </c>
      <c r="L105" s="227">
        <f>$A105*'Verwerking Bouwdelen'!CT32</f>
        <v>0</v>
      </c>
      <c r="M105" s="228">
        <f>$A105*'Verwerking Bouwdelen'!CU32</f>
        <v>0</v>
      </c>
      <c r="DN105" s="89">
        <f>IF('Verwerking Bouwdelen'!A32=5,1,0)</f>
        <v>0</v>
      </c>
      <c r="DO105" s="223">
        <f>$DN105*'Verwerking Bouwdelen'!FT32</f>
        <v>0</v>
      </c>
      <c r="DP105" s="223">
        <f>$DN105*'Verwerking Bouwdelen'!FU32</f>
        <v>0</v>
      </c>
      <c r="DQ105" s="223">
        <f>$DN105*'Verwerking Bouwdelen'!FV32</f>
        <v>0</v>
      </c>
      <c r="DR105" s="223">
        <f>$DN105*'Verwerking Bouwdelen'!FW32</f>
        <v>0</v>
      </c>
      <c r="DS105" s="223">
        <f>$DN105*'Verwerking Bouwdelen'!FX32</f>
        <v>0</v>
      </c>
      <c r="DT105" s="223">
        <f>$DN105*'Verwerking Bouwdelen'!FY32</f>
        <v>0</v>
      </c>
      <c r="DU105" s="223">
        <f>$DN105*'Verwerking Bouwdelen'!FZ32</f>
        <v>0</v>
      </c>
      <c r="DV105" s="223">
        <f>$DN105*'Verwerking Bouwdelen'!GA32</f>
        <v>0</v>
      </c>
      <c r="DW105" s="223">
        <f>$DN105*'Verwerking Bouwdelen'!GB32</f>
        <v>0</v>
      </c>
      <c r="DX105" s="223">
        <f>$DN105*'Verwerking Bouwdelen'!GC32</f>
        <v>0</v>
      </c>
      <c r="DY105" s="223">
        <f>$DN105*'Verwerking Bouwdelen'!GD32</f>
        <v>0</v>
      </c>
      <c r="DZ105" s="223">
        <f>$DN105*'Verwerking Bouwdelen'!GE32</f>
        <v>0</v>
      </c>
      <c r="EA105" s="89">
        <f>'Verwerking Bouwdelen'!GO32*DN105</f>
        <v>0</v>
      </c>
      <c r="EB105" s="125">
        <f>'Verwerking Bouwdelen'!GP32*DN105</f>
        <v>0</v>
      </c>
      <c r="EC105" s="89">
        <f t="shared" si="41"/>
        <v>0</v>
      </c>
      <c r="GN105" s="220">
        <f t="shared" si="42"/>
        <v>0</v>
      </c>
      <c r="GO105" s="220">
        <f t="shared" si="43"/>
        <v>0</v>
      </c>
      <c r="GP105" s="220">
        <f t="shared" si="44"/>
        <v>0</v>
      </c>
      <c r="GQ105" s="220">
        <f t="shared" si="45"/>
        <v>0</v>
      </c>
      <c r="GR105" s="220">
        <f t="shared" si="45"/>
        <v>0</v>
      </c>
      <c r="GS105" s="220">
        <f t="shared" si="45"/>
        <v>0</v>
      </c>
      <c r="GT105" s="220">
        <f t="shared" si="45"/>
        <v>0</v>
      </c>
      <c r="GU105" s="220">
        <f t="shared" si="45"/>
        <v>0</v>
      </c>
      <c r="GV105" s="220">
        <f t="shared" si="45"/>
        <v>0</v>
      </c>
      <c r="GW105" s="220">
        <f t="shared" si="45"/>
        <v>0</v>
      </c>
      <c r="GX105" s="220">
        <f t="shared" si="45"/>
        <v>0</v>
      </c>
      <c r="GY105" s="220">
        <f t="shared" si="45"/>
        <v>0</v>
      </c>
    </row>
    <row r="106" spans="1:207" x14ac:dyDescent="0.2">
      <c r="A106" s="89">
        <f>IF('Verwerking Bouwdelen'!A33=5,1,0)</f>
        <v>0</v>
      </c>
      <c r="B106" s="226">
        <f>$A106*'Verwerking Bouwdelen'!CJ33</f>
        <v>0</v>
      </c>
      <c r="C106" s="227">
        <f>$A106*'Verwerking Bouwdelen'!CK33</f>
        <v>0</v>
      </c>
      <c r="D106" s="227">
        <f>$A106*'Verwerking Bouwdelen'!CL33</f>
        <v>0</v>
      </c>
      <c r="E106" s="227">
        <f>$A106*'Verwerking Bouwdelen'!CM33</f>
        <v>0</v>
      </c>
      <c r="F106" s="227">
        <f>$A106*'Verwerking Bouwdelen'!CN33</f>
        <v>0</v>
      </c>
      <c r="G106" s="227">
        <f>$A106*'Verwerking Bouwdelen'!CO33</f>
        <v>0</v>
      </c>
      <c r="H106" s="227">
        <f>$A106*'Verwerking Bouwdelen'!CP33</f>
        <v>0</v>
      </c>
      <c r="I106" s="227">
        <f>$A106*'Verwerking Bouwdelen'!CQ33</f>
        <v>0</v>
      </c>
      <c r="J106" s="227">
        <f>$A106*'Verwerking Bouwdelen'!CR33</f>
        <v>0</v>
      </c>
      <c r="K106" s="227">
        <f>$A106*'Verwerking Bouwdelen'!CS33</f>
        <v>0</v>
      </c>
      <c r="L106" s="227">
        <f>$A106*'Verwerking Bouwdelen'!CT33</f>
        <v>0</v>
      </c>
      <c r="M106" s="228">
        <f>$A106*'Verwerking Bouwdelen'!CU33</f>
        <v>0</v>
      </c>
      <c r="DN106" s="89">
        <f>IF('Verwerking Bouwdelen'!A33=5,1,0)</f>
        <v>0</v>
      </c>
      <c r="DO106" s="223">
        <f>$DN106*'Verwerking Bouwdelen'!FT33</f>
        <v>0</v>
      </c>
      <c r="DP106" s="223">
        <f>$DN106*'Verwerking Bouwdelen'!FU33</f>
        <v>0</v>
      </c>
      <c r="DQ106" s="223">
        <f>$DN106*'Verwerking Bouwdelen'!FV33</f>
        <v>0</v>
      </c>
      <c r="DR106" s="223">
        <f>$DN106*'Verwerking Bouwdelen'!FW33</f>
        <v>0</v>
      </c>
      <c r="DS106" s="223">
        <f>$DN106*'Verwerking Bouwdelen'!FX33</f>
        <v>0</v>
      </c>
      <c r="DT106" s="223">
        <f>$DN106*'Verwerking Bouwdelen'!FY33</f>
        <v>0</v>
      </c>
      <c r="DU106" s="223">
        <f>$DN106*'Verwerking Bouwdelen'!FZ33</f>
        <v>0</v>
      </c>
      <c r="DV106" s="223">
        <f>$DN106*'Verwerking Bouwdelen'!GA33</f>
        <v>0</v>
      </c>
      <c r="DW106" s="223">
        <f>$DN106*'Verwerking Bouwdelen'!GB33</f>
        <v>0</v>
      </c>
      <c r="DX106" s="223">
        <f>$DN106*'Verwerking Bouwdelen'!GC33</f>
        <v>0</v>
      </c>
      <c r="DY106" s="223">
        <f>$DN106*'Verwerking Bouwdelen'!GD33</f>
        <v>0</v>
      </c>
      <c r="DZ106" s="223">
        <f>$DN106*'Verwerking Bouwdelen'!GE33</f>
        <v>0</v>
      </c>
      <c r="EA106" s="89">
        <f>'Verwerking Bouwdelen'!GO33*DN106</f>
        <v>0</v>
      </c>
      <c r="EB106" s="125">
        <f>'Verwerking Bouwdelen'!GP33*DN106</f>
        <v>0</v>
      </c>
      <c r="EC106" s="89">
        <f t="shared" si="41"/>
        <v>0</v>
      </c>
      <c r="GN106" s="220">
        <f t="shared" si="42"/>
        <v>0</v>
      </c>
      <c r="GO106" s="220">
        <f t="shared" si="43"/>
        <v>0</v>
      </c>
      <c r="GP106" s="220">
        <f t="shared" si="44"/>
        <v>0</v>
      </c>
      <c r="GQ106" s="220">
        <f t="shared" si="45"/>
        <v>0</v>
      </c>
      <c r="GR106" s="220">
        <f t="shared" si="45"/>
        <v>0</v>
      </c>
      <c r="GS106" s="220">
        <f t="shared" si="45"/>
        <v>0</v>
      </c>
      <c r="GT106" s="220">
        <f t="shared" si="45"/>
        <v>0</v>
      </c>
      <c r="GU106" s="220">
        <f t="shared" si="45"/>
        <v>0</v>
      </c>
      <c r="GV106" s="220">
        <f t="shared" si="45"/>
        <v>0</v>
      </c>
      <c r="GW106" s="220">
        <f t="shared" si="45"/>
        <v>0</v>
      </c>
      <c r="GX106" s="220">
        <f t="shared" si="45"/>
        <v>0</v>
      </c>
      <c r="GY106" s="220">
        <f t="shared" si="45"/>
        <v>0</v>
      </c>
    </row>
    <row r="107" spans="1:207" x14ac:dyDescent="0.2">
      <c r="A107" s="89">
        <f>IF('Verwerking Bouwdelen'!A34=5,1,0)</f>
        <v>0</v>
      </c>
      <c r="B107" s="226">
        <f>$A107*'Verwerking Bouwdelen'!CJ34</f>
        <v>0</v>
      </c>
      <c r="C107" s="227">
        <f>$A107*'Verwerking Bouwdelen'!CK34</f>
        <v>0</v>
      </c>
      <c r="D107" s="227">
        <f>$A107*'Verwerking Bouwdelen'!CL34</f>
        <v>0</v>
      </c>
      <c r="E107" s="227">
        <f>$A107*'Verwerking Bouwdelen'!CM34</f>
        <v>0</v>
      </c>
      <c r="F107" s="227">
        <f>$A107*'Verwerking Bouwdelen'!CN34</f>
        <v>0</v>
      </c>
      <c r="G107" s="227">
        <f>$A107*'Verwerking Bouwdelen'!CO34</f>
        <v>0</v>
      </c>
      <c r="H107" s="227">
        <f>$A107*'Verwerking Bouwdelen'!CP34</f>
        <v>0</v>
      </c>
      <c r="I107" s="227">
        <f>$A107*'Verwerking Bouwdelen'!CQ34</f>
        <v>0</v>
      </c>
      <c r="J107" s="227">
        <f>$A107*'Verwerking Bouwdelen'!CR34</f>
        <v>0</v>
      </c>
      <c r="K107" s="227">
        <f>$A107*'Verwerking Bouwdelen'!CS34</f>
        <v>0</v>
      </c>
      <c r="L107" s="227">
        <f>$A107*'Verwerking Bouwdelen'!CT34</f>
        <v>0</v>
      </c>
      <c r="M107" s="228">
        <f>$A107*'Verwerking Bouwdelen'!CU34</f>
        <v>0</v>
      </c>
      <c r="DN107" s="89">
        <f>IF('Verwerking Bouwdelen'!A34=5,1,0)</f>
        <v>0</v>
      </c>
      <c r="DO107" s="223">
        <f>$DN107*'Verwerking Bouwdelen'!FT34</f>
        <v>0</v>
      </c>
      <c r="DP107" s="223">
        <f>$DN107*'Verwerking Bouwdelen'!FU34</f>
        <v>0</v>
      </c>
      <c r="DQ107" s="223">
        <f>$DN107*'Verwerking Bouwdelen'!FV34</f>
        <v>0</v>
      </c>
      <c r="DR107" s="223">
        <f>$DN107*'Verwerking Bouwdelen'!FW34</f>
        <v>0</v>
      </c>
      <c r="DS107" s="223">
        <f>$DN107*'Verwerking Bouwdelen'!FX34</f>
        <v>0</v>
      </c>
      <c r="DT107" s="223">
        <f>$DN107*'Verwerking Bouwdelen'!FY34</f>
        <v>0</v>
      </c>
      <c r="DU107" s="223">
        <f>$DN107*'Verwerking Bouwdelen'!FZ34</f>
        <v>0</v>
      </c>
      <c r="DV107" s="223">
        <f>$DN107*'Verwerking Bouwdelen'!GA34</f>
        <v>0</v>
      </c>
      <c r="DW107" s="223">
        <f>$DN107*'Verwerking Bouwdelen'!GB34</f>
        <v>0</v>
      </c>
      <c r="DX107" s="223">
        <f>$DN107*'Verwerking Bouwdelen'!GC34</f>
        <v>0</v>
      </c>
      <c r="DY107" s="223">
        <f>$DN107*'Verwerking Bouwdelen'!GD34</f>
        <v>0</v>
      </c>
      <c r="DZ107" s="223">
        <f>$DN107*'Verwerking Bouwdelen'!GE34</f>
        <v>0</v>
      </c>
      <c r="EA107" s="89">
        <f>'Verwerking Bouwdelen'!GO34*DN107</f>
        <v>0</v>
      </c>
      <c r="EB107" s="125">
        <f>'Verwerking Bouwdelen'!GP34*DN107</f>
        <v>0</v>
      </c>
      <c r="EC107" s="89">
        <f t="shared" si="41"/>
        <v>0</v>
      </c>
      <c r="GN107" s="220">
        <f t="shared" si="42"/>
        <v>0</v>
      </c>
      <c r="GO107" s="220">
        <f t="shared" si="43"/>
        <v>0</v>
      </c>
      <c r="GP107" s="220">
        <f t="shared" si="44"/>
        <v>0</v>
      </c>
      <c r="GQ107" s="220">
        <f t="shared" si="45"/>
        <v>0</v>
      </c>
      <c r="GR107" s="220">
        <f t="shared" si="45"/>
        <v>0</v>
      </c>
      <c r="GS107" s="220">
        <f t="shared" si="45"/>
        <v>0</v>
      </c>
      <c r="GT107" s="220">
        <f t="shared" si="45"/>
        <v>0</v>
      </c>
      <c r="GU107" s="220">
        <f t="shared" si="45"/>
        <v>0</v>
      </c>
      <c r="GV107" s="220">
        <f t="shared" si="45"/>
        <v>0</v>
      </c>
      <c r="GW107" s="220">
        <f t="shared" si="45"/>
        <v>0</v>
      </c>
      <c r="GX107" s="220">
        <f t="shared" si="45"/>
        <v>0</v>
      </c>
      <c r="GY107" s="220">
        <f t="shared" si="45"/>
        <v>0</v>
      </c>
    </row>
    <row r="108" spans="1:207" x14ac:dyDescent="0.2">
      <c r="A108" s="89">
        <f>IF('Verwerking Bouwdelen'!A35=5,1,0)</f>
        <v>0</v>
      </c>
      <c r="B108" s="226">
        <f>$A108*'Verwerking Bouwdelen'!CJ35</f>
        <v>0</v>
      </c>
      <c r="C108" s="227">
        <f>$A108*'Verwerking Bouwdelen'!CK35</f>
        <v>0</v>
      </c>
      <c r="D108" s="227">
        <f>$A108*'Verwerking Bouwdelen'!CL35</f>
        <v>0</v>
      </c>
      <c r="E108" s="227">
        <f>$A108*'Verwerking Bouwdelen'!CM35</f>
        <v>0</v>
      </c>
      <c r="F108" s="227">
        <f>$A108*'Verwerking Bouwdelen'!CN35</f>
        <v>0</v>
      </c>
      <c r="G108" s="227">
        <f>$A108*'Verwerking Bouwdelen'!CO35</f>
        <v>0</v>
      </c>
      <c r="H108" s="227">
        <f>$A108*'Verwerking Bouwdelen'!CP35</f>
        <v>0</v>
      </c>
      <c r="I108" s="227">
        <f>$A108*'Verwerking Bouwdelen'!CQ35</f>
        <v>0</v>
      </c>
      <c r="J108" s="227">
        <f>$A108*'Verwerking Bouwdelen'!CR35</f>
        <v>0</v>
      </c>
      <c r="K108" s="227">
        <f>$A108*'Verwerking Bouwdelen'!CS35</f>
        <v>0</v>
      </c>
      <c r="L108" s="227">
        <f>$A108*'Verwerking Bouwdelen'!CT35</f>
        <v>0</v>
      </c>
      <c r="M108" s="228">
        <f>$A108*'Verwerking Bouwdelen'!CU35</f>
        <v>0</v>
      </c>
      <c r="DN108" s="89">
        <f>IF('Verwerking Bouwdelen'!A35=5,1,0)</f>
        <v>0</v>
      </c>
      <c r="DO108" s="223">
        <f>$DN108*'Verwerking Bouwdelen'!FT35</f>
        <v>0</v>
      </c>
      <c r="DP108" s="223">
        <f>$DN108*'Verwerking Bouwdelen'!FU35</f>
        <v>0</v>
      </c>
      <c r="DQ108" s="223">
        <f>$DN108*'Verwerking Bouwdelen'!FV35</f>
        <v>0</v>
      </c>
      <c r="DR108" s="223">
        <f>$DN108*'Verwerking Bouwdelen'!FW35</f>
        <v>0</v>
      </c>
      <c r="DS108" s="223">
        <f>$DN108*'Verwerking Bouwdelen'!FX35</f>
        <v>0</v>
      </c>
      <c r="DT108" s="223">
        <f>$DN108*'Verwerking Bouwdelen'!FY35</f>
        <v>0</v>
      </c>
      <c r="DU108" s="223">
        <f>$DN108*'Verwerking Bouwdelen'!FZ35</f>
        <v>0</v>
      </c>
      <c r="DV108" s="223">
        <f>$DN108*'Verwerking Bouwdelen'!GA35</f>
        <v>0</v>
      </c>
      <c r="DW108" s="223">
        <f>$DN108*'Verwerking Bouwdelen'!GB35</f>
        <v>0</v>
      </c>
      <c r="DX108" s="223">
        <f>$DN108*'Verwerking Bouwdelen'!GC35</f>
        <v>0</v>
      </c>
      <c r="DY108" s="223">
        <f>$DN108*'Verwerking Bouwdelen'!GD35</f>
        <v>0</v>
      </c>
      <c r="DZ108" s="223">
        <f>$DN108*'Verwerking Bouwdelen'!GE35</f>
        <v>0</v>
      </c>
      <c r="EA108" s="89">
        <f>'Verwerking Bouwdelen'!GO35*DN108</f>
        <v>0</v>
      </c>
      <c r="EB108" s="125">
        <f>'Verwerking Bouwdelen'!GP35*DN108</f>
        <v>0</v>
      </c>
      <c r="EC108" s="89">
        <f t="shared" si="41"/>
        <v>0</v>
      </c>
      <c r="GN108" s="220">
        <f t="shared" si="42"/>
        <v>0</v>
      </c>
      <c r="GO108" s="220">
        <f t="shared" si="43"/>
        <v>0</v>
      </c>
      <c r="GP108" s="220">
        <f t="shared" si="44"/>
        <v>0</v>
      </c>
      <c r="GQ108" s="220">
        <f t="shared" si="45"/>
        <v>0</v>
      </c>
      <c r="GR108" s="220">
        <f t="shared" si="45"/>
        <v>0</v>
      </c>
      <c r="GS108" s="220">
        <f t="shared" si="45"/>
        <v>0</v>
      </c>
      <c r="GT108" s="220">
        <f t="shared" si="45"/>
        <v>0</v>
      </c>
      <c r="GU108" s="220">
        <f t="shared" si="45"/>
        <v>0</v>
      </c>
      <c r="GV108" s="220">
        <f t="shared" si="45"/>
        <v>0</v>
      </c>
      <c r="GW108" s="220">
        <f t="shared" si="45"/>
        <v>0</v>
      </c>
      <c r="GX108" s="220">
        <f t="shared" si="45"/>
        <v>0</v>
      </c>
      <c r="GY108" s="220">
        <f t="shared" si="45"/>
        <v>0</v>
      </c>
    </row>
    <row r="109" spans="1:207" x14ac:dyDescent="0.2">
      <c r="A109" s="89">
        <f>IF('Verwerking Bouwdelen'!A36=5,1,0)</f>
        <v>0</v>
      </c>
      <c r="B109" s="226">
        <f>$A109*'Verwerking Bouwdelen'!CJ36</f>
        <v>0</v>
      </c>
      <c r="C109" s="227">
        <f>$A109*'Verwerking Bouwdelen'!CK36</f>
        <v>0</v>
      </c>
      <c r="D109" s="227">
        <f>$A109*'Verwerking Bouwdelen'!CL36</f>
        <v>0</v>
      </c>
      <c r="E109" s="227">
        <f>$A109*'Verwerking Bouwdelen'!CM36</f>
        <v>0</v>
      </c>
      <c r="F109" s="227">
        <f>$A109*'Verwerking Bouwdelen'!CN36</f>
        <v>0</v>
      </c>
      <c r="G109" s="227">
        <f>$A109*'Verwerking Bouwdelen'!CO36</f>
        <v>0</v>
      </c>
      <c r="H109" s="227">
        <f>$A109*'Verwerking Bouwdelen'!CP36</f>
        <v>0</v>
      </c>
      <c r="I109" s="227">
        <f>$A109*'Verwerking Bouwdelen'!CQ36</f>
        <v>0</v>
      </c>
      <c r="J109" s="227">
        <f>$A109*'Verwerking Bouwdelen'!CR36</f>
        <v>0</v>
      </c>
      <c r="K109" s="227">
        <f>$A109*'Verwerking Bouwdelen'!CS36</f>
        <v>0</v>
      </c>
      <c r="L109" s="227">
        <f>$A109*'Verwerking Bouwdelen'!CT36</f>
        <v>0</v>
      </c>
      <c r="M109" s="228">
        <f>$A109*'Verwerking Bouwdelen'!CU36</f>
        <v>0</v>
      </c>
      <c r="DN109" s="89">
        <f>IF('Verwerking Bouwdelen'!A36=5,1,0)</f>
        <v>0</v>
      </c>
      <c r="DO109" s="223">
        <f>$DN109*'Verwerking Bouwdelen'!FT36</f>
        <v>0</v>
      </c>
      <c r="DP109" s="223">
        <f>$DN109*'Verwerking Bouwdelen'!FU36</f>
        <v>0</v>
      </c>
      <c r="DQ109" s="223">
        <f>$DN109*'Verwerking Bouwdelen'!FV36</f>
        <v>0</v>
      </c>
      <c r="DR109" s="223">
        <f>$DN109*'Verwerking Bouwdelen'!FW36</f>
        <v>0</v>
      </c>
      <c r="DS109" s="223">
        <f>$DN109*'Verwerking Bouwdelen'!FX36</f>
        <v>0</v>
      </c>
      <c r="DT109" s="223">
        <f>$DN109*'Verwerking Bouwdelen'!FY36</f>
        <v>0</v>
      </c>
      <c r="DU109" s="223">
        <f>$DN109*'Verwerking Bouwdelen'!FZ36</f>
        <v>0</v>
      </c>
      <c r="DV109" s="223">
        <f>$DN109*'Verwerking Bouwdelen'!GA36</f>
        <v>0</v>
      </c>
      <c r="DW109" s="223">
        <f>$DN109*'Verwerking Bouwdelen'!GB36</f>
        <v>0</v>
      </c>
      <c r="DX109" s="223">
        <f>$DN109*'Verwerking Bouwdelen'!GC36</f>
        <v>0</v>
      </c>
      <c r="DY109" s="223">
        <f>$DN109*'Verwerking Bouwdelen'!GD36</f>
        <v>0</v>
      </c>
      <c r="DZ109" s="223">
        <f>$DN109*'Verwerking Bouwdelen'!GE36</f>
        <v>0</v>
      </c>
      <c r="EA109" s="89">
        <f>'Verwerking Bouwdelen'!GO36*DN109</f>
        <v>0</v>
      </c>
      <c r="EB109" s="125">
        <f>'Verwerking Bouwdelen'!GP36*DN109</f>
        <v>0</v>
      </c>
      <c r="EC109" s="89">
        <f t="shared" si="41"/>
        <v>0</v>
      </c>
      <c r="GN109" s="220">
        <f t="shared" si="42"/>
        <v>0</v>
      </c>
      <c r="GO109" s="220">
        <f t="shared" si="43"/>
        <v>0</v>
      </c>
      <c r="GP109" s="220">
        <f t="shared" si="44"/>
        <v>0</v>
      </c>
      <c r="GQ109" s="220">
        <f t="shared" si="45"/>
        <v>0</v>
      </c>
      <c r="GR109" s="220">
        <f t="shared" si="45"/>
        <v>0</v>
      </c>
      <c r="GS109" s="220">
        <f t="shared" si="45"/>
        <v>0</v>
      </c>
      <c r="GT109" s="220">
        <f t="shared" si="45"/>
        <v>0</v>
      </c>
      <c r="GU109" s="220">
        <f t="shared" si="45"/>
        <v>0</v>
      </c>
      <c r="GV109" s="220">
        <f t="shared" si="45"/>
        <v>0</v>
      </c>
      <c r="GW109" s="220">
        <f t="shared" si="45"/>
        <v>0</v>
      </c>
      <c r="GX109" s="220">
        <f t="shared" si="45"/>
        <v>0</v>
      </c>
      <c r="GY109" s="220">
        <f t="shared" si="45"/>
        <v>0</v>
      </c>
    </row>
    <row r="110" spans="1:207" x14ac:dyDescent="0.2">
      <c r="A110" s="89">
        <f>IF('Verwerking Bouwdelen'!A37=5,1,0)</f>
        <v>0</v>
      </c>
      <c r="B110" s="226">
        <f>$A110*'Verwerking Bouwdelen'!CJ37</f>
        <v>0</v>
      </c>
      <c r="C110" s="227">
        <f>$A110*'Verwerking Bouwdelen'!CK37</f>
        <v>0</v>
      </c>
      <c r="D110" s="227">
        <f>$A110*'Verwerking Bouwdelen'!CL37</f>
        <v>0</v>
      </c>
      <c r="E110" s="227">
        <f>$A110*'Verwerking Bouwdelen'!CM37</f>
        <v>0</v>
      </c>
      <c r="F110" s="227">
        <f>$A110*'Verwerking Bouwdelen'!CN37</f>
        <v>0</v>
      </c>
      <c r="G110" s="227">
        <f>$A110*'Verwerking Bouwdelen'!CO37</f>
        <v>0</v>
      </c>
      <c r="H110" s="227">
        <f>$A110*'Verwerking Bouwdelen'!CP37</f>
        <v>0</v>
      </c>
      <c r="I110" s="227">
        <f>$A110*'Verwerking Bouwdelen'!CQ37</f>
        <v>0</v>
      </c>
      <c r="J110" s="227">
        <f>$A110*'Verwerking Bouwdelen'!CR37</f>
        <v>0</v>
      </c>
      <c r="K110" s="227">
        <f>$A110*'Verwerking Bouwdelen'!CS37</f>
        <v>0</v>
      </c>
      <c r="L110" s="227">
        <f>$A110*'Verwerking Bouwdelen'!CT37</f>
        <v>0</v>
      </c>
      <c r="M110" s="228">
        <f>$A110*'Verwerking Bouwdelen'!CU37</f>
        <v>0</v>
      </c>
      <c r="DN110" s="89">
        <f>IF('Verwerking Bouwdelen'!A37=5,1,0)</f>
        <v>0</v>
      </c>
      <c r="DO110" s="223">
        <f>$DN110*'Verwerking Bouwdelen'!FT37</f>
        <v>0</v>
      </c>
      <c r="DP110" s="223">
        <f>$DN110*'Verwerking Bouwdelen'!FU37</f>
        <v>0</v>
      </c>
      <c r="DQ110" s="223">
        <f>$DN110*'Verwerking Bouwdelen'!FV37</f>
        <v>0</v>
      </c>
      <c r="DR110" s="223">
        <f>$DN110*'Verwerking Bouwdelen'!FW37</f>
        <v>0</v>
      </c>
      <c r="DS110" s="223">
        <f>$DN110*'Verwerking Bouwdelen'!FX37</f>
        <v>0</v>
      </c>
      <c r="DT110" s="223">
        <f>$DN110*'Verwerking Bouwdelen'!FY37</f>
        <v>0</v>
      </c>
      <c r="DU110" s="223">
        <f>$DN110*'Verwerking Bouwdelen'!FZ37</f>
        <v>0</v>
      </c>
      <c r="DV110" s="223">
        <f>$DN110*'Verwerking Bouwdelen'!GA37</f>
        <v>0</v>
      </c>
      <c r="DW110" s="223">
        <f>$DN110*'Verwerking Bouwdelen'!GB37</f>
        <v>0</v>
      </c>
      <c r="DX110" s="223">
        <f>$DN110*'Verwerking Bouwdelen'!GC37</f>
        <v>0</v>
      </c>
      <c r="DY110" s="223">
        <f>$DN110*'Verwerking Bouwdelen'!GD37</f>
        <v>0</v>
      </c>
      <c r="DZ110" s="223">
        <f>$DN110*'Verwerking Bouwdelen'!GE37</f>
        <v>0</v>
      </c>
      <c r="EA110" s="89">
        <f>'Verwerking Bouwdelen'!GO37*DN110</f>
        <v>0</v>
      </c>
      <c r="EB110" s="125">
        <f>'Verwerking Bouwdelen'!GP37*DN110</f>
        <v>0</v>
      </c>
      <c r="EC110" s="89">
        <f t="shared" si="41"/>
        <v>0</v>
      </c>
      <c r="GN110" s="220">
        <f t="shared" si="42"/>
        <v>0</v>
      </c>
      <c r="GO110" s="220">
        <f t="shared" si="43"/>
        <v>0</v>
      </c>
      <c r="GP110" s="220">
        <f t="shared" si="44"/>
        <v>0</v>
      </c>
      <c r="GQ110" s="220">
        <f t="shared" si="45"/>
        <v>0</v>
      </c>
      <c r="GR110" s="220">
        <f t="shared" si="45"/>
        <v>0</v>
      </c>
      <c r="GS110" s="220">
        <f t="shared" si="45"/>
        <v>0</v>
      </c>
      <c r="GT110" s="220">
        <f t="shared" si="45"/>
        <v>0</v>
      </c>
      <c r="GU110" s="220">
        <f t="shared" si="45"/>
        <v>0</v>
      </c>
      <c r="GV110" s="220">
        <f t="shared" si="45"/>
        <v>0</v>
      </c>
      <c r="GW110" s="220">
        <f t="shared" si="45"/>
        <v>0</v>
      </c>
      <c r="GX110" s="220">
        <f t="shared" si="45"/>
        <v>0</v>
      </c>
      <c r="GY110" s="220">
        <f t="shared" si="45"/>
        <v>0</v>
      </c>
    </row>
    <row r="111" spans="1:207" x14ac:dyDescent="0.2">
      <c r="A111" s="89">
        <f>IF('Verwerking Bouwdelen'!A38=5,1,0)</f>
        <v>0</v>
      </c>
      <c r="B111" s="226">
        <f>$A111*'Verwerking Bouwdelen'!CJ38</f>
        <v>0</v>
      </c>
      <c r="C111" s="227">
        <f>$A111*'Verwerking Bouwdelen'!CK38</f>
        <v>0</v>
      </c>
      <c r="D111" s="227">
        <f>$A111*'Verwerking Bouwdelen'!CL38</f>
        <v>0</v>
      </c>
      <c r="E111" s="227">
        <f>$A111*'Verwerking Bouwdelen'!CM38</f>
        <v>0</v>
      </c>
      <c r="F111" s="227">
        <f>$A111*'Verwerking Bouwdelen'!CN38</f>
        <v>0</v>
      </c>
      <c r="G111" s="227">
        <f>$A111*'Verwerking Bouwdelen'!CO38</f>
        <v>0</v>
      </c>
      <c r="H111" s="227">
        <f>$A111*'Verwerking Bouwdelen'!CP38</f>
        <v>0</v>
      </c>
      <c r="I111" s="227">
        <f>$A111*'Verwerking Bouwdelen'!CQ38</f>
        <v>0</v>
      </c>
      <c r="J111" s="227">
        <f>$A111*'Verwerking Bouwdelen'!CR38</f>
        <v>0</v>
      </c>
      <c r="K111" s="227">
        <f>$A111*'Verwerking Bouwdelen'!CS38</f>
        <v>0</v>
      </c>
      <c r="L111" s="227">
        <f>$A111*'Verwerking Bouwdelen'!CT38</f>
        <v>0</v>
      </c>
      <c r="M111" s="228">
        <f>$A111*'Verwerking Bouwdelen'!CU38</f>
        <v>0</v>
      </c>
      <c r="DN111" s="89">
        <f>IF('Verwerking Bouwdelen'!A38=5,1,0)</f>
        <v>0</v>
      </c>
      <c r="DO111" s="223">
        <f>$DN111*'Verwerking Bouwdelen'!FT38</f>
        <v>0</v>
      </c>
      <c r="DP111" s="223">
        <f>$DN111*'Verwerking Bouwdelen'!FU38</f>
        <v>0</v>
      </c>
      <c r="DQ111" s="223">
        <f>$DN111*'Verwerking Bouwdelen'!FV38</f>
        <v>0</v>
      </c>
      <c r="DR111" s="223">
        <f>$DN111*'Verwerking Bouwdelen'!FW38</f>
        <v>0</v>
      </c>
      <c r="DS111" s="223">
        <f>$DN111*'Verwerking Bouwdelen'!FX38</f>
        <v>0</v>
      </c>
      <c r="DT111" s="223">
        <f>$DN111*'Verwerking Bouwdelen'!FY38</f>
        <v>0</v>
      </c>
      <c r="DU111" s="223">
        <f>$DN111*'Verwerking Bouwdelen'!FZ38</f>
        <v>0</v>
      </c>
      <c r="DV111" s="223">
        <f>$DN111*'Verwerking Bouwdelen'!GA38</f>
        <v>0</v>
      </c>
      <c r="DW111" s="223">
        <f>$DN111*'Verwerking Bouwdelen'!GB38</f>
        <v>0</v>
      </c>
      <c r="DX111" s="223">
        <f>$DN111*'Verwerking Bouwdelen'!GC38</f>
        <v>0</v>
      </c>
      <c r="DY111" s="223">
        <f>$DN111*'Verwerking Bouwdelen'!GD38</f>
        <v>0</v>
      </c>
      <c r="DZ111" s="223">
        <f>$DN111*'Verwerking Bouwdelen'!GE38</f>
        <v>0</v>
      </c>
      <c r="EA111" s="89">
        <f>'Verwerking Bouwdelen'!GO38*DN111</f>
        <v>0</v>
      </c>
      <c r="EB111" s="125">
        <f>'Verwerking Bouwdelen'!GP38*DN111</f>
        <v>0</v>
      </c>
      <c r="EC111" s="89">
        <f t="shared" si="41"/>
        <v>0</v>
      </c>
      <c r="GN111" s="220">
        <f t="shared" si="42"/>
        <v>0</v>
      </c>
      <c r="GO111" s="220">
        <f t="shared" si="43"/>
        <v>0</v>
      </c>
      <c r="GP111" s="220">
        <f t="shared" si="44"/>
        <v>0</v>
      </c>
      <c r="GQ111" s="220">
        <f t="shared" si="45"/>
        <v>0</v>
      </c>
      <c r="GR111" s="220">
        <f t="shared" si="45"/>
        <v>0</v>
      </c>
      <c r="GS111" s="220">
        <f t="shared" si="45"/>
        <v>0</v>
      </c>
      <c r="GT111" s="220">
        <f t="shared" si="45"/>
        <v>0</v>
      </c>
      <c r="GU111" s="220">
        <f t="shared" si="45"/>
        <v>0</v>
      </c>
      <c r="GV111" s="220">
        <f t="shared" si="45"/>
        <v>0</v>
      </c>
      <c r="GW111" s="220">
        <f t="shared" si="45"/>
        <v>0</v>
      </c>
      <c r="GX111" s="220">
        <f t="shared" si="45"/>
        <v>0</v>
      </c>
      <c r="GY111" s="220">
        <f t="shared" si="45"/>
        <v>0</v>
      </c>
    </row>
    <row r="112" spans="1:207" x14ac:dyDescent="0.2">
      <c r="A112" s="89">
        <f>IF('Verwerking Bouwdelen'!A39=5,1,0)</f>
        <v>0</v>
      </c>
      <c r="B112" s="226">
        <f>$A112*'Verwerking Bouwdelen'!CJ39</f>
        <v>0</v>
      </c>
      <c r="C112" s="227">
        <f>$A112*'Verwerking Bouwdelen'!CK39</f>
        <v>0</v>
      </c>
      <c r="D112" s="227">
        <f>$A112*'Verwerking Bouwdelen'!CL39</f>
        <v>0</v>
      </c>
      <c r="E112" s="227">
        <f>$A112*'Verwerking Bouwdelen'!CM39</f>
        <v>0</v>
      </c>
      <c r="F112" s="227">
        <f>$A112*'Verwerking Bouwdelen'!CN39</f>
        <v>0</v>
      </c>
      <c r="G112" s="227">
        <f>$A112*'Verwerking Bouwdelen'!CO39</f>
        <v>0</v>
      </c>
      <c r="H112" s="227">
        <f>$A112*'Verwerking Bouwdelen'!CP39</f>
        <v>0</v>
      </c>
      <c r="I112" s="227">
        <f>$A112*'Verwerking Bouwdelen'!CQ39</f>
        <v>0</v>
      </c>
      <c r="J112" s="227">
        <f>$A112*'Verwerking Bouwdelen'!CR39</f>
        <v>0</v>
      </c>
      <c r="K112" s="227">
        <f>$A112*'Verwerking Bouwdelen'!CS39</f>
        <v>0</v>
      </c>
      <c r="L112" s="227">
        <f>$A112*'Verwerking Bouwdelen'!CT39</f>
        <v>0</v>
      </c>
      <c r="M112" s="228">
        <f>$A112*'Verwerking Bouwdelen'!CU39</f>
        <v>0</v>
      </c>
      <c r="DN112" s="89">
        <f>IF('Verwerking Bouwdelen'!A39=5,1,0)</f>
        <v>0</v>
      </c>
      <c r="DO112" s="223">
        <f>$DN112*'Verwerking Bouwdelen'!FT39</f>
        <v>0</v>
      </c>
      <c r="DP112" s="223">
        <f>$DN112*'Verwerking Bouwdelen'!FU39</f>
        <v>0</v>
      </c>
      <c r="DQ112" s="223">
        <f>$DN112*'Verwerking Bouwdelen'!FV39</f>
        <v>0</v>
      </c>
      <c r="DR112" s="223">
        <f>$DN112*'Verwerking Bouwdelen'!FW39</f>
        <v>0</v>
      </c>
      <c r="DS112" s="223">
        <f>$DN112*'Verwerking Bouwdelen'!FX39</f>
        <v>0</v>
      </c>
      <c r="DT112" s="223">
        <f>$DN112*'Verwerking Bouwdelen'!FY39</f>
        <v>0</v>
      </c>
      <c r="DU112" s="223">
        <f>$DN112*'Verwerking Bouwdelen'!FZ39</f>
        <v>0</v>
      </c>
      <c r="DV112" s="223">
        <f>$DN112*'Verwerking Bouwdelen'!GA39</f>
        <v>0</v>
      </c>
      <c r="DW112" s="223">
        <f>$DN112*'Verwerking Bouwdelen'!GB39</f>
        <v>0</v>
      </c>
      <c r="DX112" s="223">
        <f>$DN112*'Verwerking Bouwdelen'!GC39</f>
        <v>0</v>
      </c>
      <c r="DY112" s="223">
        <f>$DN112*'Verwerking Bouwdelen'!GD39</f>
        <v>0</v>
      </c>
      <c r="DZ112" s="223">
        <f>$DN112*'Verwerking Bouwdelen'!GE39</f>
        <v>0</v>
      </c>
      <c r="EA112" s="89">
        <f>'Verwerking Bouwdelen'!GO39*DN112</f>
        <v>0</v>
      </c>
      <c r="EB112" s="125">
        <f>'Verwerking Bouwdelen'!GP39*DN112</f>
        <v>0</v>
      </c>
      <c r="EC112" s="89">
        <f t="shared" si="41"/>
        <v>0</v>
      </c>
      <c r="GN112" s="220">
        <f t="shared" si="42"/>
        <v>0</v>
      </c>
      <c r="GO112" s="220">
        <f t="shared" si="43"/>
        <v>0</v>
      </c>
      <c r="GP112" s="220">
        <f t="shared" si="44"/>
        <v>0</v>
      </c>
      <c r="GQ112" s="220">
        <f t="shared" si="45"/>
        <v>0</v>
      </c>
      <c r="GR112" s="220">
        <f t="shared" si="45"/>
        <v>0</v>
      </c>
      <c r="GS112" s="220">
        <f t="shared" si="45"/>
        <v>0</v>
      </c>
      <c r="GT112" s="220">
        <f t="shared" si="45"/>
        <v>0</v>
      </c>
      <c r="GU112" s="220">
        <f t="shared" si="45"/>
        <v>0</v>
      </c>
      <c r="GV112" s="220">
        <f t="shared" si="45"/>
        <v>0</v>
      </c>
      <c r="GW112" s="220">
        <f t="shared" si="45"/>
        <v>0</v>
      </c>
      <c r="GX112" s="220">
        <f t="shared" si="45"/>
        <v>0</v>
      </c>
      <c r="GY112" s="220">
        <f t="shared" si="45"/>
        <v>0</v>
      </c>
    </row>
    <row r="113" spans="1:208" x14ac:dyDescent="0.2">
      <c r="A113" s="89">
        <f>IF('Verwerking Bouwdelen'!A40=5,1,0)</f>
        <v>0</v>
      </c>
      <c r="B113" s="226">
        <f>$A113*'Verwerking Bouwdelen'!CJ40</f>
        <v>0</v>
      </c>
      <c r="C113" s="227">
        <f>$A113*'Verwerking Bouwdelen'!CK40</f>
        <v>0</v>
      </c>
      <c r="D113" s="227">
        <f>$A113*'Verwerking Bouwdelen'!CL40</f>
        <v>0</v>
      </c>
      <c r="E113" s="227">
        <f>$A113*'Verwerking Bouwdelen'!CM40</f>
        <v>0</v>
      </c>
      <c r="F113" s="227">
        <f>$A113*'Verwerking Bouwdelen'!CN40</f>
        <v>0</v>
      </c>
      <c r="G113" s="227">
        <f>$A113*'Verwerking Bouwdelen'!CO40</f>
        <v>0</v>
      </c>
      <c r="H113" s="227">
        <f>$A113*'Verwerking Bouwdelen'!CP40</f>
        <v>0</v>
      </c>
      <c r="I113" s="227">
        <f>$A113*'Verwerking Bouwdelen'!CQ40</f>
        <v>0</v>
      </c>
      <c r="J113" s="227">
        <f>$A113*'Verwerking Bouwdelen'!CR40</f>
        <v>0</v>
      </c>
      <c r="K113" s="227">
        <f>$A113*'Verwerking Bouwdelen'!CS40</f>
        <v>0</v>
      </c>
      <c r="L113" s="227">
        <f>$A113*'Verwerking Bouwdelen'!CT40</f>
        <v>0</v>
      </c>
      <c r="M113" s="228">
        <f>$A113*'Verwerking Bouwdelen'!CU40</f>
        <v>0</v>
      </c>
      <c r="DN113" s="89">
        <f>IF('Verwerking Bouwdelen'!A40=5,1,0)</f>
        <v>0</v>
      </c>
      <c r="DO113" s="223">
        <f>$DN113*'Verwerking Bouwdelen'!FT40</f>
        <v>0</v>
      </c>
      <c r="DP113" s="223">
        <f>$DN113*'Verwerking Bouwdelen'!FU40</f>
        <v>0</v>
      </c>
      <c r="DQ113" s="223">
        <f>$DN113*'Verwerking Bouwdelen'!FV40</f>
        <v>0</v>
      </c>
      <c r="DR113" s="223">
        <f>$DN113*'Verwerking Bouwdelen'!FW40</f>
        <v>0</v>
      </c>
      <c r="DS113" s="223">
        <f>$DN113*'Verwerking Bouwdelen'!FX40</f>
        <v>0</v>
      </c>
      <c r="DT113" s="223">
        <f>$DN113*'Verwerking Bouwdelen'!FY40</f>
        <v>0</v>
      </c>
      <c r="DU113" s="223">
        <f>$DN113*'Verwerking Bouwdelen'!FZ40</f>
        <v>0</v>
      </c>
      <c r="DV113" s="223">
        <f>$DN113*'Verwerking Bouwdelen'!GA40</f>
        <v>0</v>
      </c>
      <c r="DW113" s="223">
        <f>$DN113*'Verwerking Bouwdelen'!GB40</f>
        <v>0</v>
      </c>
      <c r="DX113" s="223">
        <f>$DN113*'Verwerking Bouwdelen'!GC40</f>
        <v>0</v>
      </c>
      <c r="DY113" s="223">
        <f>$DN113*'Verwerking Bouwdelen'!GD40</f>
        <v>0</v>
      </c>
      <c r="DZ113" s="223">
        <f>$DN113*'Verwerking Bouwdelen'!GE40</f>
        <v>0</v>
      </c>
      <c r="EA113" s="89">
        <f>'Verwerking Bouwdelen'!GO40*DN113</f>
        <v>0</v>
      </c>
      <c r="EB113" s="125">
        <f>'Verwerking Bouwdelen'!GP40*DN113</f>
        <v>0</v>
      </c>
      <c r="EC113" s="89">
        <f t="shared" si="41"/>
        <v>0</v>
      </c>
      <c r="GN113" s="220">
        <f t="shared" si="42"/>
        <v>0</v>
      </c>
      <c r="GO113" s="220">
        <f t="shared" si="43"/>
        <v>0</v>
      </c>
      <c r="GP113" s="220">
        <f t="shared" si="44"/>
        <v>0</v>
      </c>
      <c r="GQ113" s="220">
        <f t="shared" si="45"/>
        <v>0</v>
      </c>
      <c r="GR113" s="220">
        <f t="shared" si="45"/>
        <v>0</v>
      </c>
      <c r="GS113" s="220">
        <f t="shared" si="45"/>
        <v>0</v>
      </c>
      <c r="GT113" s="220">
        <f t="shared" si="45"/>
        <v>0</v>
      </c>
      <c r="GU113" s="220">
        <f t="shared" si="45"/>
        <v>0</v>
      </c>
      <c r="GV113" s="220">
        <f t="shared" si="45"/>
        <v>0</v>
      </c>
      <c r="GW113" s="220">
        <f t="shared" si="45"/>
        <v>0</v>
      </c>
      <c r="GX113" s="220">
        <f t="shared" si="45"/>
        <v>0</v>
      </c>
      <c r="GY113" s="220">
        <f t="shared" si="45"/>
        <v>0</v>
      </c>
    </row>
    <row r="114" spans="1:208" x14ac:dyDescent="0.2">
      <c r="A114" s="89">
        <f>IF('Verwerking Bouwdelen'!A41=5,1,0)</f>
        <v>0</v>
      </c>
      <c r="B114" s="226">
        <f>$A114*'Verwerking Bouwdelen'!CJ41</f>
        <v>0</v>
      </c>
      <c r="C114" s="227">
        <f>$A114*'Verwerking Bouwdelen'!CK41</f>
        <v>0</v>
      </c>
      <c r="D114" s="227">
        <f>$A114*'Verwerking Bouwdelen'!CL41</f>
        <v>0</v>
      </c>
      <c r="E114" s="227">
        <f>$A114*'Verwerking Bouwdelen'!CM41</f>
        <v>0</v>
      </c>
      <c r="F114" s="227">
        <f>$A114*'Verwerking Bouwdelen'!CN41</f>
        <v>0</v>
      </c>
      <c r="G114" s="227">
        <f>$A114*'Verwerking Bouwdelen'!CO41</f>
        <v>0</v>
      </c>
      <c r="H114" s="227">
        <f>$A114*'Verwerking Bouwdelen'!CP41</f>
        <v>0</v>
      </c>
      <c r="I114" s="227">
        <f>$A114*'Verwerking Bouwdelen'!CQ41</f>
        <v>0</v>
      </c>
      <c r="J114" s="227">
        <f>$A114*'Verwerking Bouwdelen'!CR41</f>
        <v>0</v>
      </c>
      <c r="K114" s="227">
        <f>$A114*'Verwerking Bouwdelen'!CS41</f>
        <v>0</v>
      </c>
      <c r="L114" s="227">
        <f>$A114*'Verwerking Bouwdelen'!CT41</f>
        <v>0</v>
      </c>
      <c r="M114" s="228">
        <f>$A114*'Verwerking Bouwdelen'!CU41</f>
        <v>0</v>
      </c>
      <c r="DN114" s="89">
        <f>IF('Verwerking Bouwdelen'!A41=5,1,0)</f>
        <v>0</v>
      </c>
      <c r="DO114" s="223">
        <f>$DN114*'Verwerking Bouwdelen'!FT41</f>
        <v>0</v>
      </c>
      <c r="DP114" s="223">
        <f>$DN114*'Verwerking Bouwdelen'!FU41</f>
        <v>0</v>
      </c>
      <c r="DQ114" s="223">
        <f>$DN114*'Verwerking Bouwdelen'!FV41</f>
        <v>0</v>
      </c>
      <c r="DR114" s="223">
        <f>$DN114*'Verwerking Bouwdelen'!FW41</f>
        <v>0</v>
      </c>
      <c r="DS114" s="223">
        <f>$DN114*'Verwerking Bouwdelen'!FX41</f>
        <v>0</v>
      </c>
      <c r="DT114" s="223">
        <f>$DN114*'Verwerking Bouwdelen'!FY41</f>
        <v>0</v>
      </c>
      <c r="DU114" s="223">
        <f>$DN114*'Verwerking Bouwdelen'!FZ41</f>
        <v>0</v>
      </c>
      <c r="DV114" s="223">
        <f>$DN114*'Verwerking Bouwdelen'!GA41</f>
        <v>0</v>
      </c>
      <c r="DW114" s="223">
        <f>$DN114*'Verwerking Bouwdelen'!GB41</f>
        <v>0</v>
      </c>
      <c r="DX114" s="223">
        <f>$DN114*'Verwerking Bouwdelen'!GC41</f>
        <v>0</v>
      </c>
      <c r="DY114" s="223">
        <f>$DN114*'Verwerking Bouwdelen'!GD41</f>
        <v>0</v>
      </c>
      <c r="DZ114" s="223">
        <f>$DN114*'Verwerking Bouwdelen'!GE41</f>
        <v>0</v>
      </c>
      <c r="EA114" s="89">
        <f>'Verwerking Bouwdelen'!GO41*DN114</f>
        <v>0</v>
      </c>
      <c r="EB114" s="125">
        <f>'Verwerking Bouwdelen'!GP41*DN114</f>
        <v>0</v>
      </c>
      <c r="EC114" s="89">
        <f t="shared" si="41"/>
        <v>0</v>
      </c>
      <c r="GN114" s="220">
        <f t="shared" si="42"/>
        <v>0</v>
      </c>
      <c r="GO114" s="220">
        <f t="shared" si="43"/>
        <v>0</v>
      </c>
      <c r="GP114" s="220">
        <f t="shared" si="44"/>
        <v>0</v>
      </c>
      <c r="GQ114" s="220">
        <f t="shared" si="45"/>
        <v>0</v>
      </c>
      <c r="GR114" s="220">
        <f t="shared" si="45"/>
        <v>0</v>
      </c>
      <c r="GS114" s="220">
        <f t="shared" si="45"/>
        <v>0</v>
      </c>
      <c r="GT114" s="220">
        <f t="shared" si="45"/>
        <v>0</v>
      </c>
      <c r="GU114" s="220">
        <f t="shared" si="45"/>
        <v>0</v>
      </c>
      <c r="GV114" s="220">
        <f t="shared" si="45"/>
        <v>0</v>
      </c>
      <c r="GW114" s="220">
        <f t="shared" si="45"/>
        <v>0</v>
      </c>
      <c r="GX114" s="220">
        <f t="shared" si="45"/>
        <v>0</v>
      </c>
      <c r="GY114" s="220">
        <f t="shared" si="45"/>
        <v>0</v>
      </c>
    </row>
    <row r="115" spans="1:208" x14ac:dyDescent="0.2">
      <c r="A115" s="89">
        <f>IF('Verwerking Bouwdelen'!A42=5,1,0)</f>
        <v>0</v>
      </c>
      <c r="B115" s="226">
        <f>$A115*'Verwerking Bouwdelen'!CJ42</f>
        <v>0</v>
      </c>
      <c r="C115" s="227">
        <f>$A115*'Verwerking Bouwdelen'!CK42</f>
        <v>0</v>
      </c>
      <c r="D115" s="227">
        <f>$A115*'Verwerking Bouwdelen'!CL42</f>
        <v>0</v>
      </c>
      <c r="E115" s="227">
        <f>$A115*'Verwerking Bouwdelen'!CM42</f>
        <v>0</v>
      </c>
      <c r="F115" s="227">
        <f>$A115*'Verwerking Bouwdelen'!CN42</f>
        <v>0</v>
      </c>
      <c r="G115" s="227">
        <f>$A115*'Verwerking Bouwdelen'!CO42</f>
        <v>0</v>
      </c>
      <c r="H115" s="227">
        <f>$A115*'Verwerking Bouwdelen'!CP42</f>
        <v>0</v>
      </c>
      <c r="I115" s="227">
        <f>$A115*'Verwerking Bouwdelen'!CQ42</f>
        <v>0</v>
      </c>
      <c r="J115" s="227">
        <f>$A115*'Verwerking Bouwdelen'!CR42</f>
        <v>0</v>
      </c>
      <c r="K115" s="227">
        <f>$A115*'Verwerking Bouwdelen'!CS42</f>
        <v>0</v>
      </c>
      <c r="L115" s="227">
        <f>$A115*'Verwerking Bouwdelen'!CT42</f>
        <v>0</v>
      </c>
      <c r="M115" s="228">
        <f>$A115*'Verwerking Bouwdelen'!CU42</f>
        <v>0</v>
      </c>
      <c r="DN115" s="89">
        <f>IF('Verwerking Bouwdelen'!A42=5,1,0)</f>
        <v>0</v>
      </c>
      <c r="DO115" s="223">
        <f>$DN115*'Verwerking Bouwdelen'!FT42</f>
        <v>0</v>
      </c>
      <c r="DP115" s="223">
        <f>$DN115*'Verwerking Bouwdelen'!FU42</f>
        <v>0</v>
      </c>
      <c r="DQ115" s="223">
        <f>$DN115*'Verwerking Bouwdelen'!FV42</f>
        <v>0</v>
      </c>
      <c r="DR115" s="223">
        <f>$DN115*'Verwerking Bouwdelen'!FW42</f>
        <v>0</v>
      </c>
      <c r="DS115" s="223">
        <f>$DN115*'Verwerking Bouwdelen'!FX42</f>
        <v>0</v>
      </c>
      <c r="DT115" s="223">
        <f>$DN115*'Verwerking Bouwdelen'!FY42</f>
        <v>0</v>
      </c>
      <c r="DU115" s="223">
        <f>$DN115*'Verwerking Bouwdelen'!FZ42</f>
        <v>0</v>
      </c>
      <c r="DV115" s="223">
        <f>$DN115*'Verwerking Bouwdelen'!GA42</f>
        <v>0</v>
      </c>
      <c r="DW115" s="223">
        <f>$DN115*'Verwerking Bouwdelen'!GB42</f>
        <v>0</v>
      </c>
      <c r="DX115" s="223">
        <f>$DN115*'Verwerking Bouwdelen'!GC42</f>
        <v>0</v>
      </c>
      <c r="DY115" s="223">
        <f>$DN115*'Verwerking Bouwdelen'!GD42</f>
        <v>0</v>
      </c>
      <c r="DZ115" s="223">
        <f>$DN115*'Verwerking Bouwdelen'!GE42</f>
        <v>0</v>
      </c>
      <c r="EA115" s="89">
        <f>'Verwerking Bouwdelen'!GO42*DN115</f>
        <v>0</v>
      </c>
      <c r="EB115" s="125">
        <f>'Verwerking Bouwdelen'!GP42*DN115</f>
        <v>0</v>
      </c>
      <c r="EC115" s="89">
        <f t="shared" si="41"/>
        <v>0</v>
      </c>
      <c r="GN115" s="220">
        <f t="shared" si="42"/>
        <v>0</v>
      </c>
      <c r="GO115" s="220">
        <f t="shared" si="43"/>
        <v>0</v>
      </c>
      <c r="GP115" s="220">
        <f t="shared" si="44"/>
        <v>0</v>
      </c>
      <c r="GQ115" s="220">
        <f t="shared" si="45"/>
        <v>0</v>
      </c>
      <c r="GR115" s="220">
        <f t="shared" si="45"/>
        <v>0</v>
      </c>
      <c r="GS115" s="220">
        <f t="shared" si="45"/>
        <v>0</v>
      </c>
      <c r="GT115" s="220">
        <f t="shared" si="45"/>
        <v>0</v>
      </c>
      <c r="GU115" s="220">
        <f t="shared" si="45"/>
        <v>0</v>
      </c>
      <c r="GV115" s="220">
        <f t="shared" si="45"/>
        <v>0</v>
      </c>
      <c r="GW115" s="220">
        <f t="shared" si="45"/>
        <v>0</v>
      </c>
      <c r="GX115" s="220">
        <f t="shared" si="45"/>
        <v>0</v>
      </c>
      <c r="GY115" s="220">
        <f t="shared" si="45"/>
        <v>0</v>
      </c>
    </row>
    <row r="116" spans="1:208" x14ac:dyDescent="0.2">
      <c r="A116" s="89">
        <f>IF('Verwerking Bouwdelen'!A43=5,1,0)</f>
        <v>0</v>
      </c>
      <c r="B116" s="226">
        <f>$A116*'Verwerking Bouwdelen'!CJ43</f>
        <v>0</v>
      </c>
      <c r="C116" s="227">
        <f>$A116*'Verwerking Bouwdelen'!CK43</f>
        <v>0</v>
      </c>
      <c r="D116" s="227">
        <f>$A116*'Verwerking Bouwdelen'!CL43</f>
        <v>0</v>
      </c>
      <c r="E116" s="227">
        <f>$A116*'Verwerking Bouwdelen'!CM43</f>
        <v>0</v>
      </c>
      <c r="F116" s="227">
        <f>$A116*'Verwerking Bouwdelen'!CN43</f>
        <v>0</v>
      </c>
      <c r="G116" s="227">
        <f>$A116*'Verwerking Bouwdelen'!CO43</f>
        <v>0</v>
      </c>
      <c r="H116" s="227">
        <f>$A116*'Verwerking Bouwdelen'!CP43</f>
        <v>0</v>
      </c>
      <c r="I116" s="227">
        <f>$A116*'Verwerking Bouwdelen'!CQ43</f>
        <v>0</v>
      </c>
      <c r="J116" s="227">
        <f>$A116*'Verwerking Bouwdelen'!CR43</f>
        <v>0</v>
      </c>
      <c r="K116" s="227">
        <f>$A116*'Verwerking Bouwdelen'!CS43</f>
        <v>0</v>
      </c>
      <c r="L116" s="227">
        <f>$A116*'Verwerking Bouwdelen'!CT43</f>
        <v>0</v>
      </c>
      <c r="M116" s="228">
        <f>$A116*'Verwerking Bouwdelen'!CU43</f>
        <v>0</v>
      </c>
      <c r="DN116" s="89">
        <f>IF('Verwerking Bouwdelen'!A43=5,1,0)</f>
        <v>0</v>
      </c>
      <c r="DO116" s="223">
        <f>$DN116*'Verwerking Bouwdelen'!FT43</f>
        <v>0</v>
      </c>
      <c r="DP116" s="223">
        <f>$DN116*'Verwerking Bouwdelen'!FU43</f>
        <v>0</v>
      </c>
      <c r="DQ116" s="223">
        <f>$DN116*'Verwerking Bouwdelen'!FV43</f>
        <v>0</v>
      </c>
      <c r="DR116" s="223">
        <f>$DN116*'Verwerking Bouwdelen'!FW43</f>
        <v>0</v>
      </c>
      <c r="DS116" s="223">
        <f>$DN116*'Verwerking Bouwdelen'!FX43</f>
        <v>0</v>
      </c>
      <c r="DT116" s="223">
        <f>$DN116*'Verwerking Bouwdelen'!FY43</f>
        <v>0</v>
      </c>
      <c r="DU116" s="223">
        <f>$DN116*'Verwerking Bouwdelen'!FZ43</f>
        <v>0</v>
      </c>
      <c r="DV116" s="223">
        <f>$DN116*'Verwerking Bouwdelen'!GA43</f>
        <v>0</v>
      </c>
      <c r="DW116" s="223">
        <f>$DN116*'Verwerking Bouwdelen'!GB43</f>
        <v>0</v>
      </c>
      <c r="DX116" s="223">
        <f>$DN116*'Verwerking Bouwdelen'!GC43</f>
        <v>0</v>
      </c>
      <c r="DY116" s="223">
        <f>$DN116*'Verwerking Bouwdelen'!GD43</f>
        <v>0</v>
      </c>
      <c r="DZ116" s="223">
        <f>$DN116*'Verwerking Bouwdelen'!GE43</f>
        <v>0</v>
      </c>
      <c r="EA116" s="89">
        <f>'Verwerking Bouwdelen'!GO43*DN116</f>
        <v>0</v>
      </c>
      <c r="EB116" s="125">
        <f>'Verwerking Bouwdelen'!GP43*DN116</f>
        <v>0</v>
      </c>
      <c r="EC116" s="89">
        <f t="shared" si="41"/>
        <v>0</v>
      </c>
      <c r="GN116" s="220">
        <f t="shared" si="42"/>
        <v>0</v>
      </c>
      <c r="GO116" s="220">
        <f t="shared" si="43"/>
        <v>0</v>
      </c>
      <c r="GP116" s="220">
        <f t="shared" si="44"/>
        <v>0</v>
      </c>
      <c r="GQ116" s="220">
        <f t="shared" si="45"/>
        <v>0</v>
      </c>
      <c r="GR116" s="220">
        <f t="shared" si="45"/>
        <v>0</v>
      </c>
      <c r="GS116" s="220">
        <f t="shared" si="45"/>
        <v>0</v>
      </c>
      <c r="GT116" s="220">
        <f t="shared" si="45"/>
        <v>0</v>
      </c>
      <c r="GU116" s="220">
        <f t="shared" si="45"/>
        <v>0</v>
      </c>
      <c r="GV116" s="220">
        <f t="shared" si="45"/>
        <v>0</v>
      </c>
      <c r="GW116" s="220">
        <f t="shared" si="45"/>
        <v>0</v>
      </c>
      <c r="GX116" s="220">
        <f t="shared" si="45"/>
        <v>0</v>
      </c>
      <c r="GY116" s="220">
        <f t="shared" si="45"/>
        <v>0</v>
      </c>
    </row>
    <row r="117" spans="1:208" x14ac:dyDescent="0.2">
      <c r="A117" s="89">
        <f>IF('Verwerking Bouwdelen'!A44=5,1,0)</f>
        <v>0</v>
      </c>
      <c r="B117" s="226">
        <f>$A117*'Verwerking Bouwdelen'!CJ44</f>
        <v>0</v>
      </c>
      <c r="C117" s="227">
        <f>$A117*'Verwerking Bouwdelen'!CK44</f>
        <v>0</v>
      </c>
      <c r="D117" s="227">
        <f>$A117*'Verwerking Bouwdelen'!CL44</f>
        <v>0</v>
      </c>
      <c r="E117" s="227">
        <f>$A117*'Verwerking Bouwdelen'!CM44</f>
        <v>0</v>
      </c>
      <c r="F117" s="227">
        <f>$A117*'Verwerking Bouwdelen'!CN44</f>
        <v>0</v>
      </c>
      <c r="G117" s="227">
        <f>$A117*'Verwerking Bouwdelen'!CO44</f>
        <v>0</v>
      </c>
      <c r="H117" s="227">
        <f>$A117*'Verwerking Bouwdelen'!CP44</f>
        <v>0</v>
      </c>
      <c r="I117" s="227">
        <f>$A117*'Verwerking Bouwdelen'!CQ44</f>
        <v>0</v>
      </c>
      <c r="J117" s="227">
        <f>$A117*'Verwerking Bouwdelen'!CR44</f>
        <v>0</v>
      </c>
      <c r="K117" s="227">
        <f>$A117*'Verwerking Bouwdelen'!CS44</f>
        <v>0</v>
      </c>
      <c r="L117" s="227">
        <f>$A117*'Verwerking Bouwdelen'!CT44</f>
        <v>0</v>
      </c>
      <c r="M117" s="228">
        <f>$A117*'Verwerking Bouwdelen'!CU44</f>
        <v>0</v>
      </c>
      <c r="DN117" s="89">
        <f>IF('Verwerking Bouwdelen'!A44=5,1,0)</f>
        <v>0</v>
      </c>
      <c r="DO117" s="223">
        <f>$DN117*'Verwerking Bouwdelen'!FT44</f>
        <v>0</v>
      </c>
      <c r="DP117" s="223">
        <f>$DN117*'Verwerking Bouwdelen'!FU44</f>
        <v>0</v>
      </c>
      <c r="DQ117" s="223">
        <f>$DN117*'Verwerking Bouwdelen'!FV44</f>
        <v>0</v>
      </c>
      <c r="DR117" s="223">
        <f>$DN117*'Verwerking Bouwdelen'!FW44</f>
        <v>0</v>
      </c>
      <c r="DS117" s="223">
        <f>$DN117*'Verwerking Bouwdelen'!FX44</f>
        <v>0</v>
      </c>
      <c r="DT117" s="223">
        <f>$DN117*'Verwerking Bouwdelen'!FY44</f>
        <v>0</v>
      </c>
      <c r="DU117" s="223">
        <f>$DN117*'Verwerking Bouwdelen'!FZ44</f>
        <v>0</v>
      </c>
      <c r="DV117" s="223">
        <f>$DN117*'Verwerking Bouwdelen'!GA44</f>
        <v>0</v>
      </c>
      <c r="DW117" s="223">
        <f>$DN117*'Verwerking Bouwdelen'!GB44</f>
        <v>0</v>
      </c>
      <c r="DX117" s="223">
        <f>$DN117*'Verwerking Bouwdelen'!GC44</f>
        <v>0</v>
      </c>
      <c r="DY117" s="223">
        <f>$DN117*'Verwerking Bouwdelen'!GD44</f>
        <v>0</v>
      </c>
      <c r="DZ117" s="223">
        <f>$DN117*'Verwerking Bouwdelen'!GE44</f>
        <v>0</v>
      </c>
      <c r="EA117" s="89">
        <f>'Verwerking Bouwdelen'!GO44*DN117</f>
        <v>0</v>
      </c>
      <c r="EB117" s="125">
        <f>'Verwerking Bouwdelen'!GP44*DN117</f>
        <v>0</v>
      </c>
      <c r="EC117" s="89">
        <f t="shared" si="41"/>
        <v>0</v>
      </c>
      <c r="GN117" s="220">
        <f t="shared" si="42"/>
        <v>0</v>
      </c>
      <c r="GO117" s="220">
        <f t="shared" si="43"/>
        <v>0</v>
      </c>
      <c r="GP117" s="220">
        <f t="shared" si="44"/>
        <v>0</v>
      </c>
      <c r="GQ117" s="220">
        <f t="shared" ref="GQ117:GY118" si="46">DR117</f>
        <v>0</v>
      </c>
      <c r="GR117" s="220">
        <f t="shared" si="46"/>
        <v>0</v>
      </c>
      <c r="GS117" s="220">
        <f t="shared" si="46"/>
        <v>0</v>
      </c>
      <c r="GT117" s="220">
        <f t="shared" si="46"/>
        <v>0</v>
      </c>
      <c r="GU117" s="220">
        <f t="shared" si="46"/>
        <v>0</v>
      </c>
      <c r="GV117" s="220">
        <f t="shared" si="46"/>
        <v>0</v>
      </c>
      <c r="GW117" s="220">
        <f t="shared" si="46"/>
        <v>0</v>
      </c>
      <c r="GX117" s="220">
        <f t="shared" si="46"/>
        <v>0</v>
      </c>
      <c r="GY117" s="220">
        <f t="shared" si="46"/>
        <v>0</v>
      </c>
    </row>
    <row r="118" spans="1:208" x14ac:dyDescent="0.2">
      <c r="B118" s="229">
        <f t="shared" ref="B118:M118" si="47">SUM(B76:B117)</f>
        <v>0</v>
      </c>
      <c r="C118" s="230">
        <f t="shared" si="47"/>
        <v>0</v>
      </c>
      <c r="D118" s="230">
        <f t="shared" si="47"/>
        <v>0</v>
      </c>
      <c r="E118" s="230">
        <f t="shared" si="47"/>
        <v>0</v>
      </c>
      <c r="F118" s="230">
        <f t="shared" si="47"/>
        <v>0</v>
      </c>
      <c r="G118" s="230">
        <f t="shared" si="47"/>
        <v>0</v>
      </c>
      <c r="H118" s="230">
        <f t="shared" si="47"/>
        <v>0</v>
      </c>
      <c r="I118" s="230">
        <f t="shared" si="47"/>
        <v>0</v>
      </c>
      <c r="J118" s="230">
        <f t="shared" si="47"/>
        <v>0</v>
      </c>
      <c r="K118" s="230">
        <f t="shared" si="47"/>
        <v>0</v>
      </c>
      <c r="L118" s="230">
        <f t="shared" si="47"/>
        <v>0</v>
      </c>
      <c r="M118" s="231">
        <f t="shared" si="47"/>
        <v>0</v>
      </c>
      <c r="DO118" s="229">
        <f t="shared" ref="DO118:EB118" si="48">SUM(DO76:DO117)</f>
        <v>0</v>
      </c>
      <c r="DP118" s="230">
        <f t="shared" si="48"/>
        <v>0</v>
      </c>
      <c r="DQ118" s="230">
        <f t="shared" si="48"/>
        <v>0</v>
      </c>
      <c r="DR118" s="230">
        <f t="shared" si="48"/>
        <v>0</v>
      </c>
      <c r="DS118" s="230">
        <f t="shared" si="48"/>
        <v>0</v>
      </c>
      <c r="DT118" s="230">
        <f t="shared" si="48"/>
        <v>0</v>
      </c>
      <c r="DU118" s="230">
        <f t="shared" si="48"/>
        <v>0</v>
      </c>
      <c r="DV118" s="230">
        <f t="shared" si="48"/>
        <v>0</v>
      </c>
      <c r="DW118" s="230">
        <f t="shared" si="48"/>
        <v>0</v>
      </c>
      <c r="DX118" s="230">
        <f t="shared" si="48"/>
        <v>0</v>
      </c>
      <c r="DY118" s="230">
        <f t="shared" si="48"/>
        <v>0</v>
      </c>
      <c r="DZ118" s="231">
        <f t="shared" si="48"/>
        <v>0</v>
      </c>
      <c r="EA118" s="227">
        <f t="shared" si="48"/>
        <v>0</v>
      </c>
      <c r="EB118" s="227">
        <f t="shared" si="48"/>
        <v>0</v>
      </c>
      <c r="EC118" s="227">
        <f>0.6*EB118</f>
        <v>0</v>
      </c>
      <c r="GN118" s="220">
        <f t="shared" si="42"/>
        <v>0</v>
      </c>
      <c r="GO118" s="220">
        <f t="shared" si="43"/>
        <v>0</v>
      </c>
      <c r="GP118" s="220">
        <f t="shared" si="44"/>
        <v>0</v>
      </c>
      <c r="GQ118" s="220">
        <f t="shared" si="46"/>
        <v>0</v>
      </c>
      <c r="GR118" s="220">
        <f t="shared" si="46"/>
        <v>0</v>
      </c>
      <c r="GS118" s="220">
        <f t="shared" si="46"/>
        <v>0</v>
      </c>
      <c r="GT118" s="220">
        <f t="shared" si="46"/>
        <v>0</v>
      </c>
      <c r="GU118" s="220">
        <f t="shared" si="46"/>
        <v>0</v>
      </c>
      <c r="GV118" s="220">
        <f t="shared" si="46"/>
        <v>0</v>
      </c>
      <c r="GW118" s="220">
        <f t="shared" si="46"/>
        <v>0</v>
      </c>
      <c r="GX118" s="220">
        <f t="shared" si="46"/>
        <v>0</v>
      </c>
      <c r="GY118" s="220">
        <f t="shared" si="46"/>
        <v>0</v>
      </c>
    </row>
    <row r="119" spans="1:208" x14ac:dyDescent="0.2">
      <c r="GN119" s="220"/>
      <c r="GO119" s="220"/>
      <c r="GP119" s="220"/>
      <c r="GQ119" s="220"/>
      <c r="GR119" s="220"/>
      <c r="GS119" s="220"/>
      <c r="GT119" s="220"/>
      <c r="GU119" s="220"/>
      <c r="GV119" s="220"/>
      <c r="GW119" s="220"/>
      <c r="GX119" s="220"/>
      <c r="GY119" s="220"/>
    </row>
    <row r="120" spans="1:208" x14ac:dyDescent="0.2">
      <c r="B120" s="125" t="s">
        <v>452</v>
      </c>
      <c r="C120" s="125" t="s">
        <v>453</v>
      </c>
      <c r="D120" s="125" t="s">
        <v>398</v>
      </c>
      <c r="E120" s="125" t="s">
        <v>399</v>
      </c>
      <c r="F120" s="125" t="s">
        <v>400</v>
      </c>
      <c r="G120" s="125" t="s">
        <v>401</v>
      </c>
      <c r="H120" s="125" t="s">
        <v>402</v>
      </c>
      <c r="I120" s="125" t="s">
        <v>454</v>
      </c>
      <c r="J120" s="125" t="s">
        <v>455</v>
      </c>
      <c r="K120" s="125" t="s">
        <v>456</v>
      </c>
      <c r="L120" s="125" t="s">
        <v>457</v>
      </c>
      <c r="M120" s="125" t="s">
        <v>458</v>
      </c>
      <c r="AD120" s="125" t="s">
        <v>452</v>
      </c>
      <c r="AE120" s="125" t="s">
        <v>453</v>
      </c>
      <c r="AF120" s="125" t="s">
        <v>398</v>
      </c>
      <c r="AG120" s="125" t="s">
        <v>399</v>
      </c>
      <c r="AH120" s="125" t="s">
        <v>400</v>
      </c>
      <c r="AI120" s="125" t="s">
        <v>401</v>
      </c>
      <c r="AJ120" s="125" t="s">
        <v>402</v>
      </c>
      <c r="AK120" s="125" t="s">
        <v>454</v>
      </c>
      <c r="AL120" s="125" t="s">
        <v>455</v>
      </c>
      <c r="AM120" s="125" t="s">
        <v>456</v>
      </c>
      <c r="AN120" s="125" t="s">
        <v>457</v>
      </c>
      <c r="AO120" s="125" t="s">
        <v>458</v>
      </c>
      <c r="AP120" s="125"/>
      <c r="AQ120" s="125"/>
      <c r="AR120" s="125"/>
      <c r="AS120" s="245"/>
      <c r="AV120" s="125" t="s">
        <v>452</v>
      </c>
      <c r="AW120" s="125" t="s">
        <v>453</v>
      </c>
      <c r="AX120" s="125" t="s">
        <v>398</v>
      </c>
      <c r="AY120" s="125" t="s">
        <v>399</v>
      </c>
      <c r="AZ120" s="125" t="s">
        <v>400</v>
      </c>
      <c r="BA120" s="125" t="s">
        <v>401</v>
      </c>
      <c r="BB120" s="125" t="s">
        <v>402</v>
      </c>
      <c r="BC120" s="125" t="s">
        <v>454</v>
      </c>
      <c r="BD120" s="125" t="s">
        <v>455</v>
      </c>
      <c r="BE120" s="125" t="s">
        <v>456</v>
      </c>
      <c r="BF120" s="125" t="s">
        <v>457</v>
      </c>
      <c r="BG120" s="125" t="s">
        <v>458</v>
      </c>
      <c r="BH120" s="125"/>
      <c r="BI120" s="125"/>
      <c r="BJ120" s="125"/>
      <c r="BK120" s="125"/>
      <c r="BO120" s="125" t="s">
        <v>452</v>
      </c>
      <c r="BP120" s="125" t="s">
        <v>453</v>
      </c>
      <c r="BQ120" s="125" t="s">
        <v>398</v>
      </c>
      <c r="BR120" s="125" t="s">
        <v>399</v>
      </c>
      <c r="BS120" s="125" t="s">
        <v>400</v>
      </c>
      <c r="BT120" s="125" t="s">
        <v>401</v>
      </c>
      <c r="BU120" s="125" t="s">
        <v>402</v>
      </c>
      <c r="BV120" s="125" t="s">
        <v>454</v>
      </c>
      <c r="BW120" s="125" t="s">
        <v>455</v>
      </c>
      <c r="BX120" s="125" t="s">
        <v>456</v>
      </c>
      <c r="BY120" s="125" t="s">
        <v>457</v>
      </c>
      <c r="BZ120" s="125" t="s">
        <v>458</v>
      </c>
      <c r="CA120" s="125"/>
      <c r="CB120" s="125"/>
      <c r="CC120" s="125"/>
      <c r="CD120" s="245"/>
      <c r="CG120" s="125" t="s">
        <v>452</v>
      </c>
      <c r="CH120" s="125" t="s">
        <v>453</v>
      </c>
      <c r="CI120" s="125" t="s">
        <v>398</v>
      </c>
      <c r="CJ120" s="125" t="s">
        <v>399</v>
      </c>
      <c r="CK120" s="125" t="s">
        <v>400</v>
      </c>
      <c r="CL120" s="125" t="s">
        <v>401</v>
      </c>
      <c r="CM120" s="125" t="s">
        <v>402</v>
      </c>
      <c r="CN120" s="125" t="s">
        <v>454</v>
      </c>
      <c r="CO120" s="125" t="s">
        <v>455</v>
      </c>
      <c r="CP120" s="125" t="s">
        <v>456</v>
      </c>
      <c r="CQ120" s="125" t="s">
        <v>457</v>
      </c>
      <c r="CR120" s="125" t="s">
        <v>458</v>
      </c>
      <c r="CS120" s="125"/>
      <c r="CT120" s="125"/>
      <c r="CU120" s="125"/>
      <c r="CX120" s="125" t="s">
        <v>452</v>
      </c>
      <c r="CY120" s="125" t="s">
        <v>453</v>
      </c>
      <c r="CZ120" s="125" t="s">
        <v>398</v>
      </c>
      <c r="DA120" s="125" t="s">
        <v>399</v>
      </c>
      <c r="DB120" s="125" t="s">
        <v>400</v>
      </c>
      <c r="DC120" s="125" t="s">
        <v>401</v>
      </c>
      <c r="DD120" s="125" t="s">
        <v>402</v>
      </c>
      <c r="DE120" s="125" t="s">
        <v>454</v>
      </c>
      <c r="DF120" s="125" t="s">
        <v>455</v>
      </c>
      <c r="DG120" s="125" t="s">
        <v>456</v>
      </c>
      <c r="DH120" s="125" t="s">
        <v>457</v>
      </c>
      <c r="DI120" s="125" t="s">
        <v>458</v>
      </c>
      <c r="DJ120" s="125"/>
      <c r="DK120" s="125"/>
      <c r="DO120" s="125" t="s">
        <v>452</v>
      </c>
      <c r="DP120" s="125" t="s">
        <v>453</v>
      </c>
      <c r="DQ120" s="125" t="s">
        <v>398</v>
      </c>
      <c r="DR120" s="125" t="s">
        <v>399</v>
      </c>
      <c r="DS120" s="125" t="s">
        <v>400</v>
      </c>
      <c r="DT120" s="125" t="s">
        <v>401</v>
      </c>
      <c r="DU120" s="125" t="s">
        <v>402</v>
      </c>
      <c r="DV120" s="125" t="s">
        <v>454</v>
      </c>
      <c r="DW120" s="125" t="s">
        <v>455</v>
      </c>
      <c r="DX120" s="125" t="s">
        <v>456</v>
      </c>
      <c r="DY120" s="125" t="s">
        <v>457</v>
      </c>
      <c r="DZ120" s="125" t="s">
        <v>458</v>
      </c>
      <c r="FC120" s="125" t="s">
        <v>452</v>
      </c>
      <c r="FD120" s="125" t="s">
        <v>453</v>
      </c>
      <c r="FE120" s="125" t="s">
        <v>398</v>
      </c>
      <c r="FF120" s="125" t="s">
        <v>399</v>
      </c>
      <c r="FG120" s="125" t="s">
        <v>400</v>
      </c>
      <c r="FH120" s="125" t="s">
        <v>401</v>
      </c>
      <c r="FI120" s="125" t="s">
        <v>402</v>
      </c>
      <c r="FJ120" s="125" t="s">
        <v>454</v>
      </c>
      <c r="FK120" s="125" t="s">
        <v>455</v>
      </c>
      <c r="FL120" s="125" t="s">
        <v>456</v>
      </c>
      <c r="FM120" s="125" t="s">
        <v>457</v>
      </c>
      <c r="FN120" s="125" t="s">
        <v>458</v>
      </c>
      <c r="FW120" s="125" t="s">
        <v>452</v>
      </c>
      <c r="FX120" s="125" t="s">
        <v>453</v>
      </c>
      <c r="FY120" s="125" t="s">
        <v>398</v>
      </c>
      <c r="FZ120" s="125" t="s">
        <v>399</v>
      </c>
      <c r="GA120" s="125" t="s">
        <v>400</v>
      </c>
      <c r="GB120" s="125" t="s">
        <v>401</v>
      </c>
      <c r="GC120" s="125" t="s">
        <v>402</v>
      </c>
      <c r="GD120" s="125" t="s">
        <v>454</v>
      </c>
      <c r="GE120" s="125" t="s">
        <v>455</v>
      </c>
      <c r="GF120" s="125" t="s">
        <v>456</v>
      </c>
      <c r="GG120" s="125" t="s">
        <v>457</v>
      </c>
      <c r="GH120" s="125" t="s">
        <v>458</v>
      </c>
      <c r="GO120" s="125" t="s">
        <v>452</v>
      </c>
      <c r="GP120" s="125" t="s">
        <v>453</v>
      </c>
      <c r="GQ120" s="125" t="s">
        <v>398</v>
      </c>
      <c r="GR120" s="125" t="s">
        <v>399</v>
      </c>
      <c r="GS120" s="125" t="s">
        <v>400</v>
      </c>
      <c r="GT120" s="125" t="s">
        <v>401</v>
      </c>
      <c r="GU120" s="125" t="s">
        <v>402</v>
      </c>
      <c r="GV120" s="125" t="s">
        <v>454</v>
      </c>
      <c r="GW120" s="125" t="s">
        <v>455</v>
      </c>
      <c r="GX120" s="125" t="s">
        <v>456</v>
      </c>
      <c r="GY120" s="125" t="s">
        <v>457</v>
      </c>
      <c r="GZ120" s="125" t="s">
        <v>458</v>
      </c>
    </row>
    <row r="121" spans="1:208" x14ac:dyDescent="0.2">
      <c r="A121" s="155" t="s">
        <v>569</v>
      </c>
      <c r="B121" s="89">
        <f>B61+O61</f>
        <v>0</v>
      </c>
      <c r="C121" s="89">
        <f t="shared" ref="C121:M121" si="49">C61+P61</f>
        <v>0</v>
      </c>
      <c r="D121" s="89">
        <f t="shared" si="49"/>
        <v>0</v>
      </c>
      <c r="E121" s="89">
        <f t="shared" si="49"/>
        <v>0</v>
      </c>
      <c r="F121" s="89">
        <f t="shared" si="49"/>
        <v>0</v>
      </c>
      <c r="G121" s="89">
        <f t="shared" si="49"/>
        <v>0</v>
      </c>
      <c r="H121" s="89">
        <f t="shared" si="49"/>
        <v>0</v>
      </c>
      <c r="I121" s="89">
        <f t="shared" si="49"/>
        <v>0</v>
      </c>
      <c r="J121" s="89">
        <f t="shared" si="49"/>
        <v>0</v>
      </c>
      <c r="K121" s="89">
        <f t="shared" si="49"/>
        <v>0</v>
      </c>
      <c r="L121" s="89">
        <f t="shared" si="49"/>
        <v>0</v>
      </c>
      <c r="M121" s="89">
        <f t="shared" si="49"/>
        <v>0</v>
      </c>
      <c r="AC121" s="155" t="s">
        <v>569</v>
      </c>
      <c r="AD121" s="89">
        <f t="shared" ref="AD121:AO121" si="50">AD61+O61</f>
        <v>0</v>
      </c>
      <c r="AE121" s="89">
        <f t="shared" si="50"/>
        <v>0</v>
      </c>
      <c r="AF121" s="89">
        <f t="shared" si="50"/>
        <v>0</v>
      </c>
      <c r="AG121" s="89">
        <f t="shared" si="50"/>
        <v>0</v>
      </c>
      <c r="AH121" s="89">
        <f t="shared" si="50"/>
        <v>0</v>
      </c>
      <c r="AI121" s="89">
        <f t="shared" si="50"/>
        <v>0</v>
      </c>
      <c r="AJ121" s="89">
        <f t="shared" si="50"/>
        <v>0</v>
      </c>
      <c r="AK121" s="89">
        <f t="shared" si="50"/>
        <v>0</v>
      </c>
      <c r="AL121" s="89">
        <f t="shared" si="50"/>
        <v>0</v>
      </c>
      <c r="AM121" s="89">
        <f t="shared" si="50"/>
        <v>0</v>
      </c>
      <c r="AN121" s="89">
        <f t="shared" si="50"/>
        <v>0</v>
      </c>
      <c r="AO121" s="89">
        <f t="shared" si="50"/>
        <v>0</v>
      </c>
      <c r="AU121" s="155" t="s">
        <v>569</v>
      </c>
      <c r="AV121" s="89">
        <f>AV61+O61</f>
        <v>0</v>
      </c>
      <c r="AW121" s="89">
        <f t="shared" ref="AW121:BG121" si="51">AW61+P61</f>
        <v>0</v>
      </c>
      <c r="AX121" s="89">
        <f t="shared" si="51"/>
        <v>0</v>
      </c>
      <c r="AY121" s="89">
        <f t="shared" si="51"/>
        <v>0</v>
      </c>
      <c r="AZ121" s="89">
        <f t="shared" si="51"/>
        <v>0</v>
      </c>
      <c r="BA121" s="89">
        <f t="shared" si="51"/>
        <v>0</v>
      </c>
      <c r="BB121" s="89">
        <f t="shared" si="51"/>
        <v>0</v>
      </c>
      <c r="BC121" s="89">
        <f t="shared" si="51"/>
        <v>0</v>
      </c>
      <c r="BD121" s="89">
        <f t="shared" si="51"/>
        <v>0</v>
      </c>
      <c r="BE121" s="89">
        <f t="shared" si="51"/>
        <v>0</v>
      </c>
      <c r="BF121" s="89">
        <f t="shared" si="51"/>
        <v>0</v>
      </c>
      <c r="BG121" s="89">
        <f t="shared" si="51"/>
        <v>0</v>
      </c>
      <c r="BN121" s="155" t="s">
        <v>569</v>
      </c>
      <c r="BO121" s="89">
        <f t="shared" ref="BO121:BZ121" si="52">BO61+O61</f>
        <v>0</v>
      </c>
      <c r="BP121" s="89">
        <f t="shared" si="52"/>
        <v>0</v>
      </c>
      <c r="BQ121" s="89">
        <f t="shared" si="52"/>
        <v>0</v>
      </c>
      <c r="BR121" s="89">
        <f t="shared" si="52"/>
        <v>0</v>
      </c>
      <c r="BS121" s="89">
        <f t="shared" si="52"/>
        <v>0</v>
      </c>
      <c r="BT121" s="89">
        <f t="shared" si="52"/>
        <v>0</v>
      </c>
      <c r="BU121" s="89">
        <f t="shared" si="52"/>
        <v>0</v>
      </c>
      <c r="BV121" s="89">
        <f t="shared" si="52"/>
        <v>0</v>
      </c>
      <c r="BW121" s="89">
        <f t="shared" si="52"/>
        <v>0</v>
      </c>
      <c r="BX121" s="89">
        <f t="shared" si="52"/>
        <v>0</v>
      </c>
      <c r="BY121" s="89">
        <f t="shared" si="52"/>
        <v>0</v>
      </c>
      <c r="BZ121" s="89">
        <f t="shared" si="52"/>
        <v>0</v>
      </c>
      <c r="CF121" s="155" t="s">
        <v>569</v>
      </c>
      <c r="CG121" s="89">
        <f t="shared" ref="CG121:CR121" si="53">CG61+O61</f>
        <v>0</v>
      </c>
      <c r="CH121" s="89">
        <f t="shared" si="53"/>
        <v>0</v>
      </c>
      <c r="CI121" s="89">
        <f t="shared" si="53"/>
        <v>0</v>
      </c>
      <c r="CJ121" s="89">
        <f t="shared" si="53"/>
        <v>0</v>
      </c>
      <c r="CK121" s="89">
        <f t="shared" si="53"/>
        <v>0</v>
      </c>
      <c r="CL121" s="89">
        <f t="shared" si="53"/>
        <v>0</v>
      </c>
      <c r="CM121" s="89">
        <f t="shared" si="53"/>
        <v>0</v>
      </c>
      <c r="CN121" s="89">
        <f t="shared" si="53"/>
        <v>0</v>
      </c>
      <c r="CO121" s="89">
        <f t="shared" si="53"/>
        <v>0</v>
      </c>
      <c r="CP121" s="89">
        <f t="shared" si="53"/>
        <v>0</v>
      </c>
      <c r="CQ121" s="89">
        <f t="shared" si="53"/>
        <v>0</v>
      </c>
      <c r="CR121" s="89">
        <f t="shared" si="53"/>
        <v>0</v>
      </c>
      <c r="CW121" s="155" t="s">
        <v>569</v>
      </c>
      <c r="CX121" s="89">
        <f t="shared" ref="CX121:DI121" si="54">B61+CW61</f>
        <v>0</v>
      </c>
      <c r="CY121" s="89">
        <f t="shared" si="54"/>
        <v>0</v>
      </c>
      <c r="CZ121" s="89">
        <f t="shared" si="54"/>
        <v>0</v>
      </c>
      <c r="DA121" s="89">
        <f t="shared" si="54"/>
        <v>0</v>
      </c>
      <c r="DB121" s="89">
        <f t="shared" si="54"/>
        <v>0</v>
      </c>
      <c r="DC121" s="89">
        <f t="shared" si="54"/>
        <v>0</v>
      </c>
      <c r="DD121" s="89">
        <f t="shared" si="54"/>
        <v>0</v>
      </c>
      <c r="DE121" s="89">
        <f t="shared" si="54"/>
        <v>0</v>
      </c>
      <c r="DF121" s="89">
        <f t="shared" si="54"/>
        <v>0</v>
      </c>
      <c r="DG121" s="89">
        <f t="shared" si="54"/>
        <v>0</v>
      </c>
      <c r="DH121" s="89">
        <f t="shared" si="54"/>
        <v>0</v>
      </c>
      <c r="DI121" s="89">
        <f t="shared" si="54"/>
        <v>0</v>
      </c>
      <c r="DN121" s="155" t="s">
        <v>569</v>
      </c>
      <c r="DO121" s="89">
        <f>B61+O61</f>
        <v>0</v>
      </c>
      <c r="DP121" s="89">
        <f t="shared" ref="DP121:DZ121" si="55">C61+P61</f>
        <v>0</v>
      </c>
      <c r="DQ121" s="89">
        <f t="shared" si="55"/>
        <v>0</v>
      </c>
      <c r="DR121" s="89">
        <f t="shared" si="55"/>
        <v>0</v>
      </c>
      <c r="DS121" s="89">
        <f t="shared" si="55"/>
        <v>0</v>
      </c>
      <c r="DT121" s="89">
        <f t="shared" si="55"/>
        <v>0</v>
      </c>
      <c r="DU121" s="89">
        <f t="shared" si="55"/>
        <v>0</v>
      </c>
      <c r="DV121" s="89">
        <f t="shared" si="55"/>
        <v>0</v>
      </c>
      <c r="DW121" s="89">
        <f t="shared" si="55"/>
        <v>0</v>
      </c>
      <c r="DX121" s="89">
        <f t="shared" si="55"/>
        <v>0</v>
      </c>
      <c r="DY121" s="89">
        <f t="shared" si="55"/>
        <v>0</v>
      </c>
      <c r="DZ121" s="89">
        <f t="shared" si="55"/>
        <v>0</v>
      </c>
      <c r="FB121" s="155" t="s">
        <v>569</v>
      </c>
      <c r="FC121" s="89">
        <f>B121</f>
        <v>0</v>
      </c>
      <c r="FD121" s="89">
        <f t="shared" ref="FD121:FN121" si="56">C121</f>
        <v>0</v>
      </c>
      <c r="FE121" s="89">
        <f t="shared" si="56"/>
        <v>0</v>
      </c>
      <c r="FF121" s="89">
        <f t="shared" si="56"/>
        <v>0</v>
      </c>
      <c r="FG121" s="89">
        <f t="shared" si="56"/>
        <v>0</v>
      </c>
      <c r="FH121" s="89">
        <f t="shared" si="56"/>
        <v>0</v>
      </c>
      <c r="FI121" s="89">
        <f t="shared" si="56"/>
        <v>0</v>
      </c>
      <c r="FJ121" s="89">
        <f t="shared" si="56"/>
        <v>0</v>
      </c>
      <c r="FK121" s="89">
        <f t="shared" si="56"/>
        <v>0</v>
      </c>
      <c r="FL121" s="89">
        <f t="shared" si="56"/>
        <v>0</v>
      </c>
      <c r="FM121" s="89">
        <f t="shared" si="56"/>
        <v>0</v>
      </c>
      <c r="FN121" s="89">
        <f t="shared" si="56"/>
        <v>0</v>
      </c>
      <c r="FV121" s="155" t="s">
        <v>569</v>
      </c>
      <c r="FW121" s="89">
        <f>B121</f>
        <v>0</v>
      </c>
      <c r="FX121" s="89">
        <f t="shared" ref="FX121:GH122" si="57">C121</f>
        <v>0</v>
      </c>
      <c r="FY121" s="89">
        <f t="shared" si="57"/>
        <v>0</v>
      </c>
      <c r="FZ121" s="89">
        <f t="shared" si="57"/>
        <v>0</v>
      </c>
      <c r="GA121" s="89">
        <f t="shared" si="57"/>
        <v>0</v>
      </c>
      <c r="GB121" s="89">
        <f t="shared" si="57"/>
        <v>0</v>
      </c>
      <c r="GC121" s="89">
        <f t="shared" si="57"/>
        <v>0</v>
      </c>
      <c r="GD121" s="89">
        <f t="shared" si="57"/>
        <v>0</v>
      </c>
      <c r="GE121" s="89">
        <f t="shared" si="57"/>
        <v>0</v>
      </c>
      <c r="GF121" s="89">
        <f t="shared" si="57"/>
        <v>0</v>
      </c>
      <c r="GG121" s="89">
        <f t="shared" si="57"/>
        <v>0</v>
      </c>
      <c r="GH121" s="89">
        <f t="shared" si="57"/>
        <v>0</v>
      </c>
      <c r="GN121" s="155" t="s">
        <v>569</v>
      </c>
      <c r="GO121" s="89">
        <f>GO61+HB61</f>
        <v>0</v>
      </c>
      <c r="GP121" s="89">
        <f t="shared" ref="GP121:GZ121" si="58">GP61+HC61</f>
        <v>0</v>
      </c>
      <c r="GQ121" s="89">
        <f t="shared" si="58"/>
        <v>0</v>
      </c>
      <c r="GR121" s="89">
        <f t="shared" si="58"/>
        <v>0</v>
      </c>
      <c r="GS121" s="89">
        <f t="shared" si="58"/>
        <v>0</v>
      </c>
      <c r="GT121" s="89">
        <f t="shared" si="58"/>
        <v>0</v>
      </c>
      <c r="GU121" s="89">
        <f t="shared" si="58"/>
        <v>0</v>
      </c>
      <c r="GV121" s="89">
        <f t="shared" si="58"/>
        <v>0</v>
      </c>
      <c r="GW121" s="89">
        <f t="shared" si="58"/>
        <v>0</v>
      </c>
      <c r="GX121" s="89">
        <f t="shared" si="58"/>
        <v>0</v>
      </c>
      <c r="GY121" s="89">
        <f t="shared" si="58"/>
        <v>0</v>
      </c>
      <c r="GZ121" s="89">
        <f t="shared" si="58"/>
        <v>0</v>
      </c>
    </row>
    <row r="122" spans="1:208" x14ac:dyDescent="0.2">
      <c r="A122" s="155" t="s">
        <v>507</v>
      </c>
      <c r="B122" s="89">
        <f>H12</f>
        <v>0</v>
      </c>
      <c r="C122" s="89">
        <f t="shared" ref="C122:M122" si="59">I12</f>
        <v>0</v>
      </c>
      <c r="D122" s="89">
        <f t="shared" si="59"/>
        <v>0</v>
      </c>
      <c r="E122" s="89">
        <f t="shared" si="59"/>
        <v>0</v>
      </c>
      <c r="F122" s="89">
        <f t="shared" si="59"/>
        <v>0</v>
      </c>
      <c r="G122" s="89">
        <f t="shared" si="59"/>
        <v>0</v>
      </c>
      <c r="H122" s="89">
        <f t="shared" si="59"/>
        <v>0</v>
      </c>
      <c r="I122" s="89">
        <f t="shared" si="59"/>
        <v>0</v>
      </c>
      <c r="J122" s="89">
        <f t="shared" si="59"/>
        <v>0</v>
      </c>
      <c r="K122" s="89">
        <f t="shared" si="59"/>
        <v>0</v>
      </c>
      <c r="L122" s="89">
        <f t="shared" si="59"/>
        <v>0</v>
      </c>
      <c r="M122" s="89">
        <f t="shared" si="59"/>
        <v>0</v>
      </c>
      <c r="AC122" s="155" t="s">
        <v>507</v>
      </c>
      <c r="AD122" s="89">
        <f>H12</f>
        <v>0</v>
      </c>
      <c r="AE122" s="89">
        <f t="shared" ref="AE122:AO122" si="60">I12</f>
        <v>0</v>
      </c>
      <c r="AF122" s="89">
        <f t="shared" si="60"/>
        <v>0</v>
      </c>
      <c r="AG122" s="89">
        <f t="shared" si="60"/>
        <v>0</v>
      </c>
      <c r="AH122" s="89">
        <f t="shared" si="60"/>
        <v>0</v>
      </c>
      <c r="AI122" s="89">
        <f t="shared" si="60"/>
        <v>0</v>
      </c>
      <c r="AJ122" s="89">
        <f t="shared" si="60"/>
        <v>0</v>
      </c>
      <c r="AK122" s="89">
        <f t="shared" si="60"/>
        <v>0</v>
      </c>
      <c r="AL122" s="89">
        <f t="shared" si="60"/>
        <v>0</v>
      </c>
      <c r="AM122" s="89">
        <f t="shared" si="60"/>
        <v>0</v>
      </c>
      <c r="AN122" s="89">
        <f t="shared" si="60"/>
        <v>0</v>
      </c>
      <c r="AO122" s="89">
        <f t="shared" si="60"/>
        <v>0</v>
      </c>
      <c r="AU122" s="155" t="s">
        <v>507</v>
      </c>
      <c r="AV122" s="89">
        <f>H12</f>
        <v>0</v>
      </c>
      <c r="AW122" s="89">
        <f t="shared" ref="AW122:BG122" si="61">I12</f>
        <v>0</v>
      </c>
      <c r="AX122" s="89">
        <f t="shared" si="61"/>
        <v>0</v>
      </c>
      <c r="AY122" s="89">
        <f t="shared" si="61"/>
        <v>0</v>
      </c>
      <c r="AZ122" s="89">
        <f t="shared" si="61"/>
        <v>0</v>
      </c>
      <c r="BA122" s="89">
        <f t="shared" si="61"/>
        <v>0</v>
      </c>
      <c r="BB122" s="89">
        <f t="shared" si="61"/>
        <v>0</v>
      </c>
      <c r="BC122" s="89">
        <f t="shared" si="61"/>
        <v>0</v>
      </c>
      <c r="BD122" s="89">
        <f t="shared" si="61"/>
        <v>0</v>
      </c>
      <c r="BE122" s="89">
        <f t="shared" si="61"/>
        <v>0</v>
      </c>
      <c r="BF122" s="89">
        <f t="shared" si="61"/>
        <v>0</v>
      </c>
      <c r="BG122" s="89">
        <f t="shared" si="61"/>
        <v>0</v>
      </c>
      <c r="BN122" s="155" t="s">
        <v>507</v>
      </c>
      <c r="BO122" s="89">
        <f>H12</f>
        <v>0</v>
      </c>
      <c r="BP122" s="89">
        <f t="shared" ref="BP122:BZ122" si="62">I12</f>
        <v>0</v>
      </c>
      <c r="BQ122" s="89">
        <f t="shared" si="62"/>
        <v>0</v>
      </c>
      <c r="BR122" s="89">
        <f t="shared" si="62"/>
        <v>0</v>
      </c>
      <c r="BS122" s="89">
        <f t="shared" si="62"/>
        <v>0</v>
      </c>
      <c r="BT122" s="89">
        <f t="shared" si="62"/>
        <v>0</v>
      </c>
      <c r="BU122" s="89">
        <f t="shared" si="62"/>
        <v>0</v>
      </c>
      <c r="BV122" s="89">
        <f t="shared" si="62"/>
        <v>0</v>
      </c>
      <c r="BW122" s="89">
        <f t="shared" si="62"/>
        <v>0</v>
      </c>
      <c r="BX122" s="89">
        <f t="shared" si="62"/>
        <v>0</v>
      </c>
      <c r="BY122" s="89">
        <f t="shared" si="62"/>
        <v>0</v>
      </c>
      <c r="BZ122" s="89">
        <f t="shared" si="62"/>
        <v>0</v>
      </c>
      <c r="CF122" s="155" t="s">
        <v>507</v>
      </c>
      <c r="CG122" s="89">
        <f>H12</f>
        <v>0</v>
      </c>
      <c r="CH122" s="89">
        <f t="shared" ref="CH122:CR122" si="63">I12</f>
        <v>0</v>
      </c>
      <c r="CI122" s="89">
        <f t="shared" si="63"/>
        <v>0</v>
      </c>
      <c r="CJ122" s="89">
        <f t="shared" si="63"/>
        <v>0</v>
      </c>
      <c r="CK122" s="89">
        <f t="shared" si="63"/>
        <v>0</v>
      </c>
      <c r="CL122" s="89">
        <f t="shared" si="63"/>
        <v>0</v>
      </c>
      <c r="CM122" s="89">
        <f t="shared" si="63"/>
        <v>0</v>
      </c>
      <c r="CN122" s="89">
        <f t="shared" si="63"/>
        <v>0</v>
      </c>
      <c r="CO122" s="89">
        <f t="shared" si="63"/>
        <v>0</v>
      </c>
      <c r="CP122" s="89">
        <f t="shared" si="63"/>
        <v>0</v>
      </c>
      <c r="CQ122" s="89">
        <f t="shared" si="63"/>
        <v>0</v>
      </c>
      <c r="CR122" s="89">
        <f t="shared" si="63"/>
        <v>0</v>
      </c>
      <c r="CW122" s="155" t="s">
        <v>507</v>
      </c>
      <c r="CX122" s="89">
        <f>H12</f>
        <v>0</v>
      </c>
      <c r="CY122" s="89">
        <f t="shared" ref="CY122:DI122" si="64">I12</f>
        <v>0</v>
      </c>
      <c r="CZ122" s="89">
        <f t="shared" si="64"/>
        <v>0</v>
      </c>
      <c r="DA122" s="89">
        <f t="shared" si="64"/>
        <v>0</v>
      </c>
      <c r="DB122" s="89">
        <f t="shared" si="64"/>
        <v>0</v>
      </c>
      <c r="DC122" s="89">
        <f t="shared" si="64"/>
        <v>0</v>
      </c>
      <c r="DD122" s="89">
        <f t="shared" si="64"/>
        <v>0</v>
      </c>
      <c r="DE122" s="89">
        <f t="shared" si="64"/>
        <v>0</v>
      </c>
      <c r="DF122" s="89">
        <f t="shared" si="64"/>
        <v>0</v>
      </c>
      <c r="DG122" s="89">
        <f t="shared" si="64"/>
        <v>0</v>
      </c>
      <c r="DH122" s="89">
        <f t="shared" si="64"/>
        <v>0</v>
      </c>
      <c r="DI122" s="89">
        <f t="shared" si="64"/>
        <v>0</v>
      </c>
      <c r="DN122" s="155" t="s">
        <v>507</v>
      </c>
      <c r="DO122" s="89">
        <f>H12</f>
        <v>0</v>
      </c>
      <c r="DP122" s="89">
        <f t="shared" ref="DP122:DZ122" si="65">I12</f>
        <v>0</v>
      </c>
      <c r="DQ122" s="89">
        <f t="shared" si="65"/>
        <v>0</v>
      </c>
      <c r="DR122" s="89">
        <f t="shared" si="65"/>
        <v>0</v>
      </c>
      <c r="DS122" s="89">
        <f t="shared" si="65"/>
        <v>0</v>
      </c>
      <c r="DT122" s="89">
        <f t="shared" si="65"/>
        <v>0</v>
      </c>
      <c r="DU122" s="89">
        <f t="shared" si="65"/>
        <v>0</v>
      </c>
      <c r="DV122" s="89">
        <f t="shared" si="65"/>
        <v>0</v>
      </c>
      <c r="DW122" s="89">
        <f t="shared" si="65"/>
        <v>0</v>
      </c>
      <c r="DX122" s="89">
        <f t="shared" si="65"/>
        <v>0</v>
      </c>
      <c r="DY122" s="89">
        <f t="shared" si="65"/>
        <v>0</v>
      </c>
      <c r="DZ122" s="89">
        <f t="shared" si="65"/>
        <v>0</v>
      </c>
      <c r="FB122" s="155" t="s">
        <v>507</v>
      </c>
      <c r="FC122" s="89">
        <f t="shared" ref="FC122:FN122" si="66">FI12</f>
        <v>0</v>
      </c>
      <c r="FD122" s="89">
        <f t="shared" si="66"/>
        <v>0</v>
      </c>
      <c r="FE122" s="89">
        <f t="shared" si="66"/>
        <v>0</v>
      </c>
      <c r="FF122" s="89">
        <f t="shared" si="66"/>
        <v>0</v>
      </c>
      <c r="FG122" s="89">
        <f t="shared" si="66"/>
        <v>0</v>
      </c>
      <c r="FH122" s="89">
        <f t="shared" si="66"/>
        <v>0</v>
      </c>
      <c r="FI122" s="89">
        <f t="shared" si="66"/>
        <v>0</v>
      </c>
      <c r="FJ122" s="89">
        <f t="shared" si="66"/>
        <v>0</v>
      </c>
      <c r="FK122" s="89">
        <f t="shared" si="66"/>
        <v>0</v>
      </c>
      <c r="FL122" s="89">
        <f t="shared" si="66"/>
        <v>0</v>
      </c>
      <c r="FM122" s="89">
        <f t="shared" si="66"/>
        <v>0</v>
      </c>
      <c r="FN122" s="89">
        <f t="shared" si="66"/>
        <v>0</v>
      </c>
      <c r="FV122" s="155" t="s">
        <v>507</v>
      </c>
      <c r="FW122" s="89">
        <f>B122</f>
        <v>0</v>
      </c>
      <c r="FX122" s="89">
        <f t="shared" si="57"/>
        <v>0</v>
      </c>
      <c r="FY122" s="89">
        <f t="shared" si="57"/>
        <v>0</v>
      </c>
      <c r="FZ122" s="89">
        <f t="shared" si="57"/>
        <v>0</v>
      </c>
      <c r="GA122" s="89">
        <f t="shared" si="57"/>
        <v>0</v>
      </c>
      <c r="GB122" s="89">
        <f t="shared" si="57"/>
        <v>0</v>
      </c>
      <c r="GC122" s="89">
        <f t="shared" si="57"/>
        <v>0</v>
      </c>
      <c r="GD122" s="89">
        <f t="shared" si="57"/>
        <v>0</v>
      </c>
      <c r="GE122" s="89">
        <f t="shared" si="57"/>
        <v>0</v>
      </c>
      <c r="GF122" s="89">
        <f t="shared" si="57"/>
        <v>0</v>
      </c>
      <c r="GG122" s="89">
        <f t="shared" si="57"/>
        <v>0</v>
      </c>
      <c r="GH122" s="89">
        <f t="shared" si="57"/>
        <v>0</v>
      </c>
      <c r="GN122" s="155" t="s">
        <v>507</v>
      </c>
      <c r="GO122" s="89">
        <f>GT12</f>
        <v>0</v>
      </c>
      <c r="GP122" s="89">
        <f t="shared" ref="GP122:GZ122" si="67">GU12</f>
        <v>0</v>
      </c>
      <c r="GQ122" s="89">
        <f t="shared" si="67"/>
        <v>0</v>
      </c>
      <c r="GR122" s="89">
        <f t="shared" si="67"/>
        <v>0</v>
      </c>
      <c r="GS122" s="89">
        <f t="shared" si="67"/>
        <v>0</v>
      </c>
      <c r="GT122" s="89">
        <f t="shared" si="67"/>
        <v>0</v>
      </c>
      <c r="GU122" s="89">
        <f t="shared" si="67"/>
        <v>0</v>
      </c>
      <c r="GV122" s="89">
        <f t="shared" si="67"/>
        <v>0</v>
      </c>
      <c r="GW122" s="89">
        <f t="shared" si="67"/>
        <v>0</v>
      </c>
      <c r="GX122" s="89">
        <f t="shared" si="67"/>
        <v>0</v>
      </c>
      <c r="GY122" s="89">
        <f t="shared" si="67"/>
        <v>0</v>
      </c>
      <c r="GZ122" s="89">
        <f t="shared" si="67"/>
        <v>0</v>
      </c>
    </row>
    <row r="123" spans="1:208" x14ac:dyDescent="0.2">
      <c r="A123" s="155" t="s">
        <v>720</v>
      </c>
      <c r="B123" s="89">
        <f>'Verwerken Algemeen'!C33</f>
        <v>0</v>
      </c>
      <c r="C123" s="89">
        <f>$B$123</f>
        <v>0</v>
      </c>
      <c r="D123" s="89">
        <f t="shared" ref="D123:M123" si="68">$B$123</f>
        <v>0</v>
      </c>
      <c r="E123" s="89">
        <f t="shared" si="68"/>
        <v>0</v>
      </c>
      <c r="F123" s="89">
        <f t="shared" si="68"/>
        <v>0</v>
      </c>
      <c r="G123" s="89">
        <f t="shared" si="68"/>
        <v>0</v>
      </c>
      <c r="H123" s="89">
        <f t="shared" si="68"/>
        <v>0</v>
      </c>
      <c r="I123" s="89">
        <f t="shared" si="68"/>
        <v>0</v>
      </c>
      <c r="J123" s="89">
        <f t="shared" si="68"/>
        <v>0</v>
      </c>
      <c r="K123" s="89">
        <f t="shared" si="68"/>
        <v>0</v>
      </c>
      <c r="L123" s="89">
        <f t="shared" si="68"/>
        <v>0</v>
      </c>
      <c r="M123" s="89">
        <f t="shared" si="68"/>
        <v>0</v>
      </c>
      <c r="AC123" s="155" t="s">
        <v>720</v>
      </c>
      <c r="AD123" s="89">
        <f>$B$123</f>
        <v>0</v>
      </c>
      <c r="AE123" s="89">
        <f t="shared" ref="AE123:AO123" si="69">$B$123</f>
        <v>0</v>
      </c>
      <c r="AF123" s="89">
        <f t="shared" si="69"/>
        <v>0</v>
      </c>
      <c r="AG123" s="89">
        <f t="shared" si="69"/>
        <v>0</v>
      </c>
      <c r="AH123" s="89">
        <f t="shared" si="69"/>
        <v>0</v>
      </c>
      <c r="AI123" s="89">
        <f t="shared" si="69"/>
        <v>0</v>
      </c>
      <c r="AJ123" s="89">
        <f t="shared" si="69"/>
        <v>0</v>
      </c>
      <c r="AK123" s="89">
        <f t="shared" si="69"/>
        <v>0</v>
      </c>
      <c r="AL123" s="89">
        <f t="shared" si="69"/>
        <v>0</v>
      </c>
      <c r="AM123" s="89">
        <f t="shared" si="69"/>
        <v>0</v>
      </c>
      <c r="AN123" s="89">
        <f t="shared" si="69"/>
        <v>0</v>
      </c>
      <c r="AO123" s="89">
        <f t="shared" si="69"/>
        <v>0</v>
      </c>
      <c r="AU123" s="155" t="s">
        <v>720</v>
      </c>
      <c r="AV123" s="89">
        <f>$B$123</f>
        <v>0</v>
      </c>
      <c r="AW123" s="89">
        <f t="shared" ref="AW123:BG123" si="70">$B$123</f>
        <v>0</v>
      </c>
      <c r="AX123" s="89">
        <f t="shared" si="70"/>
        <v>0</v>
      </c>
      <c r="AY123" s="89">
        <f t="shared" si="70"/>
        <v>0</v>
      </c>
      <c r="AZ123" s="89">
        <f t="shared" si="70"/>
        <v>0</v>
      </c>
      <c r="BA123" s="89">
        <f t="shared" si="70"/>
        <v>0</v>
      </c>
      <c r="BB123" s="89">
        <f t="shared" si="70"/>
        <v>0</v>
      </c>
      <c r="BC123" s="89">
        <f t="shared" si="70"/>
        <v>0</v>
      </c>
      <c r="BD123" s="89">
        <f t="shared" si="70"/>
        <v>0</v>
      </c>
      <c r="BE123" s="89">
        <f t="shared" si="70"/>
        <v>0</v>
      </c>
      <c r="BF123" s="89">
        <f t="shared" si="70"/>
        <v>0</v>
      </c>
      <c r="BG123" s="89">
        <f t="shared" si="70"/>
        <v>0</v>
      </c>
      <c r="BN123" s="155" t="s">
        <v>720</v>
      </c>
      <c r="BO123" s="89">
        <f>$B$123</f>
        <v>0</v>
      </c>
      <c r="BP123" s="89">
        <f t="shared" ref="BP123:BZ123" si="71">$B$123</f>
        <v>0</v>
      </c>
      <c r="BQ123" s="89">
        <f t="shared" si="71"/>
        <v>0</v>
      </c>
      <c r="BR123" s="89">
        <f t="shared" si="71"/>
        <v>0</v>
      </c>
      <c r="BS123" s="89">
        <f t="shared" si="71"/>
        <v>0</v>
      </c>
      <c r="BT123" s="89">
        <f t="shared" si="71"/>
        <v>0</v>
      </c>
      <c r="BU123" s="89">
        <f t="shared" si="71"/>
        <v>0</v>
      </c>
      <c r="BV123" s="89">
        <f t="shared" si="71"/>
        <v>0</v>
      </c>
      <c r="BW123" s="89">
        <f t="shared" si="71"/>
        <v>0</v>
      </c>
      <c r="BX123" s="89">
        <f t="shared" si="71"/>
        <v>0</v>
      </c>
      <c r="BY123" s="89">
        <f t="shared" si="71"/>
        <v>0</v>
      </c>
      <c r="BZ123" s="89">
        <f t="shared" si="71"/>
        <v>0</v>
      </c>
      <c r="CF123" s="155" t="s">
        <v>720</v>
      </c>
      <c r="CG123" s="89">
        <f>$B$123</f>
        <v>0</v>
      </c>
      <c r="CH123" s="89">
        <f t="shared" ref="CH123:CR123" si="72">$B$123</f>
        <v>0</v>
      </c>
      <c r="CI123" s="89">
        <f t="shared" si="72"/>
        <v>0</v>
      </c>
      <c r="CJ123" s="89">
        <f t="shared" si="72"/>
        <v>0</v>
      </c>
      <c r="CK123" s="89">
        <f t="shared" si="72"/>
        <v>0</v>
      </c>
      <c r="CL123" s="89">
        <f t="shared" si="72"/>
        <v>0</v>
      </c>
      <c r="CM123" s="89">
        <f t="shared" si="72"/>
        <v>0</v>
      </c>
      <c r="CN123" s="89">
        <f t="shared" si="72"/>
        <v>0</v>
      </c>
      <c r="CO123" s="89">
        <f t="shared" si="72"/>
        <v>0</v>
      </c>
      <c r="CP123" s="89">
        <f t="shared" si="72"/>
        <v>0</v>
      </c>
      <c r="CQ123" s="89">
        <f t="shared" si="72"/>
        <v>0</v>
      </c>
      <c r="CR123" s="89">
        <f t="shared" si="72"/>
        <v>0</v>
      </c>
      <c r="CW123" s="155" t="s">
        <v>720</v>
      </c>
      <c r="CX123" s="89">
        <f>$B$123</f>
        <v>0</v>
      </c>
      <c r="CY123" s="89">
        <f t="shared" ref="CY123:DI123" si="73">$B$123</f>
        <v>0</v>
      </c>
      <c r="CZ123" s="89">
        <f t="shared" si="73"/>
        <v>0</v>
      </c>
      <c r="DA123" s="89">
        <f t="shared" si="73"/>
        <v>0</v>
      </c>
      <c r="DB123" s="89">
        <f t="shared" si="73"/>
        <v>0</v>
      </c>
      <c r="DC123" s="89">
        <f t="shared" si="73"/>
        <v>0</v>
      </c>
      <c r="DD123" s="89">
        <f t="shared" si="73"/>
        <v>0</v>
      </c>
      <c r="DE123" s="89">
        <f t="shared" si="73"/>
        <v>0</v>
      </c>
      <c r="DF123" s="89">
        <f t="shared" si="73"/>
        <v>0</v>
      </c>
      <c r="DG123" s="89">
        <f t="shared" si="73"/>
        <v>0</v>
      </c>
      <c r="DH123" s="89">
        <f t="shared" si="73"/>
        <v>0</v>
      </c>
      <c r="DI123" s="89">
        <f t="shared" si="73"/>
        <v>0</v>
      </c>
      <c r="DN123" s="155" t="s">
        <v>720</v>
      </c>
      <c r="DO123" s="89">
        <f>$B$123</f>
        <v>0</v>
      </c>
      <c r="DP123" s="89">
        <f t="shared" ref="DP123:DZ123" si="74">$B$123</f>
        <v>0</v>
      </c>
      <c r="DQ123" s="89">
        <f t="shared" si="74"/>
        <v>0</v>
      </c>
      <c r="DR123" s="89">
        <f t="shared" si="74"/>
        <v>0</v>
      </c>
      <c r="DS123" s="89">
        <f t="shared" si="74"/>
        <v>0</v>
      </c>
      <c r="DT123" s="89">
        <f t="shared" si="74"/>
        <v>0</v>
      </c>
      <c r="DU123" s="89">
        <f t="shared" si="74"/>
        <v>0</v>
      </c>
      <c r="DV123" s="89">
        <f t="shared" si="74"/>
        <v>0</v>
      </c>
      <c r="DW123" s="89">
        <f t="shared" si="74"/>
        <v>0</v>
      </c>
      <c r="DX123" s="89">
        <f t="shared" si="74"/>
        <v>0</v>
      </c>
      <c r="DY123" s="89">
        <f t="shared" si="74"/>
        <v>0</v>
      </c>
      <c r="DZ123" s="89">
        <f t="shared" si="74"/>
        <v>0</v>
      </c>
      <c r="FB123" s="155" t="s">
        <v>720</v>
      </c>
      <c r="FC123" s="89">
        <f>$B$123</f>
        <v>0</v>
      </c>
      <c r="FD123" s="89">
        <f t="shared" ref="FD123:FN123" si="75">$B$123</f>
        <v>0</v>
      </c>
      <c r="FE123" s="89">
        <f t="shared" si="75"/>
        <v>0</v>
      </c>
      <c r="FF123" s="89">
        <f t="shared" si="75"/>
        <v>0</v>
      </c>
      <c r="FG123" s="89">
        <f t="shared" si="75"/>
        <v>0</v>
      </c>
      <c r="FH123" s="89">
        <f t="shared" si="75"/>
        <v>0</v>
      </c>
      <c r="FI123" s="89">
        <f t="shared" si="75"/>
        <v>0</v>
      </c>
      <c r="FJ123" s="89">
        <f t="shared" si="75"/>
        <v>0</v>
      </c>
      <c r="FK123" s="89">
        <f t="shared" si="75"/>
        <v>0</v>
      </c>
      <c r="FL123" s="89">
        <f t="shared" si="75"/>
        <v>0</v>
      </c>
      <c r="FM123" s="89">
        <f t="shared" si="75"/>
        <v>0</v>
      </c>
      <c r="FN123" s="89">
        <f t="shared" si="75"/>
        <v>0</v>
      </c>
      <c r="FV123" s="155" t="s">
        <v>720</v>
      </c>
      <c r="FW123" s="89">
        <f>$B$123</f>
        <v>0</v>
      </c>
      <c r="FX123" s="89">
        <f t="shared" ref="FX123:GH123" si="76">$B$123</f>
        <v>0</v>
      </c>
      <c r="FY123" s="89">
        <f t="shared" si="76"/>
        <v>0</v>
      </c>
      <c r="FZ123" s="89">
        <f t="shared" si="76"/>
        <v>0</v>
      </c>
      <c r="GA123" s="89">
        <f t="shared" si="76"/>
        <v>0</v>
      </c>
      <c r="GB123" s="89">
        <f t="shared" si="76"/>
        <v>0</v>
      </c>
      <c r="GC123" s="89">
        <f t="shared" si="76"/>
        <v>0</v>
      </c>
      <c r="GD123" s="89">
        <f t="shared" si="76"/>
        <v>0</v>
      </c>
      <c r="GE123" s="89">
        <f t="shared" si="76"/>
        <v>0</v>
      </c>
      <c r="GF123" s="89">
        <f t="shared" si="76"/>
        <v>0</v>
      </c>
      <c r="GG123" s="89">
        <f t="shared" si="76"/>
        <v>0</v>
      </c>
      <c r="GH123" s="89">
        <f t="shared" si="76"/>
        <v>0</v>
      </c>
      <c r="GN123" s="155" t="s">
        <v>720</v>
      </c>
      <c r="GO123" s="89">
        <f>$B$123</f>
        <v>0</v>
      </c>
      <c r="GP123" s="89">
        <f t="shared" ref="GP123:GZ123" si="77">$B$123</f>
        <v>0</v>
      </c>
      <c r="GQ123" s="89">
        <f t="shared" si="77"/>
        <v>0</v>
      </c>
      <c r="GR123" s="89">
        <f t="shared" si="77"/>
        <v>0</v>
      </c>
      <c r="GS123" s="89">
        <f t="shared" si="77"/>
        <v>0</v>
      </c>
      <c r="GT123" s="89">
        <f t="shared" si="77"/>
        <v>0</v>
      </c>
      <c r="GU123" s="89">
        <f t="shared" si="77"/>
        <v>0</v>
      </c>
      <c r="GV123" s="89">
        <f t="shared" si="77"/>
        <v>0</v>
      </c>
      <c r="GW123" s="89">
        <f t="shared" si="77"/>
        <v>0</v>
      </c>
      <c r="GX123" s="89">
        <f t="shared" si="77"/>
        <v>0</v>
      </c>
      <c r="GY123" s="89">
        <f t="shared" si="77"/>
        <v>0</v>
      </c>
      <c r="GZ123" s="89">
        <f t="shared" si="77"/>
        <v>0</v>
      </c>
    </row>
    <row r="124" spans="1:208" x14ac:dyDescent="0.2">
      <c r="A124" s="155" t="s">
        <v>449</v>
      </c>
      <c r="B124" s="89" t="e">
        <f>0.81+((1/76.9)*((B123*'Invoer Algemeen'!D19)/(E12+'Verwerking Bouwdelen'!HC45)))</f>
        <v>#DIV/0!</v>
      </c>
      <c r="C124" s="89" t="e">
        <f>$B$124</f>
        <v>#DIV/0!</v>
      </c>
      <c r="D124" s="89" t="e">
        <f t="shared" ref="D124:M124" si="78">$B$124</f>
        <v>#DIV/0!</v>
      </c>
      <c r="E124" s="89" t="e">
        <f t="shared" si="78"/>
        <v>#DIV/0!</v>
      </c>
      <c r="F124" s="89" t="e">
        <f t="shared" si="78"/>
        <v>#DIV/0!</v>
      </c>
      <c r="G124" s="89" t="e">
        <f t="shared" si="78"/>
        <v>#DIV/0!</v>
      </c>
      <c r="H124" s="89" t="e">
        <f t="shared" si="78"/>
        <v>#DIV/0!</v>
      </c>
      <c r="I124" s="89" t="e">
        <f t="shared" si="78"/>
        <v>#DIV/0!</v>
      </c>
      <c r="J124" s="89" t="e">
        <f t="shared" si="78"/>
        <v>#DIV/0!</v>
      </c>
      <c r="K124" s="89" t="e">
        <f t="shared" si="78"/>
        <v>#DIV/0!</v>
      </c>
      <c r="L124" s="89" t="e">
        <f t="shared" si="78"/>
        <v>#DIV/0!</v>
      </c>
      <c r="M124" s="89" t="e">
        <f t="shared" si="78"/>
        <v>#DIV/0!</v>
      </c>
      <c r="AC124" s="155" t="s">
        <v>449</v>
      </c>
      <c r="AD124" s="89" t="e">
        <f>$B$124</f>
        <v>#DIV/0!</v>
      </c>
      <c r="AE124" s="89" t="e">
        <f t="shared" ref="AE124:AO124" si="79">$B$124</f>
        <v>#DIV/0!</v>
      </c>
      <c r="AF124" s="89" t="e">
        <f t="shared" si="79"/>
        <v>#DIV/0!</v>
      </c>
      <c r="AG124" s="89" t="e">
        <f t="shared" si="79"/>
        <v>#DIV/0!</v>
      </c>
      <c r="AH124" s="89" t="e">
        <f t="shared" si="79"/>
        <v>#DIV/0!</v>
      </c>
      <c r="AI124" s="89" t="e">
        <f t="shared" si="79"/>
        <v>#DIV/0!</v>
      </c>
      <c r="AJ124" s="89" t="e">
        <f t="shared" si="79"/>
        <v>#DIV/0!</v>
      </c>
      <c r="AK124" s="89" t="e">
        <f t="shared" si="79"/>
        <v>#DIV/0!</v>
      </c>
      <c r="AL124" s="89" t="e">
        <f t="shared" si="79"/>
        <v>#DIV/0!</v>
      </c>
      <c r="AM124" s="89" t="e">
        <f t="shared" si="79"/>
        <v>#DIV/0!</v>
      </c>
      <c r="AN124" s="89" t="e">
        <f t="shared" si="79"/>
        <v>#DIV/0!</v>
      </c>
      <c r="AO124" s="89" t="e">
        <f t="shared" si="79"/>
        <v>#DIV/0!</v>
      </c>
      <c r="AU124" s="155" t="s">
        <v>449</v>
      </c>
      <c r="AV124" s="89" t="e">
        <f>$B$124</f>
        <v>#DIV/0!</v>
      </c>
      <c r="AW124" s="89" t="e">
        <f t="shared" ref="AW124:BG124" si="80">$B$124</f>
        <v>#DIV/0!</v>
      </c>
      <c r="AX124" s="89" t="e">
        <f t="shared" si="80"/>
        <v>#DIV/0!</v>
      </c>
      <c r="AY124" s="89" t="e">
        <f t="shared" si="80"/>
        <v>#DIV/0!</v>
      </c>
      <c r="AZ124" s="89" t="e">
        <f t="shared" si="80"/>
        <v>#DIV/0!</v>
      </c>
      <c r="BA124" s="89" t="e">
        <f t="shared" si="80"/>
        <v>#DIV/0!</v>
      </c>
      <c r="BB124" s="89" t="e">
        <f t="shared" si="80"/>
        <v>#DIV/0!</v>
      </c>
      <c r="BC124" s="89" t="e">
        <f t="shared" si="80"/>
        <v>#DIV/0!</v>
      </c>
      <c r="BD124" s="89" t="e">
        <f t="shared" si="80"/>
        <v>#DIV/0!</v>
      </c>
      <c r="BE124" s="89" t="e">
        <f t="shared" si="80"/>
        <v>#DIV/0!</v>
      </c>
      <c r="BF124" s="89" t="e">
        <f t="shared" si="80"/>
        <v>#DIV/0!</v>
      </c>
      <c r="BG124" s="89" t="e">
        <f t="shared" si="80"/>
        <v>#DIV/0!</v>
      </c>
      <c r="BN124" s="155" t="s">
        <v>449</v>
      </c>
      <c r="BO124" s="89" t="e">
        <f>$B$124</f>
        <v>#DIV/0!</v>
      </c>
      <c r="BP124" s="89" t="e">
        <f t="shared" ref="BP124:BZ124" si="81">$B$124</f>
        <v>#DIV/0!</v>
      </c>
      <c r="BQ124" s="89" t="e">
        <f t="shared" si="81"/>
        <v>#DIV/0!</v>
      </c>
      <c r="BR124" s="89" t="e">
        <f t="shared" si="81"/>
        <v>#DIV/0!</v>
      </c>
      <c r="BS124" s="89" t="e">
        <f t="shared" si="81"/>
        <v>#DIV/0!</v>
      </c>
      <c r="BT124" s="89" t="e">
        <f t="shared" si="81"/>
        <v>#DIV/0!</v>
      </c>
      <c r="BU124" s="89" t="e">
        <f t="shared" si="81"/>
        <v>#DIV/0!</v>
      </c>
      <c r="BV124" s="89" t="e">
        <f t="shared" si="81"/>
        <v>#DIV/0!</v>
      </c>
      <c r="BW124" s="89" t="e">
        <f t="shared" si="81"/>
        <v>#DIV/0!</v>
      </c>
      <c r="BX124" s="89" t="e">
        <f t="shared" si="81"/>
        <v>#DIV/0!</v>
      </c>
      <c r="BY124" s="89" t="e">
        <f t="shared" si="81"/>
        <v>#DIV/0!</v>
      </c>
      <c r="BZ124" s="89" t="e">
        <f t="shared" si="81"/>
        <v>#DIV/0!</v>
      </c>
      <c r="CF124" s="155" t="s">
        <v>449</v>
      </c>
      <c r="CG124" s="89" t="e">
        <f>$B$124</f>
        <v>#DIV/0!</v>
      </c>
      <c r="CH124" s="89" t="e">
        <f t="shared" ref="CH124:CR124" si="82">$B$124</f>
        <v>#DIV/0!</v>
      </c>
      <c r="CI124" s="89" t="e">
        <f t="shared" si="82"/>
        <v>#DIV/0!</v>
      </c>
      <c r="CJ124" s="89" t="e">
        <f t="shared" si="82"/>
        <v>#DIV/0!</v>
      </c>
      <c r="CK124" s="89" t="e">
        <f t="shared" si="82"/>
        <v>#DIV/0!</v>
      </c>
      <c r="CL124" s="89" t="e">
        <f t="shared" si="82"/>
        <v>#DIV/0!</v>
      </c>
      <c r="CM124" s="89" t="e">
        <f t="shared" si="82"/>
        <v>#DIV/0!</v>
      </c>
      <c r="CN124" s="89" t="e">
        <f t="shared" si="82"/>
        <v>#DIV/0!</v>
      </c>
      <c r="CO124" s="89" t="e">
        <f t="shared" si="82"/>
        <v>#DIV/0!</v>
      </c>
      <c r="CP124" s="89" t="e">
        <f t="shared" si="82"/>
        <v>#DIV/0!</v>
      </c>
      <c r="CQ124" s="89" t="e">
        <f t="shared" si="82"/>
        <v>#DIV/0!</v>
      </c>
      <c r="CR124" s="89" t="e">
        <f t="shared" si="82"/>
        <v>#DIV/0!</v>
      </c>
      <c r="CW124" s="155" t="s">
        <v>449</v>
      </c>
      <c r="CX124" s="89" t="e">
        <f>$B$124</f>
        <v>#DIV/0!</v>
      </c>
      <c r="CY124" s="89" t="e">
        <f t="shared" ref="CY124:DI124" si="83">$B$124</f>
        <v>#DIV/0!</v>
      </c>
      <c r="CZ124" s="89" t="e">
        <f t="shared" si="83"/>
        <v>#DIV/0!</v>
      </c>
      <c r="DA124" s="89" t="e">
        <f t="shared" si="83"/>
        <v>#DIV/0!</v>
      </c>
      <c r="DB124" s="89" t="e">
        <f t="shared" si="83"/>
        <v>#DIV/0!</v>
      </c>
      <c r="DC124" s="89" t="e">
        <f t="shared" si="83"/>
        <v>#DIV/0!</v>
      </c>
      <c r="DD124" s="89" t="e">
        <f t="shared" si="83"/>
        <v>#DIV/0!</v>
      </c>
      <c r="DE124" s="89" t="e">
        <f t="shared" si="83"/>
        <v>#DIV/0!</v>
      </c>
      <c r="DF124" s="89" t="e">
        <f t="shared" si="83"/>
        <v>#DIV/0!</v>
      </c>
      <c r="DG124" s="89" t="e">
        <f t="shared" si="83"/>
        <v>#DIV/0!</v>
      </c>
      <c r="DH124" s="89" t="e">
        <f t="shared" si="83"/>
        <v>#DIV/0!</v>
      </c>
      <c r="DI124" s="89" t="e">
        <f t="shared" si="83"/>
        <v>#DIV/0!</v>
      </c>
      <c r="DN124" s="155" t="s">
        <v>449</v>
      </c>
      <c r="DO124" s="89" t="e">
        <f>$B$124</f>
        <v>#DIV/0!</v>
      </c>
      <c r="DP124" s="89" t="e">
        <f t="shared" ref="DP124:DZ124" si="84">$B$124</f>
        <v>#DIV/0!</v>
      </c>
      <c r="DQ124" s="89" t="e">
        <f t="shared" si="84"/>
        <v>#DIV/0!</v>
      </c>
      <c r="DR124" s="89" t="e">
        <f t="shared" si="84"/>
        <v>#DIV/0!</v>
      </c>
      <c r="DS124" s="89" t="e">
        <f t="shared" si="84"/>
        <v>#DIV/0!</v>
      </c>
      <c r="DT124" s="89" t="e">
        <f t="shared" si="84"/>
        <v>#DIV/0!</v>
      </c>
      <c r="DU124" s="89" t="e">
        <f t="shared" si="84"/>
        <v>#DIV/0!</v>
      </c>
      <c r="DV124" s="89" t="e">
        <f t="shared" si="84"/>
        <v>#DIV/0!</v>
      </c>
      <c r="DW124" s="89" t="e">
        <f t="shared" si="84"/>
        <v>#DIV/0!</v>
      </c>
      <c r="DX124" s="89" t="e">
        <f t="shared" si="84"/>
        <v>#DIV/0!</v>
      </c>
      <c r="DY124" s="89" t="e">
        <f t="shared" si="84"/>
        <v>#DIV/0!</v>
      </c>
      <c r="DZ124" s="89" t="e">
        <f t="shared" si="84"/>
        <v>#DIV/0!</v>
      </c>
      <c r="FB124" s="155" t="s">
        <v>449</v>
      </c>
      <c r="FC124" s="89" t="e">
        <f>$B$124</f>
        <v>#DIV/0!</v>
      </c>
      <c r="FD124" s="89" t="e">
        <f t="shared" ref="FD124:FN124" si="85">$B$124</f>
        <v>#DIV/0!</v>
      </c>
      <c r="FE124" s="89" t="e">
        <f t="shared" si="85"/>
        <v>#DIV/0!</v>
      </c>
      <c r="FF124" s="89" t="e">
        <f t="shared" si="85"/>
        <v>#DIV/0!</v>
      </c>
      <c r="FG124" s="89" t="e">
        <f t="shared" si="85"/>
        <v>#DIV/0!</v>
      </c>
      <c r="FH124" s="89" t="e">
        <f t="shared" si="85"/>
        <v>#DIV/0!</v>
      </c>
      <c r="FI124" s="89" t="e">
        <f t="shared" si="85"/>
        <v>#DIV/0!</v>
      </c>
      <c r="FJ124" s="89" t="e">
        <f t="shared" si="85"/>
        <v>#DIV/0!</v>
      </c>
      <c r="FK124" s="89" t="e">
        <f t="shared" si="85"/>
        <v>#DIV/0!</v>
      </c>
      <c r="FL124" s="89" t="e">
        <f t="shared" si="85"/>
        <v>#DIV/0!</v>
      </c>
      <c r="FM124" s="89" t="e">
        <f t="shared" si="85"/>
        <v>#DIV/0!</v>
      </c>
      <c r="FN124" s="89" t="e">
        <f t="shared" si="85"/>
        <v>#DIV/0!</v>
      </c>
      <c r="FV124" s="155" t="s">
        <v>449</v>
      </c>
      <c r="FW124" s="89" t="e">
        <f>$B$124</f>
        <v>#DIV/0!</v>
      </c>
      <c r="FX124" s="89" t="e">
        <f t="shared" ref="FX124:GH124" si="86">$B$124</f>
        <v>#DIV/0!</v>
      </c>
      <c r="FY124" s="89" t="e">
        <f t="shared" si="86"/>
        <v>#DIV/0!</v>
      </c>
      <c r="FZ124" s="89" t="e">
        <f t="shared" si="86"/>
        <v>#DIV/0!</v>
      </c>
      <c r="GA124" s="89" t="e">
        <f t="shared" si="86"/>
        <v>#DIV/0!</v>
      </c>
      <c r="GB124" s="89" t="e">
        <f t="shared" si="86"/>
        <v>#DIV/0!</v>
      </c>
      <c r="GC124" s="89" t="e">
        <f t="shared" si="86"/>
        <v>#DIV/0!</v>
      </c>
      <c r="GD124" s="89" t="e">
        <f t="shared" si="86"/>
        <v>#DIV/0!</v>
      </c>
      <c r="GE124" s="89" t="e">
        <f t="shared" si="86"/>
        <v>#DIV/0!</v>
      </c>
      <c r="GF124" s="89" t="e">
        <f t="shared" si="86"/>
        <v>#DIV/0!</v>
      </c>
      <c r="GG124" s="89" t="e">
        <f t="shared" si="86"/>
        <v>#DIV/0!</v>
      </c>
      <c r="GH124" s="89" t="e">
        <f t="shared" si="86"/>
        <v>#DIV/0!</v>
      </c>
      <c r="GN124" s="155" t="s">
        <v>449</v>
      </c>
      <c r="GO124" s="89" t="e">
        <f>$B$124</f>
        <v>#DIV/0!</v>
      </c>
      <c r="GP124" s="89" t="e">
        <f t="shared" ref="GP124:GZ124" si="87">$B$124</f>
        <v>#DIV/0!</v>
      </c>
      <c r="GQ124" s="89" t="e">
        <f t="shared" si="87"/>
        <v>#DIV/0!</v>
      </c>
      <c r="GR124" s="89" t="e">
        <f t="shared" si="87"/>
        <v>#DIV/0!</v>
      </c>
      <c r="GS124" s="89" t="e">
        <f t="shared" si="87"/>
        <v>#DIV/0!</v>
      </c>
      <c r="GT124" s="89" t="e">
        <f t="shared" si="87"/>
        <v>#DIV/0!</v>
      </c>
      <c r="GU124" s="89" t="e">
        <f t="shared" si="87"/>
        <v>#DIV/0!</v>
      </c>
      <c r="GV124" s="89" t="e">
        <f t="shared" si="87"/>
        <v>#DIV/0!</v>
      </c>
      <c r="GW124" s="89" t="e">
        <f t="shared" si="87"/>
        <v>#DIV/0!</v>
      </c>
      <c r="GX124" s="89" t="e">
        <f t="shared" si="87"/>
        <v>#DIV/0!</v>
      </c>
      <c r="GY124" s="89" t="e">
        <f t="shared" si="87"/>
        <v>#DIV/0!</v>
      </c>
      <c r="GZ124" s="89" t="e">
        <f t="shared" si="87"/>
        <v>#DIV/0!</v>
      </c>
    </row>
    <row r="125" spans="1:208" x14ac:dyDescent="0.2">
      <c r="A125" s="155" t="s">
        <v>570</v>
      </c>
      <c r="B125" s="89" t="e">
        <f>IF(B128=1,B124/(1+B124),(1-B128^B124)/(1-B128^(B124+1)))</f>
        <v>#DIV/0!</v>
      </c>
      <c r="C125" s="89" t="e">
        <f t="shared" ref="C125:M125" si="88">IF(C128=1,C124/(1+C124),(1-C128^C124)/(1-C128^(C124+1)))</f>
        <v>#DIV/0!</v>
      </c>
      <c r="D125" s="89" t="e">
        <f t="shared" si="88"/>
        <v>#DIV/0!</v>
      </c>
      <c r="E125" s="89" t="e">
        <f t="shared" si="88"/>
        <v>#DIV/0!</v>
      </c>
      <c r="F125" s="89" t="e">
        <f t="shared" si="88"/>
        <v>#DIV/0!</v>
      </c>
      <c r="G125" s="89" t="e">
        <f t="shared" si="88"/>
        <v>#DIV/0!</v>
      </c>
      <c r="H125" s="89" t="e">
        <f t="shared" si="88"/>
        <v>#DIV/0!</v>
      </c>
      <c r="I125" s="89" t="e">
        <f t="shared" si="88"/>
        <v>#DIV/0!</v>
      </c>
      <c r="J125" s="89" t="e">
        <f t="shared" si="88"/>
        <v>#DIV/0!</v>
      </c>
      <c r="K125" s="89" t="e">
        <f t="shared" si="88"/>
        <v>#DIV/0!</v>
      </c>
      <c r="L125" s="89" t="e">
        <f t="shared" si="88"/>
        <v>#DIV/0!</v>
      </c>
      <c r="M125" s="89" t="e">
        <f t="shared" si="88"/>
        <v>#DIV/0!</v>
      </c>
      <c r="AC125" s="155" t="s">
        <v>570</v>
      </c>
      <c r="AD125" s="89" t="e">
        <f>IF(AD128=1,AD124/(1+AD124),(1-AD128^AD124)/(1-AD128^(AD124+1)))</f>
        <v>#DIV/0!</v>
      </c>
      <c r="AE125" s="89" t="e">
        <f t="shared" ref="AE125:AO125" si="89">IF(AE128=1,AE124/(1+AE124),(1-AE128^AE124)/(1-AE128^(AE124+1)))</f>
        <v>#DIV/0!</v>
      </c>
      <c r="AF125" s="89" t="e">
        <f t="shared" si="89"/>
        <v>#DIV/0!</v>
      </c>
      <c r="AG125" s="89" t="e">
        <f t="shared" si="89"/>
        <v>#DIV/0!</v>
      </c>
      <c r="AH125" s="89" t="e">
        <f t="shared" si="89"/>
        <v>#DIV/0!</v>
      </c>
      <c r="AI125" s="89" t="e">
        <f t="shared" si="89"/>
        <v>#DIV/0!</v>
      </c>
      <c r="AJ125" s="89" t="e">
        <f t="shared" si="89"/>
        <v>#DIV/0!</v>
      </c>
      <c r="AK125" s="89" t="e">
        <f t="shared" si="89"/>
        <v>#DIV/0!</v>
      </c>
      <c r="AL125" s="89" t="e">
        <f t="shared" si="89"/>
        <v>#DIV/0!</v>
      </c>
      <c r="AM125" s="89" t="e">
        <f t="shared" si="89"/>
        <v>#DIV/0!</v>
      </c>
      <c r="AN125" s="89" t="e">
        <f t="shared" si="89"/>
        <v>#DIV/0!</v>
      </c>
      <c r="AO125" s="89" t="e">
        <f t="shared" si="89"/>
        <v>#DIV/0!</v>
      </c>
      <c r="AU125" s="155" t="s">
        <v>570</v>
      </c>
      <c r="AV125" s="89" t="e">
        <f>IF(AV128=1,AV124/(1+AV124),(1-AV128^AV124)/(1-AV128^(AV124+1)))</f>
        <v>#DIV/0!</v>
      </c>
      <c r="AW125" s="89" t="e">
        <f t="shared" ref="AW125:BG125" si="90">IF(AW128=1,AW124/(1+AW124),(1-AW128^AW124)/(1-AW128^(AW124+1)))</f>
        <v>#DIV/0!</v>
      </c>
      <c r="AX125" s="89" t="e">
        <f t="shared" si="90"/>
        <v>#DIV/0!</v>
      </c>
      <c r="AY125" s="89" t="e">
        <f t="shared" si="90"/>
        <v>#DIV/0!</v>
      </c>
      <c r="AZ125" s="89" t="e">
        <f t="shared" si="90"/>
        <v>#DIV/0!</v>
      </c>
      <c r="BA125" s="89" t="e">
        <f t="shared" si="90"/>
        <v>#DIV/0!</v>
      </c>
      <c r="BB125" s="89" t="e">
        <f t="shared" si="90"/>
        <v>#DIV/0!</v>
      </c>
      <c r="BC125" s="89" t="e">
        <f t="shared" si="90"/>
        <v>#DIV/0!</v>
      </c>
      <c r="BD125" s="89" t="e">
        <f t="shared" si="90"/>
        <v>#DIV/0!</v>
      </c>
      <c r="BE125" s="89" t="e">
        <f t="shared" si="90"/>
        <v>#DIV/0!</v>
      </c>
      <c r="BF125" s="89" t="e">
        <f t="shared" si="90"/>
        <v>#DIV/0!</v>
      </c>
      <c r="BG125" s="89" t="e">
        <f t="shared" si="90"/>
        <v>#DIV/0!</v>
      </c>
      <c r="BN125" s="155" t="s">
        <v>570</v>
      </c>
      <c r="BO125" s="89" t="e">
        <f t="shared" ref="BO125:BZ125" si="91">IF(BO128=1,BO124/(1+BO124),(1-BO128^BO124)/(1-BO128^(BO124+1)))</f>
        <v>#DIV/0!</v>
      </c>
      <c r="BP125" s="89" t="e">
        <f t="shared" si="91"/>
        <v>#DIV/0!</v>
      </c>
      <c r="BQ125" s="89" t="e">
        <f t="shared" si="91"/>
        <v>#DIV/0!</v>
      </c>
      <c r="BR125" s="89" t="e">
        <f t="shared" si="91"/>
        <v>#DIV/0!</v>
      </c>
      <c r="BS125" s="89" t="e">
        <f t="shared" si="91"/>
        <v>#DIV/0!</v>
      </c>
      <c r="BT125" s="89" t="e">
        <f t="shared" si="91"/>
        <v>#DIV/0!</v>
      </c>
      <c r="BU125" s="89" t="e">
        <f t="shared" si="91"/>
        <v>#DIV/0!</v>
      </c>
      <c r="BV125" s="89" t="e">
        <f t="shared" si="91"/>
        <v>#DIV/0!</v>
      </c>
      <c r="BW125" s="89" t="e">
        <f t="shared" si="91"/>
        <v>#DIV/0!</v>
      </c>
      <c r="BX125" s="89" t="e">
        <f t="shared" si="91"/>
        <v>#DIV/0!</v>
      </c>
      <c r="BY125" s="89" t="e">
        <f t="shared" si="91"/>
        <v>#DIV/0!</v>
      </c>
      <c r="BZ125" s="89" t="e">
        <f t="shared" si="91"/>
        <v>#DIV/0!</v>
      </c>
      <c r="CF125" s="155" t="s">
        <v>570</v>
      </c>
      <c r="CG125" s="89" t="e">
        <f t="shared" ref="CG125:CR125" si="92">IF(CG128=1,CG124/(1+CG124),(1-CG128^CG124)/(1-CG128^(CG124+1)))</f>
        <v>#DIV/0!</v>
      </c>
      <c r="CH125" s="89" t="e">
        <f t="shared" si="92"/>
        <v>#DIV/0!</v>
      </c>
      <c r="CI125" s="89" t="e">
        <f t="shared" si="92"/>
        <v>#DIV/0!</v>
      </c>
      <c r="CJ125" s="89" t="e">
        <f t="shared" si="92"/>
        <v>#DIV/0!</v>
      </c>
      <c r="CK125" s="89" t="e">
        <f t="shared" si="92"/>
        <v>#DIV/0!</v>
      </c>
      <c r="CL125" s="89" t="e">
        <f t="shared" si="92"/>
        <v>#DIV/0!</v>
      </c>
      <c r="CM125" s="89" t="e">
        <f t="shared" si="92"/>
        <v>#DIV/0!</v>
      </c>
      <c r="CN125" s="89" t="e">
        <f t="shared" si="92"/>
        <v>#DIV/0!</v>
      </c>
      <c r="CO125" s="89" t="e">
        <f t="shared" si="92"/>
        <v>#DIV/0!</v>
      </c>
      <c r="CP125" s="89" t="e">
        <f t="shared" si="92"/>
        <v>#DIV/0!</v>
      </c>
      <c r="CQ125" s="89" t="e">
        <f t="shared" si="92"/>
        <v>#DIV/0!</v>
      </c>
      <c r="CR125" s="89" t="e">
        <f t="shared" si="92"/>
        <v>#DIV/0!</v>
      </c>
      <c r="CW125" s="155" t="s">
        <v>570</v>
      </c>
      <c r="CX125" s="89" t="e">
        <f t="shared" ref="CX125:DI125" si="93">IF(CX128=1,CX124/(1+CX124),(1-CX128^CX124)/(1-CX128^(CX124+1)))</f>
        <v>#DIV/0!</v>
      </c>
      <c r="CY125" s="89" t="e">
        <f t="shared" si="93"/>
        <v>#DIV/0!</v>
      </c>
      <c r="CZ125" s="89" t="e">
        <f t="shared" si="93"/>
        <v>#DIV/0!</v>
      </c>
      <c r="DA125" s="89" t="e">
        <f t="shared" si="93"/>
        <v>#DIV/0!</v>
      </c>
      <c r="DB125" s="89" t="e">
        <f t="shared" si="93"/>
        <v>#DIV/0!</v>
      </c>
      <c r="DC125" s="89" t="e">
        <f t="shared" si="93"/>
        <v>#DIV/0!</v>
      </c>
      <c r="DD125" s="89" t="e">
        <f t="shared" si="93"/>
        <v>#DIV/0!</v>
      </c>
      <c r="DE125" s="89" t="e">
        <f t="shared" si="93"/>
        <v>#DIV/0!</v>
      </c>
      <c r="DF125" s="89" t="e">
        <f t="shared" si="93"/>
        <v>#DIV/0!</v>
      </c>
      <c r="DG125" s="89" t="e">
        <f t="shared" si="93"/>
        <v>#DIV/0!</v>
      </c>
      <c r="DH125" s="89" t="e">
        <f t="shared" si="93"/>
        <v>#DIV/0!</v>
      </c>
      <c r="DI125" s="89" t="e">
        <f t="shared" si="93"/>
        <v>#DIV/0!</v>
      </c>
      <c r="DN125" s="155" t="s">
        <v>570</v>
      </c>
      <c r="DO125" s="89" t="e">
        <f t="shared" ref="DO125:DZ125" si="94">IF(DO128=1,DO124/(1+DO124),(1-DO128^DO124)/(1-DO128^(DO124+1)))</f>
        <v>#DIV/0!</v>
      </c>
      <c r="DP125" s="89" t="e">
        <f t="shared" si="94"/>
        <v>#DIV/0!</v>
      </c>
      <c r="DQ125" s="89" t="e">
        <f t="shared" si="94"/>
        <v>#DIV/0!</v>
      </c>
      <c r="DR125" s="89" t="e">
        <f t="shared" si="94"/>
        <v>#DIV/0!</v>
      </c>
      <c r="DS125" s="89" t="e">
        <f t="shared" si="94"/>
        <v>#DIV/0!</v>
      </c>
      <c r="DT125" s="89" t="e">
        <f t="shared" si="94"/>
        <v>#DIV/0!</v>
      </c>
      <c r="DU125" s="89" t="e">
        <f t="shared" si="94"/>
        <v>#DIV/0!</v>
      </c>
      <c r="DV125" s="89" t="e">
        <f t="shared" si="94"/>
        <v>#DIV/0!</v>
      </c>
      <c r="DW125" s="89" t="e">
        <f t="shared" si="94"/>
        <v>#DIV/0!</v>
      </c>
      <c r="DX125" s="89" t="e">
        <f t="shared" si="94"/>
        <v>#DIV/0!</v>
      </c>
      <c r="DY125" s="89" t="e">
        <f t="shared" si="94"/>
        <v>#DIV/0!</v>
      </c>
      <c r="DZ125" s="89" t="e">
        <f t="shared" si="94"/>
        <v>#DIV/0!</v>
      </c>
      <c r="FB125" s="155" t="s">
        <v>570</v>
      </c>
      <c r="FC125" s="89" t="e">
        <f t="shared" ref="FC125:FN125" si="95">IF(FC128=1,FC124/(1+FC124),(1-FC128^FC124)/(1-FC128^(FC124+1)))</f>
        <v>#DIV/0!</v>
      </c>
      <c r="FD125" s="89" t="e">
        <f t="shared" si="95"/>
        <v>#DIV/0!</v>
      </c>
      <c r="FE125" s="89" t="e">
        <f t="shared" si="95"/>
        <v>#DIV/0!</v>
      </c>
      <c r="FF125" s="89" t="e">
        <f t="shared" si="95"/>
        <v>#DIV/0!</v>
      </c>
      <c r="FG125" s="89" t="e">
        <f t="shared" si="95"/>
        <v>#DIV/0!</v>
      </c>
      <c r="FH125" s="89" t="e">
        <f t="shared" si="95"/>
        <v>#DIV/0!</v>
      </c>
      <c r="FI125" s="89" t="e">
        <f t="shared" si="95"/>
        <v>#DIV/0!</v>
      </c>
      <c r="FJ125" s="89" t="e">
        <f t="shared" si="95"/>
        <v>#DIV/0!</v>
      </c>
      <c r="FK125" s="89" t="e">
        <f t="shared" si="95"/>
        <v>#DIV/0!</v>
      </c>
      <c r="FL125" s="89" t="e">
        <f t="shared" si="95"/>
        <v>#DIV/0!</v>
      </c>
      <c r="FM125" s="89" t="e">
        <f t="shared" si="95"/>
        <v>#DIV/0!</v>
      </c>
      <c r="FN125" s="89" t="e">
        <f t="shared" si="95"/>
        <v>#DIV/0!</v>
      </c>
      <c r="FV125" s="155" t="s">
        <v>570</v>
      </c>
      <c r="FW125" s="89" t="e">
        <f t="shared" ref="FW125:GH125" si="96">IF(FW128=1,FW124/(1+FW124),(1-FW128^FW124)/(1-FW128^(FW124+1)))</f>
        <v>#DIV/0!</v>
      </c>
      <c r="FX125" s="89" t="e">
        <f t="shared" si="96"/>
        <v>#DIV/0!</v>
      </c>
      <c r="FY125" s="89" t="e">
        <f t="shared" si="96"/>
        <v>#DIV/0!</v>
      </c>
      <c r="FZ125" s="89" t="e">
        <f t="shared" si="96"/>
        <v>#DIV/0!</v>
      </c>
      <c r="GA125" s="89" t="e">
        <f t="shared" si="96"/>
        <v>#DIV/0!</v>
      </c>
      <c r="GB125" s="89" t="e">
        <f t="shared" si="96"/>
        <v>#DIV/0!</v>
      </c>
      <c r="GC125" s="89" t="e">
        <f t="shared" si="96"/>
        <v>#DIV/0!</v>
      </c>
      <c r="GD125" s="89" t="e">
        <f t="shared" si="96"/>
        <v>#DIV/0!</v>
      </c>
      <c r="GE125" s="89" t="e">
        <f t="shared" si="96"/>
        <v>#DIV/0!</v>
      </c>
      <c r="GF125" s="89" t="e">
        <f t="shared" si="96"/>
        <v>#DIV/0!</v>
      </c>
      <c r="GG125" s="89" t="e">
        <f t="shared" si="96"/>
        <v>#DIV/0!</v>
      </c>
      <c r="GH125" s="89" t="e">
        <f t="shared" si="96"/>
        <v>#DIV/0!</v>
      </c>
      <c r="GN125" s="155" t="s">
        <v>570</v>
      </c>
      <c r="GO125" s="89" t="e">
        <f>IF(GO128=1,GO124/(1+GO124),(1-GO128^GO124)/(1-GO128^(GO124+1)))</f>
        <v>#DIV/0!</v>
      </c>
      <c r="GP125" s="89" t="e">
        <f t="shared" ref="GP125:GZ125" si="97">IF(GP128=1,GP124/(1+GP124),(1-GP128^GP124)/(1-GP128^(GP124+1)))</f>
        <v>#DIV/0!</v>
      </c>
      <c r="GQ125" s="89" t="e">
        <f t="shared" si="97"/>
        <v>#DIV/0!</v>
      </c>
      <c r="GR125" s="89" t="e">
        <f t="shared" si="97"/>
        <v>#DIV/0!</v>
      </c>
      <c r="GS125" s="89" t="e">
        <f t="shared" si="97"/>
        <v>#DIV/0!</v>
      </c>
      <c r="GT125" s="89" t="e">
        <f t="shared" si="97"/>
        <v>#DIV/0!</v>
      </c>
      <c r="GU125" s="89" t="e">
        <f t="shared" si="97"/>
        <v>#DIV/0!</v>
      </c>
      <c r="GV125" s="89" t="e">
        <f t="shared" si="97"/>
        <v>#DIV/0!</v>
      </c>
      <c r="GW125" s="89" t="e">
        <f t="shared" si="97"/>
        <v>#DIV/0!</v>
      </c>
      <c r="GX125" s="89" t="e">
        <f t="shared" si="97"/>
        <v>#DIV/0!</v>
      </c>
      <c r="GY125" s="89" t="e">
        <f t="shared" si="97"/>
        <v>#DIV/0!</v>
      </c>
      <c r="GZ125" s="89" t="e">
        <f t="shared" si="97"/>
        <v>#DIV/0!</v>
      </c>
    </row>
    <row r="126" spans="1:208" x14ac:dyDescent="0.2">
      <c r="A126" s="155" t="s">
        <v>571</v>
      </c>
      <c r="B126" s="89">
        <f>$G$71</f>
        <v>0</v>
      </c>
      <c r="C126" s="89">
        <f t="shared" ref="C126:M126" si="98">$G$71</f>
        <v>0</v>
      </c>
      <c r="D126" s="89">
        <f t="shared" si="98"/>
        <v>0</v>
      </c>
      <c r="E126" s="89">
        <f t="shared" si="98"/>
        <v>0</v>
      </c>
      <c r="F126" s="89">
        <f t="shared" si="98"/>
        <v>0</v>
      </c>
      <c r="G126" s="89">
        <f t="shared" si="98"/>
        <v>0</v>
      </c>
      <c r="H126" s="89">
        <f t="shared" si="98"/>
        <v>0</v>
      </c>
      <c r="I126" s="89">
        <f t="shared" si="98"/>
        <v>0</v>
      </c>
      <c r="J126" s="89">
        <f t="shared" si="98"/>
        <v>0</v>
      </c>
      <c r="K126" s="89">
        <f t="shared" si="98"/>
        <v>0</v>
      </c>
      <c r="L126" s="89">
        <f t="shared" si="98"/>
        <v>0</v>
      </c>
      <c r="M126" s="89">
        <f t="shared" si="98"/>
        <v>0</v>
      </c>
      <c r="AC126" s="155" t="s">
        <v>571</v>
      </c>
      <c r="AD126" s="89">
        <f>$G$71</f>
        <v>0</v>
      </c>
      <c r="AE126" s="89">
        <f t="shared" ref="AE126:AO126" si="99">$G$71</f>
        <v>0</v>
      </c>
      <c r="AF126" s="89">
        <f t="shared" si="99"/>
        <v>0</v>
      </c>
      <c r="AG126" s="89">
        <f t="shared" si="99"/>
        <v>0</v>
      </c>
      <c r="AH126" s="89">
        <f t="shared" si="99"/>
        <v>0</v>
      </c>
      <c r="AI126" s="89">
        <f t="shared" si="99"/>
        <v>0</v>
      </c>
      <c r="AJ126" s="89">
        <f t="shared" si="99"/>
        <v>0</v>
      </c>
      <c r="AK126" s="89">
        <f t="shared" si="99"/>
        <v>0</v>
      </c>
      <c r="AL126" s="89">
        <f t="shared" si="99"/>
        <v>0</v>
      </c>
      <c r="AM126" s="89">
        <f t="shared" si="99"/>
        <v>0</v>
      </c>
      <c r="AN126" s="89">
        <f t="shared" si="99"/>
        <v>0</v>
      </c>
      <c r="AO126" s="89">
        <f t="shared" si="99"/>
        <v>0</v>
      </c>
      <c r="AU126" s="155" t="s">
        <v>571</v>
      </c>
      <c r="AV126" s="89">
        <f>$G$71</f>
        <v>0</v>
      </c>
      <c r="AW126" s="89">
        <f t="shared" ref="AW126:BG126" si="100">$G$71</f>
        <v>0</v>
      </c>
      <c r="AX126" s="89">
        <f t="shared" si="100"/>
        <v>0</v>
      </c>
      <c r="AY126" s="89">
        <f t="shared" si="100"/>
        <v>0</v>
      </c>
      <c r="AZ126" s="89">
        <f t="shared" si="100"/>
        <v>0</v>
      </c>
      <c r="BA126" s="89">
        <f t="shared" si="100"/>
        <v>0</v>
      </c>
      <c r="BB126" s="89">
        <f t="shared" si="100"/>
        <v>0</v>
      </c>
      <c r="BC126" s="89">
        <f t="shared" si="100"/>
        <v>0</v>
      </c>
      <c r="BD126" s="89">
        <f t="shared" si="100"/>
        <v>0</v>
      </c>
      <c r="BE126" s="89">
        <f t="shared" si="100"/>
        <v>0</v>
      </c>
      <c r="BF126" s="89">
        <f t="shared" si="100"/>
        <v>0</v>
      </c>
      <c r="BG126" s="89">
        <f t="shared" si="100"/>
        <v>0</v>
      </c>
      <c r="BN126" s="155" t="s">
        <v>571</v>
      </c>
      <c r="BO126" s="89">
        <f>$G$71</f>
        <v>0</v>
      </c>
      <c r="BP126" s="89">
        <f t="shared" ref="BP126:BZ126" si="101">$G$71</f>
        <v>0</v>
      </c>
      <c r="BQ126" s="89">
        <f t="shared" si="101"/>
        <v>0</v>
      </c>
      <c r="BR126" s="89">
        <f t="shared" si="101"/>
        <v>0</v>
      </c>
      <c r="BS126" s="89">
        <f t="shared" si="101"/>
        <v>0</v>
      </c>
      <c r="BT126" s="89">
        <f t="shared" si="101"/>
        <v>0</v>
      </c>
      <c r="BU126" s="89">
        <f t="shared" si="101"/>
        <v>0</v>
      </c>
      <c r="BV126" s="89">
        <f t="shared" si="101"/>
        <v>0</v>
      </c>
      <c r="BW126" s="89">
        <f t="shared" si="101"/>
        <v>0</v>
      </c>
      <c r="BX126" s="89">
        <f t="shared" si="101"/>
        <v>0</v>
      </c>
      <c r="BY126" s="89">
        <f t="shared" si="101"/>
        <v>0</v>
      </c>
      <c r="BZ126" s="89">
        <f t="shared" si="101"/>
        <v>0</v>
      </c>
      <c r="CF126" s="155" t="s">
        <v>571</v>
      </c>
      <c r="CG126" s="89">
        <f>$G$71</f>
        <v>0</v>
      </c>
      <c r="CH126" s="89">
        <f t="shared" ref="CH126:CR126" si="102">$G$71</f>
        <v>0</v>
      </c>
      <c r="CI126" s="89">
        <f t="shared" si="102"/>
        <v>0</v>
      </c>
      <c r="CJ126" s="89">
        <f t="shared" si="102"/>
        <v>0</v>
      </c>
      <c r="CK126" s="89">
        <f t="shared" si="102"/>
        <v>0</v>
      </c>
      <c r="CL126" s="89">
        <f t="shared" si="102"/>
        <v>0</v>
      </c>
      <c r="CM126" s="89">
        <f t="shared" si="102"/>
        <v>0</v>
      </c>
      <c r="CN126" s="89">
        <f t="shared" si="102"/>
        <v>0</v>
      </c>
      <c r="CO126" s="89">
        <f t="shared" si="102"/>
        <v>0</v>
      </c>
      <c r="CP126" s="89">
        <f t="shared" si="102"/>
        <v>0</v>
      </c>
      <c r="CQ126" s="89">
        <f t="shared" si="102"/>
        <v>0</v>
      </c>
      <c r="CR126" s="89">
        <f t="shared" si="102"/>
        <v>0</v>
      </c>
      <c r="CW126" s="155" t="s">
        <v>571</v>
      </c>
      <c r="CX126" s="89">
        <f>$G$71</f>
        <v>0</v>
      </c>
      <c r="CY126" s="89">
        <f t="shared" ref="CY126:DI126" si="103">$G$71</f>
        <v>0</v>
      </c>
      <c r="CZ126" s="89">
        <f t="shared" si="103"/>
        <v>0</v>
      </c>
      <c r="DA126" s="89">
        <f t="shared" si="103"/>
        <v>0</v>
      </c>
      <c r="DB126" s="89">
        <f t="shared" si="103"/>
        <v>0</v>
      </c>
      <c r="DC126" s="89">
        <f t="shared" si="103"/>
        <v>0</v>
      </c>
      <c r="DD126" s="89">
        <f t="shared" si="103"/>
        <v>0</v>
      </c>
      <c r="DE126" s="89">
        <f t="shared" si="103"/>
        <v>0</v>
      </c>
      <c r="DF126" s="89">
        <f t="shared" si="103"/>
        <v>0</v>
      </c>
      <c r="DG126" s="89">
        <f t="shared" si="103"/>
        <v>0</v>
      </c>
      <c r="DH126" s="89">
        <f t="shared" si="103"/>
        <v>0</v>
      </c>
      <c r="DI126" s="89">
        <f t="shared" si="103"/>
        <v>0</v>
      </c>
      <c r="DN126" s="155" t="s">
        <v>571</v>
      </c>
      <c r="DO126" s="89">
        <f>$G$71</f>
        <v>0</v>
      </c>
      <c r="DP126" s="89">
        <f t="shared" ref="DP126:DZ126" si="104">$G$71</f>
        <v>0</v>
      </c>
      <c r="DQ126" s="89">
        <f t="shared" si="104"/>
        <v>0</v>
      </c>
      <c r="DR126" s="89">
        <f t="shared" si="104"/>
        <v>0</v>
      </c>
      <c r="DS126" s="89">
        <f t="shared" si="104"/>
        <v>0</v>
      </c>
      <c r="DT126" s="89">
        <f t="shared" si="104"/>
        <v>0</v>
      </c>
      <c r="DU126" s="89">
        <f t="shared" si="104"/>
        <v>0</v>
      </c>
      <c r="DV126" s="89">
        <f t="shared" si="104"/>
        <v>0</v>
      </c>
      <c r="DW126" s="89">
        <f t="shared" si="104"/>
        <v>0</v>
      </c>
      <c r="DX126" s="89">
        <f t="shared" si="104"/>
        <v>0</v>
      </c>
      <c r="DY126" s="89">
        <f t="shared" si="104"/>
        <v>0</v>
      </c>
      <c r="DZ126" s="89">
        <f t="shared" si="104"/>
        <v>0</v>
      </c>
      <c r="FB126" s="155" t="s">
        <v>571</v>
      </c>
      <c r="FC126" s="89">
        <f>$G$71</f>
        <v>0</v>
      </c>
      <c r="FD126" s="89">
        <f t="shared" ref="FD126:FN126" si="105">$G$71</f>
        <v>0</v>
      </c>
      <c r="FE126" s="89">
        <f t="shared" si="105"/>
        <v>0</v>
      </c>
      <c r="FF126" s="89">
        <f t="shared" si="105"/>
        <v>0</v>
      </c>
      <c r="FG126" s="89">
        <f t="shared" si="105"/>
        <v>0</v>
      </c>
      <c r="FH126" s="89">
        <f t="shared" si="105"/>
        <v>0</v>
      </c>
      <c r="FI126" s="89">
        <f t="shared" si="105"/>
        <v>0</v>
      </c>
      <c r="FJ126" s="89">
        <f t="shared" si="105"/>
        <v>0</v>
      </c>
      <c r="FK126" s="89">
        <f t="shared" si="105"/>
        <v>0</v>
      </c>
      <c r="FL126" s="89">
        <f t="shared" si="105"/>
        <v>0</v>
      </c>
      <c r="FM126" s="89">
        <f t="shared" si="105"/>
        <v>0</v>
      </c>
      <c r="FN126" s="89">
        <f t="shared" si="105"/>
        <v>0</v>
      </c>
      <c r="FV126" s="155" t="s">
        <v>571</v>
      </c>
      <c r="FW126" s="89">
        <f>$GB$71</f>
        <v>0</v>
      </c>
      <c r="FX126" s="89">
        <f t="shared" ref="FX126:GH126" si="106">$GB$71</f>
        <v>0</v>
      </c>
      <c r="FY126" s="89">
        <f t="shared" si="106"/>
        <v>0</v>
      </c>
      <c r="FZ126" s="89">
        <f t="shared" si="106"/>
        <v>0</v>
      </c>
      <c r="GA126" s="89">
        <f t="shared" si="106"/>
        <v>0</v>
      </c>
      <c r="GB126" s="89">
        <f t="shared" si="106"/>
        <v>0</v>
      </c>
      <c r="GC126" s="89">
        <f t="shared" si="106"/>
        <v>0</v>
      </c>
      <c r="GD126" s="89">
        <f t="shared" si="106"/>
        <v>0</v>
      </c>
      <c r="GE126" s="89">
        <f t="shared" si="106"/>
        <v>0</v>
      </c>
      <c r="GF126" s="89">
        <f t="shared" si="106"/>
        <v>0</v>
      </c>
      <c r="GG126" s="89">
        <f t="shared" si="106"/>
        <v>0</v>
      </c>
      <c r="GH126" s="89">
        <f t="shared" si="106"/>
        <v>0</v>
      </c>
      <c r="GN126" s="155" t="s">
        <v>571</v>
      </c>
      <c r="GO126" s="89">
        <f>GS71</f>
        <v>0</v>
      </c>
      <c r="GP126" s="89">
        <f>$GO$126</f>
        <v>0</v>
      </c>
      <c r="GQ126" s="89">
        <f t="shared" ref="GQ126:GZ126" si="107">$GO$126</f>
        <v>0</v>
      </c>
      <c r="GR126" s="89">
        <f t="shared" si="107"/>
        <v>0</v>
      </c>
      <c r="GS126" s="89">
        <f t="shared" si="107"/>
        <v>0</v>
      </c>
      <c r="GT126" s="89">
        <f t="shared" si="107"/>
        <v>0</v>
      </c>
      <c r="GU126" s="89">
        <f t="shared" si="107"/>
        <v>0</v>
      </c>
      <c r="GV126" s="89">
        <f t="shared" si="107"/>
        <v>0</v>
      </c>
      <c r="GW126" s="89">
        <f t="shared" si="107"/>
        <v>0</v>
      </c>
      <c r="GX126" s="89">
        <f t="shared" si="107"/>
        <v>0</v>
      </c>
      <c r="GY126" s="89">
        <f t="shared" si="107"/>
        <v>0</v>
      </c>
      <c r="GZ126" s="89">
        <f t="shared" si="107"/>
        <v>0</v>
      </c>
    </row>
    <row r="127" spans="1:208" x14ac:dyDescent="0.2">
      <c r="A127" s="155" t="s">
        <v>572</v>
      </c>
      <c r="B127" s="220">
        <f>B118</f>
        <v>0</v>
      </c>
      <c r="C127" s="220">
        <f t="shared" ref="C127:M127" si="108">C118</f>
        <v>0</v>
      </c>
      <c r="D127" s="220">
        <f t="shared" si="108"/>
        <v>0</v>
      </c>
      <c r="E127" s="220">
        <f t="shared" si="108"/>
        <v>0</v>
      </c>
      <c r="F127" s="220">
        <f t="shared" si="108"/>
        <v>0</v>
      </c>
      <c r="G127" s="220">
        <f t="shared" si="108"/>
        <v>0</v>
      </c>
      <c r="H127" s="220">
        <f t="shared" si="108"/>
        <v>0</v>
      </c>
      <c r="I127" s="220">
        <f t="shared" si="108"/>
        <v>0</v>
      </c>
      <c r="J127" s="220">
        <f t="shared" si="108"/>
        <v>0</v>
      </c>
      <c r="K127" s="220">
        <f t="shared" si="108"/>
        <v>0</v>
      </c>
      <c r="L127" s="220">
        <f t="shared" si="108"/>
        <v>0</v>
      </c>
      <c r="M127" s="220">
        <f t="shared" si="108"/>
        <v>0</v>
      </c>
      <c r="AC127" s="155" t="s">
        <v>572</v>
      </c>
      <c r="AD127" s="220">
        <f>B118</f>
        <v>0</v>
      </c>
      <c r="AE127" s="220">
        <f t="shared" ref="AE127:AO127" si="109">C118</f>
        <v>0</v>
      </c>
      <c r="AF127" s="220">
        <f t="shared" si="109"/>
        <v>0</v>
      </c>
      <c r="AG127" s="220">
        <f t="shared" si="109"/>
        <v>0</v>
      </c>
      <c r="AH127" s="220">
        <f t="shared" si="109"/>
        <v>0</v>
      </c>
      <c r="AI127" s="220">
        <f t="shared" si="109"/>
        <v>0</v>
      </c>
      <c r="AJ127" s="220">
        <f t="shared" si="109"/>
        <v>0</v>
      </c>
      <c r="AK127" s="220">
        <f t="shared" si="109"/>
        <v>0</v>
      </c>
      <c r="AL127" s="220">
        <f t="shared" si="109"/>
        <v>0</v>
      </c>
      <c r="AM127" s="220">
        <f t="shared" si="109"/>
        <v>0</v>
      </c>
      <c r="AN127" s="220">
        <f t="shared" si="109"/>
        <v>0</v>
      </c>
      <c r="AO127" s="220">
        <f t="shared" si="109"/>
        <v>0</v>
      </c>
      <c r="AP127" s="220"/>
      <c r="AQ127" s="220"/>
      <c r="AR127" s="220"/>
      <c r="AS127" s="250"/>
      <c r="AU127" s="155" t="s">
        <v>572</v>
      </c>
      <c r="AV127" s="220">
        <f>B118</f>
        <v>0</v>
      </c>
      <c r="AW127" s="220">
        <f t="shared" ref="AW127:BG127" si="110">C118</f>
        <v>0</v>
      </c>
      <c r="AX127" s="220">
        <f t="shared" si="110"/>
        <v>0</v>
      </c>
      <c r="AY127" s="220">
        <f t="shared" si="110"/>
        <v>0</v>
      </c>
      <c r="AZ127" s="220">
        <f t="shared" si="110"/>
        <v>0</v>
      </c>
      <c r="BA127" s="220">
        <f t="shared" si="110"/>
        <v>0</v>
      </c>
      <c r="BB127" s="220">
        <f t="shared" si="110"/>
        <v>0</v>
      </c>
      <c r="BC127" s="220">
        <f t="shared" si="110"/>
        <v>0</v>
      </c>
      <c r="BD127" s="220">
        <f t="shared" si="110"/>
        <v>0</v>
      </c>
      <c r="BE127" s="220">
        <f t="shared" si="110"/>
        <v>0</v>
      </c>
      <c r="BF127" s="220">
        <f t="shared" si="110"/>
        <v>0</v>
      </c>
      <c r="BG127" s="220">
        <f t="shared" si="110"/>
        <v>0</v>
      </c>
      <c r="BH127" s="220"/>
      <c r="BI127" s="220"/>
      <c r="BJ127" s="220"/>
      <c r="BK127" s="220"/>
      <c r="BN127" s="155" t="s">
        <v>572</v>
      </c>
      <c r="BO127" s="220">
        <f>B118</f>
        <v>0</v>
      </c>
      <c r="BP127" s="220">
        <f t="shared" ref="BP127:BZ127" si="111">C118</f>
        <v>0</v>
      </c>
      <c r="BQ127" s="220">
        <f t="shared" si="111"/>
        <v>0</v>
      </c>
      <c r="BR127" s="220">
        <f t="shared" si="111"/>
        <v>0</v>
      </c>
      <c r="BS127" s="220">
        <f t="shared" si="111"/>
        <v>0</v>
      </c>
      <c r="BT127" s="220">
        <f t="shared" si="111"/>
        <v>0</v>
      </c>
      <c r="BU127" s="220">
        <f t="shared" si="111"/>
        <v>0</v>
      </c>
      <c r="BV127" s="220">
        <f t="shared" si="111"/>
        <v>0</v>
      </c>
      <c r="BW127" s="220">
        <f t="shared" si="111"/>
        <v>0</v>
      </c>
      <c r="BX127" s="220">
        <f t="shared" si="111"/>
        <v>0</v>
      </c>
      <c r="BY127" s="220">
        <f t="shared" si="111"/>
        <v>0</v>
      </c>
      <c r="BZ127" s="220">
        <f t="shared" si="111"/>
        <v>0</v>
      </c>
      <c r="CA127" s="220"/>
      <c r="CB127" s="220"/>
      <c r="CC127" s="220"/>
      <c r="CD127" s="250"/>
      <c r="CF127" s="155" t="s">
        <v>572</v>
      </c>
      <c r="CG127" s="220">
        <f>B118</f>
        <v>0</v>
      </c>
      <c r="CH127" s="220">
        <f t="shared" ref="CH127:CR127" si="112">C118</f>
        <v>0</v>
      </c>
      <c r="CI127" s="220">
        <f t="shared" si="112"/>
        <v>0</v>
      </c>
      <c r="CJ127" s="220">
        <f t="shared" si="112"/>
        <v>0</v>
      </c>
      <c r="CK127" s="220">
        <f t="shared" si="112"/>
        <v>0</v>
      </c>
      <c r="CL127" s="220">
        <f t="shared" si="112"/>
        <v>0</v>
      </c>
      <c r="CM127" s="220">
        <f t="shared" si="112"/>
        <v>0</v>
      </c>
      <c r="CN127" s="220">
        <f t="shared" si="112"/>
        <v>0</v>
      </c>
      <c r="CO127" s="220">
        <f t="shared" si="112"/>
        <v>0</v>
      </c>
      <c r="CP127" s="220">
        <f t="shared" si="112"/>
        <v>0</v>
      </c>
      <c r="CQ127" s="220">
        <f t="shared" si="112"/>
        <v>0</v>
      </c>
      <c r="CR127" s="220">
        <f t="shared" si="112"/>
        <v>0</v>
      </c>
      <c r="CS127" s="220"/>
      <c r="CT127" s="220"/>
      <c r="CU127" s="220"/>
      <c r="CW127" s="155" t="s">
        <v>572</v>
      </c>
      <c r="CX127" s="220">
        <f>B118</f>
        <v>0</v>
      </c>
      <c r="CY127" s="220">
        <f t="shared" ref="CY127:DI127" si="113">C118</f>
        <v>0</v>
      </c>
      <c r="CZ127" s="220">
        <f t="shared" si="113"/>
        <v>0</v>
      </c>
      <c r="DA127" s="220">
        <f t="shared" si="113"/>
        <v>0</v>
      </c>
      <c r="DB127" s="220">
        <f t="shared" si="113"/>
        <v>0</v>
      </c>
      <c r="DC127" s="220">
        <f t="shared" si="113"/>
        <v>0</v>
      </c>
      <c r="DD127" s="220">
        <f t="shared" si="113"/>
        <v>0</v>
      </c>
      <c r="DE127" s="220">
        <f t="shared" si="113"/>
        <v>0</v>
      </c>
      <c r="DF127" s="220">
        <f t="shared" si="113"/>
        <v>0</v>
      </c>
      <c r="DG127" s="220">
        <f t="shared" si="113"/>
        <v>0</v>
      </c>
      <c r="DH127" s="220">
        <f t="shared" si="113"/>
        <v>0</v>
      </c>
      <c r="DI127" s="220">
        <f t="shared" si="113"/>
        <v>0</v>
      </c>
      <c r="DJ127" s="220"/>
      <c r="DK127" s="220"/>
      <c r="DN127" s="155" t="s">
        <v>572</v>
      </c>
      <c r="DO127" s="220">
        <f>DO118</f>
        <v>0</v>
      </c>
      <c r="DP127" s="220">
        <f t="shared" ref="DP127:DZ127" si="114">DP118</f>
        <v>0</v>
      </c>
      <c r="DQ127" s="220">
        <f t="shared" si="114"/>
        <v>0</v>
      </c>
      <c r="DR127" s="220">
        <f t="shared" si="114"/>
        <v>0</v>
      </c>
      <c r="DS127" s="220">
        <f t="shared" si="114"/>
        <v>0</v>
      </c>
      <c r="DT127" s="220">
        <f t="shared" si="114"/>
        <v>0</v>
      </c>
      <c r="DU127" s="220">
        <f t="shared" si="114"/>
        <v>0</v>
      </c>
      <c r="DV127" s="220">
        <f t="shared" si="114"/>
        <v>0</v>
      </c>
      <c r="DW127" s="220">
        <f t="shared" si="114"/>
        <v>0</v>
      </c>
      <c r="DX127" s="220">
        <f t="shared" si="114"/>
        <v>0</v>
      </c>
      <c r="DY127" s="220">
        <f t="shared" si="114"/>
        <v>0</v>
      </c>
      <c r="DZ127" s="220">
        <f t="shared" si="114"/>
        <v>0</v>
      </c>
      <c r="FB127" s="155" t="s">
        <v>572</v>
      </c>
      <c r="FC127" s="220">
        <f>B127</f>
        <v>0</v>
      </c>
      <c r="FD127" s="220">
        <f t="shared" ref="FD127:FN127" si="115">C127</f>
        <v>0</v>
      </c>
      <c r="FE127" s="220">
        <f t="shared" si="115"/>
        <v>0</v>
      </c>
      <c r="FF127" s="220">
        <f t="shared" si="115"/>
        <v>0</v>
      </c>
      <c r="FG127" s="220">
        <f t="shared" si="115"/>
        <v>0</v>
      </c>
      <c r="FH127" s="220">
        <f t="shared" si="115"/>
        <v>0</v>
      </c>
      <c r="FI127" s="220">
        <f t="shared" si="115"/>
        <v>0</v>
      </c>
      <c r="FJ127" s="220">
        <f t="shared" si="115"/>
        <v>0</v>
      </c>
      <c r="FK127" s="220">
        <f t="shared" si="115"/>
        <v>0</v>
      </c>
      <c r="FL127" s="220">
        <f t="shared" si="115"/>
        <v>0</v>
      </c>
      <c r="FM127" s="220">
        <f t="shared" si="115"/>
        <v>0</v>
      </c>
      <c r="FN127" s="220">
        <f t="shared" si="115"/>
        <v>0</v>
      </c>
      <c r="FV127" s="155" t="s">
        <v>572</v>
      </c>
      <c r="FW127" s="89">
        <f>B127</f>
        <v>0</v>
      </c>
      <c r="FX127" s="89">
        <f t="shared" ref="FX127:GH127" si="116">C127</f>
        <v>0</v>
      </c>
      <c r="FY127" s="89">
        <f t="shared" si="116"/>
        <v>0</v>
      </c>
      <c r="FZ127" s="89">
        <f t="shared" si="116"/>
        <v>0</v>
      </c>
      <c r="GA127" s="89">
        <f t="shared" si="116"/>
        <v>0</v>
      </c>
      <c r="GB127" s="89">
        <f t="shared" si="116"/>
        <v>0</v>
      </c>
      <c r="GC127" s="89">
        <f t="shared" si="116"/>
        <v>0</v>
      </c>
      <c r="GD127" s="89">
        <f t="shared" si="116"/>
        <v>0</v>
      </c>
      <c r="GE127" s="89">
        <f t="shared" si="116"/>
        <v>0</v>
      </c>
      <c r="GF127" s="89">
        <f t="shared" si="116"/>
        <v>0</v>
      </c>
      <c r="GG127" s="89">
        <f t="shared" si="116"/>
        <v>0</v>
      </c>
      <c r="GH127" s="89">
        <f t="shared" si="116"/>
        <v>0</v>
      </c>
      <c r="GN127" s="155" t="s">
        <v>572</v>
      </c>
      <c r="GO127" s="220">
        <f>GN118</f>
        <v>0</v>
      </c>
      <c r="GP127" s="220">
        <f t="shared" ref="GP127:GZ127" si="117">GO118</f>
        <v>0</v>
      </c>
      <c r="GQ127" s="220">
        <f t="shared" si="117"/>
        <v>0</v>
      </c>
      <c r="GR127" s="220">
        <f t="shared" si="117"/>
        <v>0</v>
      </c>
      <c r="GS127" s="220">
        <f t="shared" si="117"/>
        <v>0</v>
      </c>
      <c r="GT127" s="220">
        <f t="shared" si="117"/>
        <v>0</v>
      </c>
      <c r="GU127" s="220">
        <f t="shared" si="117"/>
        <v>0</v>
      </c>
      <c r="GV127" s="220">
        <f t="shared" si="117"/>
        <v>0</v>
      </c>
      <c r="GW127" s="220">
        <f t="shared" si="117"/>
        <v>0</v>
      </c>
      <c r="GX127" s="220">
        <f t="shared" si="117"/>
        <v>0</v>
      </c>
      <c r="GY127" s="220">
        <f t="shared" si="117"/>
        <v>0</v>
      </c>
      <c r="GZ127" s="220">
        <f t="shared" si="117"/>
        <v>0</v>
      </c>
    </row>
    <row r="128" spans="1:208" x14ac:dyDescent="0.2">
      <c r="A128" s="237" t="s">
        <v>574</v>
      </c>
      <c r="B128" s="89" t="e">
        <f>(B126+B127)/(B121+B122)</f>
        <v>#DIV/0!</v>
      </c>
      <c r="C128" s="89" t="e">
        <f t="shared" ref="C128:M128" si="118">(C126+C127)/(C121+C122)</f>
        <v>#DIV/0!</v>
      </c>
      <c r="D128" s="89" t="e">
        <f t="shared" si="118"/>
        <v>#DIV/0!</v>
      </c>
      <c r="E128" s="89" t="e">
        <f t="shared" si="118"/>
        <v>#DIV/0!</v>
      </c>
      <c r="F128" s="89" t="e">
        <f t="shared" si="118"/>
        <v>#DIV/0!</v>
      </c>
      <c r="G128" s="89" t="e">
        <f t="shared" si="118"/>
        <v>#DIV/0!</v>
      </c>
      <c r="H128" s="89" t="e">
        <f t="shared" si="118"/>
        <v>#DIV/0!</v>
      </c>
      <c r="I128" s="89" t="e">
        <f t="shared" si="118"/>
        <v>#DIV/0!</v>
      </c>
      <c r="J128" s="89" t="e">
        <f t="shared" si="118"/>
        <v>#DIV/0!</v>
      </c>
      <c r="K128" s="89" t="e">
        <f t="shared" si="118"/>
        <v>#DIV/0!</v>
      </c>
      <c r="L128" s="89" t="e">
        <f t="shared" si="118"/>
        <v>#DIV/0!</v>
      </c>
      <c r="M128" s="89" t="e">
        <f t="shared" si="118"/>
        <v>#DIV/0!</v>
      </c>
      <c r="AC128" s="237" t="s">
        <v>574</v>
      </c>
      <c r="AD128" s="89" t="e">
        <f>(AD126+AD127)/(AD121+AD122)</f>
        <v>#DIV/0!</v>
      </c>
      <c r="AE128" s="89" t="e">
        <f t="shared" ref="AE128:AO128" si="119">(AE126+AE127)/(AE121+AE122)</f>
        <v>#DIV/0!</v>
      </c>
      <c r="AF128" s="89" t="e">
        <f t="shared" si="119"/>
        <v>#DIV/0!</v>
      </c>
      <c r="AG128" s="89" t="e">
        <f t="shared" si="119"/>
        <v>#DIV/0!</v>
      </c>
      <c r="AH128" s="89" t="e">
        <f t="shared" si="119"/>
        <v>#DIV/0!</v>
      </c>
      <c r="AI128" s="89" t="e">
        <f t="shared" si="119"/>
        <v>#DIV/0!</v>
      </c>
      <c r="AJ128" s="89" t="e">
        <f t="shared" si="119"/>
        <v>#DIV/0!</v>
      </c>
      <c r="AK128" s="89" t="e">
        <f t="shared" si="119"/>
        <v>#DIV/0!</v>
      </c>
      <c r="AL128" s="89" t="e">
        <f t="shared" si="119"/>
        <v>#DIV/0!</v>
      </c>
      <c r="AM128" s="89" t="e">
        <f t="shared" si="119"/>
        <v>#DIV/0!</v>
      </c>
      <c r="AN128" s="89" t="e">
        <f t="shared" si="119"/>
        <v>#DIV/0!</v>
      </c>
      <c r="AO128" s="89" t="e">
        <f t="shared" si="119"/>
        <v>#DIV/0!</v>
      </c>
      <c r="AU128" s="237" t="s">
        <v>574</v>
      </c>
      <c r="AV128" s="89" t="e">
        <f>(AV126+AV127)/(AV121+AV122)</f>
        <v>#DIV/0!</v>
      </c>
      <c r="AW128" s="89" t="e">
        <f t="shared" ref="AW128:BG128" si="120">(AW126+AW127)/(AW121+AW122)</f>
        <v>#DIV/0!</v>
      </c>
      <c r="AX128" s="89" t="e">
        <f t="shared" si="120"/>
        <v>#DIV/0!</v>
      </c>
      <c r="AY128" s="89" t="e">
        <f t="shared" si="120"/>
        <v>#DIV/0!</v>
      </c>
      <c r="AZ128" s="89" t="e">
        <f t="shared" si="120"/>
        <v>#DIV/0!</v>
      </c>
      <c r="BA128" s="89" t="e">
        <f t="shared" si="120"/>
        <v>#DIV/0!</v>
      </c>
      <c r="BB128" s="89" t="e">
        <f t="shared" si="120"/>
        <v>#DIV/0!</v>
      </c>
      <c r="BC128" s="89" t="e">
        <f t="shared" si="120"/>
        <v>#DIV/0!</v>
      </c>
      <c r="BD128" s="89" t="e">
        <f t="shared" si="120"/>
        <v>#DIV/0!</v>
      </c>
      <c r="BE128" s="89" t="e">
        <f t="shared" si="120"/>
        <v>#DIV/0!</v>
      </c>
      <c r="BF128" s="89" t="e">
        <f t="shared" si="120"/>
        <v>#DIV/0!</v>
      </c>
      <c r="BG128" s="89" t="e">
        <f t="shared" si="120"/>
        <v>#DIV/0!</v>
      </c>
      <c r="BN128" s="237" t="s">
        <v>574</v>
      </c>
      <c r="BO128" s="89" t="e">
        <f>(BO126+BO127)/(BO121+BO122)</f>
        <v>#DIV/0!</v>
      </c>
      <c r="BP128" s="89" t="e">
        <f t="shared" ref="BP128:BZ128" si="121">(BP126+BP127)/(BP121+BP122)</f>
        <v>#DIV/0!</v>
      </c>
      <c r="BQ128" s="89" t="e">
        <f t="shared" si="121"/>
        <v>#DIV/0!</v>
      </c>
      <c r="BR128" s="89" t="e">
        <f t="shared" si="121"/>
        <v>#DIV/0!</v>
      </c>
      <c r="BS128" s="89" t="e">
        <f t="shared" si="121"/>
        <v>#DIV/0!</v>
      </c>
      <c r="BT128" s="89" t="e">
        <f t="shared" si="121"/>
        <v>#DIV/0!</v>
      </c>
      <c r="BU128" s="89" t="e">
        <f t="shared" si="121"/>
        <v>#DIV/0!</v>
      </c>
      <c r="BV128" s="89" t="e">
        <f t="shared" si="121"/>
        <v>#DIV/0!</v>
      </c>
      <c r="BW128" s="89" t="e">
        <f t="shared" si="121"/>
        <v>#DIV/0!</v>
      </c>
      <c r="BX128" s="89" t="e">
        <f t="shared" si="121"/>
        <v>#DIV/0!</v>
      </c>
      <c r="BY128" s="89" t="e">
        <f t="shared" si="121"/>
        <v>#DIV/0!</v>
      </c>
      <c r="BZ128" s="89" t="e">
        <f t="shared" si="121"/>
        <v>#DIV/0!</v>
      </c>
      <c r="CF128" s="237" t="s">
        <v>574</v>
      </c>
      <c r="CG128" s="89" t="e">
        <f>(CG126+CG127)/(CG121+CG122)</f>
        <v>#DIV/0!</v>
      </c>
      <c r="CH128" s="89" t="e">
        <f t="shared" ref="CH128:CR128" si="122">(CH126+CH127)/(CH121+CH122)</f>
        <v>#DIV/0!</v>
      </c>
      <c r="CI128" s="89" t="e">
        <f t="shared" si="122"/>
        <v>#DIV/0!</v>
      </c>
      <c r="CJ128" s="89" t="e">
        <f t="shared" si="122"/>
        <v>#DIV/0!</v>
      </c>
      <c r="CK128" s="89" t="e">
        <f t="shared" si="122"/>
        <v>#DIV/0!</v>
      </c>
      <c r="CL128" s="89" t="e">
        <f t="shared" si="122"/>
        <v>#DIV/0!</v>
      </c>
      <c r="CM128" s="89" t="e">
        <f t="shared" si="122"/>
        <v>#DIV/0!</v>
      </c>
      <c r="CN128" s="89" t="e">
        <f t="shared" si="122"/>
        <v>#DIV/0!</v>
      </c>
      <c r="CO128" s="89" t="e">
        <f t="shared" si="122"/>
        <v>#DIV/0!</v>
      </c>
      <c r="CP128" s="89" t="e">
        <f t="shared" si="122"/>
        <v>#DIV/0!</v>
      </c>
      <c r="CQ128" s="89" t="e">
        <f t="shared" si="122"/>
        <v>#DIV/0!</v>
      </c>
      <c r="CR128" s="89" t="e">
        <f t="shared" si="122"/>
        <v>#DIV/0!</v>
      </c>
      <c r="CW128" s="237" t="s">
        <v>574</v>
      </c>
      <c r="CX128" s="89" t="e">
        <f>(CX126+CX127)/(CX121+CX122)</f>
        <v>#DIV/0!</v>
      </c>
      <c r="CY128" s="89" t="e">
        <f t="shared" ref="CY128:DI128" si="123">(CY126+CY127)/(CY121+CY122)</f>
        <v>#DIV/0!</v>
      </c>
      <c r="CZ128" s="89" t="e">
        <f t="shared" si="123"/>
        <v>#DIV/0!</v>
      </c>
      <c r="DA128" s="89" t="e">
        <f t="shared" si="123"/>
        <v>#DIV/0!</v>
      </c>
      <c r="DB128" s="89" t="e">
        <f t="shared" si="123"/>
        <v>#DIV/0!</v>
      </c>
      <c r="DC128" s="89" t="e">
        <f t="shared" si="123"/>
        <v>#DIV/0!</v>
      </c>
      <c r="DD128" s="89" t="e">
        <f t="shared" si="123"/>
        <v>#DIV/0!</v>
      </c>
      <c r="DE128" s="89" t="e">
        <f t="shared" si="123"/>
        <v>#DIV/0!</v>
      </c>
      <c r="DF128" s="89" t="e">
        <f t="shared" si="123"/>
        <v>#DIV/0!</v>
      </c>
      <c r="DG128" s="89" t="e">
        <f t="shared" si="123"/>
        <v>#DIV/0!</v>
      </c>
      <c r="DH128" s="89" t="e">
        <f t="shared" si="123"/>
        <v>#DIV/0!</v>
      </c>
      <c r="DI128" s="89" t="e">
        <f t="shared" si="123"/>
        <v>#DIV/0!</v>
      </c>
      <c r="DN128" s="237" t="s">
        <v>574</v>
      </c>
      <c r="DO128" s="89" t="e">
        <f>(DO126+DO127)/(DO121+DO122)</f>
        <v>#DIV/0!</v>
      </c>
      <c r="DP128" s="89" t="e">
        <f t="shared" ref="DP128:DZ128" si="124">(DP126+DP127)/(DP121+DP122)</f>
        <v>#DIV/0!</v>
      </c>
      <c r="DQ128" s="89" t="e">
        <f t="shared" si="124"/>
        <v>#DIV/0!</v>
      </c>
      <c r="DR128" s="89" t="e">
        <f t="shared" si="124"/>
        <v>#DIV/0!</v>
      </c>
      <c r="DS128" s="89" t="e">
        <f t="shared" si="124"/>
        <v>#DIV/0!</v>
      </c>
      <c r="DT128" s="89" t="e">
        <f t="shared" si="124"/>
        <v>#DIV/0!</v>
      </c>
      <c r="DU128" s="89" t="e">
        <f t="shared" si="124"/>
        <v>#DIV/0!</v>
      </c>
      <c r="DV128" s="89" t="e">
        <f t="shared" si="124"/>
        <v>#DIV/0!</v>
      </c>
      <c r="DW128" s="89" t="e">
        <f t="shared" si="124"/>
        <v>#DIV/0!</v>
      </c>
      <c r="DX128" s="89" t="e">
        <f t="shared" si="124"/>
        <v>#DIV/0!</v>
      </c>
      <c r="DY128" s="89" t="e">
        <f t="shared" si="124"/>
        <v>#DIV/0!</v>
      </c>
      <c r="DZ128" s="89" t="e">
        <f t="shared" si="124"/>
        <v>#DIV/0!</v>
      </c>
      <c r="FB128" s="237" t="s">
        <v>574</v>
      </c>
      <c r="FC128" s="89" t="e">
        <f>(FC126+FC127)/(FC121+FC122)</f>
        <v>#DIV/0!</v>
      </c>
      <c r="FD128" s="89" t="e">
        <f t="shared" ref="FD128:FN128" si="125">(FD126+FD127)/(FD121+FD122)</f>
        <v>#DIV/0!</v>
      </c>
      <c r="FE128" s="89" t="e">
        <f t="shared" si="125"/>
        <v>#DIV/0!</v>
      </c>
      <c r="FF128" s="89" t="e">
        <f t="shared" si="125"/>
        <v>#DIV/0!</v>
      </c>
      <c r="FG128" s="89" t="e">
        <f t="shared" si="125"/>
        <v>#DIV/0!</v>
      </c>
      <c r="FH128" s="89" t="e">
        <f t="shared" si="125"/>
        <v>#DIV/0!</v>
      </c>
      <c r="FI128" s="89" t="e">
        <f t="shared" si="125"/>
        <v>#DIV/0!</v>
      </c>
      <c r="FJ128" s="89" t="e">
        <f t="shared" si="125"/>
        <v>#DIV/0!</v>
      </c>
      <c r="FK128" s="89" t="e">
        <f t="shared" si="125"/>
        <v>#DIV/0!</v>
      </c>
      <c r="FL128" s="89" t="e">
        <f t="shared" si="125"/>
        <v>#DIV/0!</v>
      </c>
      <c r="FM128" s="89" t="e">
        <f t="shared" si="125"/>
        <v>#DIV/0!</v>
      </c>
      <c r="FN128" s="89" t="e">
        <f t="shared" si="125"/>
        <v>#DIV/0!</v>
      </c>
      <c r="FV128" s="237" t="s">
        <v>574</v>
      </c>
      <c r="FW128" s="89" t="e">
        <f>(FW126+FW127)/(FW121+FW122)</f>
        <v>#DIV/0!</v>
      </c>
      <c r="FX128" s="89" t="e">
        <f t="shared" ref="FX128:GH128" si="126">(FX126+FX127)/(FX121+FX122)</f>
        <v>#DIV/0!</v>
      </c>
      <c r="FY128" s="89" t="e">
        <f t="shared" si="126"/>
        <v>#DIV/0!</v>
      </c>
      <c r="FZ128" s="89" t="e">
        <f t="shared" si="126"/>
        <v>#DIV/0!</v>
      </c>
      <c r="GA128" s="89" t="e">
        <f t="shared" si="126"/>
        <v>#DIV/0!</v>
      </c>
      <c r="GB128" s="89" t="e">
        <f t="shared" si="126"/>
        <v>#DIV/0!</v>
      </c>
      <c r="GC128" s="89" t="e">
        <f t="shared" si="126"/>
        <v>#DIV/0!</v>
      </c>
      <c r="GD128" s="89" t="e">
        <f t="shared" si="126"/>
        <v>#DIV/0!</v>
      </c>
      <c r="GE128" s="89" t="e">
        <f t="shared" si="126"/>
        <v>#DIV/0!</v>
      </c>
      <c r="GF128" s="89" t="e">
        <f t="shared" si="126"/>
        <v>#DIV/0!</v>
      </c>
      <c r="GG128" s="89" t="e">
        <f t="shared" si="126"/>
        <v>#DIV/0!</v>
      </c>
      <c r="GH128" s="89" t="e">
        <f t="shared" si="126"/>
        <v>#DIV/0!</v>
      </c>
      <c r="GN128" s="237" t="s">
        <v>574</v>
      </c>
      <c r="GO128" s="89" t="e">
        <f>(GO126+GO127)/(GO121+GO122)</f>
        <v>#DIV/0!</v>
      </c>
      <c r="GP128" s="89" t="e">
        <f t="shared" ref="GP128:GZ128" si="127">(GP126+GP127)/(GP121+GP122)</f>
        <v>#DIV/0!</v>
      </c>
      <c r="GQ128" s="89" t="e">
        <f t="shared" si="127"/>
        <v>#DIV/0!</v>
      </c>
      <c r="GR128" s="89" t="e">
        <f t="shared" si="127"/>
        <v>#DIV/0!</v>
      </c>
      <c r="GS128" s="89" t="e">
        <f t="shared" si="127"/>
        <v>#DIV/0!</v>
      </c>
      <c r="GT128" s="89" t="e">
        <f t="shared" si="127"/>
        <v>#DIV/0!</v>
      </c>
      <c r="GU128" s="89" t="e">
        <f t="shared" si="127"/>
        <v>#DIV/0!</v>
      </c>
      <c r="GV128" s="89" t="e">
        <f t="shared" si="127"/>
        <v>#DIV/0!</v>
      </c>
      <c r="GW128" s="89" t="e">
        <f t="shared" si="127"/>
        <v>#DIV/0!</v>
      </c>
      <c r="GX128" s="89" t="e">
        <f t="shared" si="127"/>
        <v>#DIV/0!</v>
      </c>
      <c r="GY128" s="89" t="e">
        <f t="shared" si="127"/>
        <v>#DIV/0!</v>
      </c>
      <c r="GZ128" s="89" t="e">
        <f t="shared" si="127"/>
        <v>#DIV/0!</v>
      </c>
    </row>
    <row r="129" spans="1:208" x14ac:dyDescent="0.2">
      <c r="A129" s="155" t="s">
        <v>568</v>
      </c>
      <c r="B129" s="89" t="e">
        <f>IF(B128&lt;2.51,B121+B122-B125*(B126+B127),0)</f>
        <v>#DIV/0!</v>
      </c>
      <c r="C129" s="89" t="e">
        <f t="shared" ref="C129:M129" si="128">IF(C128&lt;2.51,C121+C122-C125*(C126+C127),0)</f>
        <v>#DIV/0!</v>
      </c>
      <c r="D129" s="89" t="e">
        <f t="shared" si="128"/>
        <v>#DIV/0!</v>
      </c>
      <c r="E129" s="89" t="e">
        <f t="shared" si="128"/>
        <v>#DIV/0!</v>
      </c>
      <c r="F129" s="89" t="e">
        <f>0.5*IF(F128&lt;2.51,F121+F122-F125*(F126+F127),0)</f>
        <v>#DIV/0!</v>
      </c>
      <c r="G129" s="89">
        <v>0</v>
      </c>
      <c r="H129" s="89">
        <v>0</v>
      </c>
      <c r="I129" s="89">
        <v>0</v>
      </c>
      <c r="J129" s="89" t="e">
        <f>0.5*IF(J128&lt;2.51,J121+J122-J125*(J126+J127),0)</f>
        <v>#DIV/0!</v>
      </c>
      <c r="K129" s="89" t="e">
        <f t="shared" si="128"/>
        <v>#DIV/0!</v>
      </c>
      <c r="L129" s="89" t="e">
        <f t="shared" si="128"/>
        <v>#DIV/0!</v>
      </c>
      <c r="M129" s="89" t="e">
        <f t="shared" si="128"/>
        <v>#DIV/0!</v>
      </c>
      <c r="AC129" s="155" t="s">
        <v>568</v>
      </c>
      <c r="AD129" s="89" t="e">
        <f>IF(AD128&lt;2.51,AD121+AD122-AD125*(AD126+AD127),0)</f>
        <v>#DIV/0!</v>
      </c>
      <c r="AE129" s="89" t="e">
        <f t="shared" ref="AE129:AO129" si="129">IF(AE128&lt;2.51,AE121+AE122-AE125*(AE126+AE127),0)</f>
        <v>#DIV/0!</v>
      </c>
      <c r="AF129" s="89" t="e">
        <f t="shared" si="129"/>
        <v>#DIV/0!</v>
      </c>
      <c r="AG129" s="89" t="e">
        <f t="shared" si="129"/>
        <v>#DIV/0!</v>
      </c>
      <c r="AH129" s="89" t="e">
        <f>0.5*IF(AH128&lt;2.51,AH121+AH122-AH125*(AH126+AH127),0)</f>
        <v>#DIV/0!</v>
      </c>
      <c r="AI129" s="89">
        <v>0</v>
      </c>
      <c r="AJ129" s="89">
        <v>0</v>
      </c>
      <c r="AK129" s="89">
        <v>0</v>
      </c>
      <c r="AL129" s="89" t="e">
        <f>0.5*IF(AL128&lt;2.51,AL121+AL122-AL125*(AL126+AL127),0)</f>
        <v>#DIV/0!</v>
      </c>
      <c r="AM129" s="89" t="e">
        <f t="shared" si="129"/>
        <v>#DIV/0!</v>
      </c>
      <c r="AN129" s="89" t="e">
        <f t="shared" si="129"/>
        <v>#DIV/0!</v>
      </c>
      <c r="AO129" s="89" t="e">
        <f t="shared" si="129"/>
        <v>#DIV/0!</v>
      </c>
      <c r="AU129" s="155" t="s">
        <v>568</v>
      </c>
      <c r="AV129" s="89" t="e">
        <f>IF(AV128&lt;2.51,AV121+AV122-AV125*(AV126+AV127),0)</f>
        <v>#DIV/0!</v>
      </c>
      <c r="AW129" s="89" t="e">
        <f t="shared" ref="AW129:BG129" si="130">IF(AW128&lt;2.51,AW121+AW122-AW125*(AW126+AW127),0)</f>
        <v>#DIV/0!</v>
      </c>
      <c r="AX129" s="89" t="e">
        <f t="shared" si="130"/>
        <v>#DIV/0!</v>
      </c>
      <c r="AY129" s="89" t="e">
        <f t="shared" si="130"/>
        <v>#DIV/0!</v>
      </c>
      <c r="AZ129" s="89" t="e">
        <f>0.5*IF(AZ128&lt;2.51,AZ121+AZ122-AZ125*(AZ126+AZ127),0)</f>
        <v>#DIV/0!</v>
      </c>
      <c r="BA129" s="89">
        <v>0</v>
      </c>
      <c r="BB129" s="89">
        <v>0</v>
      </c>
      <c r="BC129" s="89">
        <v>0</v>
      </c>
      <c r="BD129" s="89" t="e">
        <f>0.5*IF(BD128&lt;2.51,BD121+BD122-BD125*(BD126+BD127),0)</f>
        <v>#DIV/0!</v>
      </c>
      <c r="BE129" s="89" t="e">
        <f t="shared" si="130"/>
        <v>#DIV/0!</v>
      </c>
      <c r="BF129" s="89" t="e">
        <f t="shared" si="130"/>
        <v>#DIV/0!</v>
      </c>
      <c r="BG129" s="89" t="e">
        <f t="shared" si="130"/>
        <v>#DIV/0!</v>
      </c>
      <c r="BN129" s="155" t="s">
        <v>568</v>
      </c>
      <c r="BO129" s="89" t="e">
        <f>IF(BO128&lt;2.51,BO121+BO122-BO125*(BO126+BO127),0)</f>
        <v>#DIV/0!</v>
      </c>
      <c r="BP129" s="89" t="e">
        <f t="shared" ref="BP129:BZ129" si="131">IF(BP128&lt;2.51,BP121+BP122-BP125*(BP126+BP127),0)</f>
        <v>#DIV/0!</v>
      </c>
      <c r="BQ129" s="89" t="e">
        <f t="shared" si="131"/>
        <v>#DIV/0!</v>
      </c>
      <c r="BR129" s="89" t="e">
        <f t="shared" si="131"/>
        <v>#DIV/0!</v>
      </c>
      <c r="BS129" s="89" t="e">
        <f>0.5*IF(BS128&lt;2.51,BS121+BS122-BS125*(BS126+BS127),0)</f>
        <v>#DIV/0!</v>
      </c>
      <c r="BT129" s="89">
        <v>0</v>
      </c>
      <c r="BU129" s="89">
        <v>0</v>
      </c>
      <c r="BV129" s="89">
        <v>0</v>
      </c>
      <c r="BW129" s="89" t="e">
        <f>0.5*IF(BW128&lt;2.51,BW121+BW122-BW125*(BW126+BW127),0)</f>
        <v>#DIV/0!</v>
      </c>
      <c r="BX129" s="89" t="e">
        <f t="shared" si="131"/>
        <v>#DIV/0!</v>
      </c>
      <c r="BY129" s="89" t="e">
        <f t="shared" si="131"/>
        <v>#DIV/0!</v>
      </c>
      <c r="BZ129" s="89" t="e">
        <f t="shared" si="131"/>
        <v>#DIV/0!</v>
      </c>
      <c r="CF129" s="155" t="s">
        <v>568</v>
      </c>
      <c r="CG129" s="89" t="e">
        <f>IF(CG128&lt;2.51,CG121+CG122-CG125*(CG126+CG127),0)</f>
        <v>#DIV/0!</v>
      </c>
      <c r="CH129" s="89" t="e">
        <f t="shared" ref="CH129:CR129" si="132">IF(CH128&lt;2.51,CH121+CH122-CH125*(CH126+CH127),0)</f>
        <v>#DIV/0!</v>
      </c>
      <c r="CI129" s="89" t="e">
        <f t="shared" si="132"/>
        <v>#DIV/0!</v>
      </c>
      <c r="CJ129" s="89" t="e">
        <f t="shared" si="132"/>
        <v>#DIV/0!</v>
      </c>
      <c r="CK129" s="89" t="e">
        <f>0.5*IF(CK128&lt;2.51,CK121+CK122-CK125*(CK126+CK127),0)</f>
        <v>#DIV/0!</v>
      </c>
      <c r="CL129" s="89">
        <v>0</v>
      </c>
      <c r="CM129" s="89">
        <v>0</v>
      </c>
      <c r="CN129" s="89">
        <v>0</v>
      </c>
      <c r="CO129" s="89" t="e">
        <f>0.5*IF(CO128&lt;2.51,CO121+CO122-CO125*(CO126+CO127),0)</f>
        <v>#DIV/0!</v>
      </c>
      <c r="CP129" s="89" t="e">
        <f t="shared" si="132"/>
        <v>#DIV/0!</v>
      </c>
      <c r="CQ129" s="89" t="e">
        <f t="shared" si="132"/>
        <v>#DIV/0!</v>
      </c>
      <c r="CR129" s="89" t="e">
        <f t="shared" si="132"/>
        <v>#DIV/0!</v>
      </c>
      <c r="CW129" s="155" t="s">
        <v>568</v>
      </c>
      <c r="CX129" s="89" t="e">
        <f>IF(CX128&lt;2.51,CX121+CX122-CX125*(CX126+CX127),0)</f>
        <v>#DIV/0!</v>
      </c>
      <c r="CY129" s="89" t="e">
        <f t="shared" ref="CY129:DI129" si="133">IF(CY128&lt;2.51,CY121+CY122-CY125*(CY126+CY127),0)</f>
        <v>#DIV/0!</v>
      </c>
      <c r="CZ129" s="89" t="e">
        <f t="shared" si="133"/>
        <v>#DIV/0!</v>
      </c>
      <c r="DA129" s="89" t="e">
        <f t="shared" si="133"/>
        <v>#DIV/0!</v>
      </c>
      <c r="DB129" s="89" t="e">
        <f>0.5*IF(DB128&lt;2.51,DB121+DB122-DB125*(DB126+DB127),0)</f>
        <v>#DIV/0!</v>
      </c>
      <c r="DC129" s="89">
        <v>0</v>
      </c>
      <c r="DD129" s="89">
        <v>0</v>
      </c>
      <c r="DE129" s="89">
        <v>0</v>
      </c>
      <c r="DF129" s="89" t="e">
        <f>0.5*IF(DF128&lt;2.51,DF121+DF122-DF125*(DF126+DF127),0)</f>
        <v>#DIV/0!</v>
      </c>
      <c r="DG129" s="89" t="e">
        <f t="shared" si="133"/>
        <v>#DIV/0!</v>
      </c>
      <c r="DH129" s="89" t="e">
        <f t="shared" si="133"/>
        <v>#DIV/0!</v>
      </c>
      <c r="DI129" s="89" t="e">
        <f t="shared" si="133"/>
        <v>#DIV/0!</v>
      </c>
      <c r="DN129" s="155" t="s">
        <v>568</v>
      </c>
      <c r="DO129" s="89" t="e">
        <f>IF(DO128&lt;2.51,DO121+DO122-DO125*(DO126+DO127),0)</f>
        <v>#DIV/0!</v>
      </c>
      <c r="DP129" s="89" t="e">
        <f t="shared" ref="DP129:DZ129" si="134">IF(DP128&lt;2.51,DP121+DP122-DP125*(DP126+DP127),0)</f>
        <v>#DIV/0!</v>
      </c>
      <c r="DQ129" s="89" t="e">
        <f t="shared" si="134"/>
        <v>#DIV/0!</v>
      </c>
      <c r="DR129" s="89" t="e">
        <f t="shared" si="134"/>
        <v>#DIV/0!</v>
      </c>
      <c r="DS129" s="89" t="e">
        <f>0.5*IF(DS128&lt;2.51,DS121+DS122-DS125*(DS126+DS127),0)</f>
        <v>#DIV/0!</v>
      </c>
      <c r="DT129" s="89">
        <v>0</v>
      </c>
      <c r="DU129" s="89">
        <v>0</v>
      </c>
      <c r="DV129" s="89">
        <v>0</v>
      </c>
      <c r="DW129" s="89" t="e">
        <f>0.5*IF(DW128&lt;2.51,DW121+DW122-DW125*(DW126+DW127),0)</f>
        <v>#DIV/0!</v>
      </c>
      <c r="DX129" s="89" t="e">
        <f t="shared" si="134"/>
        <v>#DIV/0!</v>
      </c>
      <c r="DY129" s="89" t="e">
        <f t="shared" si="134"/>
        <v>#DIV/0!</v>
      </c>
      <c r="DZ129" s="89" t="e">
        <f t="shared" si="134"/>
        <v>#DIV/0!</v>
      </c>
      <c r="FB129" s="155" t="s">
        <v>568</v>
      </c>
      <c r="FC129" s="89" t="e">
        <f>IF(FC128&lt;2.51,FC121+FC122-FC125*(FC126+FC127),0)</f>
        <v>#DIV/0!</v>
      </c>
      <c r="FD129" s="89" t="e">
        <f t="shared" ref="FD129:FN129" si="135">IF(FD128&lt;2.51,FD121+FD122-FD125*(FD126+FD127),0)</f>
        <v>#DIV/0!</v>
      </c>
      <c r="FE129" s="89" t="e">
        <f t="shared" si="135"/>
        <v>#DIV/0!</v>
      </c>
      <c r="FF129" s="89" t="e">
        <f t="shared" si="135"/>
        <v>#DIV/0!</v>
      </c>
      <c r="FG129" s="89" t="e">
        <f>0.5*IF(FG128&lt;2.51,FG121+FG122-FG125*(FG126+FG127),0)</f>
        <v>#DIV/0!</v>
      </c>
      <c r="FH129" s="89">
        <v>0</v>
      </c>
      <c r="FI129" s="89">
        <v>0</v>
      </c>
      <c r="FJ129" s="89">
        <v>0</v>
      </c>
      <c r="FK129" s="89" t="e">
        <f>0.5*IF(FK128&lt;2.51,FK121+FK122-FK125*(FK126+FK127),0)</f>
        <v>#DIV/0!</v>
      </c>
      <c r="FL129" s="89" t="e">
        <f t="shared" si="135"/>
        <v>#DIV/0!</v>
      </c>
      <c r="FM129" s="89" t="e">
        <f t="shared" si="135"/>
        <v>#DIV/0!</v>
      </c>
      <c r="FN129" s="89" t="e">
        <f t="shared" si="135"/>
        <v>#DIV/0!</v>
      </c>
      <c r="FV129" s="155" t="s">
        <v>568</v>
      </c>
      <c r="FW129" s="89" t="e">
        <f>IF(FW128&lt;2.51,FW121+FW122-FW125*(FW126+FW127),0)</f>
        <v>#DIV/0!</v>
      </c>
      <c r="FX129" s="89" t="e">
        <f t="shared" ref="FX129:GH129" si="136">IF(FX128&lt;2.51,FX121+FX122-FX125*(FX126+FX127),0)</f>
        <v>#DIV/0!</v>
      </c>
      <c r="FY129" s="89" t="e">
        <f t="shared" si="136"/>
        <v>#DIV/0!</v>
      </c>
      <c r="FZ129" s="89" t="e">
        <f t="shared" si="136"/>
        <v>#DIV/0!</v>
      </c>
      <c r="GA129" s="89" t="e">
        <f>0.5*IF(GA128&lt;2.51,GA121+GA122-GA125*(GA126+GA127),0)</f>
        <v>#DIV/0!</v>
      </c>
      <c r="GB129" s="89">
        <v>0</v>
      </c>
      <c r="GC129" s="89">
        <v>0</v>
      </c>
      <c r="GD129" s="89">
        <v>0</v>
      </c>
      <c r="GE129" s="89" t="e">
        <f>0.5*IF(GE128&lt;2.51,GE121+GE122-GE125*(GE126+GE127),0)</f>
        <v>#DIV/0!</v>
      </c>
      <c r="GF129" s="89" t="e">
        <f t="shared" si="136"/>
        <v>#DIV/0!</v>
      </c>
      <c r="GG129" s="89" t="e">
        <f t="shared" si="136"/>
        <v>#DIV/0!</v>
      </c>
      <c r="GH129" s="89" t="e">
        <f t="shared" si="136"/>
        <v>#DIV/0!</v>
      </c>
      <c r="GN129" s="155" t="s">
        <v>568</v>
      </c>
      <c r="GO129" s="89" t="e">
        <f>IF(GO128&lt;2.51,GO121+GO122-GO125*(GO126+GO127),0)</f>
        <v>#DIV/0!</v>
      </c>
      <c r="GP129" s="89" t="e">
        <f t="shared" ref="GP129:GZ129" si="137">IF(GP128&lt;2.51,GP121+GP122-GP125*(GP126+GP127),0)</f>
        <v>#DIV/0!</v>
      </c>
      <c r="GQ129" s="89" t="e">
        <f t="shared" si="137"/>
        <v>#DIV/0!</v>
      </c>
      <c r="GR129" s="89" t="e">
        <f t="shared" si="137"/>
        <v>#DIV/0!</v>
      </c>
      <c r="GS129" s="89" t="e">
        <f>0.5*IF(GS128&lt;2.51,GS121+GS122-GS125*(GS126+GS127),0)</f>
        <v>#DIV/0!</v>
      </c>
      <c r="GT129" s="89">
        <v>0</v>
      </c>
      <c r="GU129" s="89">
        <v>0</v>
      </c>
      <c r="GV129" s="89">
        <v>0</v>
      </c>
      <c r="GW129" s="89" t="e">
        <f>0.5*IF(GW128&lt;2.51,GW121+GW122-GW125*(GW126+GW127),0)</f>
        <v>#DIV/0!</v>
      </c>
      <c r="GX129" s="89" t="e">
        <f t="shared" si="137"/>
        <v>#DIV/0!</v>
      </c>
      <c r="GY129" s="89" t="e">
        <f t="shared" si="137"/>
        <v>#DIV/0!</v>
      </c>
      <c r="GZ129" s="89" t="e">
        <f t="shared" si="137"/>
        <v>#DIV/0!</v>
      </c>
    </row>
    <row r="130" spans="1:208" x14ac:dyDescent="0.2">
      <c r="A130" s="155" t="s">
        <v>562</v>
      </c>
      <c r="B130" s="89">
        <f>'Fitten energieverbruik'!C21*'Fitten energieverbruik'!C22*IF(B3=0,0,SUM(B129:M129)/($B$3*$C$3))</f>
        <v>0</v>
      </c>
      <c r="AC130" s="155" t="s">
        <v>562</v>
      </c>
      <c r="AD130" s="89">
        <f>'Fitten energieverbruik'!C21*IF(B3=0,0,SUM(AD129:AO129)/($B$3*$C$3))</f>
        <v>0</v>
      </c>
      <c r="AU130" s="155" t="s">
        <v>562</v>
      </c>
      <c r="AV130" s="89">
        <f>'Fitten energieverbruik'!C21*IF(B3=0,0,SUM(AV129:BG129)/($B$3*$C$3))</f>
        <v>0</v>
      </c>
      <c r="BN130" s="155" t="s">
        <v>562</v>
      </c>
      <c r="BO130" s="89">
        <f>'Fitten energieverbruik'!C21*IF(B3=0,0,SUM(BO129:BZ129)/($B$3*$C$3))</f>
        <v>0</v>
      </c>
      <c r="CF130" s="155" t="s">
        <v>562</v>
      </c>
      <c r="CG130" s="89">
        <f>'Fitten energieverbruik'!C21*IF(B3=0,0,SUM(CG129:CR129)/($B$3*$C$3)-35.17*CU61)</f>
        <v>0</v>
      </c>
      <c r="CW130" s="155" t="s">
        <v>562</v>
      </c>
      <c r="CX130" s="89">
        <f>'Fitten energieverbruik'!C21*IF(B3=0,0,SUM(CX129:DI129)/($B$3*$C$3))</f>
        <v>0</v>
      </c>
      <c r="DN130" s="155" t="s">
        <v>562</v>
      </c>
      <c r="DO130" s="89">
        <f>'Fitten energieverbruik'!C21*IF(B3=0,0,SUM(DO129:DZ129)/($B$3*$C$3))</f>
        <v>0</v>
      </c>
      <c r="EF130" s="155" t="s">
        <v>562</v>
      </c>
      <c r="EG130" s="89">
        <f>'Fitten energieverbruik'!C21*IF(EG3=0,0,SUM(B129:M129)/(EG3*EH3))</f>
        <v>0</v>
      </c>
      <c r="EQ130" s="155" t="s">
        <v>562</v>
      </c>
      <c r="ER130" s="89">
        <f>'Fitten energieverbruik'!C21*IF(ER3=0,0,SUM(B129:M129)/(ER3*ES3))</f>
        <v>0</v>
      </c>
      <c r="FB130" s="155" t="s">
        <v>562</v>
      </c>
      <c r="FC130" s="89">
        <f>'Fitten energieverbruik'!C21*IF(B3=0,0,SUM(FC129:FN129)/($B$3*$C$3))</f>
        <v>0</v>
      </c>
      <c r="FV130" s="155" t="s">
        <v>562</v>
      </c>
      <c r="FW130" s="89">
        <f>'Fitten energieverbruik'!C21*IF(B3=0,0,SUM(FW129:GH129)/($B$3*$C$3))</f>
        <v>0</v>
      </c>
      <c r="GN130" s="155" t="s">
        <v>562</v>
      </c>
      <c r="GO130" s="89">
        <f>'Fitten energieverbruik'!C21*IF(GN3=0,0,SUM(GO129:GZ129)/($GN$3*$GO$3))</f>
        <v>0</v>
      </c>
    </row>
    <row r="131" spans="1:208" x14ac:dyDescent="0.2">
      <c r="A131" s="155" t="s">
        <v>513</v>
      </c>
      <c r="B131" s="89">
        <f>'Verwerken ventilatie'!D62</f>
        <v>0</v>
      </c>
      <c r="AC131" s="155" t="s">
        <v>513</v>
      </c>
      <c r="AD131" s="89">
        <f t="shared" ref="AD131:AD136" si="138">B131</f>
        <v>0</v>
      </c>
      <c r="AU131" s="155" t="s">
        <v>513</v>
      </c>
      <c r="AV131" s="89">
        <f>B131</f>
        <v>0</v>
      </c>
      <c r="BN131" s="155" t="s">
        <v>513</v>
      </c>
      <c r="BO131" s="89">
        <f t="shared" ref="BO131:BO136" si="139">T131</f>
        <v>0</v>
      </c>
      <c r="CF131" s="155" t="s">
        <v>513</v>
      </c>
      <c r="CG131" s="89">
        <f t="shared" ref="CG131:CG136" si="140">AL131</f>
        <v>0</v>
      </c>
      <c r="CW131" s="155" t="s">
        <v>513</v>
      </c>
      <c r="CX131" s="89">
        <f t="shared" ref="CX131:CX136" si="141">BV131</f>
        <v>0</v>
      </c>
      <c r="DN131" s="155" t="s">
        <v>513</v>
      </c>
      <c r="DO131" s="89">
        <f t="shared" ref="DO131:DO136" si="142">CM131</f>
        <v>0</v>
      </c>
      <c r="EF131" s="155" t="s">
        <v>513</v>
      </c>
      <c r="EG131" s="89">
        <f t="shared" ref="EG131:EG136" si="143">B131</f>
        <v>0</v>
      </c>
      <c r="EQ131" s="155" t="s">
        <v>513</v>
      </c>
      <c r="ER131" s="89">
        <f t="shared" ref="ER131:ER136" si="144">B131</f>
        <v>0</v>
      </c>
      <c r="FB131" s="155" t="s">
        <v>513</v>
      </c>
      <c r="FC131" s="89">
        <f>'Verwerken ventilatie'!AM62</f>
        <v>0</v>
      </c>
      <c r="FV131" s="155" t="s">
        <v>513</v>
      </c>
      <c r="FW131" s="89">
        <f>B131</f>
        <v>0</v>
      </c>
      <c r="GN131" s="155" t="s">
        <v>513</v>
      </c>
      <c r="GO131" s="89">
        <f>FC131</f>
        <v>0</v>
      </c>
    </row>
    <row r="132" spans="1:208" x14ac:dyDescent="0.2">
      <c r="A132" s="155" t="s">
        <v>563</v>
      </c>
      <c r="B132" s="89">
        <f>'Verwerken verlichting'!T29*12</f>
        <v>0</v>
      </c>
      <c r="AC132" s="155" t="s">
        <v>563</v>
      </c>
      <c r="AD132" s="89">
        <f t="shared" si="138"/>
        <v>0</v>
      </c>
      <c r="AU132" s="155" t="s">
        <v>563</v>
      </c>
      <c r="AV132" s="89">
        <f>B132</f>
        <v>0</v>
      </c>
      <c r="BN132" s="155" t="s">
        <v>563</v>
      </c>
      <c r="BO132" s="89">
        <f>B132</f>
        <v>0</v>
      </c>
      <c r="CF132" s="155" t="s">
        <v>563</v>
      </c>
      <c r="CG132" s="89">
        <f>$B$132</f>
        <v>0</v>
      </c>
      <c r="CW132" s="155" t="s">
        <v>563</v>
      </c>
      <c r="CX132" s="89">
        <f>$B$132</f>
        <v>0</v>
      </c>
      <c r="DN132" s="155" t="s">
        <v>563</v>
      </c>
      <c r="DO132" s="89">
        <f>$B$132</f>
        <v>0</v>
      </c>
      <c r="EF132" s="155" t="s">
        <v>563</v>
      </c>
      <c r="EG132" s="89">
        <f t="shared" si="143"/>
        <v>0</v>
      </c>
      <c r="EQ132" s="155" t="s">
        <v>563</v>
      </c>
      <c r="ER132" s="89">
        <f t="shared" si="144"/>
        <v>0</v>
      </c>
      <c r="FB132" s="155" t="s">
        <v>563</v>
      </c>
      <c r="FC132" s="89">
        <f>B132</f>
        <v>0</v>
      </c>
      <c r="FV132" s="155" t="s">
        <v>563</v>
      </c>
      <c r="FW132" s="89">
        <f>FW65*12</f>
        <v>0</v>
      </c>
      <c r="FX132" s="89">
        <f>FX65*12</f>
        <v>0</v>
      </c>
      <c r="FY132" s="89">
        <f>FY65*12</f>
        <v>0</v>
      </c>
      <c r="GN132" s="155" t="s">
        <v>563</v>
      </c>
      <c r="GO132" s="89">
        <f>GN65*12</f>
        <v>0</v>
      </c>
    </row>
    <row r="133" spans="1:208" x14ac:dyDescent="0.2">
      <c r="A133" s="155" t="s">
        <v>564</v>
      </c>
      <c r="B133" s="89">
        <f>IF(B121=0,0,(8/(0.39*12))*0.75*'Invoer Algemeen'!D19*12)</f>
        <v>0</v>
      </c>
      <c r="AC133" s="155" t="s">
        <v>564</v>
      </c>
      <c r="AD133" s="89">
        <f t="shared" si="138"/>
        <v>0</v>
      </c>
      <c r="AU133" s="155" t="s">
        <v>564</v>
      </c>
      <c r="AV133" s="89">
        <f>$B$133</f>
        <v>0</v>
      </c>
      <c r="BN133" s="155" t="s">
        <v>564</v>
      </c>
      <c r="BO133" s="89">
        <f>$B$133</f>
        <v>0</v>
      </c>
      <c r="CF133" s="155" t="s">
        <v>564</v>
      </c>
      <c r="CG133" s="89">
        <f>$B$133</f>
        <v>0</v>
      </c>
      <c r="CW133" s="155" t="s">
        <v>564</v>
      </c>
      <c r="CX133" s="89">
        <f>$B$133</f>
        <v>0</v>
      </c>
      <c r="DN133" s="155" t="s">
        <v>564</v>
      </c>
      <c r="DO133" s="89">
        <f>$B$133</f>
        <v>0</v>
      </c>
      <c r="EF133" s="155" t="s">
        <v>564</v>
      </c>
      <c r="EG133" s="89">
        <f t="shared" si="143"/>
        <v>0</v>
      </c>
      <c r="EQ133" s="155" t="s">
        <v>564</v>
      </c>
      <c r="ER133" s="89">
        <f t="shared" si="144"/>
        <v>0</v>
      </c>
      <c r="FB133" s="155" t="s">
        <v>564</v>
      </c>
      <c r="FC133" s="89">
        <f>B133</f>
        <v>0</v>
      </c>
      <c r="FV133" s="155" t="s">
        <v>564</v>
      </c>
      <c r="FW133" s="89">
        <f>B133</f>
        <v>0</v>
      </c>
      <c r="GN133" s="155" t="s">
        <v>564</v>
      </c>
      <c r="GO133" s="89">
        <f>$B$133</f>
        <v>0</v>
      </c>
    </row>
    <row r="134" spans="1:208" x14ac:dyDescent="0.2">
      <c r="A134" s="155" t="s">
        <v>565</v>
      </c>
      <c r="B134" s="89">
        <v>0</v>
      </c>
      <c r="AC134" s="155" t="s">
        <v>565</v>
      </c>
      <c r="AD134" s="89">
        <f t="shared" si="138"/>
        <v>0</v>
      </c>
      <c r="AU134" s="155" t="s">
        <v>565</v>
      </c>
      <c r="AV134" s="89">
        <v>0</v>
      </c>
      <c r="BN134" s="155" t="s">
        <v>565</v>
      </c>
      <c r="BO134" s="89">
        <f t="shared" si="139"/>
        <v>0</v>
      </c>
      <c r="CF134" s="155" t="s">
        <v>565</v>
      </c>
      <c r="CG134" s="89">
        <f t="shared" si="140"/>
        <v>0</v>
      </c>
      <c r="CW134" s="155" t="s">
        <v>565</v>
      </c>
      <c r="CX134" s="89">
        <f t="shared" si="141"/>
        <v>0</v>
      </c>
      <c r="DN134" s="155" t="s">
        <v>565</v>
      </c>
      <c r="DO134" s="89">
        <f t="shared" si="142"/>
        <v>0</v>
      </c>
      <c r="EF134" s="155" t="s">
        <v>565</v>
      </c>
      <c r="EG134" s="89">
        <f t="shared" si="143"/>
        <v>0</v>
      </c>
      <c r="EQ134" s="155" t="s">
        <v>565</v>
      </c>
      <c r="ER134" s="89">
        <f t="shared" si="144"/>
        <v>0</v>
      </c>
      <c r="FB134" s="155" t="s">
        <v>565</v>
      </c>
      <c r="FC134" s="89">
        <f>B134</f>
        <v>0</v>
      </c>
      <c r="FV134" s="155" t="s">
        <v>565</v>
      </c>
      <c r="FW134" s="89">
        <f>B134</f>
        <v>0</v>
      </c>
      <c r="GN134" s="155" t="s">
        <v>565</v>
      </c>
      <c r="GO134" s="89">
        <v>0</v>
      </c>
    </row>
    <row r="135" spans="1:208" x14ac:dyDescent="0.2">
      <c r="A135" s="155" t="s">
        <v>566</v>
      </c>
      <c r="B135" s="89">
        <v>0</v>
      </c>
      <c r="AC135" s="155" t="s">
        <v>566</v>
      </c>
      <c r="AD135" s="89">
        <f t="shared" si="138"/>
        <v>0</v>
      </c>
      <c r="AU135" s="155" t="s">
        <v>566</v>
      </c>
      <c r="AV135" s="89">
        <v>0</v>
      </c>
      <c r="BN135" s="155" t="s">
        <v>566</v>
      </c>
      <c r="BO135" s="89">
        <f t="shared" si="139"/>
        <v>0</v>
      </c>
      <c r="CF135" s="155" t="s">
        <v>566</v>
      </c>
      <c r="CG135" s="89">
        <f t="shared" si="140"/>
        <v>0</v>
      </c>
      <c r="CW135" s="155" t="s">
        <v>566</v>
      </c>
      <c r="CX135" s="89">
        <f t="shared" si="141"/>
        <v>0</v>
      </c>
      <c r="DN135" s="155" t="s">
        <v>566</v>
      </c>
      <c r="DO135" s="89">
        <f t="shared" si="142"/>
        <v>0</v>
      </c>
      <c r="EF135" s="155" t="s">
        <v>566</v>
      </c>
      <c r="EG135" s="89">
        <f t="shared" si="143"/>
        <v>0</v>
      </c>
      <c r="EQ135" s="155" t="s">
        <v>566</v>
      </c>
      <c r="ER135" s="89">
        <f t="shared" si="144"/>
        <v>0</v>
      </c>
      <c r="FB135" s="155" t="s">
        <v>566</v>
      </c>
      <c r="FC135" s="89">
        <f>B135</f>
        <v>0</v>
      </c>
      <c r="FV135" s="155" t="s">
        <v>566</v>
      </c>
      <c r="FW135" s="89">
        <f>B135</f>
        <v>0</v>
      </c>
      <c r="GN135" s="155" t="s">
        <v>566</v>
      </c>
      <c r="GO135" s="89">
        <v>0</v>
      </c>
    </row>
    <row r="136" spans="1:208" x14ac:dyDescent="0.2">
      <c r="A136" s="155" t="s">
        <v>567</v>
      </c>
      <c r="B136" s="89">
        <f>'Verwerken Verwarming en Tapwate'!H13</f>
        <v>0</v>
      </c>
      <c r="AC136" s="155" t="s">
        <v>567</v>
      </c>
      <c r="AD136" s="89">
        <f t="shared" si="138"/>
        <v>0</v>
      </c>
      <c r="AU136" s="155" t="s">
        <v>567</v>
      </c>
      <c r="AV136" s="89">
        <f>B136</f>
        <v>0</v>
      </c>
      <c r="BN136" s="155" t="s">
        <v>567</v>
      </c>
      <c r="BO136" s="89">
        <f t="shared" si="139"/>
        <v>0</v>
      </c>
      <c r="CF136" s="155" t="s">
        <v>567</v>
      </c>
      <c r="CG136" s="89">
        <f t="shared" si="140"/>
        <v>0</v>
      </c>
      <c r="CW136" s="155" t="s">
        <v>567</v>
      </c>
      <c r="CX136" s="89">
        <f t="shared" si="141"/>
        <v>0</v>
      </c>
      <c r="DN136" s="155" t="s">
        <v>567</v>
      </c>
      <c r="DO136" s="89">
        <f t="shared" si="142"/>
        <v>0</v>
      </c>
      <c r="EF136" s="155" t="s">
        <v>567</v>
      </c>
      <c r="EG136" s="89">
        <f t="shared" si="143"/>
        <v>0</v>
      </c>
      <c r="EQ136" s="155" t="s">
        <v>567</v>
      </c>
      <c r="ER136" s="89">
        <f t="shared" si="144"/>
        <v>0</v>
      </c>
      <c r="FB136" s="155" t="s">
        <v>567</v>
      </c>
      <c r="FC136" s="89">
        <f>B136</f>
        <v>0</v>
      </c>
      <c r="FV136" s="155" t="s">
        <v>567</v>
      </c>
      <c r="FW136" s="89">
        <f>B136</f>
        <v>0</v>
      </c>
      <c r="GN136" s="155" t="s">
        <v>567</v>
      </c>
      <c r="GO136" s="89">
        <f>B136</f>
        <v>0</v>
      </c>
    </row>
    <row r="137" spans="1:208" x14ac:dyDescent="0.2">
      <c r="A137" s="155" t="s">
        <v>561</v>
      </c>
      <c r="B137" s="89">
        <f>IF('Invoer Algemeen'!$D$19=0,0,B130+B131+B132+B133+B134+B135+B136)</f>
        <v>0</v>
      </c>
      <c r="AC137" s="155" t="s">
        <v>561</v>
      </c>
      <c r="AD137" s="89">
        <f>IF('Invoer Algemeen'!$D$19=0,0,AD130+AD131+AD132+AD133+AD134+AD135+AD136)</f>
        <v>0</v>
      </c>
      <c r="AU137" s="155" t="s">
        <v>561</v>
      </c>
      <c r="AV137" s="89">
        <f>IF('Invoer Algemeen'!$D$16=0,0,AV130+AV131+AV132+AV133+AV134+AV135+AV136)</f>
        <v>0</v>
      </c>
      <c r="BN137" s="155" t="s">
        <v>561</v>
      </c>
      <c r="BO137" s="89">
        <f>IF('Invoer Algemeen'!$D$19=0,0,BO130+BO131+BO132+BO133+BO134+BO135+BO136)</f>
        <v>0</v>
      </c>
      <c r="CF137" s="155" t="s">
        <v>561</v>
      </c>
      <c r="CG137" s="89">
        <f>IF('Invoer Algemeen'!$D$19=0,0,CG130+CG131+CG132+CG133+CG134+CG135+CG136)</f>
        <v>0</v>
      </c>
      <c r="CW137" s="155" t="s">
        <v>561</v>
      </c>
      <c r="CX137" s="89">
        <f>IF('Invoer Algemeen'!$D$19=0,0,CX130+CX131+CX132+CX133+CX134+CX135+CX136)</f>
        <v>0</v>
      </c>
      <c r="DN137" s="155" t="s">
        <v>561</v>
      </c>
      <c r="DO137" s="89">
        <f>IF('Invoer Algemeen'!$D$19=0,0,DO130+DO131+DO132+DO133+DO134+DO135+DO136)</f>
        <v>0</v>
      </c>
      <c r="EF137" s="155" t="s">
        <v>561</v>
      </c>
      <c r="EG137" s="89">
        <f>IF('Invoer Algemeen'!$D$19=0,0,EG130+EG131+EG132+EG133+EG134+EG135+EG136)</f>
        <v>0</v>
      </c>
      <c r="EQ137" s="155" t="s">
        <v>561</v>
      </c>
      <c r="ER137" s="89">
        <f>IF('Invoer Algemeen'!$D$19=0,0,ER130+ER131+ER132+ER133+ER134+ER135+ER136)</f>
        <v>0</v>
      </c>
      <c r="FB137" s="155" t="s">
        <v>561</v>
      </c>
      <c r="FC137" s="89">
        <f>IF('Invoer Algemeen'!$D$19=0,0,FC130+FC131+FC132+FC133+FC134+FC135+FC136)</f>
        <v>0</v>
      </c>
      <c r="FV137" s="155" t="s">
        <v>561</v>
      </c>
      <c r="FW137" s="89">
        <f>IF('Invoer Algemeen'!$D$19=0,0,FW130+FW131+FW132+FW133+FW134+FW135+FW136)</f>
        <v>0</v>
      </c>
      <c r="GN137" s="155" t="s">
        <v>561</v>
      </c>
      <c r="GO137" s="89">
        <f>IF('Invoer Algemeen'!$D$19=0,0,GO130+GO131+GO132+GO133+GO134+GO135+GO136)</f>
        <v>0</v>
      </c>
    </row>
    <row r="139" spans="1:208" x14ac:dyDescent="0.2">
      <c r="D139" s="89" t="s">
        <v>593</v>
      </c>
    </row>
    <row r="140" spans="1:208" x14ac:dyDescent="0.2">
      <c r="A140" s="89" t="s">
        <v>588</v>
      </c>
      <c r="B140" s="89">
        <f>IF(B137=0,0,330*'Invoer Algemeen'!D19*1.4*1.19+1.25*135*0.3*3.5*'Invoer Algemeen'!D19*0.8)</f>
        <v>0</v>
      </c>
      <c r="AC140" s="89" t="s">
        <v>588</v>
      </c>
      <c r="AD140" s="89">
        <f>330*'Invoer Algemeen'!D19*1.4*1.19+1.25*135*0.3*3.5*'Invoer Algemeen'!D19*0.8</f>
        <v>0</v>
      </c>
      <c r="AU140" s="89" t="s">
        <v>588</v>
      </c>
      <c r="AV140" s="89">
        <f>330*'Invoer Algemeen'!D16*1.4*1.19+1.25*135*0.3*3.5*'Invoer Algemeen'!D16*0.8</f>
        <v>0</v>
      </c>
      <c r="BN140" s="89" t="s">
        <v>588</v>
      </c>
      <c r="BO140" s="89">
        <f>330*'Invoer Algemeen'!D19*1.4*1.19+1.25*135*0.3*3.5*'Invoer Algemeen'!D19*0.8</f>
        <v>0</v>
      </c>
      <c r="CF140" s="89" t="s">
        <v>588</v>
      </c>
      <c r="CG140" s="89">
        <f>330*'Invoer Algemeen'!D19*1.4*1.19+1.25*135*0.3*3.5*'Invoer Algemeen'!D19*0.8</f>
        <v>0</v>
      </c>
      <c r="CW140" s="89" t="s">
        <v>588</v>
      </c>
      <c r="CX140" s="89">
        <f>330*'Invoer Algemeen'!D19*1.4*1.19+1.25*135*0.3*3.5*'Invoer Algemeen'!D19*0.8</f>
        <v>0</v>
      </c>
      <c r="DN140" s="89" t="s">
        <v>588</v>
      </c>
      <c r="DO140" s="89">
        <f>330*'Invoer Algemeen'!D19*1.4*1.19+1.25*135*0.3*3.5*'Invoer Algemeen'!D19*0.8</f>
        <v>0</v>
      </c>
      <c r="EF140" s="89" t="s">
        <v>588</v>
      </c>
      <c r="EG140" s="89">
        <f>330*'Invoer Algemeen'!D19*1.4*1.19+1.25*135*0.3*3.5*'Invoer Algemeen'!D19*0.8</f>
        <v>0</v>
      </c>
      <c r="EQ140" s="89" t="s">
        <v>588</v>
      </c>
      <c r="ER140" s="89">
        <f>330*'Invoer Algemeen'!D19*1.4*1.19+1.25*135*0.3*3.5*'Invoer Algemeen'!D19*0.8</f>
        <v>0</v>
      </c>
      <c r="FB140" s="89" t="s">
        <v>588</v>
      </c>
      <c r="FC140" s="89">
        <f>330*'Invoer Algemeen'!D19*1.4*1.19+1.25*135*0.3*3.5*'Invoer Algemeen'!D19*0.8</f>
        <v>0</v>
      </c>
      <c r="FV140" s="89" t="s">
        <v>588</v>
      </c>
      <c r="FW140" s="89">
        <f>330*'Invoer Algemeen'!D19*1.4*1.19+1.25*135*0.3*3.5*'Invoer Algemeen'!D19*0.8</f>
        <v>0</v>
      </c>
      <c r="GN140" s="89" t="s">
        <v>588</v>
      </c>
      <c r="GO140" s="89">
        <f>330*'Invoer Algemeen'!D19*1.4*1.19+1.25*135*0.3*3.5*'Invoer Algemeen'!D19*0.8</f>
        <v>0</v>
      </c>
    </row>
    <row r="142" spans="1:208" x14ac:dyDescent="0.2">
      <c r="A142" s="155" t="s">
        <v>900</v>
      </c>
      <c r="B142" s="89">
        <f>IF('Verwerken Verwarming en Tapwate'!E6=1,1,0.79)</f>
        <v>1</v>
      </c>
      <c r="AC142" s="155" t="s">
        <v>900</v>
      </c>
      <c r="AD142" s="89">
        <f>B142</f>
        <v>1</v>
      </c>
      <c r="AU142" s="155" t="s">
        <v>900</v>
      </c>
      <c r="AV142" s="89">
        <f>T142</f>
        <v>0</v>
      </c>
      <c r="BN142" s="155" t="s">
        <v>900</v>
      </c>
      <c r="BO142" s="89">
        <f>B142</f>
        <v>1</v>
      </c>
      <c r="CF142" s="155" t="s">
        <v>900</v>
      </c>
      <c r="CG142" s="89">
        <f>B142</f>
        <v>1</v>
      </c>
      <c r="CW142" s="155" t="s">
        <v>900</v>
      </c>
      <c r="CX142" s="89">
        <f>B142</f>
        <v>1</v>
      </c>
      <c r="DN142" s="155" t="s">
        <v>900</v>
      </c>
      <c r="DO142" s="89">
        <f>B142</f>
        <v>1</v>
      </c>
      <c r="EF142" s="155" t="s">
        <v>900</v>
      </c>
      <c r="EG142" s="89">
        <f>IF(AND('Verwerken Verwarming en Tapwate'!$T$6=1,'Verwerken Verwarming en Tapwate'!$W$6=1),$B$142,IF('Verwerken Verwarming en Tapwate'!$W$6=1,1,0.79))</f>
        <v>1</v>
      </c>
      <c r="EQ142" s="155" t="s">
        <v>900</v>
      </c>
      <c r="ER142" s="155">
        <f>B142</f>
        <v>1</v>
      </c>
      <c r="FB142" s="155" t="s">
        <v>900</v>
      </c>
      <c r="FC142" s="89">
        <f>B142</f>
        <v>1</v>
      </c>
      <c r="FV142" s="155" t="s">
        <v>900</v>
      </c>
      <c r="FW142" s="89">
        <f>B142</f>
        <v>1</v>
      </c>
      <c r="GN142" s="155" t="s">
        <v>900</v>
      </c>
      <c r="GO142" s="89">
        <f>IF(AND('Verwerken Verwarming en Tapwate'!$T$6=1,'Verwerken Verwarming en Tapwate'!$W$6=1),$B$142,IF('Verwerken Verwarming en Tapwate'!$W$6=1,1,0.79))</f>
        <v>1</v>
      </c>
    </row>
    <row r="143" spans="1:208" x14ac:dyDescent="0.2">
      <c r="B143" s="619" t="s">
        <v>904</v>
      </c>
      <c r="C143" s="619"/>
      <c r="D143" s="619"/>
      <c r="E143" s="619" t="s">
        <v>611</v>
      </c>
      <c r="F143" s="619"/>
      <c r="G143" s="619"/>
      <c r="H143" s="155" t="s">
        <v>724</v>
      </c>
      <c r="AD143" s="619" t="s">
        <v>904</v>
      </c>
      <c r="AE143" s="619"/>
      <c r="AF143" s="619"/>
      <c r="AG143" s="619" t="s">
        <v>611</v>
      </c>
      <c r="AH143" s="619"/>
      <c r="AI143" s="619"/>
      <c r="AJ143" s="155" t="s">
        <v>724</v>
      </c>
      <c r="AV143" s="619" t="s">
        <v>904</v>
      </c>
      <c r="AW143" s="619"/>
      <c r="AX143" s="619"/>
      <c r="AY143" s="619" t="s">
        <v>611</v>
      </c>
      <c r="AZ143" s="619"/>
      <c r="BA143" s="619"/>
      <c r="BB143" s="155" t="s">
        <v>724</v>
      </c>
      <c r="BO143" s="619" t="s">
        <v>904</v>
      </c>
      <c r="BP143" s="619"/>
      <c r="BQ143" s="619"/>
      <c r="BR143" s="619" t="s">
        <v>611</v>
      </c>
      <c r="BS143" s="619"/>
      <c r="BT143" s="619"/>
      <c r="BU143" s="155" t="s">
        <v>724</v>
      </c>
      <c r="CG143" s="619" t="s">
        <v>904</v>
      </c>
      <c r="CH143" s="619"/>
      <c r="CI143" s="619"/>
      <c r="CJ143" s="619" t="s">
        <v>611</v>
      </c>
      <c r="CK143" s="619"/>
      <c r="CL143" s="619"/>
      <c r="CM143" s="155" t="s">
        <v>724</v>
      </c>
      <c r="CX143" s="619" t="s">
        <v>904</v>
      </c>
      <c r="CY143" s="619"/>
      <c r="CZ143" s="619"/>
      <c r="DA143" s="619" t="s">
        <v>611</v>
      </c>
      <c r="DB143" s="619"/>
      <c r="DC143" s="619"/>
      <c r="DD143" s="155" t="s">
        <v>724</v>
      </c>
      <c r="DO143" s="619" t="s">
        <v>904</v>
      </c>
      <c r="DP143" s="619"/>
      <c r="DQ143" s="619"/>
      <c r="DR143" s="619" t="s">
        <v>611</v>
      </c>
      <c r="DS143" s="619"/>
      <c r="DT143" s="619"/>
      <c r="DU143" s="155" t="s">
        <v>724</v>
      </c>
      <c r="EG143" s="619" t="s">
        <v>904</v>
      </c>
      <c r="EH143" s="619"/>
      <c r="EI143" s="619"/>
      <c r="EJ143" s="619" t="s">
        <v>611</v>
      </c>
      <c r="EK143" s="619"/>
      <c r="EL143" s="619"/>
      <c r="EM143" s="155" t="s">
        <v>724</v>
      </c>
      <c r="ER143" s="619" t="s">
        <v>904</v>
      </c>
      <c r="ES143" s="619"/>
      <c r="ET143" s="619"/>
      <c r="EU143" s="619" t="s">
        <v>611</v>
      </c>
      <c r="EV143" s="619"/>
      <c r="EW143" s="619"/>
      <c r="EX143" s="155" t="s">
        <v>724</v>
      </c>
      <c r="FC143" s="619" t="s">
        <v>904</v>
      </c>
      <c r="FD143" s="619"/>
      <c r="FE143" s="619"/>
      <c r="FF143" s="619" t="s">
        <v>611</v>
      </c>
      <c r="FG143" s="619"/>
      <c r="FH143" s="619"/>
      <c r="FI143" s="155" t="s">
        <v>724</v>
      </c>
      <c r="FW143" s="619" t="s">
        <v>904</v>
      </c>
      <c r="FX143" s="619"/>
      <c r="FY143" s="619"/>
      <c r="FZ143" s="619" t="s">
        <v>611</v>
      </c>
      <c r="GA143" s="619"/>
      <c r="GB143" s="619"/>
      <c r="GC143" s="155" t="s">
        <v>724</v>
      </c>
      <c r="GO143" s="619" t="s">
        <v>904</v>
      </c>
      <c r="GP143" s="619"/>
      <c r="GQ143" s="619"/>
      <c r="GR143" s="619" t="s">
        <v>611</v>
      </c>
      <c r="GS143" s="619"/>
      <c r="GT143" s="619"/>
      <c r="GU143" s="155" t="s">
        <v>724</v>
      </c>
    </row>
    <row r="144" spans="1:208" x14ac:dyDescent="0.2">
      <c r="B144" s="155" t="s">
        <v>608</v>
      </c>
      <c r="C144" s="155" t="s">
        <v>609</v>
      </c>
      <c r="D144" s="155" t="s">
        <v>610</v>
      </c>
      <c r="E144" s="155" t="s">
        <v>608</v>
      </c>
      <c r="F144" s="155" t="s">
        <v>609</v>
      </c>
      <c r="G144" s="155" t="s">
        <v>610</v>
      </c>
      <c r="H144" s="155" t="s">
        <v>608</v>
      </c>
      <c r="I144" s="155" t="s">
        <v>609</v>
      </c>
      <c r="J144" s="155" t="s">
        <v>610</v>
      </c>
      <c r="AD144" s="155" t="s">
        <v>608</v>
      </c>
      <c r="AE144" s="155" t="s">
        <v>609</v>
      </c>
      <c r="AF144" s="155" t="s">
        <v>610</v>
      </c>
      <c r="AG144" s="155" t="s">
        <v>608</v>
      </c>
      <c r="AH144" s="155" t="s">
        <v>609</v>
      </c>
      <c r="AI144" s="155" t="s">
        <v>610</v>
      </c>
      <c r="AJ144" s="155" t="s">
        <v>608</v>
      </c>
      <c r="AK144" s="155" t="s">
        <v>609</v>
      </c>
      <c r="AL144" s="155" t="s">
        <v>610</v>
      </c>
      <c r="AV144" s="155" t="s">
        <v>608</v>
      </c>
      <c r="AW144" s="155" t="s">
        <v>609</v>
      </c>
      <c r="AX144" s="155" t="s">
        <v>610</v>
      </c>
      <c r="AY144" s="155" t="s">
        <v>608</v>
      </c>
      <c r="AZ144" s="155" t="s">
        <v>609</v>
      </c>
      <c r="BA144" s="155" t="s">
        <v>610</v>
      </c>
      <c r="BB144" s="155" t="s">
        <v>608</v>
      </c>
      <c r="BC144" s="155" t="s">
        <v>609</v>
      </c>
      <c r="BD144" s="155" t="s">
        <v>610</v>
      </c>
      <c r="BO144" s="155" t="s">
        <v>608</v>
      </c>
      <c r="BP144" s="155" t="s">
        <v>609</v>
      </c>
      <c r="BQ144" s="155" t="s">
        <v>610</v>
      </c>
      <c r="BR144" s="155" t="s">
        <v>608</v>
      </c>
      <c r="BS144" s="155" t="s">
        <v>609</v>
      </c>
      <c r="BT144" s="155" t="s">
        <v>610</v>
      </c>
      <c r="BU144" s="155" t="s">
        <v>608</v>
      </c>
      <c r="BV144" s="155" t="s">
        <v>609</v>
      </c>
      <c r="BW144" s="155" t="s">
        <v>610</v>
      </c>
      <c r="CG144" s="155" t="s">
        <v>608</v>
      </c>
      <c r="CH144" s="155" t="s">
        <v>609</v>
      </c>
      <c r="CI144" s="155" t="s">
        <v>610</v>
      </c>
      <c r="CJ144" s="155" t="s">
        <v>608</v>
      </c>
      <c r="CK144" s="155" t="s">
        <v>609</v>
      </c>
      <c r="CL144" s="155" t="s">
        <v>610</v>
      </c>
      <c r="CM144" s="155" t="s">
        <v>608</v>
      </c>
      <c r="CN144" s="155" t="s">
        <v>609</v>
      </c>
      <c r="CO144" s="155" t="s">
        <v>610</v>
      </c>
      <c r="CX144" s="155" t="s">
        <v>608</v>
      </c>
      <c r="CY144" s="155" t="s">
        <v>609</v>
      </c>
      <c r="CZ144" s="155" t="s">
        <v>610</v>
      </c>
      <c r="DA144" s="155" t="s">
        <v>608</v>
      </c>
      <c r="DB144" s="155" t="s">
        <v>609</v>
      </c>
      <c r="DC144" s="155" t="s">
        <v>610</v>
      </c>
      <c r="DD144" s="155" t="s">
        <v>608</v>
      </c>
      <c r="DE144" s="155" t="s">
        <v>609</v>
      </c>
      <c r="DF144" s="155" t="s">
        <v>610</v>
      </c>
      <c r="DO144" s="155" t="s">
        <v>608</v>
      </c>
      <c r="DP144" s="155" t="s">
        <v>609</v>
      </c>
      <c r="DQ144" s="155" t="s">
        <v>610</v>
      </c>
      <c r="DR144" s="155" t="s">
        <v>608</v>
      </c>
      <c r="DS144" s="155" t="s">
        <v>609</v>
      </c>
      <c r="DT144" s="155" t="s">
        <v>610</v>
      </c>
      <c r="DU144" s="155" t="s">
        <v>608</v>
      </c>
      <c r="DV144" s="155" t="s">
        <v>609</v>
      </c>
      <c r="DW144" s="155" t="s">
        <v>610</v>
      </c>
      <c r="EG144" s="155" t="s">
        <v>608</v>
      </c>
      <c r="EH144" s="155" t="s">
        <v>609</v>
      </c>
      <c r="EI144" s="155" t="s">
        <v>610</v>
      </c>
      <c r="EJ144" s="155" t="s">
        <v>608</v>
      </c>
      <c r="EK144" s="155" t="s">
        <v>609</v>
      </c>
      <c r="EL144" s="155" t="s">
        <v>610</v>
      </c>
      <c r="EM144" s="155" t="s">
        <v>608</v>
      </c>
      <c r="EN144" s="155" t="s">
        <v>609</v>
      </c>
      <c r="EO144" s="155" t="s">
        <v>610</v>
      </c>
      <c r="ER144" s="155" t="s">
        <v>608</v>
      </c>
      <c r="ES144" s="155" t="s">
        <v>609</v>
      </c>
      <c r="ET144" s="155" t="s">
        <v>610</v>
      </c>
      <c r="EU144" s="155" t="s">
        <v>608</v>
      </c>
      <c r="EV144" s="155" t="s">
        <v>609</v>
      </c>
      <c r="EW144" s="155" t="s">
        <v>610</v>
      </c>
      <c r="EX144" s="155" t="s">
        <v>608</v>
      </c>
      <c r="EY144" s="155" t="s">
        <v>609</v>
      </c>
      <c r="EZ144" s="155" t="s">
        <v>610</v>
      </c>
      <c r="FC144" s="155" t="s">
        <v>608</v>
      </c>
      <c r="FD144" s="155" t="s">
        <v>609</v>
      </c>
      <c r="FE144" s="155" t="s">
        <v>610</v>
      </c>
      <c r="FF144" s="155" t="s">
        <v>608</v>
      </c>
      <c r="FG144" s="155" t="s">
        <v>609</v>
      </c>
      <c r="FH144" s="155" t="s">
        <v>610</v>
      </c>
      <c r="FI144" s="155" t="s">
        <v>608</v>
      </c>
      <c r="FJ144" s="155" t="s">
        <v>609</v>
      </c>
      <c r="FK144" s="155" t="s">
        <v>610</v>
      </c>
      <c r="FW144" s="155" t="s">
        <v>608</v>
      </c>
      <c r="FX144" s="155" t="s">
        <v>609</v>
      </c>
      <c r="FY144" s="155" t="s">
        <v>610</v>
      </c>
      <c r="FZ144" s="155" t="s">
        <v>608</v>
      </c>
      <c r="GA144" s="155" t="s">
        <v>609</v>
      </c>
      <c r="GB144" s="155" t="s">
        <v>610</v>
      </c>
      <c r="GC144" s="155" t="s">
        <v>608</v>
      </c>
      <c r="GD144" s="155" t="s">
        <v>609</v>
      </c>
      <c r="GE144" s="155" t="s">
        <v>610</v>
      </c>
      <c r="GO144" s="155" t="s">
        <v>608</v>
      </c>
      <c r="GP144" s="155" t="s">
        <v>609</v>
      </c>
      <c r="GQ144" s="155" t="s">
        <v>610</v>
      </c>
      <c r="GR144" s="155" t="s">
        <v>608</v>
      </c>
      <c r="GS144" s="155" t="s">
        <v>609</v>
      </c>
      <c r="GT144" s="155" t="s">
        <v>610</v>
      </c>
      <c r="GU144" s="155" t="s">
        <v>608</v>
      </c>
      <c r="GV144" s="155" t="s">
        <v>609</v>
      </c>
      <c r="GW144" s="155" t="s">
        <v>610</v>
      </c>
    </row>
    <row r="145" spans="1:205" x14ac:dyDescent="0.2">
      <c r="A145" s="155" t="s">
        <v>901</v>
      </c>
      <c r="B145" s="89">
        <f>IF(OR('Verwerken Verwarming en Tapwate'!$B$6=7,'Verwerken Verwarming en Tapwate'!$B$6=11),0,IF('Verwerken Verwarming en Tapwate'!$B$6=8,0,$B$142*$B$130/35.17))</f>
        <v>0</v>
      </c>
      <c r="C145" s="89">
        <f>IF(OR('Verwerken Verwarming en Tapwate'!$B$6=7,'Verwerken Verwarming en Tapwate'!$B$6=11),0,IF('Verwerken Verwarming en Tapwate'!$B$6=8,$B$142*$B$130/1000,0))</f>
        <v>0</v>
      </c>
      <c r="D145" s="89">
        <f>IF(OR('Verwerken Verwarming en Tapwate'!$B$6=7,'Verwerken Verwarming en Tapwate'!$B$6=11),$B$142*$B$130/9.23,IF('Verwerken Verwarming en Tapwate'!$B$6=8,0,0))</f>
        <v>0</v>
      </c>
      <c r="E145" s="89">
        <f>IF(OR('Verwerken Verwarming en Tapwate'!$E$6=7,'Verwerken Verwarming en Tapwate'!$E$6=11),0,IF('Verwerken Verwarming en Tapwate'!$E$6=8,0,(1-$B$142)*$B$130/35.17))</f>
        <v>0</v>
      </c>
      <c r="F145" s="89">
        <f>IF(OR('Verwerken Verwarming en Tapwate'!$E$6=7,'Verwerken Verwarming en Tapwate'!$E$6=11),0,IF('Verwerken Verwarming en Tapwate'!$E$6=8,(1-$B$142)*$B$130/1000,0))</f>
        <v>0</v>
      </c>
      <c r="G145" s="89">
        <f>IF(OR('Verwerken Verwarming en Tapwate'!$E$6=7,'Verwerken Verwarming en Tapwate'!$E$6=11),(1-$B$142)*$B$130/9.23,IF('Verwerken Verwarming en Tapwate'!$E$6=8,0,0))</f>
        <v>0</v>
      </c>
      <c r="H145" s="89">
        <f>B145+E145</f>
        <v>0</v>
      </c>
      <c r="I145" s="89">
        <f>C145+F145</f>
        <v>0</v>
      </c>
      <c r="J145" s="89">
        <f>D145+G145</f>
        <v>0</v>
      </c>
      <c r="AC145" s="155" t="s">
        <v>901</v>
      </c>
      <c r="AD145" s="89">
        <f>IF(OR('Verwerken Verwarming en Tapwate'!$B$6=7,'Verwerken Verwarming en Tapwate'!$B$6=11),0,IF('Verwerken Verwarming en Tapwate'!$B$6=8,0,$B$142*$AD$130/35.17))</f>
        <v>0</v>
      </c>
      <c r="AE145" s="89">
        <f>IF(OR('Verwerken Verwarming en Tapwate'!$B$6=7,'Verwerken Verwarming en Tapwate'!$B$6=11),0,IF('Verwerken Verwarming en Tapwate'!$B$6=8,$B$142*$AD$130/1000,0))</f>
        <v>0</v>
      </c>
      <c r="AF145" s="89">
        <f>IF(OR('Verwerken Verwarming en Tapwate'!$B$6=7,'Verwerken Verwarming en Tapwate'!$B$6=11),$B$142*$AD$130/9.23,IF('Verwerken Verwarming en Tapwate'!$B$6=8,0,0))</f>
        <v>0</v>
      </c>
      <c r="AG145" s="89">
        <f>IF(OR('Verwerken Verwarming en Tapwate'!$E$6=7,'Verwerken Verwarming en Tapwate'!$E$6=11),0,IF('Verwerken Verwarming en Tapwate'!$E$6=8,0,(1-$B$142)*$AD$130/35.17))</f>
        <v>0</v>
      </c>
      <c r="AH145" s="89">
        <f>IF(OR('Verwerken Verwarming en Tapwate'!$E$6=7,'Verwerken Verwarming en Tapwate'!$E$6=11),0,IF('Verwerken Verwarming en Tapwate'!$E$6=8,(1-$B$142)*$AD$130/1000,0))</f>
        <v>0</v>
      </c>
      <c r="AI145" s="89">
        <f>IF(OR('Verwerken Verwarming en Tapwate'!$E$6=7,'Verwerken Verwarming en Tapwate'!$E$6=11),(1-$B$142)*$AD$130/9.23,IF('Verwerken Verwarming en Tapwate'!$E$6=8,0,0))</f>
        <v>0</v>
      </c>
      <c r="AJ145" s="89">
        <f>AD145+AG145</f>
        <v>0</v>
      </c>
      <c r="AK145" s="89">
        <f>AE145+AH145</f>
        <v>0</v>
      </c>
      <c r="AL145" s="89">
        <f>AF145+AI145</f>
        <v>0</v>
      </c>
      <c r="AU145" s="155" t="s">
        <v>901</v>
      </c>
      <c r="AV145" s="89">
        <f>IF(OR('Verwerken Verwarming en Tapwate'!$B$3=7,'Verwerken Verwarming en Tapwate'!$B$3=11),0,IF('Verwerken Verwarming en Tapwate'!$B$3=8,0,$B$142*$AV$130/35.17))</f>
        <v>0</v>
      </c>
      <c r="AW145" s="89">
        <f>IF(OR('Verwerken Verwarming en Tapwate'!$B$3=7,'Verwerken Verwarming en Tapwate'!$B$3=11),0,IF('Verwerken Verwarming en Tapwate'!$B$3=8,$B$142*$AV$130/1000,0))</f>
        <v>0</v>
      </c>
      <c r="AX145" s="89">
        <f>IF(OR('Verwerken Verwarming en Tapwate'!$B$3=7,'Verwerken Verwarming en Tapwate'!$B$3=11),$B$142*$AV$130/9.23,IF('Verwerken Verwarming en Tapwate'!$B$3=8,0,0))</f>
        <v>0</v>
      </c>
      <c r="AY145" s="89">
        <f>IF(OR('Verwerken Verwarming en Tapwate'!$E$3=7,'Verwerken Verwarming en Tapwate'!$E$3=11),0,IF('Verwerken Verwarming en Tapwate'!$E$3=8,0,(1-$B$142)*$AV$130/35.17))</f>
        <v>0</v>
      </c>
      <c r="AZ145" s="89">
        <f>IF(OR('Verwerken Verwarming en Tapwate'!$E$3=7,'Verwerken Verwarming en Tapwate'!$E$3=11),0,IF('Verwerken Verwarming en Tapwate'!$E$3=8,(1-$B$142)*$AV$130/1000,0))</f>
        <v>0</v>
      </c>
      <c r="BA145" s="89">
        <f>IF(OR('Verwerken Verwarming en Tapwate'!$E$3=7,'Verwerken Verwarming en Tapwate'!$E$3=11),(1-$B$142)*$AV$130/9.23,IF('Verwerken Verwarming en Tapwate'!$E$3=8,0,0))</f>
        <v>0</v>
      </c>
      <c r="BB145" s="89">
        <f>AV145+AY145</f>
        <v>0</v>
      </c>
      <c r="BC145" s="89">
        <f>AW145+AZ145</f>
        <v>0</v>
      </c>
      <c r="BD145" s="89">
        <f>AX145+BA145</f>
        <v>0</v>
      </c>
      <c r="BN145" s="155" t="s">
        <v>901</v>
      </c>
      <c r="BO145" s="89">
        <f>IF(OR('Verwerken Verwarming en Tapwate'!$B$6=7,'Verwerken Verwarming en Tapwate'!$B$6=11),0,IF('Verwerken Verwarming en Tapwate'!$B$6=8,0,$B$142*$BO$130/35.17))</f>
        <v>0</v>
      </c>
      <c r="BP145" s="89">
        <f>IF(OR('Verwerken Verwarming en Tapwate'!$B$6=7,'Verwerken Verwarming en Tapwate'!$B$6=11),0,IF('Verwerken Verwarming en Tapwate'!$B$6=8,$B$142*$BO$130/1000,0))</f>
        <v>0</v>
      </c>
      <c r="BQ145" s="89">
        <f>IF(OR('Verwerken Verwarming en Tapwate'!$B$6=7,'Verwerken Verwarming en Tapwate'!$B$6=11),$B$142*$BO$130/9.23,IF('Verwerken Verwarming en Tapwate'!$B$6=8,0,0))</f>
        <v>0</v>
      </c>
      <c r="BR145" s="89">
        <f>IF(OR('Verwerken Verwarming en Tapwate'!$E$6=7,'Verwerken Verwarming en Tapwate'!$E$6=11),0,IF('Verwerken Verwarming en Tapwate'!$E$6=8,0,(1-$B$142)*$BO$130/35.17))</f>
        <v>0</v>
      </c>
      <c r="BS145" s="89">
        <f>IF(OR('Verwerken Verwarming en Tapwate'!$E$6=7,'Verwerken Verwarming en Tapwate'!$E$6=11),0,IF('Verwerken Verwarming en Tapwate'!$E$6=8,(1-$B$142)*$BO$130/1000,0))</f>
        <v>0</v>
      </c>
      <c r="BT145" s="89">
        <f>IF(OR('Verwerken Verwarming en Tapwate'!$E$6=7,'Verwerken Verwarming en Tapwate'!$E$6=11),(1-$B$142)*$BO$130/9.23,IF('Verwerken Verwarming en Tapwate'!$E$6=8,0,0))</f>
        <v>0</v>
      </c>
      <c r="BU145" s="89">
        <f>BO145+BR145</f>
        <v>0</v>
      </c>
      <c r="BV145" s="89">
        <f>BP145+BS145</f>
        <v>0</v>
      </c>
      <c r="BW145" s="89">
        <f>BQ145+BT145</f>
        <v>0</v>
      </c>
      <c r="CF145" s="155" t="s">
        <v>901</v>
      </c>
      <c r="CG145" s="89">
        <f>IF(OR('Verwerken Verwarming en Tapwate'!$B$6=7,'Verwerken Verwarming en Tapwate'!$B$6=11),0,IF('Verwerken Verwarming en Tapwate'!$B$6=8,0,$B$142*$CG$130/35.17))</f>
        <v>0</v>
      </c>
      <c r="CH145" s="89">
        <f>IF(OR('Verwerken Verwarming en Tapwate'!$B$6=7,'Verwerken Verwarming en Tapwate'!$B$6=11),0,IF('Verwerken Verwarming en Tapwate'!$B$6=8,$B$142*$CG$130/1000,0))</f>
        <v>0</v>
      </c>
      <c r="CI145" s="89">
        <f>IF(OR('Verwerken Verwarming en Tapwate'!$B$6=7,'Verwerken Verwarming en Tapwate'!$B$6=11),$B$142*$CG$130/9.23,IF('Verwerken Verwarming en Tapwate'!$B$6=8,0,0))</f>
        <v>0</v>
      </c>
      <c r="CJ145" s="89">
        <f>IF(OR('Verwerken Verwarming en Tapwate'!$E$6=7,'Verwerken Verwarming en Tapwate'!$E$6=11),0,IF('Verwerken Verwarming en Tapwate'!$E$6=8,0,(1-$B$142)*$CG$130/35.17))</f>
        <v>0</v>
      </c>
      <c r="CK145" s="89">
        <f>IF(OR('Verwerken Verwarming en Tapwate'!$E$6=7,'Verwerken Verwarming en Tapwate'!$E$6=11),0,IF('Verwerken Verwarming en Tapwate'!$E$6=8,(1-$B$142)*$CG$130/1000,0))</f>
        <v>0</v>
      </c>
      <c r="CL145" s="89">
        <f>IF(OR('Verwerken Verwarming en Tapwate'!$E$6=7,'Verwerken Verwarming en Tapwate'!$E$6=11),(1-$B$142)*$CG$130/9.23,IF('Verwerken Verwarming en Tapwate'!$E$6=8,0,0))</f>
        <v>0</v>
      </c>
      <c r="CM145" s="89">
        <f>CG145+CJ145</f>
        <v>0</v>
      </c>
      <c r="CN145" s="89">
        <f>CH145+CK145</f>
        <v>0</v>
      </c>
      <c r="CO145" s="89">
        <f>CI145+CL145</f>
        <v>0</v>
      </c>
      <c r="CW145" s="155" t="s">
        <v>901</v>
      </c>
      <c r="CX145" s="89">
        <f>IF(OR('Verwerken Verwarming en Tapwate'!$B$6=7,'Verwerken Verwarming en Tapwate'!$B$6=11),0,IF('Verwerken Verwarming en Tapwate'!$B$6=8,0,$B$142*$CX$130/35.17))</f>
        <v>0</v>
      </c>
      <c r="CY145" s="89">
        <f>IF(OR('Verwerken Verwarming en Tapwate'!$B$6=7,'Verwerken Verwarming en Tapwate'!$B$6=11),0,IF('Verwerken Verwarming en Tapwate'!$B$6=8,$B$142*$CX$130/1000,0))</f>
        <v>0</v>
      </c>
      <c r="CZ145" s="89">
        <f>IF(OR('Verwerken Verwarming en Tapwate'!$B$6=7,'Verwerken Verwarming en Tapwate'!$B$6=11),$B$142*$CX$130/9.23,IF('Verwerken Verwarming en Tapwate'!$B$6=8,0,0))</f>
        <v>0</v>
      </c>
      <c r="DA145" s="89">
        <f>IF(OR('Verwerken Verwarming en Tapwate'!$E$6=7,'Verwerken Verwarming en Tapwate'!$E$6=11),0,IF('Verwerken Verwarming en Tapwate'!$E$6=8,0,(1-$B$142)*$CX$130/35.17))</f>
        <v>0</v>
      </c>
      <c r="DB145" s="89">
        <f>IF(OR('Verwerken Verwarming en Tapwate'!$E$6=7,'Verwerken Verwarming en Tapwate'!$E$6=11),0,IF('Verwerken Verwarming en Tapwate'!$E$6=8,(1-$B$142)*$CX$130/1000,0))</f>
        <v>0</v>
      </c>
      <c r="DC145" s="89">
        <f>IF(OR('Verwerken Verwarming en Tapwate'!$E$6=7,'Verwerken Verwarming en Tapwate'!$E$6=11),(1-$B$142)*$CX$130/9.23,IF('Verwerken Verwarming en Tapwate'!$E$6=8,0,0))</f>
        <v>0</v>
      </c>
      <c r="DD145" s="89">
        <f>CX145+DA145</f>
        <v>0</v>
      </c>
      <c r="DE145" s="89">
        <f>CY145+DB145</f>
        <v>0</v>
      </c>
      <c r="DF145" s="89">
        <f>CZ145+DC145</f>
        <v>0</v>
      </c>
      <c r="DN145" s="155" t="s">
        <v>901</v>
      </c>
      <c r="DO145" s="89">
        <f>IF(OR('Verwerken Verwarming en Tapwate'!$B$6=7,'Verwerken Verwarming en Tapwate'!$B$6=11),0,IF('Verwerken Verwarming en Tapwate'!$B$6=8,0,$B$142*$DO$130/35.17))</f>
        <v>0</v>
      </c>
      <c r="DP145" s="89">
        <f>IF(OR('Verwerken Verwarming en Tapwate'!$B$6=7,'Verwerken Verwarming en Tapwate'!$B$6=11),0,IF('Verwerken Verwarming en Tapwate'!$B$6=8,$B$142*$DO$130/1000,0))</f>
        <v>0</v>
      </c>
      <c r="DQ145" s="89">
        <f>IF(OR('Verwerken Verwarming en Tapwate'!$B$6=7,'Verwerken Verwarming en Tapwate'!$B$6=11),$B$142*$DO$130/9.23,IF('Verwerken Verwarming en Tapwate'!$B$6=8,0,0))</f>
        <v>0</v>
      </c>
      <c r="DR145" s="89">
        <f>IF(OR('Verwerken Verwarming en Tapwate'!$E$6=7,'Verwerken Verwarming en Tapwate'!$E$6=11),0,IF('Verwerken Verwarming en Tapwate'!$E$6=8,0,(1-$B$142)*$DO$130/35.17))</f>
        <v>0</v>
      </c>
      <c r="DS145" s="89">
        <f>IF(OR('Verwerken Verwarming en Tapwate'!$E$6=7,'Verwerken Verwarming en Tapwate'!$E$6=11),0,IF('Verwerken Verwarming en Tapwate'!$E$6=8,(1-$B$142)*$DO$130/1000,0))</f>
        <v>0</v>
      </c>
      <c r="DT145" s="89">
        <f>IF(OR('Verwerken Verwarming en Tapwate'!$E$6=7,'Verwerken Verwarming en Tapwate'!$E$6=11),(1-$B$142)*$DO$130/9.23,IF('Verwerken Verwarming en Tapwate'!$E$6=8,0,0))</f>
        <v>0</v>
      </c>
      <c r="DU145" s="89">
        <f>DO145+DR145</f>
        <v>0</v>
      </c>
      <c r="DV145" s="89">
        <f>DP145+DS145</f>
        <v>0</v>
      </c>
      <c r="DW145" s="89">
        <f>DQ145+DT145</f>
        <v>0</v>
      </c>
      <c r="EF145" s="155" t="s">
        <v>901</v>
      </c>
      <c r="EG145" s="89">
        <f>IF(OR('Verwerken Verwarming en Tapwate'!$B$6=7,'Verwerken Verwarming en Tapwate'!$B$6=11),0,IF('Verwerken Verwarming en Tapwate'!$B$6=8,0,$B$142*$EG$130/35.17))</f>
        <v>0</v>
      </c>
      <c r="EH145" s="89">
        <f>IF(OR('Verwerken Verwarming en Tapwate'!$B$6=7,'Verwerken Verwarming en Tapwate'!$B$6=11),0,IF('Verwerken Verwarming en Tapwate'!$B$6=8,$B$142*$EG$130/1000,0))</f>
        <v>0</v>
      </c>
      <c r="EI145" s="89">
        <f>IF(OR('Verwerken Verwarming en Tapwate'!$B$6=7,'Verwerken Verwarming en Tapwate'!$B$6=11),$B$142*$EG$130/9.23,IF('Verwerken Verwarming en Tapwate'!$B$6=8,0,0))</f>
        <v>0</v>
      </c>
      <c r="EJ145" s="89">
        <f>IF(OR('Verwerken Verwarming en Tapwate'!$E$6=7,'Verwerken Verwarming en Tapwate'!$E$6=11),0,IF('Verwerken Verwarming en Tapwate'!$E$6=8,0,(1-$B$142)*$EG$130/35.17))</f>
        <v>0</v>
      </c>
      <c r="EK145" s="89">
        <f>IF(OR('Verwerken Verwarming en Tapwate'!$E$6=7,'Verwerken Verwarming en Tapwate'!$E$6=11),0,IF('Verwerken Verwarming en Tapwate'!$E$6=8,(1-$B$142)*$EG$130/1000,0))</f>
        <v>0</v>
      </c>
      <c r="EL145" s="89">
        <f>IF(OR('Verwerken Verwarming en Tapwate'!$E$6=7,'Verwerken Verwarming en Tapwate'!$E$6=11),(1-$B$142)*$EG$130/9.23,IF('Verwerken Verwarming en Tapwate'!$E$6=8,0,0))</f>
        <v>0</v>
      </c>
      <c r="EM145" s="89">
        <f>EG145+EJ145</f>
        <v>0</v>
      </c>
      <c r="EN145" s="89">
        <f>EH145+EK145</f>
        <v>0</v>
      </c>
      <c r="EO145" s="89">
        <f>EI145+EL145</f>
        <v>0</v>
      </c>
      <c r="EQ145" s="155" t="s">
        <v>901</v>
      </c>
      <c r="ER145" s="89">
        <f>IF(OR('Verwerken Verwarming en Tapwate'!$B$6=7,'Verwerken Verwarming en Tapwate'!$B$6=11),0,IF('Verwerken Verwarming en Tapwate'!$B$6=8,0,$B$142*$ER$130/35.17))</f>
        <v>0</v>
      </c>
      <c r="ES145" s="89">
        <f>IF(OR('Verwerken Verwarming en Tapwate'!$B$6=7,'Verwerken Verwarming en Tapwate'!$B$6=11),0,IF('Verwerken Verwarming en Tapwate'!$B$6=8,$B$142*$ER$130/1000,0))</f>
        <v>0</v>
      </c>
      <c r="ET145" s="89">
        <f>IF(OR('Verwerken Verwarming en Tapwate'!$B$6=7,'Verwerken Verwarming en Tapwate'!$B$6=11),$B$142*$ER$130/9.23,IF('Verwerken Verwarming en Tapwate'!$B$6=8,0,0))</f>
        <v>0</v>
      </c>
      <c r="EU145" s="89">
        <f>IF(OR('Verwerken Verwarming en Tapwate'!$E$6=7,'Verwerken Verwarming en Tapwate'!$E$6=11),0,IF('Verwerken Verwarming en Tapwate'!$E$6=8,0,(1-$B$142)*$ER$130/35.17))</f>
        <v>0</v>
      </c>
      <c r="EV145" s="89">
        <f>IF(OR('Verwerken Verwarming en Tapwate'!$E$6=7,'Verwerken Verwarming en Tapwate'!$E$6=11),0,IF('Verwerken Verwarming en Tapwate'!$E$6=8,(1-$B$142)*$ER$130/1000,0))</f>
        <v>0</v>
      </c>
      <c r="EW145" s="89">
        <f>IF(OR('Verwerken Verwarming en Tapwate'!$E$6=7,'Verwerken Verwarming en Tapwate'!$E$6=11),(1-$B$142)*$ER$130/9.23,IF('Verwerken Verwarming en Tapwate'!$E$6=8,0,0))</f>
        <v>0</v>
      </c>
      <c r="EX145" s="89">
        <f>ER145+EU145</f>
        <v>0</v>
      </c>
      <c r="EY145" s="89">
        <f>ES145+EV145</f>
        <v>0</v>
      </c>
      <c r="EZ145" s="89">
        <f>ET145+EW145</f>
        <v>0</v>
      </c>
      <c r="FB145" s="155" t="s">
        <v>901</v>
      </c>
      <c r="FC145" s="89">
        <f>IF(OR('Verwerken Verwarming en Tapwate'!$B$6=7,'Verwerken Verwarming en Tapwate'!$B$6=11),0,IF('Verwerken Verwarming en Tapwate'!$B$6=8,0,$B$142*$FC$130/35.17))</f>
        <v>0</v>
      </c>
      <c r="FD145" s="89">
        <f>IF(OR('Verwerken Verwarming en Tapwate'!$B$6=7,'Verwerken Verwarming en Tapwate'!$B$6=11),0,IF('Verwerken Verwarming en Tapwate'!$B$6=8,$B$142*$FC$130/1000,0))</f>
        <v>0</v>
      </c>
      <c r="FE145" s="89">
        <f>IF(OR('Verwerken Verwarming en Tapwate'!$B$6=7,'Verwerken Verwarming en Tapwate'!$B$6=11),$B$142*$FC$130/9.23,IF('Verwerken Verwarming en Tapwate'!$B$6=8,0,0))</f>
        <v>0</v>
      </c>
      <c r="FF145" s="89">
        <f>IF(OR('Verwerken Verwarming en Tapwate'!$E$6=7,'Verwerken Verwarming en Tapwate'!$E$6=11),0,IF('Verwerken Verwarming en Tapwate'!$E$6=8,0,(1-$B$142)*$FC$130/35.17))</f>
        <v>0</v>
      </c>
      <c r="FG145" s="89">
        <f>IF(OR('Verwerken Verwarming en Tapwate'!$E$6=7,'Verwerken Verwarming en Tapwate'!$E$6=11),0,IF('Verwerken Verwarming en Tapwate'!$E$6=8,(1-$B$142)*$FC$130/1000,0))</f>
        <v>0</v>
      </c>
      <c r="FH145" s="89">
        <f>IF(OR('Verwerken Verwarming en Tapwate'!$E$6=7,'Verwerken Verwarming en Tapwate'!$E$6=11),(1-$B$142)*$FC$130/9.23,IF('Verwerken Verwarming en Tapwate'!$E$6=8,0,0))</f>
        <v>0</v>
      </c>
      <c r="FI145" s="89">
        <f>FC145+FF145</f>
        <v>0</v>
      </c>
      <c r="FJ145" s="89">
        <f>FD145+FG145</f>
        <v>0</v>
      </c>
      <c r="FK145" s="89">
        <f>FE145+FH145</f>
        <v>0</v>
      </c>
      <c r="FV145" s="155" t="s">
        <v>901</v>
      </c>
      <c r="FW145" s="89">
        <f>IF(OR('Verwerken Verwarming en Tapwate'!$B$6=7,'Verwerken Verwarming en Tapwate'!$B$6=11),0,IF('Verwerken Verwarming en Tapwate'!$B$6=8,0,$B$142*$FW$130/35.17))</f>
        <v>0</v>
      </c>
      <c r="FX145" s="89">
        <f>IF(OR('Verwerken Verwarming en Tapwate'!$B$6=7,'Verwerken Verwarming en Tapwate'!$B$6=11),0,IF('Verwerken Verwarming en Tapwate'!$B$6=8,$B$142*$FW$130/1000,0))</f>
        <v>0</v>
      </c>
      <c r="FY145" s="89">
        <f>IF(OR('Verwerken Verwarming en Tapwate'!$B$6=7,'Verwerken Verwarming en Tapwate'!$B$6=11),$B$142*$FW$130/9.23,IF('Verwerken Verwarming en Tapwate'!$B$6=8,0,0))</f>
        <v>0</v>
      </c>
      <c r="FZ145" s="89">
        <f>IF(OR('Verwerken Verwarming en Tapwate'!$E$6=7,'Verwerken Verwarming en Tapwate'!$E$6=11),0,IF('Verwerken Verwarming en Tapwate'!$E$6=8,0,(1-$B$142)*$FW$130/35.17))</f>
        <v>0</v>
      </c>
      <c r="GA145" s="89">
        <f>IF(OR('Verwerken Verwarming en Tapwate'!$E$6=7,'Verwerken Verwarming en Tapwate'!$E$6=11),0,IF('Verwerken Verwarming en Tapwate'!$E$6=8,(1-$B$142)*$FW$130/1000,0))</f>
        <v>0</v>
      </c>
      <c r="GB145" s="89">
        <f>IF(OR('Verwerken Verwarming en Tapwate'!$E$6=7,'Verwerken Verwarming en Tapwate'!$E$6=11),(1-$B$142)*$FW$130/9.23,IF('Verwerken Verwarming en Tapwate'!$E$6=8,0,0))</f>
        <v>0</v>
      </c>
      <c r="GC145" s="89">
        <f>FW145+FZ145</f>
        <v>0</v>
      </c>
      <c r="GD145" s="89">
        <f>FX145+GA145</f>
        <v>0</v>
      </c>
      <c r="GE145" s="89">
        <f>FY145+GB145</f>
        <v>0</v>
      </c>
      <c r="GN145" s="155" t="s">
        <v>901</v>
      </c>
      <c r="GO145" s="89">
        <f>IF(OR('Verwerken Verwarming en Tapwate'!$B$6=7,'Verwerken Verwarming en Tapwate'!$B$6=11),0,IF('Verwerken Verwarming en Tapwate'!$B$6=8,0,$B$142*$GO$130/35.17))</f>
        <v>0</v>
      </c>
      <c r="GP145" s="89">
        <f>IF(OR('Verwerken Verwarming en Tapwate'!$B$6=7,'Verwerken Verwarming en Tapwate'!$B$6=11),0,IF('Verwerken Verwarming en Tapwate'!$B$6=8,$B$142*$GO$130/1000,0))</f>
        <v>0</v>
      </c>
      <c r="GQ145" s="89">
        <f>IF(OR('Verwerken Verwarming en Tapwate'!$B$6=7,'Verwerken Verwarming en Tapwate'!$B$6=11),$B$142*$GO$130/9.23,IF('Verwerken Verwarming en Tapwate'!$B$6=8,0,0))</f>
        <v>0</v>
      </c>
      <c r="GR145" s="89">
        <f>IF(OR('Verwerken Verwarming en Tapwate'!$E$6=7,'Verwerken Verwarming en Tapwate'!$E$6=11),0,IF('Verwerken Verwarming en Tapwate'!$E$6=8,0,(1-$B$142)*$GO$130/35.17))</f>
        <v>0</v>
      </c>
      <c r="GS145" s="89">
        <f>IF(OR('Verwerken Verwarming en Tapwate'!$E$6=7,'Verwerken Verwarming en Tapwate'!$E$6=11),0,IF('Verwerken Verwarming en Tapwate'!$E$6=8,(1-$B$142)*$GO$130/1000,0))</f>
        <v>0</v>
      </c>
      <c r="GT145" s="89">
        <f>IF(OR('Verwerken Verwarming en Tapwate'!$E$6=7,'Verwerken Verwarming en Tapwate'!$E$6=11),(1-$B$142)*$GO$130/9.23,IF('Verwerken Verwarming en Tapwate'!$E$6=8,0,0))</f>
        <v>0</v>
      </c>
      <c r="GU145" s="89">
        <f>GO145+GR145</f>
        <v>0</v>
      </c>
      <c r="GV145" s="89">
        <f>GP145+GS145</f>
        <v>0</v>
      </c>
      <c r="GW145" s="89">
        <f>GQ145+GT145</f>
        <v>0</v>
      </c>
    </row>
    <row r="146" spans="1:205" x14ac:dyDescent="0.2">
      <c r="A146" s="155" t="s">
        <v>893</v>
      </c>
      <c r="J146" s="89">
        <f>B131/9.23</f>
        <v>0</v>
      </c>
      <c r="AC146" s="155" t="s">
        <v>893</v>
      </c>
      <c r="AL146" s="89">
        <f>AD131/9.23</f>
        <v>0</v>
      </c>
      <c r="AU146" s="155" t="s">
        <v>893</v>
      </c>
      <c r="BD146" s="89">
        <f>AV131/9.23</f>
        <v>0</v>
      </c>
      <c r="BN146" s="155" t="s">
        <v>893</v>
      </c>
      <c r="BW146" s="89">
        <f>BO131/9.23</f>
        <v>0</v>
      </c>
      <c r="CF146" s="155" t="s">
        <v>893</v>
      </c>
      <c r="CO146" s="89">
        <f>CG131/9.23</f>
        <v>0</v>
      </c>
      <c r="CW146" s="155" t="s">
        <v>893</v>
      </c>
      <c r="DF146" s="89">
        <f>CX131/9.23</f>
        <v>0</v>
      </c>
      <c r="DN146" s="155" t="s">
        <v>893</v>
      </c>
      <c r="DW146" s="89">
        <f>DO131/9.23</f>
        <v>0</v>
      </c>
      <c r="EF146" s="155" t="s">
        <v>893</v>
      </c>
      <c r="EO146" s="89">
        <f>EG131/9.23</f>
        <v>0</v>
      </c>
      <c r="EQ146" s="155" t="s">
        <v>893</v>
      </c>
      <c r="EZ146" s="89">
        <f>ER131/9.23</f>
        <v>0</v>
      </c>
      <c r="FB146" s="155" t="s">
        <v>893</v>
      </c>
      <c r="FK146" s="89">
        <f>FC131/9.23</f>
        <v>0</v>
      </c>
      <c r="FV146" s="155" t="s">
        <v>893</v>
      </c>
      <c r="GE146" s="89">
        <f>FW131/9.23</f>
        <v>0</v>
      </c>
      <c r="GN146" s="155" t="s">
        <v>893</v>
      </c>
      <c r="GW146" s="89">
        <f>GO131/9.23</f>
        <v>0</v>
      </c>
    </row>
    <row r="147" spans="1:205" x14ac:dyDescent="0.2">
      <c r="A147" s="155" t="s">
        <v>902</v>
      </c>
      <c r="J147" s="89">
        <f>B133/9.23</f>
        <v>0</v>
      </c>
      <c r="AC147" s="155" t="s">
        <v>902</v>
      </c>
      <c r="AL147" s="89">
        <f>AD133/9.23</f>
        <v>0</v>
      </c>
      <c r="AU147" s="155" t="s">
        <v>902</v>
      </c>
      <c r="BD147" s="89">
        <f>AV133/9.23</f>
        <v>0</v>
      </c>
      <c r="BN147" s="155" t="s">
        <v>902</v>
      </c>
      <c r="BW147" s="89">
        <f>BO133/9.23</f>
        <v>0</v>
      </c>
      <c r="CF147" s="155" t="s">
        <v>902</v>
      </c>
      <c r="CO147" s="89">
        <f>CG133/9.23</f>
        <v>0</v>
      </c>
      <c r="CW147" s="155" t="s">
        <v>902</v>
      </c>
      <c r="DF147" s="89">
        <f>CX133/9.23</f>
        <v>0</v>
      </c>
      <c r="DN147" s="155" t="s">
        <v>902</v>
      </c>
      <c r="DW147" s="89">
        <f>DO133/9.23</f>
        <v>0</v>
      </c>
      <c r="EF147" s="155" t="s">
        <v>902</v>
      </c>
      <c r="EO147" s="89">
        <f>EG133/9.23</f>
        <v>0</v>
      </c>
      <c r="EQ147" s="155" t="s">
        <v>902</v>
      </c>
      <c r="EZ147" s="89">
        <f>ER133/9.23</f>
        <v>0</v>
      </c>
      <c r="FB147" s="155" t="s">
        <v>902</v>
      </c>
      <c r="FK147" s="89">
        <f>FC133/9.23</f>
        <v>0</v>
      </c>
      <c r="FV147" s="155" t="s">
        <v>902</v>
      </c>
      <c r="GE147" s="89">
        <f>FW133/9.23</f>
        <v>0</v>
      </c>
      <c r="GN147" s="155" t="s">
        <v>902</v>
      </c>
      <c r="GW147" s="89">
        <f>GO133/9.23</f>
        <v>0</v>
      </c>
    </row>
    <row r="148" spans="1:205" x14ac:dyDescent="0.2">
      <c r="A148" s="155" t="s">
        <v>903</v>
      </c>
      <c r="H148" s="89">
        <f>IF('Verwerken Verwarming en Tapwate'!C13&lt;3,0,IF('Verwerken Verwarming en Tapwate'!C13=9,0,'Verwerken Verwarming en Tapwate'!H13/35.17))</f>
        <v>0</v>
      </c>
      <c r="I148" s="89">
        <f>IF('Verwerken Verwarming en Tapwate'!C13&lt;3,0,IF('Verwerken Verwarming en Tapwate'!C13=9,'Verwerken Verwarming en Tapwate'!H13/1000,0))</f>
        <v>0</v>
      </c>
      <c r="J148" s="89">
        <f>IF('Verwerken Verwarming en Tapwate'!C13=2,'Verwerken Verwarming en Tapwate'!H13/9.23,IF('Verwerken Verwarming en Tapwate'!C13=9,0,0))</f>
        <v>0</v>
      </c>
      <c r="AC148" s="155" t="s">
        <v>903</v>
      </c>
      <c r="AJ148" s="89">
        <f>H148</f>
        <v>0</v>
      </c>
      <c r="AK148" s="89">
        <f>I148</f>
        <v>0</v>
      </c>
      <c r="AL148" s="89">
        <f>J148</f>
        <v>0</v>
      </c>
      <c r="AU148" s="155" t="s">
        <v>903</v>
      </c>
      <c r="BB148" s="89">
        <f>H148</f>
        <v>0</v>
      </c>
      <c r="BC148" s="89">
        <f>I148</f>
        <v>0</v>
      </c>
      <c r="BD148" s="89">
        <f>J148</f>
        <v>0</v>
      </c>
      <c r="BN148" s="155" t="s">
        <v>903</v>
      </c>
      <c r="BU148" s="89">
        <f>H148</f>
        <v>0</v>
      </c>
      <c r="BV148" s="89">
        <f>I148</f>
        <v>0</v>
      </c>
      <c r="BW148" s="89">
        <f>J148</f>
        <v>0</v>
      </c>
      <c r="CF148" s="155" t="s">
        <v>903</v>
      </c>
      <c r="CM148" s="89">
        <f>H148</f>
        <v>0</v>
      </c>
      <c r="CN148" s="89">
        <f>I148</f>
        <v>0</v>
      </c>
      <c r="CO148" s="89">
        <f>J148</f>
        <v>0</v>
      </c>
      <c r="CW148" s="155" t="s">
        <v>903</v>
      </c>
      <c r="DD148" s="89">
        <f>H148</f>
        <v>0</v>
      </c>
      <c r="DE148" s="89">
        <f>I148</f>
        <v>0</v>
      </c>
      <c r="DF148" s="89">
        <f>J148</f>
        <v>0</v>
      </c>
      <c r="DN148" s="155" t="s">
        <v>903</v>
      </c>
      <c r="DU148" s="89">
        <f>H148</f>
        <v>0</v>
      </c>
      <c r="DV148" s="89">
        <f>I148</f>
        <v>0</v>
      </c>
      <c r="DW148" s="89">
        <f>J148</f>
        <v>0</v>
      </c>
      <c r="EF148" s="155" t="s">
        <v>903</v>
      </c>
      <c r="EM148" s="89">
        <f>H148</f>
        <v>0</v>
      </c>
      <c r="EN148" s="89">
        <f>I148</f>
        <v>0</v>
      </c>
      <c r="EO148" s="89">
        <f>J148</f>
        <v>0</v>
      </c>
      <c r="EQ148" s="155" t="s">
        <v>903</v>
      </c>
      <c r="EX148" s="89">
        <f>H148</f>
        <v>0</v>
      </c>
      <c r="EY148" s="89">
        <f>I148</f>
        <v>0</v>
      </c>
      <c r="EZ148" s="89">
        <f>J148</f>
        <v>0</v>
      </c>
      <c r="FB148" s="155" t="s">
        <v>903</v>
      </c>
      <c r="FI148" s="89">
        <f>H148</f>
        <v>0</v>
      </c>
      <c r="FJ148" s="89">
        <f>I148</f>
        <v>0</v>
      </c>
      <c r="FK148" s="89">
        <f>J148</f>
        <v>0</v>
      </c>
      <c r="FV148" s="155" t="s">
        <v>903</v>
      </c>
      <c r="GC148" s="89">
        <f>H148</f>
        <v>0</v>
      </c>
      <c r="GD148" s="89">
        <f>I148</f>
        <v>0</v>
      </c>
      <c r="GE148" s="89">
        <f>J148</f>
        <v>0</v>
      </c>
      <c r="GN148" s="155" t="s">
        <v>903</v>
      </c>
      <c r="GU148" s="89">
        <f>H148</f>
        <v>0</v>
      </c>
      <c r="GV148" s="89">
        <f>I148</f>
        <v>0</v>
      </c>
      <c r="GW148" s="89">
        <f>J148</f>
        <v>0</v>
      </c>
    </row>
    <row r="149" spans="1:205" x14ac:dyDescent="0.2">
      <c r="A149" s="155" t="s">
        <v>895</v>
      </c>
      <c r="J149" s="89">
        <f>B132/9.23</f>
        <v>0</v>
      </c>
      <c r="AC149" s="155" t="s">
        <v>895</v>
      </c>
      <c r="AL149" s="89">
        <f>AD132/9.23</f>
        <v>0</v>
      </c>
      <c r="AU149" s="155" t="s">
        <v>895</v>
      </c>
      <c r="BD149" s="89">
        <f>AV132/9.23</f>
        <v>0</v>
      </c>
      <c r="BN149" s="155" t="s">
        <v>895</v>
      </c>
      <c r="BW149" s="89">
        <f>BO132/9.23</f>
        <v>0</v>
      </c>
      <c r="CF149" s="155" t="s">
        <v>895</v>
      </c>
      <c r="CO149" s="89">
        <f>CG132/9.23</f>
        <v>0</v>
      </c>
      <c r="CW149" s="155" t="s">
        <v>895</v>
      </c>
      <c r="DF149" s="89">
        <f>CX132/9.23</f>
        <v>0</v>
      </c>
      <c r="DN149" s="155" t="s">
        <v>895</v>
      </c>
      <c r="DW149" s="89">
        <f>DO132/9.23</f>
        <v>0</v>
      </c>
      <c r="EF149" s="155" t="s">
        <v>895</v>
      </c>
      <c r="EO149" s="89">
        <f>EG132/9.23</f>
        <v>0</v>
      </c>
      <c r="EQ149" s="155" t="s">
        <v>895</v>
      </c>
      <c r="EZ149" s="89">
        <f>ER132/9.23</f>
        <v>0</v>
      </c>
      <c r="FB149" s="155" t="s">
        <v>895</v>
      </c>
      <c r="FK149" s="89">
        <f>FC132/9.23</f>
        <v>0</v>
      </c>
      <c r="FV149" s="155" t="s">
        <v>895</v>
      </c>
      <c r="GE149" s="89">
        <f>FW132/9.23</f>
        <v>0</v>
      </c>
      <c r="GF149" s="89">
        <f>FX132/9.23</f>
        <v>0</v>
      </c>
      <c r="GG149" s="89">
        <f>FY132/9.23</f>
        <v>0</v>
      </c>
      <c r="GN149" s="155" t="s">
        <v>895</v>
      </c>
      <c r="GW149" s="89">
        <f>GO132/9.23</f>
        <v>0</v>
      </c>
    </row>
    <row r="150" spans="1:205" x14ac:dyDescent="0.2">
      <c r="B150" s="155" t="s">
        <v>724</v>
      </c>
      <c r="AD150" s="155" t="s">
        <v>724</v>
      </c>
      <c r="AV150" s="155" t="s">
        <v>724</v>
      </c>
      <c r="BO150" s="155" t="s">
        <v>724</v>
      </c>
      <c r="CG150" s="155" t="s">
        <v>724</v>
      </c>
      <c r="CX150" s="155" t="s">
        <v>724</v>
      </c>
      <c r="DO150" s="155" t="s">
        <v>724</v>
      </c>
      <c r="EG150" s="155" t="s">
        <v>724</v>
      </c>
      <c r="ER150" s="155" t="s">
        <v>724</v>
      </c>
      <c r="FC150" s="155" t="s">
        <v>724</v>
      </c>
      <c r="FW150" s="155" t="s">
        <v>724</v>
      </c>
      <c r="GO150" s="155" t="s">
        <v>724</v>
      </c>
    </row>
    <row r="151" spans="1:205" x14ac:dyDescent="0.2">
      <c r="A151" s="247" t="s">
        <v>5</v>
      </c>
      <c r="B151" s="89">
        <f>H145+H146+H147+H148</f>
        <v>0</v>
      </c>
      <c r="AC151" s="247" t="s">
        <v>5</v>
      </c>
      <c r="AD151" s="89">
        <f>AJ145+AJ146+AJ147+AJ148</f>
        <v>0</v>
      </c>
      <c r="AU151" s="247" t="s">
        <v>5</v>
      </c>
      <c r="AV151" s="89">
        <f>BB145+BB146+BB147+BB148</f>
        <v>0</v>
      </c>
      <c r="BN151" s="247" t="s">
        <v>5</v>
      </c>
      <c r="BO151" s="89">
        <f>BU145+BU146+BU147+BU148</f>
        <v>0</v>
      </c>
      <c r="CF151" s="247" t="s">
        <v>5</v>
      </c>
      <c r="CG151" s="89">
        <f>CM145+CM146+CM147+CM148</f>
        <v>0</v>
      </c>
      <c r="CW151" s="247" t="s">
        <v>5</v>
      </c>
      <c r="CX151" s="89">
        <f>DD145+DD146+DD147+DD148</f>
        <v>0</v>
      </c>
      <c r="DN151" s="247" t="s">
        <v>5</v>
      </c>
      <c r="DO151" s="89">
        <f>DU145+DU146+DU147+DU148</f>
        <v>0</v>
      </c>
      <c r="EF151" s="247" t="s">
        <v>5</v>
      </c>
      <c r="EG151" s="89">
        <f>EM145+EM146+EM147+EM148</f>
        <v>0</v>
      </c>
      <c r="EQ151" s="247" t="s">
        <v>5</v>
      </c>
      <c r="ER151" s="89">
        <f>EX145+EX146+EX147+EX148</f>
        <v>0</v>
      </c>
      <c r="FB151" s="247" t="s">
        <v>5</v>
      </c>
      <c r="FC151" s="89">
        <f>FI145+FI146+FI147+FI148</f>
        <v>0</v>
      </c>
      <c r="FV151" s="247" t="s">
        <v>5</v>
      </c>
      <c r="FW151" s="89">
        <f>GC145+GC146+GC147+GC148</f>
        <v>0</v>
      </c>
      <c r="GN151" s="247" t="s">
        <v>5</v>
      </c>
      <c r="GO151" s="89">
        <f>GU145+GU146+GU147+GU148</f>
        <v>0</v>
      </c>
    </row>
    <row r="152" spans="1:205" x14ac:dyDescent="0.2">
      <c r="A152" s="155" t="s">
        <v>6</v>
      </c>
      <c r="B152" s="89">
        <f>I145+I146+I147+I148</f>
        <v>0</v>
      </c>
      <c r="AC152" s="155" t="s">
        <v>6</v>
      </c>
      <c r="AD152" s="89">
        <f>AK145+AK146+AK147+AK148</f>
        <v>0</v>
      </c>
      <c r="AU152" s="155" t="s">
        <v>6</v>
      </c>
      <c r="AV152" s="89">
        <f>BC145+BC146+BC147+BC148</f>
        <v>0</v>
      </c>
      <c r="BN152" s="155" t="s">
        <v>6</v>
      </c>
      <c r="BO152" s="89">
        <f>BV145+BV146+BV147+BV148</f>
        <v>0</v>
      </c>
      <c r="CF152" s="155" t="s">
        <v>6</v>
      </c>
      <c r="CG152" s="89">
        <f>CN145+CN146+CN147+CN148</f>
        <v>0</v>
      </c>
      <c r="CW152" s="155" t="s">
        <v>6</v>
      </c>
      <c r="CX152" s="89">
        <f>DE145+DE146+DE147+DE148</f>
        <v>0</v>
      </c>
      <c r="DN152" s="155" t="s">
        <v>6</v>
      </c>
      <c r="DO152" s="89">
        <f>DV145+DV146+DV147+DV148</f>
        <v>0</v>
      </c>
      <c r="EF152" s="155" t="s">
        <v>6</v>
      </c>
      <c r="EG152" s="89">
        <f>EN145+EN146+EN147+EN148</f>
        <v>0</v>
      </c>
      <c r="EQ152" s="155" t="s">
        <v>6</v>
      </c>
      <c r="ER152" s="89">
        <f>EY145+EY146+EY147+EY148</f>
        <v>0</v>
      </c>
      <c r="FB152" s="155" t="s">
        <v>6</v>
      </c>
      <c r="FC152" s="89">
        <f>FJ145+FJ146+FJ147+FJ148</f>
        <v>0</v>
      </c>
      <c r="FV152" s="155" t="s">
        <v>6</v>
      </c>
      <c r="FW152" s="89">
        <f>GD145+GD146+GD147+GD148</f>
        <v>0</v>
      </c>
      <c r="GN152" s="155" t="s">
        <v>6</v>
      </c>
      <c r="GO152" s="89">
        <f>GV145+GV146+GV147+GV148</f>
        <v>0</v>
      </c>
    </row>
    <row r="153" spans="1:205" x14ac:dyDescent="0.2">
      <c r="A153" s="247" t="s">
        <v>610</v>
      </c>
      <c r="B153" s="89">
        <f>J145+J146+J147+J148+J149</f>
        <v>0</v>
      </c>
      <c r="AC153" s="247" t="s">
        <v>610</v>
      </c>
      <c r="AD153" s="89">
        <f>AL145+AL146+AL147+AL148+AL149</f>
        <v>0</v>
      </c>
      <c r="AU153" s="247" t="s">
        <v>610</v>
      </c>
      <c r="AV153" s="89">
        <f>BD145+BD146+BD147+BD148+BD149</f>
        <v>0</v>
      </c>
      <c r="BN153" s="247" t="s">
        <v>610</v>
      </c>
      <c r="BO153" s="89">
        <f>BW145+BW146+BW147+BW148+BW149</f>
        <v>0</v>
      </c>
      <c r="CF153" s="247" t="s">
        <v>610</v>
      </c>
      <c r="CG153" s="89">
        <f>CO145+CO146+CO147+CO148+CO149</f>
        <v>0</v>
      </c>
      <c r="CW153" s="247" t="s">
        <v>610</v>
      </c>
      <c r="CX153" s="89">
        <f>DF145+DF146+DF147+DF148+DF149</f>
        <v>0</v>
      </c>
      <c r="DN153" s="247" t="s">
        <v>610</v>
      </c>
      <c r="DO153" s="89">
        <f>DW145+DW146+DW147+DW148+DW149</f>
        <v>0</v>
      </c>
      <c r="EF153" s="247" t="s">
        <v>610</v>
      </c>
      <c r="EG153" s="89">
        <f>EO145+EO146+EO147+EO148+EO149</f>
        <v>0</v>
      </c>
      <c r="EQ153" s="247" t="s">
        <v>610</v>
      </c>
      <c r="ER153" s="89">
        <f>EZ145+EZ146+EZ147+EZ148+EZ149</f>
        <v>0</v>
      </c>
      <c r="FB153" s="247" t="s">
        <v>610</v>
      </c>
      <c r="FC153" s="89">
        <f>FK145+FK146+FK147+FK148+FK149</f>
        <v>0</v>
      </c>
      <c r="FV153" s="247" t="s">
        <v>610</v>
      </c>
      <c r="FW153" s="89">
        <f>GE145+GE146+GE147+GE148+GE149</f>
        <v>0</v>
      </c>
      <c r="GN153" s="247" t="s">
        <v>610</v>
      </c>
      <c r="GO153" s="89">
        <f>GW145+GW146+GW147+GW148+GW149</f>
        <v>0</v>
      </c>
    </row>
    <row r="157" spans="1:205" x14ac:dyDescent="0.2">
      <c r="A157" s="118" t="s">
        <v>725</v>
      </c>
      <c r="B157"/>
      <c r="C157"/>
      <c r="D157"/>
      <c r="E157"/>
    </row>
    <row r="158" spans="1:205" x14ac:dyDescent="0.2">
      <c r="A158" s="118"/>
      <c r="B158"/>
      <c r="C158"/>
      <c r="D158"/>
      <c r="E158"/>
    </row>
    <row r="159" spans="1:205" x14ac:dyDescent="0.2">
      <c r="A159"/>
      <c r="B159"/>
      <c r="C159" s="118" t="s">
        <v>605</v>
      </c>
      <c r="D159"/>
      <c r="E159"/>
      <c r="F159"/>
      <c r="G159" s="118"/>
    </row>
    <row r="160" spans="1:205" x14ac:dyDescent="0.2">
      <c r="A160"/>
      <c r="B160" s="118" t="s">
        <v>755</v>
      </c>
      <c r="C160" s="118" t="s">
        <v>608</v>
      </c>
      <c r="D160" s="118" t="s">
        <v>609</v>
      </c>
      <c r="E160" s="118" t="s">
        <v>610</v>
      </c>
      <c r="F160" s="118" t="s">
        <v>613</v>
      </c>
      <c r="G160" s="118" t="s">
        <v>47</v>
      </c>
      <c r="H160" s="155" t="s">
        <v>614</v>
      </c>
      <c r="I160" s="155" t="s">
        <v>35</v>
      </c>
      <c r="J160" s="155" t="s">
        <v>643</v>
      </c>
    </row>
    <row r="161" spans="1:11" x14ac:dyDescent="0.2">
      <c r="A161" s="118" t="s">
        <v>909</v>
      </c>
      <c r="B161" s="118">
        <f>AP61</f>
        <v>0</v>
      </c>
      <c r="C161">
        <f>IF('Verwerken Verwarming en Tapwate'!J6=1,0,$B$151-AD151)</f>
        <v>0</v>
      </c>
      <c r="D161">
        <f>$B$152-AD152</f>
        <v>0</v>
      </c>
      <c r="E161">
        <v>0</v>
      </c>
      <c r="F161">
        <f>(C161*('Invoer energieverbruik'!$C$23+'Energiebelasting en transport'!$D$13)+D161*('Invoer energieverbruik'!$C$27)+E161*'Energiebelasting en transport'!$C$24)*1.21</f>
        <v>0</v>
      </c>
      <c r="G161">
        <f>AQ61</f>
        <v>0</v>
      </c>
      <c r="H161">
        <v>0</v>
      </c>
      <c r="I161" s="89">
        <f>IF(F161&gt;0,(G161-H161)/F161,0)</f>
        <v>0</v>
      </c>
      <c r="J161" s="280">
        <f>IF(F161=0,0,(C161*35.17+D161*1000+E161*9.23)/($B$151*35.17+$B$152*1000+$B$153*9.23))</f>
        <v>0</v>
      </c>
    </row>
    <row r="162" spans="1:11" x14ac:dyDescent="0.2">
      <c r="A162" s="118" t="s">
        <v>45</v>
      </c>
      <c r="B162" s="118">
        <f>BH61</f>
        <v>0</v>
      </c>
      <c r="C162">
        <f>IF('Verwerken Verwarming en Tapwate'!J6=1,0,$B$151-AV151)</f>
        <v>0</v>
      </c>
      <c r="D162">
        <f>$B$152-AV152</f>
        <v>0</v>
      </c>
      <c r="E162">
        <v>0</v>
      </c>
      <c r="F162">
        <f>(C162*('Invoer energieverbruik'!$C$23+'Energiebelasting en transport'!$D$13)+D162*('Invoer energieverbruik'!$C$27)+E162*'Energiebelasting en transport'!$C$24)*1.21</f>
        <v>0</v>
      </c>
      <c r="G162">
        <f>BI61</f>
        <v>0</v>
      </c>
      <c r="H162">
        <v>0</v>
      </c>
      <c r="I162" s="89">
        <f>IF(F162&gt;0,(G162-H162)/F162,0)</f>
        <v>0</v>
      </c>
      <c r="J162" s="280">
        <f>IF(F162=0,0,(C162*35.17+D162*1000+E162*9.23)/($B$151*35.17+$B$152*1000+$B$153*9.23))</f>
        <v>0</v>
      </c>
    </row>
    <row r="163" spans="1:11" x14ac:dyDescent="0.2">
      <c r="A163" s="118" t="s">
        <v>847</v>
      </c>
      <c r="B163" s="118">
        <f>CA61</f>
        <v>0</v>
      </c>
      <c r="C163">
        <f>IF('Verwerken Verwarming en Tapwate'!J6=1,0,$B$151-BO151)</f>
        <v>0</v>
      </c>
      <c r="D163">
        <f>$B$152-BO152</f>
        <v>0</v>
      </c>
      <c r="E163">
        <v>0</v>
      </c>
      <c r="F163">
        <f>(C163*('Invoer energieverbruik'!$C$23+'Energiebelasting en transport'!$D$13)+D163*('Invoer energieverbruik'!$C$27)+E163*'Energiebelasting en transport'!$C$24)*1.21</f>
        <v>0</v>
      </c>
      <c r="G163">
        <f>CB61</f>
        <v>0</v>
      </c>
      <c r="H163" s="89">
        <v>0</v>
      </c>
      <c r="I163" s="89">
        <f t="shared" ref="I163:I172" si="145">IF(F163&gt;0,(G163-H163)/F163,0)</f>
        <v>0</v>
      </c>
      <c r="J163" s="280">
        <f t="shared" ref="J163:J175" si="146">IF(F163=0,0,(C163*35.17+D163*1000+E163*9.23)/($B$151*35.17+$B$152*1000+$B$153*9.23))</f>
        <v>0</v>
      </c>
    </row>
    <row r="164" spans="1:11" x14ac:dyDescent="0.2">
      <c r="A164" s="118" t="s">
        <v>848</v>
      </c>
      <c r="B164" s="118">
        <f>CS61</f>
        <v>0</v>
      </c>
      <c r="C164">
        <f>IF('Verwerken Verwarming en Tapwate'!J6=1,0,$B$151-CG151)</f>
        <v>0</v>
      </c>
      <c r="D164">
        <f>$B$152-CG152</f>
        <v>0</v>
      </c>
      <c r="E164">
        <v>0</v>
      </c>
      <c r="F164">
        <f>(C164*('Invoer energieverbruik'!$C$23+'Energiebelasting en transport'!$D$13)+D164*('Invoer energieverbruik'!$C$27)+E164*'Energiebelasting en transport'!$C$24)*1.21</f>
        <v>0</v>
      </c>
      <c r="G164">
        <f>CT61</f>
        <v>0</v>
      </c>
      <c r="H164" s="89">
        <v>0</v>
      </c>
      <c r="I164" s="89">
        <f t="shared" si="145"/>
        <v>0</v>
      </c>
      <c r="J164" s="280">
        <f t="shared" si="146"/>
        <v>0</v>
      </c>
    </row>
    <row r="165" spans="1:11" x14ac:dyDescent="0.2">
      <c r="A165" s="118" t="s">
        <v>849</v>
      </c>
      <c r="B165" s="118">
        <f>DI61</f>
        <v>0</v>
      </c>
      <c r="C165">
        <f>IF('Verwerken Verwarming en Tapwate'!J6=1,0,$B$151-CX151)</f>
        <v>0</v>
      </c>
      <c r="D165">
        <f>$B$152-CX152</f>
        <v>0</v>
      </c>
      <c r="E165">
        <v>0</v>
      </c>
      <c r="F165">
        <f>(C165*('Invoer energieverbruik'!$C$23+'Energiebelasting en transport'!$D$13)+D165*('Invoer energieverbruik'!$C$27)+E165*'Energiebelasting en transport'!$C$24)*1.21</f>
        <v>0</v>
      </c>
      <c r="G165">
        <f>DJ61</f>
        <v>0</v>
      </c>
      <c r="H165">
        <v>0</v>
      </c>
      <c r="I165" s="89">
        <f t="shared" si="145"/>
        <v>0</v>
      </c>
      <c r="J165" s="280">
        <f t="shared" si="146"/>
        <v>0</v>
      </c>
    </row>
    <row r="166" spans="1:11" x14ac:dyDescent="0.2">
      <c r="A166" s="118" t="s">
        <v>282</v>
      </c>
      <c r="B166" s="329">
        <f>EA118</f>
        <v>0</v>
      </c>
      <c r="C166">
        <f>IF('Verwerken Verwarming en Tapwate'!J6=1,0,$B$151-DO151)</f>
        <v>0</v>
      </c>
      <c r="D166">
        <f>$B$152-DO152</f>
        <v>0</v>
      </c>
      <c r="E166">
        <f>$B$153-DO153</f>
        <v>0</v>
      </c>
      <c r="F166">
        <f>(C166*('Invoer energieverbruik'!$C$23+'Energiebelasting en transport'!$D$13)+D166*('Invoer energieverbruik'!$C$27)+E166*'Energiebelasting en transport'!$C$24)*1.21</f>
        <v>0</v>
      </c>
      <c r="G166" s="219">
        <f>EB118</f>
        <v>0</v>
      </c>
      <c r="H166" s="219">
        <v>0</v>
      </c>
      <c r="I166" s="89">
        <f t="shared" si="145"/>
        <v>0</v>
      </c>
      <c r="J166" s="280">
        <f t="shared" si="146"/>
        <v>0</v>
      </c>
    </row>
    <row r="167" spans="1:11" x14ac:dyDescent="0.2">
      <c r="A167" s="155" t="s">
        <v>625</v>
      </c>
      <c r="B167" s="155">
        <f>'Verwerken Verwarming en Tapwate'!AJ6</f>
        <v>0</v>
      </c>
      <c r="C167">
        <f>IF('Verwerken Verwarming en Tapwate'!J6=1,0,$B$151-EG151)</f>
        <v>0</v>
      </c>
      <c r="D167">
        <f>$B$152-EG152</f>
        <v>0</v>
      </c>
      <c r="E167">
        <v>0</v>
      </c>
      <c r="F167">
        <f>(C167*('Invoer energieverbruik'!$C$23+'Energiebelasting en transport'!$D$13)+D167*('Invoer energieverbruik'!$C$27)+E167*'Energiebelasting en transport'!$C$24)*1.21</f>
        <v>0</v>
      </c>
      <c r="G167" s="89">
        <f>EJ3</f>
        <v>0</v>
      </c>
      <c r="H167" s="89">
        <v>0</v>
      </c>
      <c r="I167" s="89">
        <f t="shared" si="145"/>
        <v>0</v>
      </c>
      <c r="J167" s="280">
        <f t="shared" si="146"/>
        <v>0</v>
      </c>
    </row>
    <row r="168" spans="1:11" x14ac:dyDescent="0.2">
      <c r="A168" s="155" t="s">
        <v>850</v>
      </c>
      <c r="B168" s="155">
        <f>'Invoer verwarming en tapwater'!J16</f>
        <v>0</v>
      </c>
      <c r="C168">
        <f>IF('Verwerken Verwarming en Tapwate'!J6=1,0,$B$151-ER151+B151*'Verwerken Verwarming en Tapwate'!AJ15)</f>
        <v>0</v>
      </c>
      <c r="D168">
        <f>$B$152-ER152+'Verwerken Verwarming en Tapwate'!AJ15*ER152</f>
        <v>0</v>
      </c>
      <c r="E168">
        <v>0</v>
      </c>
      <c r="F168">
        <f>(C168*('Invoer energieverbruik'!$C$23+'Energiebelasting en transport'!$D$13)+D168*('Invoer energieverbruik'!$C$27)+E168*'Energiebelasting en transport'!$C$24)*1.21</f>
        <v>0</v>
      </c>
      <c r="G168" s="89">
        <f>EU3+EU4</f>
        <v>0</v>
      </c>
      <c r="H168" s="89">
        <v>0</v>
      </c>
      <c r="I168" s="89">
        <f t="shared" si="145"/>
        <v>0</v>
      </c>
      <c r="J168" s="280">
        <f t="shared" si="146"/>
        <v>0</v>
      </c>
    </row>
    <row r="169" spans="1:11" x14ac:dyDescent="0.2">
      <c r="A169" s="155" t="s">
        <v>851</v>
      </c>
      <c r="B169" s="155">
        <f>'Verwerken ventilatie'!BY20</f>
        <v>0</v>
      </c>
      <c r="C169">
        <f>IF('Verwerken Verwarming en Tapwate'!J6=1,0,$B$151-FC151)</f>
        <v>0</v>
      </c>
      <c r="D169">
        <f>$B$152-FC152</f>
        <v>0</v>
      </c>
      <c r="E169">
        <f>$B$153-FC153</f>
        <v>0</v>
      </c>
      <c r="F169">
        <f>(C169*('Invoer energieverbruik'!$C$23+'Energiebelasting en transport'!$D$13)+D169*('Invoer energieverbruik'!$C$27)+E169*'Energiebelasting en transport'!$C$24)*1.21</f>
        <v>0</v>
      </c>
      <c r="G169" s="89">
        <f>FD28</f>
        <v>0</v>
      </c>
      <c r="H169" s="89">
        <v>0</v>
      </c>
      <c r="I169" s="89">
        <f t="shared" si="145"/>
        <v>0</v>
      </c>
      <c r="J169" s="280">
        <f t="shared" si="146"/>
        <v>0</v>
      </c>
      <c r="K169" s="361" t="s">
        <v>729</v>
      </c>
    </row>
    <row r="170" spans="1:11" x14ac:dyDescent="0.2">
      <c r="A170" s="288" t="s">
        <v>852</v>
      </c>
      <c r="B170" s="288">
        <f>GG33</f>
        <v>0</v>
      </c>
      <c r="C170">
        <v>0</v>
      </c>
      <c r="D170">
        <f>$B$152-FW152</f>
        <v>0</v>
      </c>
      <c r="E170">
        <f>$B$153-FW153-(GG149-GE149)</f>
        <v>0</v>
      </c>
      <c r="F170">
        <f>(C170*('Invoer energieverbruik'!$C$23+'Energiebelasting en transport'!$D$13)+D170*('Invoer energieverbruik'!$C$27)+E170*'Energiebelasting en transport'!$C$24)*1.21</f>
        <v>0</v>
      </c>
      <c r="G170" s="89">
        <f>IF(E170=0,0,GA33)</f>
        <v>0</v>
      </c>
      <c r="H170" s="89">
        <v>0</v>
      </c>
      <c r="I170" s="89">
        <f t="shared" si="145"/>
        <v>0</v>
      </c>
      <c r="J170" s="280">
        <f>IF(F170=0,0,(C170*35.17+D170*1000+E170*9.23)/($B$151*35.17+$B$152*1000+$B$153*9.23))</f>
        <v>0</v>
      </c>
    </row>
    <row r="171" spans="1:11" x14ac:dyDescent="0.2">
      <c r="A171" s="288" t="s">
        <v>322</v>
      </c>
      <c r="B171" s="288">
        <f>GH33</f>
        <v>0</v>
      </c>
      <c r="C171">
        <v>0</v>
      </c>
      <c r="D171">
        <f>$B$152-FW152</f>
        <v>0</v>
      </c>
      <c r="E171">
        <f>(GG149-GF149)</f>
        <v>0</v>
      </c>
      <c r="F171">
        <f>(C171*('Invoer energieverbruik'!$C$23+'Energiebelasting en transport'!$D$13)+D171*('Invoer energieverbruik'!$C$27)+E171*'Energiebelasting en transport'!$C$24)*1.21</f>
        <v>0</v>
      </c>
      <c r="G171" s="89">
        <f>IF(E171=0,0,GB33)</f>
        <v>0</v>
      </c>
      <c r="H171" s="89">
        <v>0</v>
      </c>
      <c r="I171" s="89">
        <f t="shared" si="145"/>
        <v>0</v>
      </c>
      <c r="J171" s="280">
        <f>IF(F171=0,0,(C171*35.17+D171*1000+E171*9.23)/($B$151*35.17+$B$152*1000+$B$153*9.23))</f>
        <v>0</v>
      </c>
    </row>
    <row r="172" spans="1:11" x14ac:dyDescent="0.2">
      <c r="A172" s="288" t="s">
        <v>649</v>
      </c>
      <c r="B172" s="288">
        <f>GI33</f>
        <v>0</v>
      </c>
      <c r="C172">
        <v>0</v>
      </c>
      <c r="D172">
        <v>0</v>
      </c>
      <c r="E172">
        <f>12*'Verwerken verlichting'!BS29/9.23</f>
        <v>0</v>
      </c>
      <c r="F172">
        <f>(C172*('Invoer energieverbruik'!$C$23+'Energiebelasting en transport'!$D$13)+D172*('Invoer energieverbruik'!$C$27)+E172*'Energiebelasting en transport'!$C$24)*1.21</f>
        <v>0</v>
      </c>
      <c r="G172" s="89">
        <f>IF(E172=0,0,GC33)</f>
        <v>0</v>
      </c>
      <c r="H172" s="89">
        <v>0</v>
      </c>
      <c r="I172" s="89">
        <f t="shared" si="145"/>
        <v>0</v>
      </c>
      <c r="J172" s="280">
        <f>IF(F172=0,0,(C172*35.17+D172*1000+E172*9.23)/($B$151*35.17+$B$152*1000+$B$153*9.23))</f>
        <v>0</v>
      </c>
    </row>
    <row r="173" spans="1:11" ht="25.5" x14ac:dyDescent="0.2">
      <c r="A173" s="288" t="s">
        <v>907</v>
      </c>
      <c r="B173" s="288">
        <f>GG33</f>
        <v>0</v>
      </c>
      <c r="C173">
        <v>0</v>
      </c>
      <c r="D173">
        <v>0</v>
      </c>
      <c r="E173">
        <f>E170</f>
        <v>0</v>
      </c>
      <c r="F173">
        <f>F170</f>
        <v>0</v>
      </c>
      <c r="G173" s="89">
        <f>GJ33</f>
        <v>0</v>
      </c>
      <c r="H173" s="89">
        <v>0</v>
      </c>
      <c r="I173" s="89">
        <f>IF(F173&gt;0,(G173-H173)/F173,0)</f>
        <v>0</v>
      </c>
      <c r="J173" s="280">
        <f t="shared" si="146"/>
        <v>0</v>
      </c>
    </row>
    <row r="174" spans="1:11" x14ac:dyDescent="0.2">
      <c r="A174" s="155" t="s">
        <v>855</v>
      </c>
      <c r="B174" s="155">
        <v>0</v>
      </c>
      <c r="C174" s="89">
        <f>IF('Verwerken Verwarming en Tapwate'!J6=1,0,B151*'Verwerken Verwarming en Tapwate'!AH22)</f>
        <v>0</v>
      </c>
      <c r="D174" s="89">
        <f>B152*'Verwerken Verwarming en Tapwate'!AH22</f>
        <v>0</v>
      </c>
      <c r="E174" s="89">
        <v>0</v>
      </c>
      <c r="F174">
        <f>(C174*('Invoer energieverbruik'!$C$23+'Energiebelasting en transport'!$D$13)+D174*('Invoer energieverbruik'!$C$27)+E174*'Energiebelasting en transport'!$C$24)*1.21</f>
        <v>0</v>
      </c>
      <c r="G174" s="155">
        <f>IF(C174&gt;0,'Kosten kengetallen'!B39,0)</f>
        <v>0</v>
      </c>
      <c r="H174" s="89">
        <v>0</v>
      </c>
      <c r="I174" s="89">
        <f>IF(F174&gt;0,(G174-H174)/F174,0)</f>
        <v>0</v>
      </c>
      <c r="J174" s="280">
        <f t="shared" si="146"/>
        <v>0</v>
      </c>
    </row>
    <row r="175" spans="1:11" x14ac:dyDescent="0.2">
      <c r="A175" s="155" t="s">
        <v>908</v>
      </c>
      <c r="B175" s="155"/>
      <c r="C175" s="89">
        <f>IF('Verwerken Verwarming en Tapwate'!J6=1,0,B151-GO151+'Verwerken Verwarming en Tapwate'!AH22*GO151+'Verwerken Verwarming en Tapwate'!AJ15*GO151)</f>
        <v>0</v>
      </c>
      <c r="D175" s="89">
        <f>B152-GO152+'Verwerken Verwarming en Tapwate'!AH22*GO152+'Verwerken Verwarming en Tapwate'!AJ15*GO152</f>
        <v>0</v>
      </c>
      <c r="E175" s="89">
        <f>B153-GO153-E166-E173</f>
        <v>0</v>
      </c>
      <c r="F175">
        <f>(C175*('Invoer energieverbruik'!$C$23+'Energiebelasting en transport'!$D$13)+D175*('Invoer energieverbruik'!$C$27)+E175*'Energiebelasting en transport'!$C$24)*1.21</f>
        <v>0</v>
      </c>
      <c r="G175" s="220">
        <f>SUM(G161:G174)-G166-G173</f>
        <v>0</v>
      </c>
      <c r="H175" s="220">
        <v>0</v>
      </c>
      <c r="I175" s="89">
        <f>IF(F175&gt;0,(G175-H175)/F175,0)</f>
        <v>0</v>
      </c>
      <c r="J175" s="280">
        <f t="shared" si="146"/>
        <v>0</v>
      </c>
    </row>
  </sheetData>
  <mergeCells count="25">
    <mergeCell ref="FZ143:GB143"/>
    <mergeCell ref="GO143:GQ143"/>
    <mergeCell ref="GR143:GT143"/>
    <mergeCell ref="EJ143:EL143"/>
    <mergeCell ref="ER143:ET143"/>
    <mergeCell ref="EU143:EW143"/>
    <mergeCell ref="FC143:FE143"/>
    <mergeCell ref="FF143:FH143"/>
    <mergeCell ref="FW143:FY143"/>
    <mergeCell ref="FV1:GC1"/>
    <mergeCell ref="B143:D143"/>
    <mergeCell ref="E143:G143"/>
    <mergeCell ref="AD143:AF143"/>
    <mergeCell ref="AG143:AI143"/>
    <mergeCell ref="AV143:AX143"/>
    <mergeCell ref="AY143:BA143"/>
    <mergeCell ref="BO143:BQ143"/>
    <mergeCell ref="CJ143:CL143"/>
    <mergeCell ref="CX143:CZ143"/>
    <mergeCell ref="BR143:BT143"/>
    <mergeCell ref="CG143:CI143"/>
    <mergeCell ref="DR143:DT143"/>
    <mergeCell ref="EG143:EI143"/>
    <mergeCell ref="DA143:DC143"/>
    <mergeCell ref="DO143:DQ143"/>
  </mergeCells>
  <phoneticPr fontId="53" type="noConversion"/>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5"/>
  <sheetViews>
    <sheetView topLeftCell="A12" workbookViewId="0">
      <selection activeCell="P48" sqref="P48"/>
    </sheetView>
  </sheetViews>
  <sheetFormatPr defaultRowHeight="12.75" x14ac:dyDescent="0.2"/>
  <cols>
    <col min="1" max="1" width="5" style="183" customWidth="1"/>
    <col min="2" max="2" width="35.140625" style="183" customWidth="1"/>
    <col min="3" max="3" width="12.5703125" style="183" customWidth="1"/>
    <col min="4" max="5" width="9.140625" style="183"/>
    <col min="6" max="6" width="9" style="183" customWidth="1"/>
    <col min="7" max="8" width="8.42578125" style="183" customWidth="1"/>
    <col min="9" max="9" width="13.7109375" style="183" customWidth="1"/>
    <col min="10" max="10" width="10" style="183" customWidth="1"/>
    <col min="11" max="11" width="14.5703125" style="183" customWidth="1"/>
    <col min="12" max="12" width="16.28515625" style="183" customWidth="1"/>
    <col min="13" max="17" width="9.140625" style="183"/>
    <col min="18" max="18" width="15.5703125" style="183" customWidth="1"/>
    <col min="19" max="26" width="9.140625" style="183"/>
    <col min="27" max="27" width="16.85546875" style="183" customWidth="1"/>
    <col min="28" max="16384" width="9.140625" style="183"/>
  </cols>
  <sheetData>
    <row r="1" spans="1:40" ht="18" x14ac:dyDescent="0.25">
      <c r="A1" s="429" t="s">
        <v>1113</v>
      </c>
    </row>
    <row r="2" spans="1:40" ht="11.25" customHeight="1" x14ac:dyDescent="0.2">
      <c r="A2" s="422"/>
    </row>
    <row r="3" spans="1:40" ht="11.25" customHeight="1" x14ac:dyDescent="0.2">
      <c r="A3" s="183" t="s">
        <v>1208</v>
      </c>
    </row>
    <row r="4" spans="1:40" ht="11.25" customHeight="1" x14ac:dyDescent="0.2">
      <c r="A4" s="422" t="s">
        <v>1209</v>
      </c>
    </row>
    <row r="6" spans="1:40" s="242" customFormat="1" ht="11.25" x14ac:dyDescent="0.2">
      <c r="B6" s="76" t="s">
        <v>1115</v>
      </c>
      <c r="C6" s="76"/>
      <c r="I6" s="76" t="s">
        <v>1114</v>
      </c>
      <c r="J6" s="76"/>
    </row>
    <row r="7" spans="1:40" s="242" customFormat="1" ht="11.25" x14ac:dyDescent="0.2">
      <c r="B7" s="265"/>
      <c r="G7" s="76"/>
    </row>
    <row r="8" spans="1:40" s="242" customFormat="1" ht="11.25" x14ac:dyDescent="0.2">
      <c r="B8" s="435"/>
      <c r="C8" s="435" t="s">
        <v>67</v>
      </c>
      <c r="D8" s="122" t="s">
        <v>68</v>
      </c>
      <c r="E8" s="122" t="s">
        <v>69</v>
      </c>
      <c r="F8" s="122" t="s">
        <v>70</v>
      </c>
      <c r="G8" s="436"/>
      <c r="I8" s="122"/>
      <c r="J8" s="435" t="s">
        <v>67</v>
      </c>
      <c r="K8" s="122" t="s">
        <v>68</v>
      </c>
      <c r="L8" s="122" t="s">
        <v>69</v>
      </c>
      <c r="M8" s="122" t="s">
        <v>70</v>
      </c>
      <c r="N8" s="436"/>
    </row>
    <row r="9" spans="1:40" s="242" customFormat="1" ht="11.25" x14ac:dyDescent="0.2">
      <c r="B9" s="435" t="s">
        <v>5</v>
      </c>
      <c r="C9" s="122">
        <f>'Bouwdeel 1 (fit)'!B151</f>
        <v>0</v>
      </c>
      <c r="D9" s="122">
        <f>'Bouwdeel 2 (fit)'!B151</f>
        <v>0</v>
      </c>
      <c r="E9" s="122">
        <f>'Bouwdeel 3 (fit)'!B151</f>
        <v>0</v>
      </c>
      <c r="F9" s="122">
        <f>'Bouwdeel 4 (fit)'!B151</f>
        <v>0</v>
      </c>
      <c r="G9" s="122">
        <f>SUM(C9:F9)</f>
        <v>0</v>
      </c>
      <c r="I9" s="435" t="s">
        <v>5</v>
      </c>
      <c r="J9" s="122">
        <f>'Bouwdeel 1 (fit)'!B151</f>
        <v>0</v>
      </c>
      <c r="K9" s="122">
        <f>'Bouwdeel 2 (fit)'!I151</f>
        <v>0</v>
      </c>
      <c r="L9" s="122">
        <f>'Bouwdeel 3 (fit)'!I151</f>
        <v>0</v>
      </c>
      <c r="M9" s="122">
        <f>'Bouwdeel 4 (fit)'!I151</f>
        <v>0</v>
      </c>
      <c r="N9" s="122">
        <f>SUM(J9:M9)</f>
        <v>0</v>
      </c>
    </row>
    <row r="10" spans="1:40" s="242" customFormat="1" ht="11.25" x14ac:dyDescent="0.2">
      <c r="B10" s="435" t="s">
        <v>6</v>
      </c>
      <c r="C10" s="122">
        <f>'Bouwdeel 1 (fit)'!B152</f>
        <v>0</v>
      </c>
      <c r="D10" s="122">
        <f>'Bouwdeel 2 (fit)'!B152</f>
        <v>0</v>
      </c>
      <c r="E10" s="122">
        <f>'Bouwdeel 3 (fit)'!B152</f>
        <v>0</v>
      </c>
      <c r="F10" s="122">
        <f>'Bouwdeel 4 (fit)'!B152</f>
        <v>0</v>
      </c>
      <c r="G10" s="122">
        <f>SUM(C10:F10)</f>
        <v>0</v>
      </c>
      <c r="I10" s="435" t="s">
        <v>6</v>
      </c>
      <c r="J10" s="122">
        <f>'Bouwdeel 1 (fit)'!B152</f>
        <v>0</v>
      </c>
      <c r="K10" s="122">
        <f>'Bouwdeel 2 (fit)'!I152</f>
        <v>0</v>
      </c>
      <c r="L10" s="122">
        <f>'Bouwdeel 3 (fit)'!I152</f>
        <v>0</v>
      </c>
      <c r="M10" s="122">
        <f>'Bouwdeel 4 (fit)'!I152</f>
        <v>0</v>
      </c>
      <c r="N10" s="122">
        <f>SUM(J10:M10)</f>
        <v>0</v>
      </c>
    </row>
    <row r="11" spans="1:40" s="242" customFormat="1" ht="11.25" x14ac:dyDescent="0.2">
      <c r="B11" s="435" t="s">
        <v>610</v>
      </c>
      <c r="C11" s="122">
        <f>'Bouwdeel 1 (fit)'!B153</f>
        <v>0</v>
      </c>
      <c r="D11" s="122">
        <f>'Bouwdeel 2 (fit)'!B153</f>
        <v>0</v>
      </c>
      <c r="E11" s="122">
        <f>'Bouwdeel 3 (fit)'!B153</f>
        <v>0</v>
      </c>
      <c r="F11" s="122">
        <f>'Bouwdeel 4 (fit)'!B153</f>
        <v>0</v>
      </c>
      <c r="G11" s="122">
        <f>SUM(C11:F11)</f>
        <v>0</v>
      </c>
      <c r="I11" s="435" t="s">
        <v>610</v>
      </c>
      <c r="J11" s="122">
        <f>'Bouwdeel 1 (fit)'!B153</f>
        <v>0</v>
      </c>
      <c r="K11" s="122">
        <f>'Bouwdeel 2 (fit)'!I153</f>
        <v>0</v>
      </c>
      <c r="L11" s="122">
        <f>'Bouwdeel 3 (fit)'!I153</f>
        <v>0</v>
      </c>
      <c r="M11" s="122">
        <f>'Bouwdeel 4 (fit)'!I153</f>
        <v>0</v>
      </c>
      <c r="N11" s="122">
        <f>SUM(J11:M11)</f>
        <v>0</v>
      </c>
    </row>
    <row r="12" spans="1:40" s="242" customFormat="1" ht="11.25" x14ac:dyDescent="0.2"/>
    <row r="13" spans="1:40" s="242" customFormat="1" ht="11.25" hidden="1" x14ac:dyDescent="0.2">
      <c r="B13" s="242" t="s">
        <v>67</v>
      </c>
      <c r="L13" s="242" t="s">
        <v>68</v>
      </c>
      <c r="V13" s="242" t="s">
        <v>69</v>
      </c>
      <c r="AF13" s="242" t="s">
        <v>70</v>
      </c>
    </row>
    <row r="14" spans="1:40" s="242" customFormat="1" ht="22.5" hidden="1" x14ac:dyDescent="0.2">
      <c r="B14" s="242" t="s">
        <v>754</v>
      </c>
      <c r="C14" s="242" t="s">
        <v>608</v>
      </c>
      <c r="D14" s="242" t="s">
        <v>609</v>
      </c>
      <c r="E14" s="242" t="s">
        <v>610</v>
      </c>
      <c r="F14" s="242" t="s">
        <v>613</v>
      </c>
      <c r="G14" s="242" t="s">
        <v>47</v>
      </c>
      <c r="H14" s="437" t="s">
        <v>1112</v>
      </c>
      <c r="I14" s="242" t="s">
        <v>905</v>
      </c>
      <c r="J14" s="242" t="s">
        <v>906</v>
      </c>
      <c r="L14" s="242" t="s">
        <v>754</v>
      </c>
      <c r="M14" s="242" t="s">
        <v>608</v>
      </c>
      <c r="N14" s="242" t="s">
        <v>609</v>
      </c>
      <c r="O14" s="242" t="s">
        <v>610</v>
      </c>
      <c r="P14" s="242" t="s">
        <v>613</v>
      </c>
      <c r="Q14" s="242" t="s">
        <v>47</v>
      </c>
      <c r="R14" s="437" t="s">
        <v>1112</v>
      </c>
      <c r="S14" s="242" t="s">
        <v>905</v>
      </c>
      <c r="T14" s="242" t="s">
        <v>906</v>
      </c>
      <c r="V14" s="242" t="s">
        <v>754</v>
      </c>
      <c r="W14" s="242" t="s">
        <v>608</v>
      </c>
      <c r="X14" s="242" t="s">
        <v>609</v>
      </c>
      <c r="Y14" s="242" t="s">
        <v>610</v>
      </c>
      <c r="Z14" s="242" t="s">
        <v>613</v>
      </c>
      <c r="AA14" s="242" t="s">
        <v>47</v>
      </c>
      <c r="AB14" s="437" t="s">
        <v>1112</v>
      </c>
      <c r="AC14" s="242" t="s">
        <v>905</v>
      </c>
      <c r="AD14" s="242" t="s">
        <v>906</v>
      </c>
      <c r="AF14" s="242" t="s">
        <v>754</v>
      </c>
      <c r="AG14" s="242" t="s">
        <v>608</v>
      </c>
      <c r="AH14" s="242" t="s">
        <v>609</v>
      </c>
      <c r="AI14" s="242" t="s">
        <v>610</v>
      </c>
      <c r="AJ14" s="242" t="s">
        <v>613</v>
      </c>
      <c r="AK14" s="242" t="s">
        <v>47</v>
      </c>
      <c r="AL14" s="437" t="s">
        <v>1112</v>
      </c>
      <c r="AM14" s="242" t="s">
        <v>905</v>
      </c>
      <c r="AN14" s="242" t="s">
        <v>906</v>
      </c>
    </row>
    <row r="15" spans="1:40" s="242" customFormat="1" ht="11.25" hidden="1" x14ac:dyDescent="0.2">
      <c r="A15" s="242" t="s">
        <v>846</v>
      </c>
      <c r="B15" s="242">
        <f>IF(F15=0,0,'Bouwdeel 1 (fit)'!B161)</f>
        <v>0</v>
      </c>
      <c r="C15" s="242">
        <f>'Bouwdeel 1 (fit)'!C161</f>
        <v>0</v>
      </c>
      <c r="D15" s="242">
        <f>'Bouwdeel 1 (fit)'!D161</f>
        <v>0</v>
      </c>
      <c r="E15" s="242">
        <f>'Bouwdeel 1 (fit)'!E161</f>
        <v>0</v>
      </c>
      <c r="F15" s="242">
        <f>'Bouwdeel 1 (fit)'!F161</f>
        <v>0</v>
      </c>
      <c r="G15" s="242">
        <f>'Bouwdeel 1 (fit)'!G161</f>
        <v>0</v>
      </c>
      <c r="H15" s="242">
        <f>'Bouwdeel 1 (fit)'!H161</f>
        <v>0</v>
      </c>
      <c r="I15" s="242">
        <f>'Bouwdeel 1 (fit)'!I161</f>
        <v>0</v>
      </c>
      <c r="J15" s="242">
        <f>'Bouwdeel 1 (fit)'!J161</f>
        <v>0</v>
      </c>
      <c r="L15" s="242">
        <f>IF(P15=0,0,'Bouwdeel 2 (fit)'!B161)</f>
        <v>0</v>
      </c>
      <c r="M15" s="242">
        <f>'Bouwdeel 2 (fit)'!C161</f>
        <v>0</v>
      </c>
      <c r="N15" s="242">
        <f>'Bouwdeel 2 (fit)'!D161</f>
        <v>0</v>
      </c>
      <c r="O15" s="242">
        <f>'Bouwdeel 2 (fit)'!E161</f>
        <v>0</v>
      </c>
      <c r="P15" s="242">
        <f>'Bouwdeel 2 (fit)'!F161</f>
        <v>0</v>
      </c>
      <c r="Q15" s="242">
        <f>'Bouwdeel 2 (fit)'!G161</f>
        <v>0</v>
      </c>
      <c r="R15" s="242">
        <f>'Bouwdeel 2 (fit)'!H161</f>
        <v>0</v>
      </c>
      <c r="S15" s="242">
        <f>'Bouwdeel 2 (fit)'!I161</f>
        <v>0</v>
      </c>
      <c r="T15" s="242">
        <f>'Bouwdeel 2 (fit)'!J161</f>
        <v>0</v>
      </c>
      <c r="V15" s="242">
        <f>IF(Z15=0,0,'Bouwdeel 3 (fit)'!B161)</f>
        <v>0</v>
      </c>
      <c r="W15" s="242">
        <f>'Bouwdeel 3 (fit)'!C161</f>
        <v>0</v>
      </c>
      <c r="X15" s="242">
        <f>'Bouwdeel 3 (fit)'!D161</f>
        <v>0</v>
      </c>
      <c r="Y15" s="242">
        <f>'Bouwdeel 3 (fit)'!E161</f>
        <v>0</v>
      </c>
      <c r="Z15" s="242">
        <f>'Bouwdeel 3 (fit)'!F161</f>
        <v>0</v>
      </c>
      <c r="AA15" s="242">
        <f>'Bouwdeel 3 (fit)'!G161</f>
        <v>0</v>
      </c>
      <c r="AB15" s="242">
        <f>'Bouwdeel 3 (fit)'!H161</f>
        <v>0</v>
      </c>
      <c r="AC15" s="242">
        <f>'Bouwdeel 3 (fit)'!I161</f>
        <v>0</v>
      </c>
      <c r="AD15" s="242">
        <f>'Bouwdeel 3 (fit)'!J161</f>
        <v>0</v>
      </c>
      <c r="AF15" s="242">
        <f>IF(AJ15=0,0,'Bouwdeel 4 (fit)'!B161)</f>
        <v>0</v>
      </c>
      <c r="AG15" s="242">
        <f>'Bouwdeel 4 (fit)'!C161</f>
        <v>0</v>
      </c>
      <c r="AH15" s="242">
        <f>'Bouwdeel 4 (fit)'!D161</f>
        <v>0</v>
      </c>
      <c r="AI15" s="242">
        <f>'Bouwdeel 4 (fit)'!E161</f>
        <v>0</v>
      </c>
      <c r="AJ15" s="242">
        <f>'Bouwdeel 4 (fit)'!F161</f>
        <v>0</v>
      </c>
      <c r="AK15" s="242">
        <f>'Bouwdeel 4 (fit)'!G161</f>
        <v>0</v>
      </c>
      <c r="AL15" s="242">
        <f>'Bouwdeel 4 (fit)'!H161</f>
        <v>0</v>
      </c>
      <c r="AM15" s="242">
        <f>'Bouwdeel 4 (fit)'!I161</f>
        <v>0</v>
      </c>
      <c r="AN15" s="242">
        <f>'Bouwdeel 4 (fit)'!J161</f>
        <v>0</v>
      </c>
    </row>
    <row r="16" spans="1:40" s="242" customFormat="1" ht="11.25" hidden="1" x14ac:dyDescent="0.2">
      <c r="A16" s="242" t="s">
        <v>45</v>
      </c>
      <c r="B16" s="242">
        <f>IF(F16=0,0,'Bouwdeel 1 (fit)'!B162)</f>
        <v>0</v>
      </c>
      <c r="C16" s="242">
        <f>'Bouwdeel 1 (fit)'!C162</f>
        <v>0</v>
      </c>
      <c r="D16" s="242">
        <f>'Bouwdeel 1 (fit)'!D162</f>
        <v>0</v>
      </c>
      <c r="E16" s="242">
        <f>'Bouwdeel 1 (fit)'!E162</f>
        <v>0</v>
      </c>
      <c r="F16" s="242">
        <f>'Bouwdeel 1 (fit)'!F162</f>
        <v>0</v>
      </c>
      <c r="G16" s="242">
        <f>'Bouwdeel 1 (fit)'!G162</f>
        <v>0</v>
      </c>
      <c r="H16" s="242">
        <f>'Bouwdeel 1 (fit)'!H162</f>
        <v>0</v>
      </c>
      <c r="I16" s="242">
        <f>'Bouwdeel 1 (fit)'!I162</f>
        <v>0</v>
      </c>
      <c r="J16" s="242">
        <f>'Bouwdeel 1 (fit)'!J162</f>
        <v>0</v>
      </c>
      <c r="L16" s="242">
        <f>IF(P16=0,0,'Bouwdeel 2 (fit)'!B162)</f>
        <v>0</v>
      </c>
      <c r="M16" s="242">
        <f>'Bouwdeel 2 (fit)'!C162</f>
        <v>0</v>
      </c>
      <c r="N16" s="242">
        <f>'Bouwdeel 2 (fit)'!D162</f>
        <v>0</v>
      </c>
      <c r="O16" s="242">
        <f>'Bouwdeel 2 (fit)'!E162</f>
        <v>0</v>
      </c>
      <c r="P16" s="242">
        <f>'Bouwdeel 2 (fit)'!F162</f>
        <v>0</v>
      </c>
      <c r="Q16" s="242">
        <f>'Bouwdeel 2 (fit)'!G162</f>
        <v>0</v>
      </c>
      <c r="R16" s="242">
        <f>'Bouwdeel 2 (fit)'!H162</f>
        <v>0</v>
      </c>
      <c r="S16" s="242">
        <f>'Bouwdeel 2 (fit)'!I162</f>
        <v>0</v>
      </c>
      <c r="T16" s="242">
        <f>'Bouwdeel 2 (fit)'!J162</f>
        <v>0</v>
      </c>
      <c r="V16" s="242">
        <f>IF(Z16=0,0,'Bouwdeel 3 (fit)'!B162)</f>
        <v>0</v>
      </c>
      <c r="W16" s="242">
        <f>'Bouwdeel 3 (fit)'!C162</f>
        <v>0</v>
      </c>
      <c r="X16" s="242">
        <f>'Bouwdeel 3 (fit)'!D162</f>
        <v>0</v>
      </c>
      <c r="Y16" s="242">
        <f>'Bouwdeel 3 (fit)'!E162</f>
        <v>0</v>
      </c>
      <c r="Z16" s="242">
        <f>'Bouwdeel 3 (fit)'!F162</f>
        <v>0</v>
      </c>
      <c r="AA16" s="242">
        <f>'Bouwdeel 3 (fit)'!G162</f>
        <v>0</v>
      </c>
      <c r="AB16" s="242">
        <f>'Bouwdeel 3 (fit)'!H162</f>
        <v>0</v>
      </c>
      <c r="AC16" s="242">
        <f>'Bouwdeel 3 (fit)'!I162</f>
        <v>0</v>
      </c>
      <c r="AD16" s="242">
        <f>'Bouwdeel 3 (fit)'!J162</f>
        <v>0</v>
      </c>
      <c r="AF16" s="242">
        <f>IF(AJ16=0,0,'Bouwdeel 4 (fit)'!B162)</f>
        <v>0</v>
      </c>
      <c r="AG16" s="242">
        <f>'Bouwdeel 4 (fit)'!C162</f>
        <v>0</v>
      </c>
      <c r="AH16" s="242">
        <f>'Bouwdeel 4 (fit)'!D162</f>
        <v>0</v>
      </c>
      <c r="AI16" s="242">
        <f>'Bouwdeel 4 (fit)'!E162</f>
        <v>0</v>
      </c>
      <c r="AJ16" s="242">
        <f>'Bouwdeel 4 (fit)'!F162</f>
        <v>0</v>
      </c>
      <c r="AK16" s="242">
        <f>'Bouwdeel 4 (fit)'!G162</f>
        <v>0</v>
      </c>
      <c r="AL16" s="242">
        <f>'Bouwdeel 4 (fit)'!H162</f>
        <v>0</v>
      </c>
      <c r="AM16" s="242">
        <f>'Bouwdeel 4 (fit)'!I162</f>
        <v>0</v>
      </c>
      <c r="AN16" s="242">
        <f>'Bouwdeel 4 (fit)'!J162</f>
        <v>0</v>
      </c>
    </row>
    <row r="17" spans="1:40" s="242" customFormat="1" ht="11.25" hidden="1" x14ac:dyDescent="0.2">
      <c r="A17" s="242" t="s">
        <v>847</v>
      </c>
      <c r="B17" s="242">
        <f>IF(F17=0,0,'Bouwdeel 1 (fit)'!B163)</f>
        <v>0</v>
      </c>
      <c r="C17" s="242">
        <f>'Bouwdeel 1 (fit)'!C163</f>
        <v>0</v>
      </c>
      <c r="D17" s="242">
        <f>'Bouwdeel 1 (fit)'!D163</f>
        <v>0</v>
      </c>
      <c r="E17" s="242">
        <f>'Bouwdeel 1 (fit)'!E163</f>
        <v>0</v>
      </c>
      <c r="F17" s="242">
        <f>'Bouwdeel 1 (fit)'!F163</f>
        <v>0</v>
      </c>
      <c r="G17" s="242">
        <f>'Bouwdeel 1 (fit)'!G163</f>
        <v>0</v>
      </c>
      <c r="H17" s="242">
        <f>'Bouwdeel 1 (fit)'!H163</f>
        <v>0</v>
      </c>
      <c r="I17" s="242">
        <f>'Bouwdeel 1 (fit)'!I163</f>
        <v>0</v>
      </c>
      <c r="J17" s="242">
        <f>'Bouwdeel 1 (fit)'!J163</f>
        <v>0</v>
      </c>
      <c r="L17" s="242">
        <f>IF(P17=0,0,'Bouwdeel 2 (fit)'!B163)</f>
        <v>0</v>
      </c>
      <c r="M17" s="242">
        <f>'Bouwdeel 2 (fit)'!C163</f>
        <v>0</v>
      </c>
      <c r="N17" s="242">
        <f>'Bouwdeel 2 (fit)'!D163</f>
        <v>0</v>
      </c>
      <c r="O17" s="242">
        <f>'Bouwdeel 2 (fit)'!E163</f>
        <v>0</v>
      </c>
      <c r="P17" s="242">
        <f>'Bouwdeel 2 (fit)'!F163</f>
        <v>0</v>
      </c>
      <c r="Q17" s="242">
        <f>'Bouwdeel 2 (fit)'!G163</f>
        <v>0</v>
      </c>
      <c r="R17" s="242">
        <f>'Bouwdeel 2 (fit)'!H163</f>
        <v>0</v>
      </c>
      <c r="S17" s="242">
        <f>'Bouwdeel 2 (fit)'!I163</f>
        <v>0</v>
      </c>
      <c r="T17" s="242">
        <f>'Bouwdeel 2 (fit)'!J163</f>
        <v>0</v>
      </c>
      <c r="V17" s="242">
        <f>IF(Z17=0,0,'Bouwdeel 3 (fit)'!B163)</f>
        <v>0</v>
      </c>
      <c r="W17" s="242">
        <f>'Bouwdeel 3 (fit)'!C163</f>
        <v>0</v>
      </c>
      <c r="X17" s="242">
        <f>'Bouwdeel 3 (fit)'!D163</f>
        <v>0</v>
      </c>
      <c r="Y17" s="242">
        <f>'Bouwdeel 3 (fit)'!E163</f>
        <v>0</v>
      </c>
      <c r="Z17" s="242">
        <f>'Bouwdeel 3 (fit)'!F163</f>
        <v>0</v>
      </c>
      <c r="AA17" s="242">
        <f>'Bouwdeel 3 (fit)'!G163</f>
        <v>0</v>
      </c>
      <c r="AB17" s="242">
        <f>'Bouwdeel 3 (fit)'!H163</f>
        <v>0</v>
      </c>
      <c r="AC17" s="242">
        <f>'Bouwdeel 3 (fit)'!I163</f>
        <v>0</v>
      </c>
      <c r="AD17" s="242">
        <f>'Bouwdeel 3 (fit)'!J163</f>
        <v>0</v>
      </c>
      <c r="AF17" s="242">
        <f>IF(AJ17=0,0,'Bouwdeel 4 (fit)'!B163)</f>
        <v>0</v>
      </c>
      <c r="AG17" s="242">
        <f>'Bouwdeel 4 (fit)'!C163</f>
        <v>0</v>
      </c>
      <c r="AH17" s="242">
        <f>'Bouwdeel 4 (fit)'!D163</f>
        <v>0</v>
      </c>
      <c r="AI17" s="242">
        <f>'Bouwdeel 4 (fit)'!E163</f>
        <v>0</v>
      </c>
      <c r="AJ17" s="242">
        <f>'Bouwdeel 4 (fit)'!F163</f>
        <v>0</v>
      </c>
      <c r="AK17" s="242">
        <f>'Bouwdeel 4 (fit)'!G163</f>
        <v>0</v>
      </c>
      <c r="AL17" s="242">
        <f>'Bouwdeel 4 (fit)'!H163</f>
        <v>0</v>
      </c>
      <c r="AM17" s="242">
        <f>'Bouwdeel 4 (fit)'!I163</f>
        <v>0</v>
      </c>
      <c r="AN17" s="242">
        <f>'Bouwdeel 4 (fit)'!J163</f>
        <v>0</v>
      </c>
    </row>
    <row r="18" spans="1:40" s="242" customFormat="1" ht="11.25" hidden="1" x14ac:dyDescent="0.2">
      <c r="A18" s="242" t="s">
        <v>848</v>
      </c>
      <c r="B18" s="242">
        <f>IF(F18=0,0,'Bouwdeel 1 (fit)'!B164)</f>
        <v>0</v>
      </c>
      <c r="C18" s="242">
        <f>'Bouwdeel 1 (fit)'!C164</f>
        <v>0</v>
      </c>
      <c r="D18" s="242">
        <f>'Bouwdeel 1 (fit)'!D164</f>
        <v>0</v>
      </c>
      <c r="E18" s="242">
        <f>'Bouwdeel 1 (fit)'!E164</f>
        <v>0</v>
      </c>
      <c r="F18" s="242">
        <f>'Bouwdeel 1 (fit)'!F164</f>
        <v>0</v>
      </c>
      <c r="G18" s="242">
        <f>'Bouwdeel 1 (fit)'!G164</f>
        <v>0</v>
      </c>
      <c r="H18" s="242">
        <f>'Bouwdeel 1 (fit)'!H164</f>
        <v>0</v>
      </c>
      <c r="I18" s="242">
        <f>'Bouwdeel 1 (fit)'!I164</f>
        <v>0</v>
      </c>
      <c r="J18" s="242">
        <f>'Bouwdeel 1 (fit)'!J164</f>
        <v>0</v>
      </c>
      <c r="L18" s="242">
        <f>IF(P18=0,0,'Bouwdeel 2 (fit)'!B164)</f>
        <v>0</v>
      </c>
      <c r="M18" s="242">
        <f>'Bouwdeel 2 (fit)'!C164</f>
        <v>0</v>
      </c>
      <c r="N18" s="242">
        <f>'Bouwdeel 2 (fit)'!D164</f>
        <v>0</v>
      </c>
      <c r="O18" s="242">
        <f>'Bouwdeel 2 (fit)'!E164</f>
        <v>0</v>
      </c>
      <c r="P18" s="242">
        <f>'Bouwdeel 2 (fit)'!F164</f>
        <v>0</v>
      </c>
      <c r="Q18" s="242">
        <f>'Bouwdeel 2 (fit)'!G164</f>
        <v>0</v>
      </c>
      <c r="R18" s="242">
        <f>'Bouwdeel 2 (fit)'!H164</f>
        <v>0</v>
      </c>
      <c r="S18" s="242">
        <f>'Bouwdeel 2 (fit)'!I164</f>
        <v>0</v>
      </c>
      <c r="T18" s="242">
        <f>'Bouwdeel 2 (fit)'!J164</f>
        <v>0</v>
      </c>
      <c r="V18" s="242">
        <f>IF(Z18=0,0,'Bouwdeel 3 (fit)'!B164)</f>
        <v>0</v>
      </c>
      <c r="W18" s="242">
        <f>'Bouwdeel 3 (fit)'!C164</f>
        <v>0</v>
      </c>
      <c r="X18" s="242">
        <f>'Bouwdeel 3 (fit)'!D164</f>
        <v>0</v>
      </c>
      <c r="Y18" s="242">
        <f>'Bouwdeel 3 (fit)'!E164</f>
        <v>0</v>
      </c>
      <c r="Z18" s="242">
        <f>'Bouwdeel 3 (fit)'!F164</f>
        <v>0</v>
      </c>
      <c r="AA18" s="242">
        <f>'Bouwdeel 3 (fit)'!G164</f>
        <v>0</v>
      </c>
      <c r="AB18" s="242">
        <f>'Bouwdeel 3 (fit)'!H164</f>
        <v>0</v>
      </c>
      <c r="AC18" s="242">
        <f>'Bouwdeel 3 (fit)'!I164</f>
        <v>0</v>
      </c>
      <c r="AD18" s="242">
        <f>'Bouwdeel 3 (fit)'!J164</f>
        <v>0</v>
      </c>
      <c r="AF18" s="242">
        <f>IF(AJ18=0,0,'Bouwdeel 4 (fit)'!B164)</f>
        <v>0</v>
      </c>
      <c r="AG18" s="242">
        <f>'Bouwdeel 4 (fit)'!C164</f>
        <v>0</v>
      </c>
      <c r="AH18" s="242">
        <f>'Bouwdeel 4 (fit)'!D164</f>
        <v>0</v>
      </c>
      <c r="AI18" s="242">
        <f>'Bouwdeel 4 (fit)'!E164</f>
        <v>0</v>
      </c>
      <c r="AJ18" s="242">
        <f>'Bouwdeel 4 (fit)'!F164</f>
        <v>0</v>
      </c>
      <c r="AK18" s="242">
        <f>'Bouwdeel 4 (fit)'!G164</f>
        <v>0</v>
      </c>
      <c r="AL18" s="242">
        <f>'Bouwdeel 4 (fit)'!H164</f>
        <v>0</v>
      </c>
      <c r="AM18" s="242">
        <f>'Bouwdeel 4 (fit)'!I164</f>
        <v>0</v>
      </c>
      <c r="AN18" s="242">
        <f>'Bouwdeel 4 (fit)'!J164</f>
        <v>0</v>
      </c>
    </row>
    <row r="19" spans="1:40" s="242" customFormat="1" ht="11.25" hidden="1" x14ac:dyDescent="0.2">
      <c r="A19" s="242" t="s">
        <v>849</v>
      </c>
      <c r="B19" s="242">
        <f>IF(F19=0,0,'Bouwdeel 1 (fit)'!B165)</f>
        <v>0</v>
      </c>
      <c r="C19" s="242">
        <f>'Bouwdeel 1 (fit)'!C165</f>
        <v>0</v>
      </c>
      <c r="D19" s="242">
        <f>'Bouwdeel 1 (fit)'!D165</f>
        <v>0</v>
      </c>
      <c r="E19" s="242">
        <f>'Bouwdeel 1 (fit)'!E165</f>
        <v>0</v>
      </c>
      <c r="F19" s="242">
        <f>'Bouwdeel 1 (fit)'!F165</f>
        <v>0</v>
      </c>
      <c r="G19" s="242">
        <f>'Bouwdeel 1 (fit)'!G165</f>
        <v>0</v>
      </c>
      <c r="H19" s="242">
        <f>'Bouwdeel 1 (fit)'!H165</f>
        <v>0</v>
      </c>
      <c r="I19" s="242">
        <f>'Bouwdeel 1 (fit)'!I165</f>
        <v>0</v>
      </c>
      <c r="J19" s="242">
        <f>'Bouwdeel 1 (fit)'!J165</f>
        <v>0</v>
      </c>
      <c r="L19" s="242">
        <f>IF(P19=0,0,'Bouwdeel 2 (fit)'!B165)</f>
        <v>0</v>
      </c>
      <c r="M19" s="242">
        <f>'Bouwdeel 2 (fit)'!C165</f>
        <v>0</v>
      </c>
      <c r="N19" s="242">
        <f>'Bouwdeel 2 (fit)'!D165</f>
        <v>0</v>
      </c>
      <c r="O19" s="242">
        <f>'Bouwdeel 2 (fit)'!E165</f>
        <v>0</v>
      </c>
      <c r="P19" s="242">
        <f>'Bouwdeel 2 (fit)'!F165</f>
        <v>0</v>
      </c>
      <c r="Q19" s="242">
        <f>'Bouwdeel 2 (fit)'!G165</f>
        <v>0</v>
      </c>
      <c r="R19" s="242">
        <f>'Bouwdeel 2 (fit)'!H165</f>
        <v>0</v>
      </c>
      <c r="S19" s="242">
        <f>'Bouwdeel 2 (fit)'!I165</f>
        <v>0</v>
      </c>
      <c r="T19" s="242">
        <f>'Bouwdeel 2 (fit)'!J165</f>
        <v>0</v>
      </c>
      <c r="V19" s="242">
        <f>IF(Z19=0,0,'Bouwdeel 3 (fit)'!B165)</f>
        <v>0</v>
      </c>
      <c r="W19" s="242">
        <f>'Bouwdeel 3 (fit)'!C165</f>
        <v>0</v>
      </c>
      <c r="X19" s="242">
        <f>'Bouwdeel 3 (fit)'!D165</f>
        <v>0</v>
      </c>
      <c r="Y19" s="242">
        <f>'Bouwdeel 3 (fit)'!E165</f>
        <v>0</v>
      </c>
      <c r="Z19" s="242">
        <f>'Bouwdeel 3 (fit)'!F165</f>
        <v>0</v>
      </c>
      <c r="AA19" s="242">
        <f>'Bouwdeel 3 (fit)'!G165</f>
        <v>0</v>
      </c>
      <c r="AB19" s="242">
        <f>'Bouwdeel 3 (fit)'!H165</f>
        <v>0</v>
      </c>
      <c r="AC19" s="242">
        <f>'Bouwdeel 3 (fit)'!I165</f>
        <v>0</v>
      </c>
      <c r="AD19" s="242">
        <f>'Bouwdeel 3 (fit)'!J165</f>
        <v>0</v>
      </c>
      <c r="AF19" s="242">
        <f>IF(AJ19=0,0,'Bouwdeel 4 (fit)'!B165)</f>
        <v>0</v>
      </c>
      <c r="AG19" s="242">
        <f>'Bouwdeel 4 (fit)'!C165</f>
        <v>0</v>
      </c>
      <c r="AH19" s="242">
        <f>'Bouwdeel 4 (fit)'!D165</f>
        <v>0</v>
      </c>
      <c r="AI19" s="242">
        <f>'Bouwdeel 4 (fit)'!E165</f>
        <v>0</v>
      </c>
      <c r="AJ19" s="242">
        <f>'Bouwdeel 4 (fit)'!F165</f>
        <v>0</v>
      </c>
      <c r="AK19" s="242">
        <f>'Bouwdeel 4 (fit)'!G165</f>
        <v>0</v>
      </c>
      <c r="AL19" s="242">
        <f>'Bouwdeel 4 (fit)'!H165</f>
        <v>0</v>
      </c>
      <c r="AM19" s="242">
        <f>'Bouwdeel 4 (fit)'!I165</f>
        <v>0</v>
      </c>
      <c r="AN19" s="242">
        <f>'Bouwdeel 4 (fit)'!J165</f>
        <v>0</v>
      </c>
    </row>
    <row r="20" spans="1:40" s="242" customFormat="1" ht="11.25" hidden="1" x14ac:dyDescent="0.2">
      <c r="A20" s="242" t="s">
        <v>282</v>
      </c>
      <c r="B20" s="242">
        <f>IF(F20=0,0,'Bouwdeel 1 (fit)'!B166)</f>
        <v>0</v>
      </c>
      <c r="C20" s="242">
        <f>'Bouwdeel 1 (fit)'!C166</f>
        <v>0</v>
      </c>
      <c r="D20" s="242">
        <f>'Bouwdeel 1 (fit)'!D166</f>
        <v>0</v>
      </c>
      <c r="E20" s="242">
        <f>'Bouwdeel 1 (fit)'!E166</f>
        <v>0</v>
      </c>
      <c r="F20" s="242">
        <f>'Bouwdeel 1 (fit)'!F166</f>
        <v>0</v>
      </c>
      <c r="G20" s="242">
        <f>'Bouwdeel 1 (fit)'!G166</f>
        <v>0</v>
      </c>
      <c r="H20" s="242">
        <f>'Bouwdeel 1 (fit)'!H166</f>
        <v>0</v>
      </c>
      <c r="I20" s="242">
        <f>'Bouwdeel 1 (fit)'!I166</f>
        <v>0</v>
      </c>
      <c r="J20" s="242">
        <f>'Bouwdeel 1 (fit)'!J166</f>
        <v>0</v>
      </c>
      <c r="L20" s="242">
        <f>IF(P20=0,0,'Bouwdeel 2 (fit)'!B166)</f>
        <v>0</v>
      </c>
      <c r="M20" s="242">
        <f>'Bouwdeel 2 (fit)'!C166</f>
        <v>0</v>
      </c>
      <c r="N20" s="242">
        <f>'Bouwdeel 2 (fit)'!D166</f>
        <v>0</v>
      </c>
      <c r="O20" s="242">
        <f>'Bouwdeel 2 (fit)'!E166</f>
        <v>0</v>
      </c>
      <c r="P20" s="242">
        <f>'Bouwdeel 2 (fit)'!F166</f>
        <v>0</v>
      </c>
      <c r="Q20" s="242">
        <f>'Bouwdeel 2 (fit)'!G166</f>
        <v>0</v>
      </c>
      <c r="R20" s="242">
        <f>'Bouwdeel 2 (fit)'!H166</f>
        <v>0</v>
      </c>
      <c r="S20" s="242">
        <f>'Bouwdeel 2 (fit)'!I166</f>
        <v>0</v>
      </c>
      <c r="T20" s="242">
        <f>'Bouwdeel 2 (fit)'!J166</f>
        <v>0</v>
      </c>
      <c r="V20" s="242">
        <f>IF(Z20=0,0,'Bouwdeel 3 (fit)'!B166)</f>
        <v>0</v>
      </c>
      <c r="W20" s="242">
        <f>'Bouwdeel 3 (fit)'!C166</f>
        <v>0</v>
      </c>
      <c r="X20" s="242">
        <f>'Bouwdeel 3 (fit)'!D166</f>
        <v>0</v>
      </c>
      <c r="Y20" s="242">
        <f>'Bouwdeel 3 (fit)'!E166</f>
        <v>0</v>
      </c>
      <c r="Z20" s="242">
        <f>'Bouwdeel 3 (fit)'!F166</f>
        <v>0</v>
      </c>
      <c r="AA20" s="242">
        <f>'Bouwdeel 3 (fit)'!G166</f>
        <v>0</v>
      </c>
      <c r="AB20" s="242">
        <f>'Bouwdeel 3 (fit)'!H166</f>
        <v>0</v>
      </c>
      <c r="AC20" s="242">
        <f>'Bouwdeel 3 (fit)'!I166</f>
        <v>0</v>
      </c>
      <c r="AD20" s="242">
        <f>'Bouwdeel 3 (fit)'!J166</f>
        <v>0</v>
      </c>
      <c r="AF20" s="242">
        <f>IF(AJ20=0,0,'Bouwdeel 4 (fit)'!B166)</f>
        <v>0</v>
      </c>
      <c r="AG20" s="242">
        <f>'Bouwdeel 4 (fit)'!C166</f>
        <v>0</v>
      </c>
      <c r="AH20" s="242">
        <f>'Bouwdeel 4 (fit)'!D166</f>
        <v>0</v>
      </c>
      <c r="AI20" s="242">
        <f>'Bouwdeel 4 (fit)'!E166</f>
        <v>0</v>
      </c>
      <c r="AJ20" s="242">
        <f>'Bouwdeel 4 (fit)'!F166</f>
        <v>0</v>
      </c>
      <c r="AK20" s="242">
        <f>'Bouwdeel 4 (fit)'!G166</f>
        <v>0</v>
      </c>
      <c r="AL20" s="242">
        <f>'Bouwdeel 4 (fit)'!H166</f>
        <v>0</v>
      </c>
      <c r="AM20" s="242">
        <f>'Bouwdeel 4 (fit)'!I166</f>
        <v>0</v>
      </c>
      <c r="AN20" s="242">
        <f>'Bouwdeel 4 (fit)'!J166</f>
        <v>0</v>
      </c>
    </row>
    <row r="21" spans="1:40" s="242" customFormat="1" ht="11.25" hidden="1" x14ac:dyDescent="0.2">
      <c r="A21" s="242" t="s">
        <v>625</v>
      </c>
      <c r="B21" s="242">
        <f>IF(F21=0,0,'Bouwdeel 1 (fit)'!B167)</f>
        <v>0</v>
      </c>
      <c r="C21" s="242">
        <f>'Bouwdeel 1 (fit)'!C167</f>
        <v>0</v>
      </c>
      <c r="D21" s="242">
        <f>'Bouwdeel 1 (fit)'!D167</f>
        <v>0</v>
      </c>
      <c r="E21" s="242">
        <f>'Bouwdeel 1 (fit)'!E167</f>
        <v>0</v>
      </c>
      <c r="F21" s="242">
        <f>'Bouwdeel 1 (fit)'!F167</f>
        <v>0</v>
      </c>
      <c r="G21" s="242">
        <f>'Bouwdeel 1 (fit)'!G167</f>
        <v>0</v>
      </c>
      <c r="H21" s="242">
        <f>'Bouwdeel 1 (fit)'!H167</f>
        <v>0</v>
      </c>
      <c r="I21" s="242">
        <f>'Bouwdeel 1 (fit)'!I167</f>
        <v>0</v>
      </c>
      <c r="J21" s="242">
        <f>'Bouwdeel 1 (fit)'!J167</f>
        <v>0</v>
      </c>
      <c r="L21" s="242">
        <f>IF(P21=0,0,'Bouwdeel 2 (fit)'!B167)</f>
        <v>0</v>
      </c>
      <c r="M21" s="242">
        <f>'Bouwdeel 2 (fit)'!C167</f>
        <v>0</v>
      </c>
      <c r="N21" s="242">
        <f>'Bouwdeel 2 (fit)'!D167</f>
        <v>0</v>
      </c>
      <c r="O21" s="242">
        <f>'Bouwdeel 2 (fit)'!E167</f>
        <v>0</v>
      </c>
      <c r="P21" s="242">
        <f>'Bouwdeel 2 (fit)'!F167</f>
        <v>0</v>
      </c>
      <c r="Q21" s="242">
        <f>'Bouwdeel 2 (fit)'!G167</f>
        <v>0</v>
      </c>
      <c r="R21" s="242">
        <f>'Bouwdeel 2 (fit)'!H167</f>
        <v>0</v>
      </c>
      <c r="S21" s="242">
        <f>'Bouwdeel 2 (fit)'!I167</f>
        <v>0</v>
      </c>
      <c r="T21" s="242">
        <f>'Bouwdeel 2 (fit)'!J167</f>
        <v>0</v>
      </c>
      <c r="V21" s="242">
        <f>IF(Z21=0,0,'Bouwdeel 3 (fit)'!B167)</f>
        <v>0</v>
      </c>
      <c r="W21" s="242">
        <f>'Bouwdeel 3 (fit)'!C167</f>
        <v>0</v>
      </c>
      <c r="X21" s="242">
        <f>'Bouwdeel 3 (fit)'!D167</f>
        <v>0</v>
      </c>
      <c r="Y21" s="242">
        <f>'Bouwdeel 3 (fit)'!E167</f>
        <v>0</v>
      </c>
      <c r="Z21" s="242">
        <f>'Bouwdeel 3 (fit)'!F167</f>
        <v>0</v>
      </c>
      <c r="AA21" s="242">
        <f>'Bouwdeel 3 (fit)'!G167</f>
        <v>0</v>
      </c>
      <c r="AB21" s="242">
        <f>'Bouwdeel 3 (fit)'!H167</f>
        <v>0</v>
      </c>
      <c r="AC21" s="242">
        <f>'Bouwdeel 3 (fit)'!I167</f>
        <v>0</v>
      </c>
      <c r="AD21" s="242">
        <f>'Bouwdeel 3 (fit)'!J167</f>
        <v>0</v>
      </c>
      <c r="AF21" s="242">
        <f>IF(AJ21=0,0,'Bouwdeel 4 (fit)'!B167)</f>
        <v>0</v>
      </c>
      <c r="AG21" s="242">
        <f>'Bouwdeel 4 (fit)'!C167</f>
        <v>0</v>
      </c>
      <c r="AH21" s="242">
        <f>'Bouwdeel 4 (fit)'!D167</f>
        <v>0</v>
      </c>
      <c r="AI21" s="242">
        <f>'Bouwdeel 4 (fit)'!E167</f>
        <v>0</v>
      </c>
      <c r="AJ21" s="242">
        <f>'Bouwdeel 4 (fit)'!F167</f>
        <v>0</v>
      </c>
      <c r="AK21" s="242">
        <f>'Bouwdeel 4 (fit)'!G167</f>
        <v>0</v>
      </c>
      <c r="AL21" s="242">
        <f>'Bouwdeel 4 (fit)'!H167</f>
        <v>0</v>
      </c>
      <c r="AM21" s="242">
        <f>'Bouwdeel 4 (fit)'!I167</f>
        <v>0</v>
      </c>
      <c r="AN21" s="242">
        <f>'Bouwdeel 4 (fit)'!J167</f>
        <v>0</v>
      </c>
    </row>
    <row r="22" spans="1:40" s="242" customFormat="1" ht="11.25" hidden="1" x14ac:dyDescent="0.2">
      <c r="A22" s="242" t="s">
        <v>850</v>
      </c>
      <c r="B22" s="242">
        <f>IF(F22=0,0,'Bouwdeel 1 (fit)'!B168)</f>
        <v>0</v>
      </c>
      <c r="C22" s="242">
        <f>'Bouwdeel 1 (fit)'!C168</f>
        <v>0</v>
      </c>
      <c r="D22" s="242">
        <f>'Bouwdeel 1 (fit)'!D168</f>
        <v>0</v>
      </c>
      <c r="E22" s="242">
        <f>'Bouwdeel 1 (fit)'!E168</f>
        <v>0</v>
      </c>
      <c r="F22" s="242">
        <f>'Bouwdeel 1 (fit)'!F168</f>
        <v>0</v>
      </c>
      <c r="G22" s="242">
        <f>'Bouwdeel 1 (fit)'!G168</f>
        <v>0</v>
      </c>
      <c r="H22" s="242">
        <f>'Bouwdeel 1 (fit)'!H168</f>
        <v>0</v>
      </c>
      <c r="I22" s="242">
        <f>'Bouwdeel 1 (fit)'!I168</f>
        <v>0</v>
      </c>
      <c r="J22" s="242">
        <f>'Bouwdeel 1 (fit)'!J168</f>
        <v>0</v>
      </c>
      <c r="L22" s="242">
        <f>IF(P22=0,0,'Bouwdeel 2 (fit)'!B168)</f>
        <v>0</v>
      </c>
      <c r="M22" s="242">
        <f>'Bouwdeel 2 (fit)'!C168</f>
        <v>0</v>
      </c>
      <c r="N22" s="242">
        <f>'Bouwdeel 2 (fit)'!D168</f>
        <v>0</v>
      </c>
      <c r="O22" s="242">
        <f>'Bouwdeel 2 (fit)'!E168</f>
        <v>0</v>
      </c>
      <c r="P22" s="242">
        <f>'Bouwdeel 2 (fit)'!F168</f>
        <v>0</v>
      </c>
      <c r="Q22" s="242">
        <f>'Bouwdeel 2 (fit)'!G168</f>
        <v>0</v>
      </c>
      <c r="R22" s="242">
        <f>'Bouwdeel 2 (fit)'!H168</f>
        <v>0</v>
      </c>
      <c r="S22" s="242">
        <f>'Bouwdeel 2 (fit)'!I168</f>
        <v>0</v>
      </c>
      <c r="T22" s="242">
        <f>'Bouwdeel 2 (fit)'!J168</f>
        <v>0</v>
      </c>
      <c r="V22" s="242">
        <f>IF(Z22=0,0,'Bouwdeel 3 (fit)'!B168)</f>
        <v>0</v>
      </c>
      <c r="W22" s="242">
        <f>'Bouwdeel 3 (fit)'!C168</f>
        <v>0</v>
      </c>
      <c r="X22" s="242">
        <f>'Bouwdeel 3 (fit)'!D168</f>
        <v>0</v>
      </c>
      <c r="Y22" s="242">
        <f>'Bouwdeel 3 (fit)'!E168</f>
        <v>0</v>
      </c>
      <c r="Z22" s="242">
        <f>'Bouwdeel 3 (fit)'!F168</f>
        <v>0</v>
      </c>
      <c r="AA22" s="242">
        <f>'Bouwdeel 3 (fit)'!G168</f>
        <v>0</v>
      </c>
      <c r="AB22" s="242">
        <f>'Bouwdeel 3 (fit)'!H168</f>
        <v>0</v>
      </c>
      <c r="AC22" s="242">
        <f>'Bouwdeel 3 (fit)'!I168</f>
        <v>0</v>
      </c>
      <c r="AD22" s="242">
        <f>'Bouwdeel 3 (fit)'!J168</f>
        <v>0</v>
      </c>
      <c r="AF22" s="242">
        <f>IF(AJ22=0,0,'Bouwdeel 4 (fit)'!B168)</f>
        <v>0</v>
      </c>
      <c r="AG22" s="242">
        <f>'Bouwdeel 4 (fit)'!C168</f>
        <v>0</v>
      </c>
      <c r="AH22" s="242">
        <f>'Bouwdeel 4 (fit)'!D168</f>
        <v>0</v>
      </c>
      <c r="AI22" s="242">
        <f>'Bouwdeel 4 (fit)'!E168</f>
        <v>0</v>
      </c>
      <c r="AJ22" s="242">
        <f>'Bouwdeel 4 (fit)'!F168</f>
        <v>0</v>
      </c>
      <c r="AK22" s="242">
        <f>'Bouwdeel 4 (fit)'!G168</f>
        <v>0</v>
      </c>
      <c r="AL22" s="242">
        <f>'Bouwdeel 4 (fit)'!H168</f>
        <v>0</v>
      </c>
      <c r="AM22" s="242">
        <f>'Bouwdeel 4 (fit)'!I168</f>
        <v>0</v>
      </c>
      <c r="AN22" s="242">
        <f>'Bouwdeel 4 (fit)'!J168</f>
        <v>0</v>
      </c>
    </row>
    <row r="23" spans="1:40" s="242" customFormat="1" ht="11.25" hidden="1" x14ac:dyDescent="0.2">
      <c r="A23" s="242" t="s">
        <v>851</v>
      </c>
      <c r="B23" s="242">
        <f>IF(F23=0,0,'Bouwdeel 1 (fit)'!B169)</f>
        <v>0</v>
      </c>
      <c r="C23" s="242">
        <f>'Bouwdeel 1 (fit)'!C169</f>
        <v>0</v>
      </c>
      <c r="D23" s="242">
        <f>'Bouwdeel 1 (fit)'!D169</f>
        <v>0</v>
      </c>
      <c r="E23" s="242">
        <f>'Bouwdeel 1 (fit)'!E169</f>
        <v>0</v>
      </c>
      <c r="F23" s="242">
        <f>'Bouwdeel 1 (fit)'!F169</f>
        <v>0</v>
      </c>
      <c r="G23" s="242">
        <f>'Bouwdeel 1 (fit)'!G169</f>
        <v>0</v>
      </c>
      <c r="H23" s="242">
        <f>'Bouwdeel 1 (fit)'!H169</f>
        <v>0</v>
      </c>
      <c r="I23" s="242">
        <f>'Bouwdeel 1 (fit)'!I169</f>
        <v>0</v>
      </c>
      <c r="J23" s="242">
        <f>'Bouwdeel 1 (fit)'!J169</f>
        <v>0</v>
      </c>
      <c r="L23" s="242">
        <f>IF(P23=0,0,'Bouwdeel 2 (fit)'!B169)</f>
        <v>0</v>
      </c>
      <c r="M23" s="242">
        <f>'Bouwdeel 2 (fit)'!C169</f>
        <v>0</v>
      </c>
      <c r="N23" s="242">
        <f>'Bouwdeel 2 (fit)'!D169</f>
        <v>0</v>
      </c>
      <c r="O23" s="242">
        <f>'Bouwdeel 2 (fit)'!E169</f>
        <v>0</v>
      </c>
      <c r="P23" s="242">
        <f>'Bouwdeel 2 (fit)'!F169</f>
        <v>0</v>
      </c>
      <c r="Q23" s="242">
        <f>'Bouwdeel 2 (fit)'!G169</f>
        <v>0</v>
      </c>
      <c r="R23" s="242">
        <f>'Bouwdeel 2 (fit)'!H169</f>
        <v>0</v>
      </c>
      <c r="S23" s="242">
        <f>'Bouwdeel 2 (fit)'!I169</f>
        <v>0</v>
      </c>
      <c r="T23" s="242">
        <f>'Bouwdeel 2 (fit)'!J169</f>
        <v>0</v>
      </c>
      <c r="V23" s="242">
        <f>IF(Z23=0,0,'Bouwdeel 3 (fit)'!B169)</f>
        <v>0</v>
      </c>
      <c r="W23" s="242">
        <f>'Bouwdeel 3 (fit)'!C169</f>
        <v>0</v>
      </c>
      <c r="X23" s="242">
        <f>'Bouwdeel 3 (fit)'!D169</f>
        <v>0</v>
      </c>
      <c r="Y23" s="242">
        <f>'Bouwdeel 3 (fit)'!E169</f>
        <v>0</v>
      </c>
      <c r="Z23" s="242">
        <f>'Bouwdeel 3 (fit)'!F169</f>
        <v>0</v>
      </c>
      <c r="AA23" s="242">
        <f>'Bouwdeel 3 (fit)'!G169</f>
        <v>0</v>
      </c>
      <c r="AB23" s="242">
        <f>'Bouwdeel 3 (fit)'!H169</f>
        <v>0</v>
      </c>
      <c r="AC23" s="242">
        <f>'Bouwdeel 3 (fit)'!I169</f>
        <v>0</v>
      </c>
      <c r="AD23" s="242">
        <f>'Bouwdeel 3 (fit)'!J169</f>
        <v>0</v>
      </c>
      <c r="AF23" s="242">
        <f>IF(AJ23=0,0,'Bouwdeel 4 (fit)'!B169)</f>
        <v>0</v>
      </c>
      <c r="AG23" s="242">
        <f>'Bouwdeel 4 (fit)'!C169</f>
        <v>0</v>
      </c>
      <c r="AH23" s="242">
        <f>'Bouwdeel 4 (fit)'!D169</f>
        <v>0</v>
      </c>
      <c r="AI23" s="242">
        <f>'Bouwdeel 4 (fit)'!E169</f>
        <v>0</v>
      </c>
      <c r="AJ23" s="242">
        <f>'Bouwdeel 4 (fit)'!F169</f>
        <v>0</v>
      </c>
      <c r="AK23" s="242">
        <f>'Bouwdeel 4 (fit)'!G169</f>
        <v>0</v>
      </c>
      <c r="AL23" s="242">
        <f>'Bouwdeel 4 (fit)'!H169</f>
        <v>0</v>
      </c>
      <c r="AM23" s="242">
        <f>'Bouwdeel 4 (fit)'!I169</f>
        <v>0</v>
      </c>
      <c r="AN23" s="242">
        <f>'Bouwdeel 4 (fit)'!J169</f>
        <v>0</v>
      </c>
    </row>
    <row r="24" spans="1:40" s="242" customFormat="1" ht="90" hidden="1" x14ac:dyDescent="0.2">
      <c r="A24" s="437" t="s">
        <v>852</v>
      </c>
      <c r="B24" s="242">
        <f>IF(F24=0,0,'Bouwdeel 1 (fit)'!B170)</f>
        <v>0</v>
      </c>
      <c r="C24" s="242">
        <f>'Bouwdeel 1 (fit)'!C170</f>
        <v>0</v>
      </c>
      <c r="D24" s="242">
        <f>'Bouwdeel 1 (fit)'!D170</f>
        <v>0</v>
      </c>
      <c r="E24" s="242">
        <f>'Bouwdeel 1 (fit)'!E170</f>
        <v>0</v>
      </c>
      <c r="F24" s="242">
        <f>'Bouwdeel 1 (fit)'!F170</f>
        <v>0</v>
      </c>
      <c r="G24" s="242">
        <f>'Bouwdeel 1 (fit)'!G170</f>
        <v>0</v>
      </c>
      <c r="H24" s="242">
        <f>'Bouwdeel 1 (fit)'!H170</f>
        <v>0</v>
      </c>
      <c r="I24" s="242">
        <f>'Bouwdeel 1 (fit)'!I170</f>
        <v>0</v>
      </c>
      <c r="J24" s="242">
        <f>'Bouwdeel 1 (fit)'!J170</f>
        <v>0</v>
      </c>
      <c r="L24" s="242">
        <f>IF(P24=0,0,'Bouwdeel 2 (fit)'!B170)</f>
        <v>0</v>
      </c>
      <c r="M24" s="242">
        <f>'Bouwdeel 2 (fit)'!C170</f>
        <v>0</v>
      </c>
      <c r="N24" s="242">
        <f>'Bouwdeel 2 (fit)'!D170</f>
        <v>0</v>
      </c>
      <c r="O24" s="242">
        <f>'Bouwdeel 2 (fit)'!E170</f>
        <v>0</v>
      </c>
      <c r="P24" s="242">
        <f>'Bouwdeel 2 (fit)'!F170</f>
        <v>0</v>
      </c>
      <c r="Q24" s="242">
        <f>'Bouwdeel 2 (fit)'!G170</f>
        <v>0</v>
      </c>
      <c r="R24" s="242">
        <f>'Bouwdeel 2 (fit)'!H170</f>
        <v>0</v>
      </c>
      <c r="S24" s="242">
        <f>'Bouwdeel 2 (fit)'!I170</f>
        <v>0</v>
      </c>
      <c r="T24" s="242">
        <f>'Bouwdeel 2 (fit)'!J170</f>
        <v>0</v>
      </c>
      <c r="V24" s="242">
        <f>IF(Z24=0,0,'Bouwdeel 3 (fit)'!B170)</f>
        <v>0</v>
      </c>
      <c r="W24" s="242">
        <f>'Bouwdeel 3 (fit)'!C170</f>
        <v>0</v>
      </c>
      <c r="X24" s="242">
        <f>'Bouwdeel 3 (fit)'!D170</f>
        <v>0</v>
      </c>
      <c r="Y24" s="242">
        <f>'Bouwdeel 3 (fit)'!E170</f>
        <v>0</v>
      </c>
      <c r="Z24" s="242">
        <f>'Bouwdeel 3 (fit)'!F170</f>
        <v>0</v>
      </c>
      <c r="AA24" s="242">
        <f>'Bouwdeel 3 (fit)'!G170</f>
        <v>0</v>
      </c>
      <c r="AB24" s="242">
        <f>'Bouwdeel 3 (fit)'!H170</f>
        <v>0</v>
      </c>
      <c r="AC24" s="242">
        <f>'Bouwdeel 3 (fit)'!I170</f>
        <v>0</v>
      </c>
      <c r="AD24" s="242">
        <f>'Bouwdeel 3 (fit)'!J170</f>
        <v>0</v>
      </c>
      <c r="AF24" s="242">
        <f>IF(AJ24=0,0,'Bouwdeel 4 (fit)'!B170)</f>
        <v>0</v>
      </c>
      <c r="AG24" s="242">
        <f>'Bouwdeel 4 (fit)'!C170</f>
        <v>0</v>
      </c>
      <c r="AH24" s="242">
        <f>'Bouwdeel 4 (fit)'!D170</f>
        <v>0</v>
      </c>
      <c r="AI24" s="242">
        <f>'Bouwdeel 4 (fit)'!E170</f>
        <v>0</v>
      </c>
      <c r="AJ24" s="242">
        <f>'Bouwdeel 4 (fit)'!F170</f>
        <v>0</v>
      </c>
      <c r="AK24" s="242">
        <f>'Bouwdeel 4 (fit)'!G170</f>
        <v>0</v>
      </c>
      <c r="AL24" s="242">
        <f>'Bouwdeel 4 (fit)'!H170</f>
        <v>0</v>
      </c>
      <c r="AM24" s="242">
        <f>'Bouwdeel 4 (fit)'!I170</f>
        <v>0</v>
      </c>
      <c r="AN24" s="242">
        <f>'Bouwdeel 4 (fit)'!J170</f>
        <v>0</v>
      </c>
    </row>
    <row r="25" spans="1:40" s="242" customFormat="1" ht="33.75" hidden="1" x14ac:dyDescent="0.2">
      <c r="A25" s="437" t="s">
        <v>322</v>
      </c>
      <c r="B25" s="242">
        <f>IF(F25=0,0,'Bouwdeel 1 (fit)'!B171)</f>
        <v>0</v>
      </c>
      <c r="C25" s="242">
        <f>'Bouwdeel 1 (fit)'!C171</f>
        <v>0</v>
      </c>
      <c r="D25" s="242">
        <f>'Bouwdeel 1 (fit)'!D171</f>
        <v>0</v>
      </c>
      <c r="E25" s="242">
        <f>'Bouwdeel 1 (fit)'!E171</f>
        <v>0</v>
      </c>
      <c r="F25" s="242">
        <f>'Bouwdeel 1 (fit)'!F171</f>
        <v>0</v>
      </c>
      <c r="G25" s="242">
        <f>'Bouwdeel 1 (fit)'!G171</f>
        <v>0</v>
      </c>
      <c r="H25" s="242">
        <f>'Bouwdeel 1 (fit)'!H171</f>
        <v>0</v>
      </c>
      <c r="I25" s="242">
        <f>'Bouwdeel 1 (fit)'!I171</f>
        <v>0</v>
      </c>
      <c r="J25" s="242">
        <f>'Bouwdeel 1 (fit)'!J171</f>
        <v>0</v>
      </c>
      <c r="L25" s="242">
        <f>IF(P25=0,0,'Bouwdeel 2 (fit)'!B171)</f>
        <v>0</v>
      </c>
      <c r="M25" s="242">
        <f>'Bouwdeel 2 (fit)'!C171</f>
        <v>0</v>
      </c>
      <c r="N25" s="242">
        <f>'Bouwdeel 2 (fit)'!D171</f>
        <v>0</v>
      </c>
      <c r="O25" s="242">
        <f>'Bouwdeel 2 (fit)'!E171</f>
        <v>0</v>
      </c>
      <c r="P25" s="242">
        <f>'Bouwdeel 2 (fit)'!F171</f>
        <v>0</v>
      </c>
      <c r="Q25" s="242">
        <f>'Bouwdeel 2 (fit)'!G171</f>
        <v>0</v>
      </c>
      <c r="R25" s="242">
        <f>'Bouwdeel 2 (fit)'!H171</f>
        <v>0</v>
      </c>
      <c r="S25" s="242">
        <f>'Bouwdeel 2 (fit)'!I171</f>
        <v>0</v>
      </c>
      <c r="T25" s="242">
        <f>'Bouwdeel 2 (fit)'!J171</f>
        <v>0</v>
      </c>
      <c r="V25" s="242">
        <f>IF(Z25=0,0,'Bouwdeel 3 (fit)'!B171)</f>
        <v>0</v>
      </c>
      <c r="W25" s="242">
        <f>'Bouwdeel 3 (fit)'!C171</f>
        <v>0</v>
      </c>
      <c r="X25" s="242">
        <f>'Bouwdeel 3 (fit)'!D171</f>
        <v>0</v>
      </c>
      <c r="Y25" s="242">
        <f>'Bouwdeel 3 (fit)'!E171</f>
        <v>0</v>
      </c>
      <c r="Z25" s="242">
        <f>'Bouwdeel 3 (fit)'!F171</f>
        <v>0</v>
      </c>
      <c r="AA25" s="242">
        <f>'Bouwdeel 3 (fit)'!G171</f>
        <v>0</v>
      </c>
      <c r="AB25" s="242">
        <f>'Bouwdeel 3 (fit)'!H171</f>
        <v>0</v>
      </c>
      <c r="AC25" s="242">
        <f>'Bouwdeel 3 (fit)'!I171</f>
        <v>0</v>
      </c>
      <c r="AD25" s="242">
        <f>'Bouwdeel 3 (fit)'!J171</f>
        <v>0</v>
      </c>
      <c r="AF25" s="242">
        <f>IF(AJ25=0,0,'Bouwdeel 4 (fit)'!B171)</f>
        <v>0</v>
      </c>
      <c r="AG25" s="242">
        <f>'Bouwdeel 4 (fit)'!C171</f>
        <v>0</v>
      </c>
      <c r="AH25" s="242">
        <f>'Bouwdeel 4 (fit)'!D171</f>
        <v>0</v>
      </c>
      <c r="AI25" s="242">
        <f>'Bouwdeel 4 (fit)'!E171</f>
        <v>0</v>
      </c>
      <c r="AJ25" s="242">
        <f>'Bouwdeel 4 (fit)'!F171</f>
        <v>0</v>
      </c>
      <c r="AK25" s="242">
        <f>'Bouwdeel 4 (fit)'!G171</f>
        <v>0</v>
      </c>
      <c r="AL25" s="242">
        <f>'Bouwdeel 4 (fit)'!H171</f>
        <v>0</v>
      </c>
      <c r="AM25" s="242">
        <f>'Bouwdeel 4 (fit)'!I171</f>
        <v>0</v>
      </c>
      <c r="AN25" s="242">
        <f>'Bouwdeel 4 (fit)'!J171</f>
        <v>0</v>
      </c>
    </row>
    <row r="26" spans="1:40" s="242" customFormat="1" ht="15.75" hidden="1" customHeight="1" x14ac:dyDescent="0.2">
      <c r="A26" s="437" t="s">
        <v>853</v>
      </c>
      <c r="B26" s="242">
        <f>IF(F26=0,0,'Bouwdeel 1 (fit)'!B172)</f>
        <v>0</v>
      </c>
      <c r="C26" s="242">
        <f>'Bouwdeel 1 (fit)'!C172</f>
        <v>0</v>
      </c>
      <c r="D26" s="242">
        <f>'Bouwdeel 1 (fit)'!D172</f>
        <v>0</v>
      </c>
      <c r="E26" s="242">
        <f>'Bouwdeel 1 (fit)'!E172</f>
        <v>0</v>
      </c>
      <c r="F26" s="242">
        <f>'Bouwdeel 1 (fit)'!F172</f>
        <v>0</v>
      </c>
      <c r="G26" s="242">
        <f>'Bouwdeel 1 (fit)'!G172</f>
        <v>0</v>
      </c>
      <c r="H26" s="242">
        <f>'Bouwdeel 1 (fit)'!H172</f>
        <v>0</v>
      </c>
      <c r="I26" s="242">
        <f>'Bouwdeel 1 (fit)'!I172</f>
        <v>0</v>
      </c>
      <c r="J26" s="242">
        <f>'Bouwdeel 1 (fit)'!J172</f>
        <v>0</v>
      </c>
      <c r="L26" s="242">
        <f>IF(P26=0,0,'Bouwdeel 2 (fit)'!B172)</f>
        <v>0</v>
      </c>
      <c r="M26" s="242">
        <f>'Bouwdeel 2 (fit)'!C172</f>
        <v>0</v>
      </c>
      <c r="N26" s="242">
        <f>'Bouwdeel 2 (fit)'!D172</f>
        <v>0</v>
      </c>
      <c r="O26" s="242">
        <f>'Bouwdeel 2 (fit)'!E172</f>
        <v>0</v>
      </c>
      <c r="P26" s="242">
        <f>'Bouwdeel 2 (fit)'!F172</f>
        <v>0</v>
      </c>
      <c r="Q26" s="242">
        <f>'Bouwdeel 2 (fit)'!G172</f>
        <v>0</v>
      </c>
      <c r="R26" s="242">
        <f>'Bouwdeel 2 (fit)'!H172</f>
        <v>0</v>
      </c>
      <c r="S26" s="242">
        <f>'Bouwdeel 2 (fit)'!I172</f>
        <v>0</v>
      </c>
      <c r="T26" s="242">
        <f>'Bouwdeel 2 (fit)'!J172</f>
        <v>0</v>
      </c>
      <c r="V26" s="242">
        <f>IF(Z26=0,0,'Bouwdeel 3 (fit)'!B172)</f>
        <v>0</v>
      </c>
      <c r="W26" s="242">
        <f>'Bouwdeel 3 (fit)'!C172</f>
        <v>0</v>
      </c>
      <c r="X26" s="242">
        <f>'Bouwdeel 3 (fit)'!D172</f>
        <v>0</v>
      </c>
      <c r="Y26" s="242">
        <f>'Bouwdeel 3 (fit)'!E172</f>
        <v>0</v>
      </c>
      <c r="Z26" s="242">
        <f>'Bouwdeel 3 (fit)'!F172</f>
        <v>0</v>
      </c>
      <c r="AA26" s="242">
        <f>'Bouwdeel 3 (fit)'!G172</f>
        <v>0</v>
      </c>
      <c r="AB26" s="242">
        <f>'Bouwdeel 3 (fit)'!H172</f>
        <v>0</v>
      </c>
      <c r="AC26" s="242">
        <f>'Bouwdeel 3 (fit)'!I172</f>
        <v>0</v>
      </c>
      <c r="AD26" s="242">
        <f>'Bouwdeel 3 (fit)'!J172</f>
        <v>0</v>
      </c>
      <c r="AF26" s="242">
        <f>IF(AJ26=0,0,'Bouwdeel 4 (fit)'!B172)</f>
        <v>0</v>
      </c>
      <c r="AG26" s="242">
        <f>'Bouwdeel 4 (fit)'!C172</f>
        <v>0</v>
      </c>
      <c r="AH26" s="242">
        <f>'Bouwdeel 4 (fit)'!D172</f>
        <v>0</v>
      </c>
      <c r="AI26" s="242">
        <f>'Bouwdeel 4 (fit)'!E172</f>
        <v>0</v>
      </c>
      <c r="AJ26" s="242">
        <f>'Bouwdeel 4 (fit)'!F172</f>
        <v>0</v>
      </c>
      <c r="AK26" s="242">
        <f>'Bouwdeel 4 (fit)'!G172</f>
        <v>0</v>
      </c>
      <c r="AL26" s="242">
        <f>'Bouwdeel 4 (fit)'!H172</f>
        <v>0</v>
      </c>
      <c r="AM26" s="242">
        <f>'Bouwdeel 4 (fit)'!I172</f>
        <v>0</v>
      </c>
      <c r="AN26" s="242">
        <f>'Bouwdeel 4 (fit)'!J172</f>
        <v>0</v>
      </c>
    </row>
    <row r="27" spans="1:40" s="242" customFormat="1" ht="28.5" hidden="1" customHeight="1" x14ac:dyDescent="0.2">
      <c r="A27" s="437" t="s">
        <v>854</v>
      </c>
      <c r="B27" s="242">
        <f>IF(F27=0,0,'Bouwdeel 1 (fit)'!B173)</f>
        <v>0</v>
      </c>
      <c r="C27" s="242">
        <f>'Bouwdeel 1 (fit)'!C173</f>
        <v>0</v>
      </c>
      <c r="D27" s="242">
        <f>'Bouwdeel 1 (fit)'!D173</f>
        <v>0</v>
      </c>
      <c r="E27" s="242">
        <f>'Bouwdeel 1 (fit)'!E173</f>
        <v>0</v>
      </c>
      <c r="F27" s="242">
        <f>'Bouwdeel 1 (fit)'!F173</f>
        <v>0</v>
      </c>
      <c r="G27" s="242">
        <f>'Bouwdeel 1 (fit)'!G173</f>
        <v>0</v>
      </c>
      <c r="H27" s="242">
        <f>'Bouwdeel 1 (fit)'!H173</f>
        <v>0</v>
      </c>
      <c r="I27" s="242">
        <f>'Bouwdeel 1 (fit)'!I173</f>
        <v>0</v>
      </c>
      <c r="J27" s="242">
        <f>'Bouwdeel 1 (fit)'!J173</f>
        <v>0</v>
      </c>
      <c r="L27" s="242">
        <f>IF(P27=0,0,'Bouwdeel 2 (fit)'!B173)</f>
        <v>0</v>
      </c>
      <c r="M27" s="242">
        <f>'Bouwdeel 2 (fit)'!C173</f>
        <v>0</v>
      </c>
      <c r="N27" s="242">
        <f>'Bouwdeel 2 (fit)'!D173</f>
        <v>0</v>
      </c>
      <c r="O27" s="242">
        <f>'Bouwdeel 2 (fit)'!E173</f>
        <v>0</v>
      </c>
      <c r="P27" s="242">
        <f>'Bouwdeel 2 (fit)'!F173</f>
        <v>0</v>
      </c>
      <c r="Q27" s="242">
        <f>'Bouwdeel 2 (fit)'!G173</f>
        <v>0</v>
      </c>
      <c r="R27" s="242">
        <f>'Bouwdeel 2 (fit)'!H173</f>
        <v>0</v>
      </c>
      <c r="S27" s="242">
        <f>'Bouwdeel 2 (fit)'!I173</f>
        <v>0</v>
      </c>
      <c r="T27" s="242">
        <f>'Bouwdeel 2 (fit)'!J173</f>
        <v>0</v>
      </c>
      <c r="V27" s="242">
        <f>IF(Z27=0,0,'Bouwdeel 3 (fit)'!B173)</f>
        <v>0</v>
      </c>
      <c r="W27" s="242">
        <f>'Bouwdeel 3 (fit)'!C173</f>
        <v>0</v>
      </c>
      <c r="X27" s="242">
        <f>'Bouwdeel 3 (fit)'!D173</f>
        <v>0</v>
      </c>
      <c r="Y27" s="242">
        <f>'Bouwdeel 3 (fit)'!E173</f>
        <v>0</v>
      </c>
      <c r="Z27" s="242">
        <f>'Bouwdeel 3 (fit)'!F173</f>
        <v>0</v>
      </c>
      <c r="AA27" s="242">
        <f>'Bouwdeel 3 (fit)'!G173</f>
        <v>0</v>
      </c>
      <c r="AB27" s="242">
        <f>'Bouwdeel 3 (fit)'!H173</f>
        <v>0</v>
      </c>
      <c r="AC27" s="242">
        <f>'Bouwdeel 3 (fit)'!I173</f>
        <v>0</v>
      </c>
      <c r="AD27" s="242">
        <f>'Bouwdeel 3 (fit)'!J173</f>
        <v>0</v>
      </c>
      <c r="AF27" s="242">
        <f>IF(AJ27=0,0,'Bouwdeel 4 (fit)'!B173)</f>
        <v>0</v>
      </c>
      <c r="AG27" s="242">
        <f>'Bouwdeel 4 (fit)'!C173</f>
        <v>0</v>
      </c>
      <c r="AH27" s="242">
        <f>'Bouwdeel 4 (fit)'!D173</f>
        <v>0</v>
      </c>
      <c r="AI27" s="242">
        <f>'Bouwdeel 4 (fit)'!E173</f>
        <v>0</v>
      </c>
      <c r="AJ27" s="242">
        <f>'Bouwdeel 4 (fit)'!F173</f>
        <v>0</v>
      </c>
      <c r="AK27" s="242">
        <f>'Bouwdeel 4 (fit)'!G173</f>
        <v>0</v>
      </c>
      <c r="AL27" s="242">
        <f>'Bouwdeel 4 (fit)'!H173</f>
        <v>0</v>
      </c>
      <c r="AM27" s="242">
        <f>'Bouwdeel 4 (fit)'!I173</f>
        <v>0</v>
      </c>
      <c r="AN27" s="242">
        <f>'Bouwdeel 4 (fit)'!J173</f>
        <v>0</v>
      </c>
    </row>
    <row r="28" spans="1:40" s="242" customFormat="1" ht="11.25" hidden="1" x14ac:dyDescent="0.2">
      <c r="A28" s="242" t="s">
        <v>855</v>
      </c>
      <c r="B28" s="242">
        <f>IF(F28=0,0,'Bouwdeel 1 (fit)'!B174)</f>
        <v>0</v>
      </c>
      <c r="C28" s="242">
        <f>'Bouwdeel 1 (fit)'!C174</f>
        <v>0</v>
      </c>
      <c r="D28" s="242">
        <f>'Bouwdeel 1 (fit)'!D174</f>
        <v>0</v>
      </c>
      <c r="E28" s="242">
        <f>'Bouwdeel 1 (fit)'!E174</f>
        <v>0</v>
      </c>
      <c r="F28" s="242">
        <f>'Bouwdeel 1 (fit)'!F174</f>
        <v>0</v>
      </c>
      <c r="G28" s="242">
        <f>'Bouwdeel 1 (fit)'!G174</f>
        <v>0</v>
      </c>
      <c r="H28" s="242">
        <f>'Bouwdeel 1 (fit)'!H174</f>
        <v>0</v>
      </c>
      <c r="I28" s="242">
        <f>'Bouwdeel 1 (fit)'!I174</f>
        <v>0</v>
      </c>
      <c r="J28" s="242">
        <f>'Bouwdeel 1 (fit)'!J174</f>
        <v>0</v>
      </c>
      <c r="L28" s="242">
        <f>IF(P28=0,0,'Bouwdeel 2 (fit)'!B174)</f>
        <v>0</v>
      </c>
      <c r="M28" s="242">
        <f>'Bouwdeel 2 (fit)'!C174</f>
        <v>0</v>
      </c>
      <c r="N28" s="242">
        <f>'Bouwdeel 2 (fit)'!D174</f>
        <v>0</v>
      </c>
      <c r="O28" s="242">
        <f>'Bouwdeel 2 (fit)'!E174</f>
        <v>0</v>
      </c>
      <c r="P28" s="242">
        <f>'Bouwdeel 2 (fit)'!F174</f>
        <v>0</v>
      </c>
      <c r="Q28" s="242">
        <f>'Bouwdeel 2 (fit)'!G174</f>
        <v>0</v>
      </c>
      <c r="R28" s="242">
        <f>'Bouwdeel 2 (fit)'!H174</f>
        <v>0</v>
      </c>
      <c r="S28" s="242">
        <f>'Bouwdeel 2 (fit)'!I174</f>
        <v>0</v>
      </c>
      <c r="T28" s="242">
        <f>'Bouwdeel 2 (fit)'!J174</f>
        <v>0</v>
      </c>
      <c r="V28" s="242">
        <f>IF(Z28=0,0,'Bouwdeel 3 (fit)'!B174)</f>
        <v>0</v>
      </c>
      <c r="W28" s="242">
        <f>'Bouwdeel 3 (fit)'!C174</f>
        <v>0</v>
      </c>
      <c r="X28" s="242">
        <f>'Bouwdeel 3 (fit)'!D174</f>
        <v>0</v>
      </c>
      <c r="Y28" s="242">
        <f>'Bouwdeel 3 (fit)'!E174</f>
        <v>0</v>
      </c>
      <c r="Z28" s="242">
        <f>'Bouwdeel 3 (fit)'!F174</f>
        <v>0</v>
      </c>
      <c r="AA28" s="242">
        <f>'Bouwdeel 3 (fit)'!G174</f>
        <v>0</v>
      </c>
      <c r="AB28" s="242">
        <f>'Bouwdeel 3 (fit)'!H174</f>
        <v>0</v>
      </c>
      <c r="AC28" s="242">
        <f>'Bouwdeel 3 (fit)'!I174</f>
        <v>0</v>
      </c>
      <c r="AD28" s="242">
        <f>'Bouwdeel 3 (fit)'!J174</f>
        <v>0</v>
      </c>
      <c r="AF28" s="242">
        <f>IF(AJ28=0,0,'Bouwdeel 4 (fit)'!B174)</f>
        <v>0</v>
      </c>
      <c r="AG28" s="242">
        <f>'Bouwdeel 4 (fit)'!C174</f>
        <v>0</v>
      </c>
      <c r="AH28" s="242">
        <f>'Bouwdeel 4 (fit)'!D174</f>
        <v>0</v>
      </c>
      <c r="AI28" s="242">
        <f>'Bouwdeel 4 (fit)'!E174</f>
        <v>0</v>
      </c>
      <c r="AJ28" s="242">
        <f>'Bouwdeel 4 (fit)'!F174</f>
        <v>0</v>
      </c>
      <c r="AK28" s="242">
        <f>'Bouwdeel 4 (fit)'!G174</f>
        <v>0</v>
      </c>
      <c r="AL28" s="242">
        <f>'Bouwdeel 4 (fit)'!H174</f>
        <v>0</v>
      </c>
      <c r="AM28" s="242">
        <f>'Bouwdeel 4 (fit)'!I174</f>
        <v>0</v>
      </c>
      <c r="AN28" s="242">
        <f>'Bouwdeel 4 (fit)'!J174</f>
        <v>0</v>
      </c>
    </row>
    <row r="29" spans="1:40" s="242" customFormat="1" ht="11.25" hidden="1" x14ac:dyDescent="0.2">
      <c r="A29" s="242" t="s">
        <v>856</v>
      </c>
      <c r="B29" s="242">
        <f>IF(F29=0,0,'Bouwdeel 1 (fit)'!B175)</f>
        <v>0</v>
      </c>
      <c r="C29" s="242">
        <f>'Bouwdeel 1 (fit)'!C175</f>
        <v>0</v>
      </c>
      <c r="D29" s="242">
        <f>'Bouwdeel 1 (fit)'!D175</f>
        <v>0</v>
      </c>
      <c r="E29" s="242">
        <f>'Bouwdeel 1 (fit)'!E175</f>
        <v>0</v>
      </c>
      <c r="F29" s="242">
        <f>'Bouwdeel 1 (fit)'!F175</f>
        <v>0</v>
      </c>
      <c r="G29" s="242">
        <f>'Bouwdeel 1 (fit)'!G175</f>
        <v>0</v>
      </c>
      <c r="H29" s="242">
        <f>'Bouwdeel 1 (fit)'!H175</f>
        <v>0</v>
      </c>
      <c r="I29" s="242">
        <f>'Bouwdeel 1 (fit)'!I175</f>
        <v>0</v>
      </c>
      <c r="J29" s="242">
        <f>'Bouwdeel 1 (fit)'!J175</f>
        <v>0</v>
      </c>
      <c r="L29" s="242">
        <f>IF(P29=0,0,'Bouwdeel 2 (fit)'!B175)</f>
        <v>0</v>
      </c>
      <c r="M29" s="242">
        <f>'Bouwdeel 2 (fit)'!C175</f>
        <v>0</v>
      </c>
      <c r="N29" s="242">
        <f>'Bouwdeel 2 (fit)'!D175</f>
        <v>0</v>
      </c>
      <c r="O29" s="242">
        <f>'Bouwdeel 2 (fit)'!E175</f>
        <v>0</v>
      </c>
      <c r="P29" s="242">
        <f>'Bouwdeel 2 (fit)'!F175</f>
        <v>0</v>
      </c>
      <c r="Q29" s="242">
        <f>'Bouwdeel 2 (fit)'!G175</f>
        <v>0</v>
      </c>
      <c r="R29" s="242">
        <f>'Bouwdeel 2 (fit)'!H175</f>
        <v>0</v>
      </c>
      <c r="S29" s="242">
        <f>'Bouwdeel 2 (fit)'!I175</f>
        <v>0</v>
      </c>
      <c r="T29" s="242">
        <f>'Bouwdeel 2 (fit)'!J175</f>
        <v>0</v>
      </c>
      <c r="V29" s="242">
        <f>IF(Z29=0,0,'Bouwdeel 3 (fit)'!B175)</f>
        <v>0</v>
      </c>
      <c r="W29" s="242">
        <f>'Bouwdeel 3 (fit)'!C175</f>
        <v>0</v>
      </c>
      <c r="X29" s="242">
        <f>'Bouwdeel 3 (fit)'!D175</f>
        <v>0</v>
      </c>
      <c r="Y29" s="242">
        <f>'Bouwdeel 3 (fit)'!E175</f>
        <v>0</v>
      </c>
      <c r="Z29" s="242">
        <f>'Bouwdeel 3 (fit)'!F175</f>
        <v>0</v>
      </c>
      <c r="AA29" s="242">
        <f>'Bouwdeel 3 (fit)'!G175</f>
        <v>0</v>
      </c>
      <c r="AB29" s="242">
        <f>'Bouwdeel 3 (fit)'!H175</f>
        <v>0</v>
      </c>
      <c r="AC29" s="242">
        <f>'Bouwdeel 3 (fit)'!I175</f>
        <v>0</v>
      </c>
      <c r="AD29" s="242">
        <f>'Bouwdeel 3 (fit)'!J175</f>
        <v>0</v>
      </c>
      <c r="AF29" s="242">
        <f>IF(AJ29=0,0,'Bouwdeel 4 (fit)'!B175)</f>
        <v>0</v>
      </c>
      <c r="AG29" s="242">
        <f>'Bouwdeel 4 (fit)'!C175</f>
        <v>0</v>
      </c>
      <c r="AH29" s="242">
        <f>'Bouwdeel 4 (fit)'!D175</f>
        <v>0</v>
      </c>
      <c r="AI29" s="242">
        <f>'Bouwdeel 4 (fit)'!E175</f>
        <v>0</v>
      </c>
      <c r="AJ29" s="242">
        <f>'Bouwdeel 4 (fit)'!F175</f>
        <v>0</v>
      </c>
      <c r="AK29" s="242">
        <f>'Bouwdeel 4 (fit)'!G175</f>
        <v>0</v>
      </c>
      <c r="AL29" s="242">
        <f>'Bouwdeel 4 (fit)'!H175</f>
        <v>0</v>
      </c>
      <c r="AM29" s="242">
        <f>'Bouwdeel 4 (fit)'!I175</f>
        <v>0</v>
      </c>
      <c r="AN29" s="242">
        <f>'Bouwdeel 4 (fit)'!J175</f>
        <v>0</v>
      </c>
    </row>
    <row r="30" spans="1:40" s="242" customFormat="1" ht="11.25" x14ac:dyDescent="0.2"/>
    <row r="31" spans="1:40" s="242" customFormat="1" ht="11.25" x14ac:dyDescent="0.2"/>
    <row r="32" spans="1:40" s="242" customFormat="1" ht="45.75" customHeight="1" x14ac:dyDescent="0.2">
      <c r="B32" s="436" t="s">
        <v>1117</v>
      </c>
      <c r="C32" s="438" t="s">
        <v>754</v>
      </c>
      <c r="D32" s="438" t="s">
        <v>760</v>
      </c>
      <c r="E32" s="438" t="s">
        <v>608</v>
      </c>
      <c r="F32" s="438" t="s">
        <v>609</v>
      </c>
      <c r="G32" s="438" t="s">
        <v>610</v>
      </c>
      <c r="H32" s="438" t="s">
        <v>613</v>
      </c>
      <c r="I32" s="438" t="s">
        <v>47</v>
      </c>
      <c r="J32" s="439" t="s">
        <v>1210</v>
      </c>
      <c r="K32" s="438" t="s">
        <v>905</v>
      </c>
      <c r="L32" s="438" t="s">
        <v>906</v>
      </c>
    </row>
    <row r="33" spans="1:18" s="242" customFormat="1" ht="11.25" x14ac:dyDescent="0.2">
      <c r="A33" s="440">
        <f>P33</f>
        <v>0</v>
      </c>
      <c r="B33" s="122" t="s">
        <v>1052</v>
      </c>
      <c r="C33" s="441">
        <f>B15+L15+V15+AF15</f>
        <v>0</v>
      </c>
      <c r="D33" s="289" t="s">
        <v>761</v>
      </c>
      <c r="E33" s="441">
        <f t="shared" ref="E33:I34" si="0">C15+M15+W15+AG15</f>
        <v>0</v>
      </c>
      <c r="F33" s="441">
        <f t="shared" si="0"/>
        <v>0</v>
      </c>
      <c r="G33" s="441">
        <f t="shared" si="0"/>
        <v>0</v>
      </c>
      <c r="H33" s="444">
        <f t="shared" si="0"/>
        <v>0</v>
      </c>
      <c r="I33" s="441">
        <f t="shared" si="0"/>
        <v>0</v>
      </c>
      <c r="J33" s="442">
        <v>0</v>
      </c>
      <c r="K33" s="441">
        <f>IF(H33&gt;0,(I33-J33)/H33,0)</f>
        <v>0</v>
      </c>
      <c r="L33" s="443">
        <f>IF(H33=0,0,(E33*35.17+F33*1000+G33*9.23)/($G$9*35.17+$G$10*1000+$G$11*9.23))</f>
        <v>0</v>
      </c>
      <c r="N33" s="440">
        <f>IF(I33&gt;0,1,0)</f>
        <v>0</v>
      </c>
      <c r="O33" s="440">
        <f>N33</f>
        <v>0</v>
      </c>
      <c r="P33" s="440">
        <f>N33*O33</f>
        <v>0</v>
      </c>
      <c r="Q33" s="450">
        <v>1</v>
      </c>
      <c r="R33" s="440"/>
    </row>
    <row r="34" spans="1:18" s="242" customFormat="1" ht="11.25" x14ac:dyDescent="0.2">
      <c r="A34" s="440">
        <f>P34</f>
        <v>0</v>
      </c>
      <c r="B34" s="122" t="s">
        <v>45</v>
      </c>
      <c r="C34" s="441">
        <f>B16+L16+V16+AF16</f>
        <v>0</v>
      </c>
      <c r="D34" s="289" t="s">
        <v>761</v>
      </c>
      <c r="E34" s="441">
        <f t="shared" si="0"/>
        <v>0</v>
      </c>
      <c r="F34" s="441">
        <f t="shared" si="0"/>
        <v>0</v>
      </c>
      <c r="G34" s="441">
        <f t="shared" si="0"/>
        <v>0</v>
      </c>
      <c r="H34" s="444">
        <f t="shared" si="0"/>
        <v>0</v>
      </c>
      <c r="I34" s="441">
        <f t="shared" si="0"/>
        <v>0</v>
      </c>
      <c r="J34" s="442">
        <v>0</v>
      </c>
      <c r="K34" s="441">
        <f>IF(H34&gt;0,(I34-J34)/H34,0)</f>
        <v>0</v>
      </c>
      <c r="L34" s="443">
        <f t="shared" ref="L34:L52" si="1">IF(H34=0,0,(E34*35.17+F34*1000+G34*9.23)/($G$9*35.17+$G$10*1000+$G$11*9.23))</f>
        <v>0</v>
      </c>
      <c r="N34" s="440">
        <f>IF(I34&gt;0,1,0)</f>
        <v>0</v>
      </c>
      <c r="O34" s="440">
        <f>O33+N34</f>
        <v>0</v>
      </c>
      <c r="P34" s="440">
        <f t="shared" ref="P34:P42" si="2">N34*O34</f>
        <v>0</v>
      </c>
      <c r="Q34" s="450">
        <v>2</v>
      </c>
      <c r="R34" s="440"/>
    </row>
    <row r="35" spans="1:18" s="242" customFormat="1" ht="11.25" x14ac:dyDescent="0.2">
      <c r="A35" s="440">
        <f t="shared" ref="A35:A47" si="3">P35</f>
        <v>0</v>
      </c>
      <c r="B35" s="122" t="s">
        <v>847</v>
      </c>
      <c r="C35" s="441">
        <f>B17+L17+V17+AF17</f>
        <v>0</v>
      </c>
      <c r="D35" s="289" t="s">
        <v>761</v>
      </c>
      <c r="E35" s="441">
        <f t="shared" ref="E35:I37" si="4">C17+M17+W17+AG17</f>
        <v>0</v>
      </c>
      <c r="F35" s="441">
        <f t="shared" si="4"/>
        <v>0</v>
      </c>
      <c r="G35" s="441">
        <f t="shared" si="4"/>
        <v>0</v>
      </c>
      <c r="H35" s="444">
        <f t="shared" si="4"/>
        <v>0</v>
      </c>
      <c r="I35" s="441">
        <f t="shared" si="4"/>
        <v>0</v>
      </c>
      <c r="J35" s="442">
        <v>0</v>
      </c>
      <c r="K35" s="441">
        <f t="shared" ref="K35:K52" si="5">IF(H35&gt;0,(I35-J35)/H35,0)</f>
        <v>0</v>
      </c>
      <c r="L35" s="443">
        <f t="shared" si="1"/>
        <v>0</v>
      </c>
      <c r="N35" s="440">
        <f t="shared" ref="N35:N42" si="6">IF(I35&gt;0,1,0)</f>
        <v>0</v>
      </c>
      <c r="O35" s="440">
        <f>O34+N35</f>
        <v>0</v>
      </c>
      <c r="P35" s="440">
        <f t="shared" si="2"/>
        <v>0</v>
      </c>
      <c r="Q35" s="450">
        <v>3</v>
      </c>
      <c r="R35" s="440"/>
    </row>
    <row r="36" spans="1:18" s="242" customFormat="1" ht="11.25" x14ac:dyDescent="0.2">
      <c r="A36" s="440">
        <f t="shared" si="3"/>
        <v>0</v>
      </c>
      <c r="B36" s="122" t="s">
        <v>848</v>
      </c>
      <c r="C36" s="441">
        <f>B18+L18+V18+AF18</f>
        <v>0</v>
      </c>
      <c r="D36" s="289" t="s">
        <v>761</v>
      </c>
      <c r="E36" s="441">
        <f t="shared" si="4"/>
        <v>0</v>
      </c>
      <c r="F36" s="441">
        <f t="shared" si="4"/>
        <v>0</v>
      </c>
      <c r="G36" s="441">
        <f t="shared" si="4"/>
        <v>0</v>
      </c>
      <c r="H36" s="444">
        <f t="shared" si="4"/>
        <v>0</v>
      </c>
      <c r="I36" s="441">
        <f t="shared" si="4"/>
        <v>0</v>
      </c>
      <c r="J36" s="442">
        <v>0</v>
      </c>
      <c r="K36" s="441">
        <f t="shared" si="5"/>
        <v>0</v>
      </c>
      <c r="L36" s="443">
        <f t="shared" si="1"/>
        <v>0</v>
      </c>
      <c r="N36" s="440">
        <f t="shared" si="6"/>
        <v>0</v>
      </c>
      <c r="O36" s="440">
        <f t="shared" ref="O36:O42" si="7">O35+N36</f>
        <v>0</v>
      </c>
      <c r="P36" s="440">
        <f t="shared" si="2"/>
        <v>0</v>
      </c>
      <c r="Q36" s="450">
        <v>4</v>
      </c>
      <c r="R36" s="440"/>
    </row>
    <row r="37" spans="1:18" s="242" customFormat="1" ht="11.25" x14ac:dyDescent="0.2">
      <c r="A37" s="440">
        <f t="shared" si="3"/>
        <v>0</v>
      </c>
      <c r="B37" s="122" t="s">
        <v>849</v>
      </c>
      <c r="C37" s="441">
        <f>B19+L19+V19+AF19</f>
        <v>0</v>
      </c>
      <c r="D37" s="289" t="s">
        <v>761</v>
      </c>
      <c r="E37" s="441">
        <f t="shared" si="4"/>
        <v>0</v>
      </c>
      <c r="F37" s="441">
        <f t="shared" si="4"/>
        <v>0</v>
      </c>
      <c r="G37" s="441">
        <f t="shared" si="4"/>
        <v>0</v>
      </c>
      <c r="H37" s="444">
        <f t="shared" si="4"/>
        <v>0</v>
      </c>
      <c r="I37" s="441">
        <f t="shared" si="4"/>
        <v>0</v>
      </c>
      <c r="J37" s="442">
        <v>0</v>
      </c>
      <c r="K37" s="441">
        <f t="shared" si="5"/>
        <v>0</v>
      </c>
      <c r="L37" s="443">
        <f t="shared" si="1"/>
        <v>0</v>
      </c>
      <c r="N37" s="440">
        <f t="shared" si="6"/>
        <v>0</v>
      </c>
      <c r="O37" s="440">
        <f t="shared" si="7"/>
        <v>0</v>
      </c>
      <c r="P37" s="440">
        <f t="shared" si="2"/>
        <v>0</v>
      </c>
      <c r="Q37" s="450">
        <v>5</v>
      </c>
      <c r="R37" s="440"/>
    </row>
    <row r="38" spans="1:18" s="242" customFormat="1" ht="11.25" x14ac:dyDescent="0.2">
      <c r="A38" s="440">
        <f t="shared" si="3"/>
        <v>0</v>
      </c>
      <c r="B38" s="122" t="s">
        <v>282</v>
      </c>
      <c r="C38" s="444" t="str">
        <f>'Uitvoer Rapportage'!B84</f>
        <v/>
      </c>
      <c r="D38" s="289" t="s">
        <v>105</v>
      </c>
      <c r="E38" s="441">
        <v>0</v>
      </c>
      <c r="F38" s="441">
        <v>0</v>
      </c>
      <c r="G38" s="441">
        <v>0</v>
      </c>
      <c r="H38" s="444">
        <v>0</v>
      </c>
      <c r="I38" s="441">
        <f t="shared" ref="I38:I47" si="8">G20+Q20+AA20+AK20</f>
        <v>0</v>
      </c>
      <c r="J38" s="442">
        <v>0</v>
      </c>
      <c r="K38" s="441">
        <f t="shared" si="5"/>
        <v>0</v>
      </c>
      <c r="L38" s="443">
        <f t="shared" si="1"/>
        <v>0</v>
      </c>
      <c r="N38" s="440">
        <v>0</v>
      </c>
      <c r="O38" s="440">
        <f t="shared" si="7"/>
        <v>0</v>
      </c>
      <c r="P38" s="440">
        <f t="shared" si="2"/>
        <v>0</v>
      </c>
      <c r="Q38" s="450">
        <v>6</v>
      </c>
      <c r="R38" s="440"/>
    </row>
    <row r="39" spans="1:18" s="242" customFormat="1" ht="12" customHeight="1" x14ac:dyDescent="0.2">
      <c r="A39" s="440">
        <f t="shared" si="3"/>
        <v>0</v>
      </c>
      <c r="B39" s="122" t="s">
        <v>625</v>
      </c>
      <c r="C39" s="441">
        <f t="shared" ref="C39:C47" si="9">B21+L21+V21+AF21</f>
        <v>0</v>
      </c>
      <c r="D39" s="289" t="s">
        <v>617</v>
      </c>
      <c r="E39" s="441">
        <f t="shared" ref="E39:H43" si="10">C21+M21+W21+AG21</f>
        <v>0</v>
      </c>
      <c r="F39" s="441">
        <f t="shared" si="10"/>
        <v>0</v>
      </c>
      <c r="G39" s="441">
        <f t="shared" si="10"/>
        <v>0</v>
      </c>
      <c r="H39" s="444">
        <f t="shared" si="10"/>
        <v>0</v>
      </c>
      <c r="I39" s="441">
        <f t="shared" si="8"/>
        <v>0</v>
      </c>
      <c r="J39" s="442">
        <v>0</v>
      </c>
      <c r="K39" s="441">
        <f t="shared" si="5"/>
        <v>0</v>
      </c>
      <c r="L39" s="443">
        <f t="shared" si="1"/>
        <v>0</v>
      </c>
      <c r="N39" s="440">
        <f t="shared" si="6"/>
        <v>0</v>
      </c>
      <c r="O39" s="440">
        <f t="shared" si="7"/>
        <v>0</v>
      </c>
      <c r="P39" s="440">
        <f t="shared" si="2"/>
        <v>0</v>
      </c>
      <c r="Q39" s="450">
        <v>7</v>
      </c>
      <c r="R39" s="440"/>
    </row>
    <row r="40" spans="1:18" s="242" customFormat="1" ht="11.25" x14ac:dyDescent="0.2">
      <c r="A40" s="440">
        <f t="shared" si="3"/>
        <v>0</v>
      </c>
      <c r="B40" s="122" t="s">
        <v>850</v>
      </c>
      <c r="C40" s="441">
        <f t="shared" si="9"/>
        <v>0</v>
      </c>
      <c r="D40" s="289" t="s">
        <v>762</v>
      </c>
      <c r="E40" s="441">
        <f>(C22+M22+W22+AG22)*0.5</f>
        <v>0</v>
      </c>
      <c r="F40" s="441">
        <f t="shared" si="10"/>
        <v>0</v>
      </c>
      <c r="G40" s="441">
        <f t="shared" si="10"/>
        <v>0</v>
      </c>
      <c r="H40" s="444">
        <f t="shared" si="10"/>
        <v>0</v>
      </c>
      <c r="I40" s="441">
        <f t="shared" si="8"/>
        <v>0</v>
      </c>
      <c r="J40" s="442">
        <v>0</v>
      </c>
      <c r="K40" s="441">
        <f t="shared" si="5"/>
        <v>0</v>
      </c>
      <c r="L40" s="443">
        <f t="shared" si="1"/>
        <v>0</v>
      </c>
      <c r="N40" s="440">
        <f t="shared" si="6"/>
        <v>0</v>
      </c>
      <c r="O40" s="440">
        <f t="shared" si="7"/>
        <v>0</v>
      </c>
      <c r="P40" s="440">
        <f t="shared" si="2"/>
        <v>0</v>
      </c>
      <c r="Q40" s="450">
        <v>8</v>
      </c>
      <c r="R40" s="440"/>
    </row>
    <row r="41" spans="1:18" s="242" customFormat="1" ht="11.25" x14ac:dyDescent="0.2">
      <c r="A41" s="440">
        <f t="shared" si="3"/>
        <v>0</v>
      </c>
      <c r="B41" s="122" t="s">
        <v>851</v>
      </c>
      <c r="C41" s="441">
        <f t="shared" si="9"/>
        <v>0</v>
      </c>
      <c r="D41" s="289" t="s">
        <v>759</v>
      </c>
      <c r="E41" s="441">
        <f t="shared" si="10"/>
        <v>0</v>
      </c>
      <c r="F41" s="441">
        <f t="shared" si="10"/>
        <v>0</v>
      </c>
      <c r="G41" s="441">
        <f t="shared" si="10"/>
        <v>0</v>
      </c>
      <c r="H41" s="444">
        <f t="shared" si="10"/>
        <v>0</v>
      </c>
      <c r="I41" s="441">
        <f t="shared" si="8"/>
        <v>0</v>
      </c>
      <c r="J41" s="442">
        <v>0</v>
      </c>
      <c r="K41" s="441">
        <f t="shared" si="5"/>
        <v>0</v>
      </c>
      <c r="L41" s="443">
        <f t="shared" si="1"/>
        <v>0</v>
      </c>
      <c r="N41" s="440">
        <f t="shared" si="6"/>
        <v>0</v>
      </c>
      <c r="O41" s="440">
        <f t="shared" si="7"/>
        <v>0</v>
      </c>
      <c r="P41" s="440">
        <f t="shared" si="2"/>
        <v>0</v>
      </c>
      <c r="Q41" s="450">
        <v>9</v>
      </c>
      <c r="R41" s="440"/>
    </row>
    <row r="42" spans="1:18" s="242" customFormat="1" ht="11.25" x14ac:dyDescent="0.2">
      <c r="A42" s="440">
        <f t="shared" si="3"/>
        <v>0</v>
      </c>
      <c r="B42" s="287" t="s">
        <v>852</v>
      </c>
      <c r="C42" s="441">
        <f t="shared" si="9"/>
        <v>0</v>
      </c>
      <c r="D42" s="289" t="s">
        <v>653</v>
      </c>
      <c r="E42" s="441">
        <f t="shared" si="10"/>
        <v>0</v>
      </c>
      <c r="F42" s="441">
        <f t="shared" si="10"/>
        <v>0</v>
      </c>
      <c r="G42" s="441">
        <f t="shared" si="10"/>
        <v>0</v>
      </c>
      <c r="H42" s="444">
        <f t="shared" si="10"/>
        <v>0</v>
      </c>
      <c r="I42" s="441">
        <f t="shared" si="8"/>
        <v>0</v>
      </c>
      <c r="J42" s="442">
        <v>0</v>
      </c>
      <c r="K42" s="441">
        <f t="shared" si="5"/>
        <v>0</v>
      </c>
      <c r="L42" s="443">
        <f t="shared" si="1"/>
        <v>0</v>
      </c>
      <c r="N42" s="440">
        <f t="shared" si="6"/>
        <v>0</v>
      </c>
      <c r="O42" s="440">
        <f t="shared" si="7"/>
        <v>0</v>
      </c>
      <c r="P42" s="440">
        <f t="shared" si="2"/>
        <v>0</v>
      </c>
      <c r="Q42" s="450">
        <v>10</v>
      </c>
      <c r="R42" s="440"/>
    </row>
    <row r="43" spans="1:18" s="242" customFormat="1" ht="12.75" customHeight="1" x14ac:dyDescent="0.2">
      <c r="A43" s="440">
        <f t="shared" si="3"/>
        <v>0</v>
      </c>
      <c r="B43" s="287" t="s">
        <v>1045</v>
      </c>
      <c r="C43" s="441">
        <f t="shared" si="9"/>
        <v>0</v>
      </c>
      <c r="D43" s="289" t="s">
        <v>653</v>
      </c>
      <c r="E43" s="441">
        <f t="shared" si="10"/>
        <v>0</v>
      </c>
      <c r="F43" s="441">
        <f t="shared" si="10"/>
        <v>0</v>
      </c>
      <c r="G43" s="441">
        <f t="shared" si="10"/>
        <v>0</v>
      </c>
      <c r="H43" s="444">
        <f>F25+P25+Z25+AJ25</f>
        <v>0</v>
      </c>
      <c r="I43" s="441">
        <f t="shared" si="8"/>
        <v>0</v>
      </c>
      <c r="J43" s="442">
        <v>0</v>
      </c>
      <c r="K43" s="441">
        <f>IF(H43&gt;0,(I43-J43)/H43,0)</f>
        <v>0</v>
      </c>
      <c r="L43" s="443">
        <f t="shared" si="1"/>
        <v>0</v>
      </c>
      <c r="N43" s="440">
        <f t="shared" ref="N43:N48" si="11">IF(I43&gt;0,1,0)</f>
        <v>0</v>
      </c>
      <c r="O43" s="440">
        <f>O42+N43</f>
        <v>0</v>
      </c>
      <c r="P43" s="440">
        <f>N43*O43</f>
        <v>0</v>
      </c>
      <c r="Q43" s="450">
        <v>11</v>
      </c>
      <c r="R43" s="440"/>
    </row>
    <row r="44" spans="1:18" s="242" customFormat="1" ht="14.25" customHeight="1" x14ac:dyDescent="0.2">
      <c r="A44" s="440">
        <f t="shared" si="3"/>
        <v>0</v>
      </c>
      <c r="B44" s="287" t="s">
        <v>853</v>
      </c>
      <c r="C44" s="441">
        <f t="shared" si="9"/>
        <v>0</v>
      </c>
      <c r="D44" s="289" t="s">
        <v>1034</v>
      </c>
      <c r="E44" s="441">
        <f t="shared" ref="E44:G47" si="12">C26+M26+W26+AG26</f>
        <v>0</v>
      </c>
      <c r="F44" s="441">
        <f t="shared" si="12"/>
        <v>0</v>
      </c>
      <c r="G44" s="441">
        <f t="shared" si="12"/>
        <v>0</v>
      </c>
      <c r="H44" s="444">
        <f>F26+P26+Z26+AJ26</f>
        <v>0</v>
      </c>
      <c r="I44" s="441">
        <f t="shared" si="8"/>
        <v>0</v>
      </c>
      <c r="J44" s="442">
        <v>0</v>
      </c>
      <c r="K44" s="441">
        <f t="shared" si="5"/>
        <v>0</v>
      </c>
      <c r="L44" s="443">
        <f t="shared" si="1"/>
        <v>0</v>
      </c>
      <c r="N44" s="440">
        <f t="shared" si="11"/>
        <v>0</v>
      </c>
      <c r="O44" s="440">
        <f>O43+N44</f>
        <v>0</v>
      </c>
      <c r="P44" s="440">
        <f>N44*O44</f>
        <v>0</v>
      </c>
      <c r="Q44" s="450">
        <v>12</v>
      </c>
      <c r="R44" s="440"/>
    </row>
    <row r="45" spans="1:18" s="242" customFormat="1" ht="25.5" customHeight="1" x14ac:dyDescent="0.2">
      <c r="A45" s="440">
        <f t="shared" si="3"/>
        <v>0</v>
      </c>
      <c r="B45" s="287" t="s">
        <v>857</v>
      </c>
      <c r="C45" s="441">
        <f t="shared" si="9"/>
        <v>0</v>
      </c>
      <c r="D45" s="289" t="s">
        <v>653</v>
      </c>
      <c r="E45" s="441">
        <f t="shared" si="12"/>
        <v>0</v>
      </c>
      <c r="F45" s="441">
        <f t="shared" si="12"/>
        <v>0</v>
      </c>
      <c r="G45" s="441">
        <f t="shared" si="12"/>
        <v>0</v>
      </c>
      <c r="H45" s="444">
        <f>F27+P27+Z27+AJ27</f>
        <v>0</v>
      </c>
      <c r="I45" s="441">
        <f t="shared" si="8"/>
        <v>0</v>
      </c>
      <c r="J45" s="442">
        <v>0</v>
      </c>
      <c r="K45" s="441">
        <f t="shared" si="5"/>
        <v>0</v>
      </c>
      <c r="L45" s="443">
        <f t="shared" si="1"/>
        <v>0</v>
      </c>
      <c r="N45" s="440">
        <f t="shared" si="11"/>
        <v>0</v>
      </c>
      <c r="O45" s="440">
        <f>O44+N45</f>
        <v>0</v>
      </c>
      <c r="P45" s="440">
        <f>N45*O45</f>
        <v>0</v>
      </c>
      <c r="Q45" s="450">
        <v>13</v>
      </c>
      <c r="R45" s="440"/>
    </row>
    <row r="46" spans="1:18" s="242" customFormat="1" ht="11.25" x14ac:dyDescent="0.2">
      <c r="A46" s="440">
        <f t="shared" si="3"/>
        <v>0</v>
      </c>
      <c r="B46" s="122" t="s">
        <v>855</v>
      </c>
      <c r="C46" s="441">
        <f t="shared" si="9"/>
        <v>0</v>
      </c>
      <c r="D46" s="441"/>
      <c r="E46" s="441">
        <f>(C28+M28+W28+AG28)*0.5</f>
        <v>0</v>
      </c>
      <c r="F46" s="441">
        <f t="shared" si="12"/>
        <v>0</v>
      </c>
      <c r="G46" s="441">
        <f t="shared" si="12"/>
        <v>0</v>
      </c>
      <c r="H46" s="444">
        <f>F28+P28+Z28+AJ28</f>
        <v>0</v>
      </c>
      <c r="I46" s="441">
        <f t="shared" si="8"/>
        <v>0</v>
      </c>
      <c r="J46" s="442">
        <v>0</v>
      </c>
      <c r="K46" s="441">
        <f t="shared" si="5"/>
        <v>0</v>
      </c>
      <c r="L46" s="443">
        <f t="shared" si="1"/>
        <v>0</v>
      </c>
      <c r="N46" s="440">
        <f t="shared" si="11"/>
        <v>0</v>
      </c>
      <c r="O46" s="440">
        <f>O45+N46</f>
        <v>0</v>
      </c>
      <c r="P46" s="440">
        <f>N46*O46</f>
        <v>0</v>
      </c>
      <c r="Q46" s="450">
        <v>14</v>
      </c>
      <c r="R46" s="440"/>
    </row>
    <row r="47" spans="1:18" s="242" customFormat="1" ht="11.25" x14ac:dyDescent="0.2">
      <c r="A47" s="440">
        <f t="shared" si="3"/>
        <v>0</v>
      </c>
      <c r="B47" s="122" t="s">
        <v>858</v>
      </c>
      <c r="C47" s="441">
        <f t="shared" si="9"/>
        <v>0</v>
      </c>
      <c r="D47" s="441"/>
      <c r="E47" s="441">
        <f t="shared" si="12"/>
        <v>0</v>
      </c>
      <c r="F47" s="441">
        <f t="shared" si="12"/>
        <v>0</v>
      </c>
      <c r="G47" s="441">
        <f t="shared" si="12"/>
        <v>0</v>
      </c>
      <c r="H47" s="444">
        <f>F29+P29+Z29+AJ29</f>
        <v>0</v>
      </c>
      <c r="I47" s="441">
        <f t="shared" si="8"/>
        <v>0</v>
      </c>
      <c r="J47" s="442">
        <f>SUM(J33:J46)</f>
        <v>0</v>
      </c>
      <c r="K47" s="441">
        <f>IF(H47&gt;0,(I47-J47)/H47,0)</f>
        <v>0</v>
      </c>
      <c r="L47" s="443">
        <f t="shared" si="1"/>
        <v>0</v>
      </c>
      <c r="N47" s="440">
        <f t="shared" si="11"/>
        <v>0</v>
      </c>
      <c r="O47" s="440">
        <f>O46+N47</f>
        <v>0</v>
      </c>
      <c r="P47" s="440">
        <f>N47*O47</f>
        <v>0</v>
      </c>
      <c r="Q47" s="450">
        <v>15</v>
      </c>
      <c r="R47" s="440"/>
    </row>
    <row r="48" spans="1:18" s="242" customFormat="1" ht="11.25" x14ac:dyDescent="0.2">
      <c r="A48" s="440"/>
      <c r="B48" s="122" t="s">
        <v>1282</v>
      </c>
      <c r="C48" s="441"/>
      <c r="D48" s="441" t="s">
        <v>1276</v>
      </c>
      <c r="E48" s="441">
        <f>'Verwerken Verwarming en Tapwate'!L71</f>
        <v>0</v>
      </c>
      <c r="F48" s="441">
        <f>'Verwerken Verwarming en Tapwate'!M71</f>
        <v>0</v>
      </c>
      <c r="G48" s="441">
        <f>-'Verwerken Verwarming en Tapwate'!J71</f>
        <v>0</v>
      </c>
      <c r="H48" s="444">
        <f>(E48*('Invoer energieverbruik'!$C$23+'Energiebelasting en transport'!$D$13)+F48*('Invoer energieverbruik'!$C$27)+G48*'Energiebelasting en transport'!$C$24)*1.21</f>
        <v>0</v>
      </c>
      <c r="I48" s="441">
        <f>'Invoer verwarming en tapwater'!F23+'Invoer verwarming en tapwater'!F24+'Invoer verwarming en tapwater'!F25+'Invoer verwarming en tapwater'!F26</f>
        <v>0</v>
      </c>
      <c r="J48" s="442">
        <v>0</v>
      </c>
      <c r="K48" s="528">
        <f t="shared" si="5"/>
        <v>0</v>
      </c>
      <c r="L48" s="443">
        <f t="shared" si="1"/>
        <v>0</v>
      </c>
      <c r="N48" s="440">
        <f t="shared" si="11"/>
        <v>0</v>
      </c>
      <c r="O48" s="440"/>
      <c r="P48" s="440"/>
      <c r="Q48" s="450"/>
      <c r="R48" s="440"/>
    </row>
    <row r="49" spans="1:19" s="242" customFormat="1" ht="11.25" x14ac:dyDescent="0.2">
      <c r="A49" s="440"/>
      <c r="B49" s="122" t="s">
        <v>1272</v>
      </c>
      <c r="C49" s="441"/>
      <c r="D49" s="441" t="s">
        <v>1276</v>
      </c>
      <c r="E49" s="441">
        <f>'Verwerken Verwarming en Tapwate'!N71</f>
        <v>0</v>
      </c>
      <c r="F49" s="441">
        <f>'Verwerken Verwarming en Tapwate'!O71</f>
        <v>0</v>
      </c>
      <c r="G49" s="441">
        <f>-'Verwerken Verwarming en Tapwate'!K71</f>
        <v>0</v>
      </c>
      <c r="H49" s="444">
        <f>(E49*('Invoer energieverbruik'!$C$23+'Energiebelasting en transport'!$D$13)+F49*('Invoer energieverbruik'!$C$27)+G49*'Energiebelasting en transport'!$C$24)*1.21</f>
        <v>0</v>
      </c>
      <c r="I49" s="441">
        <f>'Invoer verwarming en tapwater'!F23+'Invoer verwarming en tapwater'!F24+'Invoer verwarming en tapwater'!F25+'Invoer verwarming en tapwater'!F26</f>
        <v>0</v>
      </c>
      <c r="J49" s="442">
        <v>0</v>
      </c>
      <c r="K49" s="528">
        <f t="shared" si="5"/>
        <v>0</v>
      </c>
      <c r="L49" s="443">
        <f t="shared" si="1"/>
        <v>0</v>
      </c>
      <c r="N49" s="440"/>
      <c r="O49" s="440"/>
      <c r="P49" s="440"/>
      <c r="Q49" s="450"/>
      <c r="R49" s="440"/>
    </row>
    <row r="50" spans="1:19" s="242" customFormat="1" ht="11.25" x14ac:dyDescent="0.2">
      <c r="A50" s="440"/>
      <c r="B50" s="122" t="s">
        <v>1283</v>
      </c>
      <c r="C50" s="441"/>
      <c r="D50" s="441" t="s">
        <v>1276</v>
      </c>
      <c r="E50" s="441">
        <f>'Verwerken Verwarming en Tapwate'!K79</f>
        <v>0</v>
      </c>
      <c r="F50" s="441">
        <f>'Verwerken Verwarming en Tapwate'!L79</f>
        <v>0</v>
      </c>
      <c r="G50" s="441">
        <v>0</v>
      </c>
      <c r="H50" s="444">
        <f>(E50*('Invoer energieverbruik'!$C$23+'Energiebelasting en transport'!$D$13)+F50*('Invoer energieverbruik'!$C$27)+G50*'Energiebelasting en transport'!$C$24)*1.21-233*1.21*'Verwerken Verwarming en Tapwate'!I79/1000</f>
        <v>0</v>
      </c>
      <c r="I50" s="441">
        <f>'Invoer verwarming en tapwater'!F30+'Invoer verwarming en tapwater'!F31+'Invoer verwarming en tapwater'!F32+'Invoer verwarming en tapwater'!F33</f>
        <v>0</v>
      </c>
      <c r="J50" s="442">
        <v>0</v>
      </c>
      <c r="K50" s="528">
        <f t="shared" si="5"/>
        <v>0</v>
      </c>
      <c r="L50" s="443">
        <f t="shared" si="1"/>
        <v>0</v>
      </c>
      <c r="N50" s="440"/>
      <c r="O50" s="440"/>
      <c r="P50" s="440"/>
      <c r="Q50" s="450"/>
      <c r="R50" s="440"/>
    </row>
    <row r="51" spans="1:19" s="242" customFormat="1" ht="11.25" x14ac:dyDescent="0.2">
      <c r="A51" s="440"/>
      <c r="B51" s="122" t="s">
        <v>1284</v>
      </c>
      <c r="C51" s="441"/>
      <c r="D51" s="441" t="s">
        <v>1276</v>
      </c>
      <c r="E51" s="441">
        <f>'Verwerken Verwarming en Tapwate'!M79</f>
        <v>0</v>
      </c>
      <c r="F51" s="441">
        <f>'Verwerken Verwarming en Tapwate'!N79</f>
        <v>0</v>
      </c>
      <c r="G51" s="441">
        <v>0</v>
      </c>
      <c r="H51" s="444">
        <f>(E51*('Invoer energieverbruik'!$C$23+'Energiebelasting en transport'!$D$13)+F51*('Invoer energieverbruik'!$C$27)+G51*'Energiebelasting en transport'!$C$24)*1.21-233*1.21*'Verwerken Verwarming en Tapwate'!J79/1000</f>
        <v>0</v>
      </c>
      <c r="I51" s="441">
        <f>'Invoer verwarming en tapwater'!F30+'Invoer verwarming en tapwater'!F31+'Invoer verwarming en tapwater'!F32+'Invoer verwarming en tapwater'!F33</f>
        <v>0</v>
      </c>
      <c r="J51" s="442">
        <v>0</v>
      </c>
      <c r="K51" s="528">
        <f t="shared" si="5"/>
        <v>0</v>
      </c>
      <c r="L51" s="443">
        <f t="shared" si="1"/>
        <v>0</v>
      </c>
      <c r="N51" s="440"/>
      <c r="O51" s="440"/>
      <c r="P51" s="440"/>
      <c r="Q51" s="450"/>
      <c r="R51" s="440"/>
    </row>
    <row r="52" spans="1:19" s="242" customFormat="1" ht="11.25" x14ac:dyDescent="0.2">
      <c r="B52" s="122" t="s">
        <v>1193</v>
      </c>
      <c r="C52" s="444">
        <f>'Invoer eigenopwekking'!I7+'Invoer eigenopwekking'!I8+'Invoer eigenopwekking'!I9+'Invoer eigenopwekking'!I10+'Invoer eigenopwekking'!I11</f>
        <v>187</v>
      </c>
      <c r="D52" s="122" t="s">
        <v>1245</v>
      </c>
      <c r="E52" s="441">
        <v>0</v>
      </c>
      <c r="F52" s="441">
        <v>0</v>
      </c>
      <c r="G52" s="444">
        <f>'Invoer eigenopwekking'!K15</f>
        <v>24684</v>
      </c>
      <c r="H52" s="444">
        <f>'Invoer eigenopwekking'!I20</f>
        <v>4310.7745559999994</v>
      </c>
      <c r="I52" s="441">
        <f>'Verwerken eigenopwekking'!AE11</f>
        <v>60775</v>
      </c>
      <c r="J52" s="442">
        <v>0</v>
      </c>
      <c r="K52" s="528">
        <f t="shared" si="5"/>
        <v>14.098394432483055</v>
      </c>
      <c r="L52" s="443" t="e">
        <f t="shared" si="1"/>
        <v>#DIV/0!</v>
      </c>
      <c r="N52" s="440">
        <f>IF(I52&gt;0,1,0)</f>
        <v>1</v>
      </c>
      <c r="O52" s="440"/>
      <c r="P52" s="440"/>
      <c r="Q52" s="440"/>
      <c r="R52" s="440"/>
    </row>
    <row r="53" spans="1:19" s="242" customFormat="1" ht="11.25" hidden="1" x14ac:dyDescent="0.2">
      <c r="B53" s="445"/>
      <c r="C53" s="445"/>
      <c r="D53" s="445"/>
      <c r="E53" s="445"/>
      <c r="F53" s="445"/>
      <c r="N53" s="440">
        <f>COUNTIF(N33:N47,"&gt;0")</f>
        <v>0</v>
      </c>
      <c r="O53" s="440"/>
      <c r="P53" s="440"/>
      <c r="Q53" s="440"/>
      <c r="R53" s="440"/>
    </row>
    <row r="54" spans="1:19" s="242" customFormat="1" ht="11.25" hidden="1" x14ac:dyDescent="0.2">
      <c r="B54" s="445" t="s">
        <v>733</v>
      </c>
      <c r="C54" s="445" t="s">
        <v>734</v>
      </c>
      <c r="D54" s="445" t="s">
        <v>735</v>
      </c>
      <c r="E54" s="445" t="s">
        <v>736</v>
      </c>
      <c r="L54" s="445" t="s">
        <v>733</v>
      </c>
      <c r="M54" s="445" t="s">
        <v>734</v>
      </c>
      <c r="N54" s="451" t="s">
        <v>735</v>
      </c>
      <c r="O54" s="451" t="s">
        <v>736</v>
      </c>
      <c r="P54" s="440"/>
      <c r="Q54" s="440"/>
      <c r="R54" s="440"/>
    </row>
    <row r="55" spans="1:19" s="242" customFormat="1" ht="11.25" hidden="1" x14ac:dyDescent="0.2">
      <c r="A55" s="242" t="s">
        <v>67</v>
      </c>
      <c r="B55" s="242">
        <f>'Invoer Algemeen'!F16</f>
        <v>0</v>
      </c>
      <c r="C55" s="242">
        <f>'Invoer Algemeen'!G16</f>
        <v>0</v>
      </c>
      <c r="D55" s="242">
        <f>'Invoer Algemeen'!H16</f>
        <v>0</v>
      </c>
      <c r="E55" s="242">
        <f>'Invoer Algemeen'!I16</f>
        <v>0</v>
      </c>
      <c r="F55" s="242">
        <f>SUM(B55:E55)</f>
        <v>0</v>
      </c>
      <c r="L55" s="242">
        <f t="shared" ref="L55:P58" si="13">B55</f>
        <v>0</v>
      </c>
      <c r="M55" s="242">
        <f t="shared" si="13"/>
        <v>0</v>
      </c>
      <c r="N55" s="440">
        <f t="shared" si="13"/>
        <v>0</v>
      </c>
      <c r="O55" s="440">
        <f t="shared" si="13"/>
        <v>0</v>
      </c>
      <c r="P55" s="440">
        <f t="shared" si="13"/>
        <v>0</v>
      </c>
      <c r="Q55" s="440"/>
      <c r="R55" s="440"/>
    </row>
    <row r="56" spans="1:19" s="242" customFormat="1" ht="11.25" hidden="1" x14ac:dyDescent="0.2">
      <c r="A56" s="242" t="s">
        <v>68</v>
      </c>
      <c r="B56" s="242">
        <f>'Invoer Algemeen'!F17</f>
        <v>0</v>
      </c>
      <c r="C56" s="242">
        <f>'Invoer Algemeen'!G17</f>
        <v>0</v>
      </c>
      <c r="D56" s="242">
        <f>'Invoer Algemeen'!H17</f>
        <v>0</v>
      </c>
      <c r="E56" s="242">
        <f>'Invoer Algemeen'!I17</f>
        <v>0</v>
      </c>
      <c r="F56" s="242">
        <f>SUM(B56:E56)</f>
        <v>0</v>
      </c>
      <c r="L56" s="242">
        <f t="shared" si="13"/>
        <v>0</v>
      </c>
      <c r="M56" s="242">
        <f t="shared" si="13"/>
        <v>0</v>
      </c>
      <c r="N56" s="440">
        <f t="shared" si="13"/>
        <v>0</v>
      </c>
      <c r="O56" s="440">
        <f t="shared" si="13"/>
        <v>0</v>
      </c>
      <c r="P56" s="440">
        <f t="shared" si="13"/>
        <v>0</v>
      </c>
      <c r="Q56" s="440"/>
      <c r="R56" s="440"/>
    </row>
    <row r="57" spans="1:19" s="242" customFormat="1" ht="11.25" hidden="1" x14ac:dyDescent="0.2">
      <c r="A57" s="242" t="s">
        <v>69</v>
      </c>
      <c r="B57" s="242">
        <f>'Invoer Algemeen'!F18</f>
        <v>0</v>
      </c>
      <c r="C57" s="242">
        <f>'Invoer Algemeen'!G18</f>
        <v>0</v>
      </c>
      <c r="D57" s="242">
        <f>'Invoer Algemeen'!H18</f>
        <v>0</v>
      </c>
      <c r="E57" s="242">
        <f>'Invoer Algemeen'!I18</f>
        <v>0</v>
      </c>
      <c r="F57" s="242">
        <f>SUM(B57:E57)</f>
        <v>0</v>
      </c>
      <c r="L57" s="242">
        <f t="shared" si="13"/>
        <v>0</v>
      </c>
      <c r="M57" s="242">
        <f t="shared" si="13"/>
        <v>0</v>
      </c>
      <c r="N57" s="440">
        <f t="shared" si="13"/>
        <v>0</v>
      </c>
      <c r="O57" s="440">
        <f t="shared" si="13"/>
        <v>0</v>
      </c>
      <c r="P57" s="440">
        <f t="shared" si="13"/>
        <v>0</v>
      </c>
      <c r="Q57" s="440"/>
      <c r="R57" s="440"/>
    </row>
    <row r="58" spans="1:19" s="242" customFormat="1" ht="11.25" hidden="1" x14ac:dyDescent="0.2">
      <c r="A58" s="242" t="s">
        <v>70</v>
      </c>
      <c r="B58" s="242">
        <f>'Invoer Algemeen'!F19</f>
        <v>0</v>
      </c>
      <c r="C58" s="242">
        <f>'Invoer Algemeen'!G19</f>
        <v>0</v>
      </c>
      <c r="D58" s="242">
        <f>'Invoer Algemeen'!H19</f>
        <v>0</v>
      </c>
      <c r="E58" s="242">
        <f>'Invoer Algemeen'!I19</f>
        <v>0</v>
      </c>
      <c r="F58" s="242">
        <f>SUM(B58:E58)</f>
        <v>0</v>
      </c>
      <c r="L58" s="242">
        <f t="shared" si="13"/>
        <v>0</v>
      </c>
      <c r="M58" s="242">
        <f t="shared" si="13"/>
        <v>0</v>
      </c>
      <c r="N58" s="440">
        <f t="shared" si="13"/>
        <v>0</v>
      </c>
      <c r="O58" s="440">
        <f t="shared" si="13"/>
        <v>0</v>
      </c>
      <c r="P58" s="440">
        <f t="shared" si="13"/>
        <v>0</v>
      </c>
      <c r="Q58" s="440"/>
      <c r="R58" s="440"/>
    </row>
    <row r="59" spans="1:19" s="242" customFormat="1" ht="11.25" hidden="1" x14ac:dyDescent="0.2">
      <c r="B59" s="242">
        <f>SUM(B55:B58)</f>
        <v>0</v>
      </c>
      <c r="C59" s="242">
        <f>SUM(C55:C58)</f>
        <v>0</v>
      </c>
      <c r="D59" s="242">
        <f>SUM(D55:D58)</f>
        <v>0</v>
      </c>
      <c r="E59" s="242">
        <f>SUM(E55:E58)</f>
        <v>0</v>
      </c>
      <c r="F59" s="242">
        <f>SUM(F55:F58)</f>
        <v>0</v>
      </c>
      <c r="N59" s="440"/>
      <c r="O59" s="440"/>
      <c r="P59" s="440">
        <f>F59</f>
        <v>0</v>
      </c>
      <c r="Q59" s="440"/>
      <c r="R59" s="440"/>
    </row>
    <row r="60" spans="1:19" s="242" customFormat="1" ht="11.25" hidden="1" x14ac:dyDescent="0.2">
      <c r="N60" s="440"/>
      <c r="O60" s="440"/>
      <c r="P60" s="440"/>
      <c r="Q60" s="440"/>
      <c r="R60" s="440"/>
    </row>
    <row r="61" spans="1:19" s="242" customFormat="1" ht="11.25" hidden="1" x14ac:dyDescent="0.2">
      <c r="B61" s="242" t="s">
        <v>733</v>
      </c>
      <c r="C61" s="242" t="s">
        <v>734</v>
      </c>
      <c r="D61" s="242" t="s">
        <v>735</v>
      </c>
      <c r="E61" s="242" t="s">
        <v>736</v>
      </c>
      <c r="F61" s="242" t="s">
        <v>733</v>
      </c>
      <c r="G61" s="242" t="s">
        <v>734</v>
      </c>
      <c r="H61" s="242" t="s">
        <v>735</v>
      </c>
      <c r="I61" s="242" t="s">
        <v>736</v>
      </c>
      <c r="L61" s="242" t="s">
        <v>733</v>
      </c>
      <c r="M61" s="242" t="s">
        <v>734</v>
      </c>
      <c r="N61" s="440" t="s">
        <v>735</v>
      </c>
      <c r="O61" s="440" t="s">
        <v>736</v>
      </c>
      <c r="P61" s="440" t="s">
        <v>733</v>
      </c>
      <c r="Q61" s="440" t="s">
        <v>734</v>
      </c>
      <c r="R61" s="440" t="s">
        <v>735</v>
      </c>
      <c r="S61" s="242" t="s">
        <v>736</v>
      </c>
    </row>
    <row r="62" spans="1:19" s="242" customFormat="1" ht="11.25" hidden="1" x14ac:dyDescent="0.2">
      <c r="A62" s="242" t="s">
        <v>860</v>
      </c>
      <c r="B62" s="242" t="str">
        <f>'Invoer Lokaal Type 1'!$B$29</f>
        <v>C</v>
      </c>
      <c r="C62" s="242" t="str">
        <f>'Invoer Lokaal Type 2'!$B$29</f>
        <v>D</v>
      </c>
      <c r="D62" s="242" t="str">
        <f>'Invoer Lokaal Type 3'!$B$29</f>
        <v>D</v>
      </c>
      <c r="E62" s="242" t="str">
        <f>'Invoer Lokaal Type 4'!$B$29</f>
        <v>D</v>
      </c>
      <c r="F62" s="242">
        <f t="shared" ref="F62:I64" si="14">IF(B62="A",1,IF(B62="B",2,IF(B62="C",3,4)))</f>
        <v>3</v>
      </c>
      <c r="G62" s="242">
        <f t="shared" si="14"/>
        <v>4</v>
      </c>
      <c r="H62" s="242">
        <f t="shared" si="14"/>
        <v>4</v>
      </c>
      <c r="I62" s="242">
        <f t="shared" si="14"/>
        <v>4</v>
      </c>
      <c r="L62" s="242" t="str">
        <f>'Invoer Lokaal Type 1'!$L$29</f>
        <v>D</v>
      </c>
      <c r="M62" s="242" t="str">
        <f>'Invoer Lokaal Type 2'!$L$29</f>
        <v>D</v>
      </c>
      <c r="N62" s="440" t="str">
        <f>'Invoer Lokaal Type 3'!$L$29</f>
        <v>D</v>
      </c>
      <c r="O62" s="440" t="str">
        <f>'Invoer Lokaal Type 4'!$L$29</f>
        <v>D</v>
      </c>
      <c r="P62" s="440">
        <f t="shared" ref="P62:S64" si="15">IF(L62="A",1,IF(L62="B",2,IF(L62="C",3,4)))</f>
        <v>4</v>
      </c>
      <c r="Q62" s="440">
        <f t="shared" si="15"/>
        <v>4</v>
      </c>
      <c r="R62" s="440">
        <f t="shared" si="15"/>
        <v>4</v>
      </c>
      <c r="S62" s="242">
        <f t="shared" si="15"/>
        <v>4</v>
      </c>
    </row>
    <row r="63" spans="1:19" s="242" customFormat="1" ht="11.25" hidden="1" x14ac:dyDescent="0.2">
      <c r="A63" s="242" t="s">
        <v>859</v>
      </c>
      <c r="B63" s="242" t="str">
        <f>'Invoer Lokaal Type 1'!$B$30</f>
        <v>B</v>
      </c>
      <c r="C63" s="242" t="str">
        <f>'Invoer Lokaal Type 2'!$B$30</f>
        <v>D</v>
      </c>
      <c r="D63" s="242" t="str">
        <f>'Invoer Lokaal Type 3'!$B$30</f>
        <v>D</v>
      </c>
      <c r="E63" s="242" t="str">
        <f>'Invoer Lokaal Type 4'!$B$30</f>
        <v>D</v>
      </c>
      <c r="F63" s="242">
        <f t="shared" si="14"/>
        <v>2</v>
      </c>
      <c r="G63" s="242">
        <f t="shared" si="14"/>
        <v>4</v>
      </c>
      <c r="H63" s="242">
        <f t="shared" si="14"/>
        <v>4</v>
      </c>
      <c r="I63" s="242">
        <f t="shared" si="14"/>
        <v>4</v>
      </c>
      <c r="L63" s="242" t="str">
        <f>'Invoer Lokaal Type 1'!$L$30</f>
        <v>D</v>
      </c>
      <c r="M63" s="242" t="str">
        <f>'Invoer Lokaal Type 2'!$L$30</f>
        <v>D</v>
      </c>
      <c r="N63" s="440" t="str">
        <f>'Invoer Lokaal Type 3'!$L$30</f>
        <v>D</v>
      </c>
      <c r="O63" s="440" t="str">
        <f>'Invoer Lokaal Type 4'!$L$30</f>
        <v>D</v>
      </c>
      <c r="P63" s="440">
        <f t="shared" si="15"/>
        <v>4</v>
      </c>
      <c r="Q63" s="440">
        <f t="shared" si="15"/>
        <v>4</v>
      </c>
      <c r="R63" s="440">
        <f t="shared" si="15"/>
        <v>4</v>
      </c>
      <c r="S63" s="242">
        <f t="shared" si="15"/>
        <v>4</v>
      </c>
    </row>
    <row r="64" spans="1:19" s="242" customFormat="1" ht="11.25" hidden="1" x14ac:dyDescent="0.2">
      <c r="A64" s="242" t="s">
        <v>918</v>
      </c>
      <c r="B64" s="242" t="str">
        <f>'Invoer Lokaal Type 1'!$B$31</f>
        <v>B</v>
      </c>
      <c r="C64" s="242" t="str">
        <f>'Invoer Lokaal Type 2'!$B$31</f>
        <v>D</v>
      </c>
      <c r="D64" s="242" t="str">
        <f>'Invoer Lokaal Type 3'!$B$31</f>
        <v>D</v>
      </c>
      <c r="E64" s="242" t="str">
        <f>'Invoer Lokaal Type 4'!$B$31</f>
        <v>D</v>
      </c>
      <c r="F64" s="242">
        <f t="shared" si="14"/>
        <v>2</v>
      </c>
      <c r="G64" s="242">
        <f t="shared" si="14"/>
        <v>4</v>
      </c>
      <c r="H64" s="242">
        <f t="shared" si="14"/>
        <v>4</v>
      </c>
      <c r="I64" s="242">
        <f t="shared" si="14"/>
        <v>4</v>
      </c>
      <c r="L64" s="242" t="str">
        <f>'Invoer Lokaal Type 1'!$L$31</f>
        <v>D</v>
      </c>
      <c r="M64" s="242" t="str">
        <f>'Invoer Lokaal Type 2'!$L$31</f>
        <v>D</v>
      </c>
      <c r="N64" s="440" t="str">
        <f>'Invoer Lokaal Type 3'!$L$31</f>
        <v>D</v>
      </c>
      <c r="O64" s="440" t="str">
        <f>'Invoer Lokaal Type 4'!$L$31</f>
        <v>D</v>
      </c>
      <c r="P64" s="440">
        <f t="shared" si="15"/>
        <v>4</v>
      </c>
      <c r="Q64" s="440">
        <f t="shared" si="15"/>
        <v>4</v>
      </c>
      <c r="R64" s="440">
        <f t="shared" si="15"/>
        <v>4</v>
      </c>
      <c r="S64" s="242">
        <f t="shared" si="15"/>
        <v>4</v>
      </c>
    </row>
    <row r="65" spans="1:24" s="242" customFormat="1" ht="11.25" hidden="1" x14ac:dyDescent="0.2">
      <c r="N65" s="440"/>
      <c r="O65" s="440"/>
      <c r="P65" s="440"/>
      <c r="Q65" s="440"/>
      <c r="R65" s="440"/>
    </row>
    <row r="66" spans="1:24" s="242" customFormat="1" ht="11.25" hidden="1" x14ac:dyDescent="0.2">
      <c r="B66" s="242" t="s">
        <v>67</v>
      </c>
      <c r="C66" s="242" t="s">
        <v>68</v>
      </c>
      <c r="D66" s="242" t="s">
        <v>69</v>
      </c>
      <c r="E66" s="242" t="s">
        <v>70</v>
      </c>
      <c r="L66" s="242" t="s">
        <v>67</v>
      </c>
      <c r="M66" s="242" t="s">
        <v>68</v>
      </c>
      <c r="N66" s="440" t="s">
        <v>69</v>
      </c>
      <c r="O66" s="440" t="s">
        <v>70</v>
      </c>
      <c r="P66" s="440"/>
      <c r="Q66" s="440"/>
      <c r="R66" s="440"/>
    </row>
    <row r="67" spans="1:24" s="242" customFormat="1" ht="11.25" hidden="1" x14ac:dyDescent="0.2">
      <c r="A67" s="242" t="s">
        <v>860</v>
      </c>
      <c r="B67" s="446">
        <f>IF(F55&gt;0,(B55*F62+C55*G62+D55*H62+E55*I62),0)</f>
        <v>0</v>
      </c>
      <c r="C67" s="242">
        <f>IF(F56&gt;0,(B56*F62+C56*G62+D56*H62+E56*I62),0)</f>
        <v>0</v>
      </c>
      <c r="D67" s="242">
        <f>IF(F57&gt;0,(B57*F62+C57*G62+D57*H62+E57*I62),0)</f>
        <v>0</v>
      </c>
      <c r="E67" s="242">
        <f>IF(F58&gt;0,(B58*F62+C58*G62+D58*H62+E58*I62),0)</f>
        <v>0</v>
      </c>
      <c r="F67" s="446">
        <f>SUM(B67:E67)</f>
        <v>0</v>
      </c>
      <c r="G67" s="446" t="e">
        <f>F67/$F$59</f>
        <v>#DIV/0!</v>
      </c>
      <c r="H67" s="76" t="e">
        <f>IF(G67&lt;1.5,"A",IF(AND(G67&gt;=1.5,G67&lt;2.5),"B",IF(AND(G67&gt;=2.5,G67&lt;3.5),"C","D")))</f>
        <v>#DIV/0!</v>
      </c>
      <c r="L67" s="446">
        <f>IF(F55&gt;0,(L55*P62+M55*Q62+N55*R62+O55*S62),0)</f>
        <v>0</v>
      </c>
      <c r="M67" s="242">
        <f>IF(P56&gt;0,(L56*P62+M56*Q62+N56*R62+O56*S62),0)</f>
        <v>0</v>
      </c>
      <c r="N67" s="440">
        <f>IF(P57&gt;0,(L57*P62+M57*Q62+N57*R62+O57*S62),0)</f>
        <v>0</v>
      </c>
      <c r="O67" s="440">
        <f>IF(P58&gt;0,(L58*P62+M58*Q62+N58*R62+O58*S62),0)</f>
        <v>0</v>
      </c>
      <c r="P67" s="452">
        <f>SUM(L67:O67)</f>
        <v>0</v>
      </c>
      <c r="Q67" s="452" t="e">
        <f>P67/$F$59</f>
        <v>#DIV/0!</v>
      </c>
      <c r="R67" s="453" t="e">
        <f>IF(Q67&lt;1.5,"A",IF(AND(Q67&gt;=1.5,Q67&lt;2.5),"B",IF(AND(Q67&gt;=2.5,Q67&lt;3.5),"C","D")))</f>
        <v>#DIV/0!</v>
      </c>
    </row>
    <row r="68" spans="1:24" s="242" customFormat="1" ht="11.25" hidden="1" x14ac:dyDescent="0.2">
      <c r="A68" s="242" t="s">
        <v>859</v>
      </c>
      <c r="B68" s="446">
        <f>IF(F55&gt;0,(F63*B55+G63*C55+D55*H63+E55*I63),0)</f>
        <v>0</v>
      </c>
      <c r="C68" s="242">
        <f>IF(F56&gt;0,(B56*F63+C56*G63+D56*H63+E56*I63),0)</f>
        <v>0</v>
      </c>
      <c r="D68" s="242">
        <f>IF(F57&gt;0,(B57*F63+C57*G63+D57*H63+E57*I63),0)</f>
        <v>0</v>
      </c>
      <c r="E68" s="242">
        <f>IF(F58&gt;0,(B58*F63+C58*G63+D58*H63+E58*I63),0)</f>
        <v>0</v>
      </c>
      <c r="F68" s="446">
        <f>SUM(B68:E68)</f>
        <v>0</v>
      </c>
      <c r="G68" s="446" t="e">
        <f>F68/$F$59</f>
        <v>#DIV/0!</v>
      </c>
      <c r="H68" s="76" t="e">
        <f>IF(G68&lt;1.5,"A",IF(AND(G68&gt;=1.5,G68&lt;2.5),"B",IF(AND(G68&gt;=2.5,G68&lt;3.5),"C","D")))</f>
        <v>#DIV/0!</v>
      </c>
      <c r="L68" s="446">
        <f>IF(F55&gt;0,(P63*L55+Q63*M55+N55*R63+O55*S63),0)</f>
        <v>0</v>
      </c>
      <c r="M68" s="242">
        <f>IF(P56&gt;0,(L56*P63+M56*Q63+N56*R63+O56*S63),0)</f>
        <v>0</v>
      </c>
      <c r="N68" s="440">
        <f>IF(P57&gt;0,(L57*P63+M57*Q63+N57*R63+O57*S63),0)</f>
        <v>0</v>
      </c>
      <c r="O68" s="440">
        <f>IF(P58&gt;0,(L58*P63+M58*Q63+N58*R63+O58*S63),0)</f>
        <v>0</v>
      </c>
      <c r="P68" s="452">
        <f>SUM(L68:O68)</f>
        <v>0</v>
      </c>
      <c r="Q68" s="452" t="e">
        <f>P68/$F$59</f>
        <v>#DIV/0!</v>
      </c>
      <c r="R68" s="453" t="e">
        <f>IF(Q68&lt;1.5,"A",IF(AND(Q68&gt;=1.5,Q68&lt;2.5),"B",IF(AND(Q68&gt;=2.5,Q68&lt;3.5),"C","D")))</f>
        <v>#DIV/0!</v>
      </c>
    </row>
    <row r="69" spans="1:24" s="242" customFormat="1" ht="11.25" hidden="1" x14ac:dyDescent="0.2">
      <c r="A69" s="242" t="s">
        <v>918</v>
      </c>
      <c r="B69" s="446">
        <f>IF(F55&gt;0,(B55*F64+C55*G64+D55*H64+E55*I64),0)</f>
        <v>0</v>
      </c>
      <c r="C69" s="242">
        <f>IF(F56&gt;0,(B56*F64+C56*G64+D56*H64+E56*I64),0)</f>
        <v>0</v>
      </c>
      <c r="D69" s="242">
        <f>IF(F57&gt;0,(B57*F64+C57*G64+D57*H64+E57*I64),0)</f>
        <v>0</v>
      </c>
      <c r="E69" s="242">
        <f>IF(F58&gt;0,(B58*F64+C58*G64+D58*H64+E58*I64),0)</f>
        <v>0</v>
      </c>
      <c r="F69" s="446">
        <f>SUM(B69:E69)</f>
        <v>0</v>
      </c>
      <c r="G69" s="446" t="e">
        <f>F69/$F$59</f>
        <v>#DIV/0!</v>
      </c>
      <c r="H69" s="76" t="e">
        <f>IF(G69&lt;1.5,"A",IF(AND(G69&gt;=1.5,G69&lt;2.5),"B",IF(AND(G69&gt;=2.5,G69&lt;3.5),"C","D")))</f>
        <v>#DIV/0!</v>
      </c>
      <c r="L69" s="446">
        <f>IF(F55&gt;0,(L55*P64+M55*Q64+N55*R64+O55*S64),0)</f>
        <v>0</v>
      </c>
      <c r="M69" s="242">
        <f>IF(P56&gt;0,(L56*P64+M56*Q64+N56*R64+O56*S64),0)</f>
        <v>0</v>
      </c>
      <c r="N69" s="440">
        <f>IF(P57&gt;0,(L57*P64+M57*Q64+N57*R64+O57*S64),0)</f>
        <v>0</v>
      </c>
      <c r="O69" s="440">
        <f>IF(P58&gt;0,(L58*P64+M58*Q64+N58*R64+O58*S64),0)</f>
        <v>0</v>
      </c>
      <c r="P69" s="452">
        <f>SUM(L69:O69)</f>
        <v>0</v>
      </c>
      <c r="Q69" s="452" t="e">
        <f>P69/$F$59</f>
        <v>#DIV/0!</v>
      </c>
      <c r="R69" s="453" t="e">
        <f>IF(Q69&lt;1.5,"A",IF(AND(Q69&gt;=1.5,Q69&lt;2.5),"B",IF(AND(Q69&gt;=2.5,Q69&lt;3.5),"C","D")))</f>
        <v>#DIV/0!</v>
      </c>
    </row>
    <row r="70" spans="1:24" s="242" customFormat="1" ht="11.25" hidden="1" x14ac:dyDescent="0.2">
      <c r="N70" s="440"/>
      <c r="O70" s="440"/>
      <c r="P70" s="440"/>
      <c r="Q70" s="440"/>
      <c r="R70" s="440"/>
    </row>
    <row r="71" spans="1:24" s="242" customFormat="1" ht="11.25" hidden="1" x14ac:dyDescent="0.2">
      <c r="N71" s="440"/>
      <c r="O71" s="440"/>
      <c r="P71" s="440"/>
      <c r="Q71" s="440"/>
      <c r="R71" s="440"/>
    </row>
    <row r="72" spans="1:24" s="242" customFormat="1" ht="11.25" hidden="1" x14ac:dyDescent="0.2">
      <c r="N72" s="440"/>
      <c r="O72" s="440"/>
      <c r="P72" s="440"/>
      <c r="Q72" s="440"/>
      <c r="R72" s="440"/>
    </row>
    <row r="73" spans="1:24" s="242" customFormat="1" ht="11.25" hidden="1" x14ac:dyDescent="0.2">
      <c r="B73" s="242" t="s">
        <v>733</v>
      </c>
      <c r="C73" s="242" t="s">
        <v>740</v>
      </c>
      <c r="D73" s="242" t="s">
        <v>738</v>
      </c>
      <c r="E73" s="242" t="s">
        <v>741</v>
      </c>
      <c r="F73" s="242" t="s">
        <v>739</v>
      </c>
      <c r="H73" s="242" t="s">
        <v>734</v>
      </c>
      <c r="I73" s="242" t="s">
        <v>740</v>
      </c>
      <c r="J73" s="242" t="s">
        <v>738</v>
      </c>
      <c r="K73" s="242" t="s">
        <v>741</v>
      </c>
      <c r="L73" s="242" t="s">
        <v>739</v>
      </c>
      <c r="N73" s="440" t="s">
        <v>735</v>
      </c>
      <c r="O73" s="440" t="s">
        <v>740</v>
      </c>
      <c r="P73" s="440" t="s">
        <v>738</v>
      </c>
      <c r="Q73" s="440" t="s">
        <v>741</v>
      </c>
      <c r="R73" s="440" t="s">
        <v>739</v>
      </c>
      <c r="T73" s="242" t="s">
        <v>736</v>
      </c>
      <c r="U73" s="242" t="s">
        <v>740</v>
      </c>
      <c r="V73" s="242" t="s">
        <v>738</v>
      </c>
      <c r="W73" s="242" t="s">
        <v>741</v>
      </c>
      <c r="X73" s="242" t="s">
        <v>739</v>
      </c>
    </row>
    <row r="74" spans="1:24" s="242" customFormat="1" ht="11.25" hidden="1" x14ac:dyDescent="0.2">
      <c r="A74" s="318" t="s">
        <v>861</v>
      </c>
      <c r="B74" s="242">
        <f>IF('Invoer Lokaal Type 1'!$J$7="n.v.t.",0,'Invoer Lokaal Type 1'!$J$7)</f>
        <v>0</v>
      </c>
      <c r="C74" s="242">
        <f>10*'Invoer Lokaal Type 1'!B2-'binnenklimaatlabel type 1'!$C$39</f>
        <v>300</v>
      </c>
      <c r="D74" s="242">
        <f>C74*8*5*40*9*1.2/1000</f>
        <v>5184</v>
      </c>
      <c r="E74" s="242">
        <f>IF(B74=0,0,D74/(35))</f>
        <v>0</v>
      </c>
      <c r="F74" s="242">
        <v>0</v>
      </c>
      <c r="H74" s="242">
        <f>IF('Invoer Lokaal Type 2'!$J$7="n.v.t.",0,'Invoer Lokaal Type 2'!$J$7)</f>
        <v>0</v>
      </c>
      <c r="I74" s="242">
        <f>10*'Invoer Lokaal Type 2'!B2-'binnenklimaatlabel type 2'!$C$39</f>
        <v>300</v>
      </c>
      <c r="J74" s="242">
        <f>I74*8*5*40*9*1.2/1000</f>
        <v>5184</v>
      </c>
      <c r="K74" s="242">
        <f>IF(H74=0,0,J74/(35))</f>
        <v>0</v>
      </c>
      <c r="L74" s="242">
        <v>0</v>
      </c>
      <c r="N74" s="440">
        <f>IF('Invoer Lokaal Type 3'!$J$7="n.v.t.",0,'Invoer Lokaal Type 3'!$J$7)</f>
        <v>0</v>
      </c>
      <c r="O74" s="440">
        <f>10*'Invoer Lokaal Type 3'!B2-'binnenklimaatlabel type 3'!$C$39</f>
        <v>300</v>
      </c>
      <c r="P74" s="440">
        <f>O74*8*5*40*9*1.2/1000</f>
        <v>5184</v>
      </c>
      <c r="Q74" s="440">
        <f>IF(N74=0,0,P74/(35))</f>
        <v>0</v>
      </c>
      <c r="R74" s="440">
        <v>0</v>
      </c>
      <c r="T74" s="242">
        <f>IF('Invoer Lokaal Type 4'!$J$7="n.v.t.",0,'Invoer Lokaal Type 4'!$J$7)</f>
        <v>0</v>
      </c>
      <c r="U74" s="242">
        <f>10*'Invoer Lokaal Type 4'!B2-'binnenklimaatlabel type 4'!$C$39</f>
        <v>300</v>
      </c>
      <c r="V74" s="242">
        <f>U74*8*5*40*9*1.2/1000</f>
        <v>5184</v>
      </c>
      <c r="W74" s="242">
        <f>IF(T74=0,0,V74/(35))</f>
        <v>0</v>
      </c>
      <c r="X74" s="242">
        <v>0</v>
      </c>
    </row>
    <row r="75" spans="1:24" s="242" customFormat="1" ht="11.25" hidden="1" x14ac:dyDescent="0.2">
      <c r="A75" s="318" t="s">
        <v>176</v>
      </c>
      <c r="B75" s="242">
        <f>IF('Invoer Lokaal Type 1'!$J$13="n.v.t.",0,'Invoer Lokaal Type 1'!$J$13)</f>
        <v>0</v>
      </c>
      <c r="C75" s="242">
        <v>0</v>
      </c>
      <c r="D75" s="242">
        <f t="shared" ref="D75:D84" si="16">C75*8*5*40*9*1.2/1000</f>
        <v>0</v>
      </c>
      <c r="E75" s="242">
        <f t="shared" ref="E75:E81" si="17">IF(B75=0,0,D75/(35))</f>
        <v>0</v>
      </c>
      <c r="F75" s="242">
        <v>0</v>
      </c>
      <c r="H75" s="242">
        <f>IF('Invoer Lokaal Type 2'!$J$13="n.v.t.",0,'Invoer Lokaal Type 2'!$J$13)</f>
        <v>0</v>
      </c>
      <c r="I75" s="242">
        <v>0</v>
      </c>
      <c r="J75" s="242">
        <f t="shared" ref="J75:J84" si="18">I75*8*5*40*9*1.2/1000</f>
        <v>0</v>
      </c>
      <c r="K75" s="242">
        <f t="shared" ref="K75:K81" si="19">IF(H75=0,0,J75/(35))</f>
        <v>0</v>
      </c>
      <c r="L75" s="242">
        <v>0</v>
      </c>
      <c r="N75" s="440">
        <f>IF('Invoer Lokaal Type 3'!$J$13="n.v.t.",0,'Invoer Lokaal Type 3'!$J$13)</f>
        <v>0</v>
      </c>
      <c r="O75" s="440">
        <v>0</v>
      </c>
      <c r="P75" s="440">
        <f t="shared" ref="P75:P84" si="20">O75*8*5*40*9*1.2/1000</f>
        <v>0</v>
      </c>
      <c r="Q75" s="440">
        <f t="shared" ref="Q75:Q81" si="21">IF(N75=0,0,P75/(35))</f>
        <v>0</v>
      </c>
      <c r="R75" s="440">
        <v>0</v>
      </c>
      <c r="T75" s="242">
        <f>IF('Invoer Lokaal Type 4'!$J$13="n.v.t.",0,'Invoer Lokaal Type 4'!$J$13)</f>
        <v>0</v>
      </c>
      <c r="U75" s="242">
        <v>0</v>
      </c>
      <c r="V75" s="242">
        <f t="shared" ref="V75:V84" si="22">U75*8*5*40*9*1.2/1000</f>
        <v>0</v>
      </c>
      <c r="W75" s="242">
        <f t="shared" ref="W75:W84" si="23">IF(T75=0,0,V75/(35))</f>
        <v>0</v>
      </c>
      <c r="X75" s="242">
        <v>0</v>
      </c>
    </row>
    <row r="76" spans="1:24" s="242" customFormat="1" ht="11.25" hidden="1" x14ac:dyDescent="0.2">
      <c r="A76" s="318" t="s">
        <v>862</v>
      </c>
      <c r="N76" s="440"/>
      <c r="O76" s="440"/>
      <c r="P76" s="440"/>
      <c r="Q76" s="440"/>
      <c r="R76" s="440"/>
    </row>
    <row r="77" spans="1:24" s="242" customFormat="1" ht="11.25" hidden="1" x14ac:dyDescent="0.2">
      <c r="A77" s="318" t="s">
        <v>867</v>
      </c>
      <c r="B77" s="242">
        <f>IF('Invoer Lokaal Type 1'!$J$16="n.v.t.",0,'Invoer Lokaal Type 1'!$J$16)</f>
        <v>0</v>
      </c>
      <c r="C77" s="242">
        <f>10*'Invoer Lokaal Type 1'!B2-'binnenklimaatlabel type 1'!$C$39</f>
        <v>300</v>
      </c>
      <c r="D77" s="242">
        <f t="shared" si="16"/>
        <v>5184</v>
      </c>
      <c r="E77" s="242">
        <f t="shared" si="17"/>
        <v>0</v>
      </c>
      <c r="F77" s="242">
        <f>IF(B77=0,0,288)</f>
        <v>0</v>
      </c>
      <c r="H77" s="242">
        <f>IF('Invoer Lokaal Type 2'!$J$16="n.v.t.",0,'Invoer Lokaal Type 2'!$J$16)</f>
        <v>3000</v>
      </c>
      <c r="I77" s="242">
        <f>10*'Invoer Lokaal Type 2'!B2-'binnenklimaatlabel type 2'!$C$39</f>
        <v>300</v>
      </c>
      <c r="J77" s="242">
        <f t="shared" si="18"/>
        <v>5184</v>
      </c>
      <c r="K77" s="242">
        <f t="shared" si="19"/>
        <v>148.11428571428573</v>
      </c>
      <c r="L77" s="242">
        <f>IF(H77=0,0,288)</f>
        <v>288</v>
      </c>
      <c r="N77" s="440">
        <f>IF('Invoer Lokaal Type 3'!$J$16="n.v.t.",0,'Invoer Lokaal Type 3'!$J$16)</f>
        <v>3000</v>
      </c>
      <c r="O77" s="440">
        <f>10*'Invoer Lokaal Type 3'!B2-'binnenklimaatlabel type 3'!$C$39</f>
        <v>300</v>
      </c>
      <c r="P77" s="440">
        <f t="shared" si="20"/>
        <v>5184</v>
      </c>
      <c r="Q77" s="440">
        <f t="shared" si="21"/>
        <v>148.11428571428573</v>
      </c>
      <c r="R77" s="440">
        <f>IF(N77=0,0,288)</f>
        <v>288</v>
      </c>
      <c r="T77" s="242">
        <f>IF('Invoer Lokaal Type 4'!$J$16="n.v.t.",0,'Invoer Lokaal Type 4'!$J$16)</f>
        <v>3000</v>
      </c>
      <c r="U77" s="242">
        <f>10*'Invoer Lokaal Type 4'!B2-'binnenklimaatlabel type 4'!$C$39</f>
        <v>300</v>
      </c>
      <c r="V77" s="242">
        <f t="shared" si="22"/>
        <v>5184</v>
      </c>
      <c r="W77" s="242">
        <f t="shared" si="23"/>
        <v>148.11428571428573</v>
      </c>
      <c r="X77" s="242">
        <f>IF(T77=0,0,288)</f>
        <v>288</v>
      </c>
    </row>
    <row r="78" spans="1:24" s="242" customFormat="1" ht="11.25" hidden="1" x14ac:dyDescent="0.2">
      <c r="A78" s="318" t="s">
        <v>864</v>
      </c>
      <c r="B78" s="242">
        <f>IF('Invoer Lokaal Type 1'!$J$17="n.v.t.",0,'Invoer Lokaal Type 1'!$J$17)</f>
        <v>0</v>
      </c>
      <c r="C78" s="242">
        <f>(10*'Invoer Lokaal Type 1'!B2-'binnenklimaatlabel type 1'!$C$39)*0.2</f>
        <v>60</v>
      </c>
      <c r="D78" s="242">
        <f t="shared" si="16"/>
        <v>1036.8</v>
      </c>
      <c r="E78" s="242">
        <f t="shared" si="17"/>
        <v>0</v>
      </c>
      <c r="F78" s="242">
        <f>IF(B78=0,0,500)</f>
        <v>0</v>
      </c>
      <c r="H78" s="242">
        <f>IF('Invoer Lokaal Type 2'!$J$17="n.v.t.",0,'Invoer Lokaal Type 2'!$J$17)</f>
        <v>10000</v>
      </c>
      <c r="I78" s="242">
        <f>(10*'Invoer Lokaal Type 2'!B2-'binnenklimaatlabel type 2'!$C$39)*0.2</f>
        <v>60</v>
      </c>
      <c r="J78" s="242">
        <f t="shared" si="18"/>
        <v>1036.8</v>
      </c>
      <c r="K78" s="242">
        <f t="shared" si="19"/>
        <v>29.622857142857143</v>
      </c>
      <c r="L78" s="242">
        <f>IF(H78=0,0,500)</f>
        <v>500</v>
      </c>
      <c r="N78" s="440">
        <f>IF('Invoer Lokaal Type 3'!$J$17="n.v.t.",0,'Invoer Lokaal Type 3'!$J$17)</f>
        <v>10000</v>
      </c>
      <c r="O78" s="440">
        <f>(10*'Invoer Lokaal Type 3'!B2-'binnenklimaatlabel type 3'!$C$39)*0.2</f>
        <v>60</v>
      </c>
      <c r="P78" s="440">
        <f t="shared" si="20"/>
        <v>1036.8</v>
      </c>
      <c r="Q78" s="440">
        <f t="shared" si="21"/>
        <v>29.622857142857143</v>
      </c>
      <c r="R78" s="440">
        <f>IF(N78=0,0,500)</f>
        <v>500</v>
      </c>
      <c r="T78" s="242">
        <f>IF('Invoer Lokaal Type 4'!$J$17="n.v.t.",0,'Invoer Lokaal Type 4'!$J$17)</f>
        <v>10000</v>
      </c>
      <c r="U78" s="242">
        <f>(10*'Invoer Lokaal Type 4'!B2-'binnenklimaatlabel type 4'!$C$39)*0.2</f>
        <v>60</v>
      </c>
      <c r="V78" s="242">
        <f t="shared" si="22"/>
        <v>1036.8</v>
      </c>
      <c r="W78" s="242">
        <f t="shared" si="23"/>
        <v>29.622857142857143</v>
      </c>
      <c r="X78" s="242">
        <f>IF(T78=0,0,500)</f>
        <v>500</v>
      </c>
    </row>
    <row r="79" spans="1:24" s="242" customFormat="1" ht="11.25" hidden="1" x14ac:dyDescent="0.2">
      <c r="A79" s="318" t="s">
        <v>865</v>
      </c>
      <c r="B79" s="242">
        <f>IF('Invoer Lokaal Type 1'!$J$18="n.v.t.",0,'Invoer Lokaal Type 1'!$J$18)</f>
        <v>0</v>
      </c>
      <c r="C79" s="242">
        <f>(10*'Invoer Lokaal Type 1'!B2)*0.1-'binnenklimaatlabel type 1'!$C$39</f>
        <v>30</v>
      </c>
      <c r="D79" s="242">
        <f t="shared" si="16"/>
        <v>518.4</v>
      </c>
      <c r="E79" s="242">
        <f t="shared" si="17"/>
        <v>0</v>
      </c>
      <c r="F79" s="242">
        <f>IF(B79=0,0,560)</f>
        <v>0</v>
      </c>
      <c r="H79" s="242">
        <f>IF('Invoer Lokaal Type 2'!$J$18="n.v.t.",0,'Invoer Lokaal Type 2'!$J$18)</f>
        <v>9000</v>
      </c>
      <c r="I79" s="242">
        <f>(10*'Invoer Lokaal Type 2'!B2)*0.1-'binnenklimaatlabel type 2'!$C$39</f>
        <v>30</v>
      </c>
      <c r="J79" s="242">
        <f t="shared" si="18"/>
        <v>518.4</v>
      </c>
      <c r="K79" s="242">
        <f t="shared" si="19"/>
        <v>14.811428571428571</v>
      </c>
      <c r="L79" s="242">
        <f>IF(H79=0,0,560)</f>
        <v>560</v>
      </c>
      <c r="N79" s="440">
        <f>IF('Invoer Lokaal Type 3'!$J$18="n.v.t.",0,'Invoer Lokaal Type 3'!$J$18)</f>
        <v>9000</v>
      </c>
      <c r="O79" s="440">
        <f>(10*'Invoer Lokaal Type 3'!B2)*0.1-'binnenklimaatlabel type 3'!$C$39</f>
        <v>30</v>
      </c>
      <c r="P79" s="440">
        <f t="shared" si="20"/>
        <v>518.4</v>
      </c>
      <c r="Q79" s="440">
        <f t="shared" si="21"/>
        <v>14.811428571428571</v>
      </c>
      <c r="R79" s="440">
        <f>IF(N79=0,0,560)</f>
        <v>560</v>
      </c>
      <c r="T79" s="242">
        <f>IF('Invoer Lokaal Type 4'!$J$18="n.v.t.",0,'Invoer Lokaal Type 4'!$J$18)</f>
        <v>9000</v>
      </c>
      <c r="U79" s="242">
        <f>(10*'Invoer Lokaal Type 4'!B2)*0.1-'binnenklimaatlabel type 4'!$C$39</f>
        <v>30</v>
      </c>
      <c r="V79" s="242">
        <f t="shared" si="22"/>
        <v>518.4</v>
      </c>
      <c r="W79" s="242">
        <f t="shared" si="23"/>
        <v>14.811428571428571</v>
      </c>
      <c r="X79" s="242">
        <f>IF(T79=0,0,560)</f>
        <v>560</v>
      </c>
    </row>
    <row r="80" spans="1:24" s="242" customFormat="1" ht="11.25" hidden="1" x14ac:dyDescent="0.2">
      <c r="A80" s="318" t="s">
        <v>866</v>
      </c>
      <c r="B80" s="242">
        <f>IF('Invoer Lokaal Type 1'!$J$19="n.v.t.",0,'Invoer Lokaal Type 1'!$J$19)</f>
        <v>0</v>
      </c>
      <c r="C80" s="242">
        <f>(15*'Invoer Lokaal Type 1'!B2)*0.1-'binnenklimaatlabel type 1'!$C$39</f>
        <v>45</v>
      </c>
      <c r="D80" s="242">
        <f t="shared" si="16"/>
        <v>777.6</v>
      </c>
      <c r="E80" s="242">
        <f t="shared" si="17"/>
        <v>0</v>
      </c>
      <c r="F80" s="242">
        <f>IF(B80=0,0,900)</f>
        <v>0</v>
      </c>
      <c r="H80" s="242">
        <f>IF('Invoer Lokaal Type 2'!$J$19="n.v.t.",0,'Invoer Lokaal Type 2'!$J$19)</f>
        <v>10000</v>
      </c>
      <c r="I80" s="242">
        <f>(15*'Invoer Lokaal Type 2'!B2)*0.1-'binnenklimaatlabel type 2'!$C$39</f>
        <v>45</v>
      </c>
      <c r="J80" s="242">
        <f t="shared" si="18"/>
        <v>777.6</v>
      </c>
      <c r="K80" s="242">
        <f t="shared" si="19"/>
        <v>22.217142857142857</v>
      </c>
      <c r="L80" s="242">
        <f>IF(H80=0,0,900)</f>
        <v>900</v>
      </c>
      <c r="N80" s="440">
        <f>IF('Invoer Lokaal Type 3'!$J$19="n.v.t.",0,'Invoer Lokaal Type 3'!$J$19)</f>
        <v>10000</v>
      </c>
      <c r="O80" s="440">
        <f>(15*'Invoer Lokaal Type 3'!B2)*0.1-'binnenklimaatlabel type 3'!$C$39</f>
        <v>45</v>
      </c>
      <c r="P80" s="440">
        <f t="shared" si="20"/>
        <v>777.6</v>
      </c>
      <c r="Q80" s="440">
        <f t="shared" si="21"/>
        <v>22.217142857142857</v>
      </c>
      <c r="R80" s="440">
        <f>IF(N80=0,0,900)</f>
        <v>900</v>
      </c>
      <c r="T80" s="242">
        <f>IF('Invoer Lokaal Type 4'!$J$19="n.v.t.",0,'Invoer Lokaal Type 4'!$J$19)</f>
        <v>10000</v>
      </c>
      <c r="U80" s="242">
        <f>(15*'Invoer Lokaal Type 4'!B2)*0.1-'binnenklimaatlabel type 4'!$C$39</f>
        <v>45</v>
      </c>
      <c r="V80" s="242">
        <f t="shared" si="22"/>
        <v>777.6</v>
      </c>
      <c r="W80" s="242">
        <f t="shared" si="23"/>
        <v>22.217142857142857</v>
      </c>
      <c r="X80" s="242">
        <f>IF(T80=0,0,900)</f>
        <v>900</v>
      </c>
    </row>
    <row r="81" spans="1:28" s="242" customFormat="1" ht="11.25" hidden="1" x14ac:dyDescent="0.2">
      <c r="A81" s="318" t="s">
        <v>868</v>
      </c>
      <c r="B81" s="242">
        <f>IF('Invoer Lokaal Type 1'!$J$20="n.v.t.",0,'Invoer Lokaal Type 1'!$J$20)</f>
        <v>0</v>
      </c>
      <c r="C81" s="242">
        <f>(20*'Invoer Lokaal Type 1'!B2)*0.1-'binnenklimaatlabel type 1'!$C$39</f>
        <v>60</v>
      </c>
      <c r="D81" s="242">
        <f t="shared" si="16"/>
        <v>1036.8</v>
      </c>
      <c r="E81" s="242">
        <f t="shared" si="17"/>
        <v>0</v>
      </c>
      <c r="F81" s="242">
        <f>IF(B81=0,0,1200)</f>
        <v>0</v>
      </c>
      <c r="H81" s="242">
        <f>IF('Invoer Lokaal Type 2'!$J$20="n.v.t.",0,'Invoer Lokaal Type 2'!$J$20)</f>
        <v>12000</v>
      </c>
      <c r="I81" s="242">
        <f>(20*'Invoer Lokaal Type 2'!B2)*0.1-'binnenklimaatlabel type 2'!$C$39</f>
        <v>60</v>
      </c>
      <c r="J81" s="242">
        <f t="shared" si="18"/>
        <v>1036.8</v>
      </c>
      <c r="K81" s="242">
        <f t="shared" si="19"/>
        <v>29.622857142857143</v>
      </c>
      <c r="L81" s="242">
        <f>IF(H81=0,0,1200)</f>
        <v>1200</v>
      </c>
      <c r="N81" s="440">
        <f>IF('Invoer Lokaal Type 3'!$J$20="n.v.t.",0,'Invoer Lokaal Type 3'!$J$20)</f>
        <v>12000</v>
      </c>
      <c r="O81" s="440">
        <f>(20*'Invoer Lokaal Type 3'!B2)*0.1-'binnenklimaatlabel type 3'!$C$39</f>
        <v>60</v>
      </c>
      <c r="P81" s="440">
        <f t="shared" si="20"/>
        <v>1036.8</v>
      </c>
      <c r="Q81" s="440">
        <f t="shared" si="21"/>
        <v>29.622857142857143</v>
      </c>
      <c r="R81" s="440">
        <f>IF(N81=0,0,1200)</f>
        <v>1200</v>
      </c>
      <c r="T81" s="242">
        <f>IF('Invoer Lokaal Type 4'!$J$20="n.v.t.",0,'Invoer Lokaal Type 4'!$J$20)</f>
        <v>12000</v>
      </c>
      <c r="U81" s="242">
        <f>(20*'Invoer Lokaal Type 4'!B2)*0.1-'binnenklimaatlabel type 4'!$C$39</f>
        <v>60</v>
      </c>
      <c r="V81" s="242">
        <f t="shared" si="22"/>
        <v>1036.8</v>
      </c>
      <c r="W81" s="242">
        <f t="shared" si="23"/>
        <v>29.622857142857143</v>
      </c>
      <c r="X81" s="242">
        <f>IF(T81=0,0,1200)</f>
        <v>1200</v>
      </c>
    </row>
    <row r="82" spans="1:28" s="242" customFormat="1" ht="11.25" hidden="1" x14ac:dyDescent="0.2">
      <c r="A82" s="318" t="s">
        <v>863</v>
      </c>
      <c r="B82" s="242">
        <f>IF('Invoer Lokaal Type 1'!$J$21="n.v.t.",0,'Invoer Lokaal Type 1'!$J$21)</f>
        <v>0</v>
      </c>
      <c r="C82" s="242">
        <v>0</v>
      </c>
      <c r="D82" s="242">
        <f t="shared" si="16"/>
        <v>0</v>
      </c>
      <c r="H82" s="242">
        <f>IF('Invoer Lokaal Type 2'!$J$21="n.v.t.",0,'Invoer Lokaal Type 2'!$J$21)</f>
        <v>0</v>
      </c>
      <c r="I82" s="242">
        <v>0</v>
      </c>
      <c r="J82" s="242">
        <f t="shared" si="18"/>
        <v>0</v>
      </c>
      <c r="N82" s="440">
        <f>IF('Invoer Lokaal Type 3'!$J$21="n.v.t.",0,'Invoer Lokaal Type 3'!$J$21)</f>
        <v>0</v>
      </c>
      <c r="O82" s="440">
        <v>0</v>
      </c>
      <c r="P82" s="440">
        <f t="shared" si="20"/>
        <v>0</v>
      </c>
      <c r="Q82" s="440"/>
      <c r="R82" s="440"/>
      <c r="T82" s="242">
        <f>IF('Invoer Lokaal Type 4'!$J$21="n.v.t.",0,'Invoer Lokaal Type 4'!$J$21)</f>
        <v>0</v>
      </c>
      <c r="U82" s="242">
        <v>0</v>
      </c>
      <c r="V82" s="242">
        <f t="shared" si="22"/>
        <v>0</v>
      </c>
      <c r="W82" s="242">
        <f t="shared" si="23"/>
        <v>0</v>
      </c>
    </row>
    <row r="83" spans="1:28" s="242" customFormat="1" ht="11.25" hidden="1" x14ac:dyDescent="0.2">
      <c r="A83" s="318" t="s">
        <v>838</v>
      </c>
      <c r="B83" s="242">
        <f>IF('Invoer Lokaal Type 1'!$J$22="n.v.t.",0,'Invoer Lokaal Type 1'!$J$22)</f>
        <v>0</v>
      </c>
      <c r="C83" s="242">
        <v>0</v>
      </c>
      <c r="D83" s="242">
        <f t="shared" si="16"/>
        <v>0</v>
      </c>
      <c r="H83" s="242">
        <f>IF('Invoer Lokaal Type 2'!$J$22="n.v.t.",0,'Invoer Lokaal Type 2'!$J$22)</f>
        <v>0</v>
      </c>
      <c r="I83" s="242">
        <v>0</v>
      </c>
      <c r="J83" s="242">
        <f t="shared" si="18"/>
        <v>0</v>
      </c>
      <c r="N83" s="440">
        <f>IF('Invoer Lokaal Type 3'!$J$22="n.v.t.",0,'Invoer Lokaal Type 3'!$J$22)</f>
        <v>0</v>
      </c>
      <c r="O83" s="440">
        <v>0</v>
      </c>
      <c r="P83" s="440">
        <f t="shared" si="20"/>
        <v>0</v>
      </c>
      <c r="Q83" s="440"/>
      <c r="R83" s="440"/>
      <c r="T83" s="242">
        <f>IF('Invoer Lokaal Type 4'!$J$22="n.v.t.",0,'Invoer Lokaal Type 4'!$J$22)</f>
        <v>0</v>
      </c>
      <c r="U83" s="242">
        <v>0</v>
      </c>
      <c r="V83" s="242">
        <f t="shared" si="22"/>
        <v>0</v>
      </c>
      <c r="W83" s="242">
        <f t="shared" si="23"/>
        <v>0</v>
      </c>
    </row>
    <row r="84" spans="1:28" s="242" customFormat="1" ht="11.25" hidden="1" x14ac:dyDescent="0.2">
      <c r="A84" s="318" t="s">
        <v>204</v>
      </c>
      <c r="B84" s="242">
        <f>IF('Invoer Lokaal Type 1'!$J$25="n.v.t.",0,'Invoer Lokaal Type 1'!$J$25)</f>
        <v>3500</v>
      </c>
      <c r="C84" s="242">
        <v>0</v>
      </c>
      <c r="D84" s="242">
        <f t="shared" si="16"/>
        <v>0</v>
      </c>
      <c r="F84" s="242">
        <f>IF(B84=0,0,750)</f>
        <v>750</v>
      </c>
      <c r="H84" s="242">
        <f>IF('Invoer Lokaal Type 2'!$J$25="n.v.t.",0,'Invoer Lokaal Type 2'!$J$25)</f>
        <v>3500</v>
      </c>
      <c r="I84" s="242">
        <v>0</v>
      </c>
      <c r="J84" s="242">
        <f t="shared" si="18"/>
        <v>0</v>
      </c>
      <c r="L84" s="242">
        <f>IF(H84=0,0,750)</f>
        <v>750</v>
      </c>
      <c r="N84" s="440">
        <f>IF('Invoer Lokaal Type 3'!$J$25="n.v.t.",0,'Invoer Lokaal Type 3'!$J$25)</f>
        <v>3500</v>
      </c>
      <c r="O84" s="440">
        <v>0</v>
      </c>
      <c r="P84" s="440">
        <f t="shared" si="20"/>
        <v>0</v>
      </c>
      <c r="Q84" s="440"/>
      <c r="R84" s="440">
        <f>IF(N84=0,0,750)</f>
        <v>750</v>
      </c>
      <c r="T84" s="242">
        <f>IF('Invoer Lokaal Type 4'!$J$25="n.v.t.",0,'Invoer Lokaal Type 4'!$J$25)</f>
        <v>3500</v>
      </c>
      <c r="U84" s="242">
        <v>0</v>
      </c>
      <c r="V84" s="242">
        <f t="shared" si="22"/>
        <v>0</v>
      </c>
      <c r="W84" s="242">
        <f t="shared" si="23"/>
        <v>0</v>
      </c>
      <c r="X84" s="242">
        <f>IF(T84=0,0,750)</f>
        <v>750</v>
      </c>
    </row>
    <row r="85" spans="1:28" s="242" customFormat="1" ht="11.25" hidden="1" x14ac:dyDescent="0.2">
      <c r="N85" s="440"/>
      <c r="O85" s="440"/>
      <c r="P85" s="440"/>
      <c r="Q85" s="440"/>
      <c r="R85" s="440"/>
    </row>
    <row r="86" spans="1:28" s="242" customFormat="1" ht="11.25" hidden="1" x14ac:dyDescent="0.2">
      <c r="B86" s="242" t="s">
        <v>67</v>
      </c>
      <c r="F86" s="242" t="s">
        <v>68</v>
      </c>
      <c r="J86" s="242" t="s">
        <v>69</v>
      </c>
      <c r="N86" s="440" t="s">
        <v>70</v>
      </c>
      <c r="O86" s="440"/>
      <c r="P86" s="440"/>
      <c r="Q86" s="440"/>
      <c r="R86" s="440"/>
      <c r="X86" s="242" t="s">
        <v>46</v>
      </c>
    </row>
    <row r="87" spans="1:28" s="242" customFormat="1" ht="11.25" hidden="1" x14ac:dyDescent="0.2">
      <c r="B87" s="242" t="s">
        <v>733</v>
      </c>
      <c r="C87" s="242" t="s">
        <v>734</v>
      </c>
      <c r="D87" s="242" t="s">
        <v>735</v>
      </c>
      <c r="E87" s="242" t="s">
        <v>736</v>
      </c>
      <c r="F87" s="242" t="s">
        <v>733</v>
      </c>
      <c r="G87" s="242" t="s">
        <v>734</v>
      </c>
      <c r="H87" s="242" t="s">
        <v>735</v>
      </c>
      <c r="I87" s="242" t="s">
        <v>736</v>
      </c>
      <c r="J87" s="242" t="s">
        <v>733</v>
      </c>
      <c r="K87" s="242" t="s">
        <v>734</v>
      </c>
      <c r="L87" s="242" t="s">
        <v>735</v>
      </c>
      <c r="M87" s="242" t="s">
        <v>736</v>
      </c>
      <c r="N87" s="440" t="s">
        <v>733</v>
      </c>
      <c r="O87" s="440" t="s">
        <v>734</v>
      </c>
      <c r="P87" s="440" t="s">
        <v>735</v>
      </c>
      <c r="Q87" s="440" t="s">
        <v>736</v>
      </c>
      <c r="R87" s="440"/>
      <c r="S87" s="242" t="s">
        <v>741</v>
      </c>
      <c r="X87" s="242" t="s">
        <v>733</v>
      </c>
      <c r="Y87" s="242" t="s">
        <v>734</v>
      </c>
      <c r="Z87" s="242" t="s">
        <v>735</v>
      </c>
      <c r="AA87" s="242" t="s">
        <v>736</v>
      </c>
    </row>
    <row r="88" spans="1:28" s="242" customFormat="1" ht="11.25" hidden="1" x14ac:dyDescent="0.2">
      <c r="A88" s="318" t="s">
        <v>861</v>
      </c>
      <c r="B88" s="242">
        <f>IF('Verwerken Verwarming en Tapwate'!$J$3=0,0,$B$55*E74/('Verwerken Verwarming en Tapwate'!$J$3*'Verwerken Verwarming en Tapwate'!$O$3))</f>
        <v>0</v>
      </c>
      <c r="C88" s="242">
        <f>IF('Verwerken Verwarming en Tapwate'!$J$3=0,0,$C$55*K74/('Verwerken Verwarming en Tapwate'!$J$3*'Verwerken Verwarming en Tapwate'!$O$3))</f>
        <v>0</v>
      </c>
      <c r="D88" s="242">
        <f>IF('Verwerken Verwarming en Tapwate'!$J$3=0,0,$D$55*Q74/('Verwerken Verwarming en Tapwate'!$J$3*'Verwerken Verwarming en Tapwate'!$O$3))</f>
        <v>0</v>
      </c>
      <c r="E88" s="242">
        <f>IF('Verwerken Verwarming en Tapwate'!$J$3=0,0,$E$55*W74/('Verwerken Verwarming en Tapwate'!$J$3*'Verwerken Verwarming en Tapwate'!$O$3))</f>
        <v>0</v>
      </c>
      <c r="F88" s="242">
        <f>IF('Verwerken Verwarming en Tapwate'!$J$4=0,0,$B$56*$E$74/('Verwerken Verwarming en Tapwate'!$J$4*'Verwerken Verwarming en Tapwate'!$O$4))</f>
        <v>0</v>
      </c>
      <c r="G88" s="242">
        <f>IF('Verwerken Verwarming en Tapwate'!$J$4=0,0,$C$56*$K$74/('Verwerken Verwarming en Tapwate'!$J$4*'Verwerken Verwarming en Tapwate'!$O$4))</f>
        <v>0</v>
      </c>
      <c r="H88" s="242">
        <f>IF('Verwerken Verwarming en Tapwate'!$J$4=0,0,$D$56*$Q$74/('Verwerken Verwarming en Tapwate'!$J$4*'Verwerken Verwarming en Tapwate'!$O$4))</f>
        <v>0</v>
      </c>
      <c r="I88" s="242">
        <f>IF('Verwerken Verwarming en Tapwate'!$J$4=0,0,$E$56*$W$74/('Verwerken Verwarming en Tapwate'!$J$4*'Verwerken Verwarming en Tapwate'!$O$4))</f>
        <v>0</v>
      </c>
      <c r="J88" s="242">
        <f>IF('Verwerken Verwarming en Tapwate'!$J$5=0,0,$B$57*E74/('Verwerken Verwarming en Tapwate'!$J$5*'Verwerken Verwarming en Tapwate'!$O$5))</f>
        <v>0</v>
      </c>
      <c r="K88" s="242">
        <f>IF('Verwerken Verwarming en Tapwate'!$J$5=0,0,$C$57*K74/('Verwerken Verwarming en Tapwate'!$J$5*'Verwerken Verwarming en Tapwate'!$O$5))</f>
        <v>0</v>
      </c>
      <c r="L88" s="242">
        <f>IF('Verwerken Verwarming en Tapwate'!$J$5=0,0,$D$57*Q74/('Verwerken Verwarming en Tapwate'!$J$5*'Verwerken Verwarming en Tapwate'!$O$5))</f>
        <v>0</v>
      </c>
      <c r="M88" s="242">
        <f>IF('Verwerken Verwarming en Tapwate'!$J$5=0,0,$E$57*W74/('Verwerken Verwarming en Tapwate'!$J$5*'Verwerken Verwarming en Tapwate'!$O$5))</f>
        <v>0</v>
      </c>
      <c r="N88" s="440">
        <f>IF('Verwerken Verwarming en Tapwate'!$J$6=0,0,$B$58*E74/('Verwerken Verwarming en Tapwate'!$J$6*'Verwerken Verwarming en Tapwate'!$O$6))</f>
        <v>0</v>
      </c>
      <c r="O88" s="440">
        <f>IF('Verwerken Verwarming en Tapwate'!$J$6=0,0,$C$58*K74/('Verwerken Verwarming en Tapwate'!$J$6*'Verwerken Verwarming en Tapwate'!$O$6))</f>
        <v>0</v>
      </c>
      <c r="P88" s="440">
        <f>IF('Verwerken Verwarming en Tapwate'!$J$6=0,0,$D$58*Q74/('Verwerken Verwarming en Tapwate'!$J$6*'Verwerken Verwarming en Tapwate'!$O$6))</f>
        <v>0</v>
      </c>
      <c r="Q88" s="440">
        <f>IF('Verwerken Verwarming en Tapwate'!$J$6=0,0,$E$58*W74/('Verwerken Verwarming en Tapwate'!$J$6*'Verwerken Verwarming en Tapwate'!$O$6))</f>
        <v>0</v>
      </c>
      <c r="R88" s="440"/>
      <c r="S88" s="242">
        <f t="shared" ref="S88:S98" si="24">SUM(B88:R88)</f>
        <v>0</v>
      </c>
      <c r="W88" s="447" t="s">
        <v>861</v>
      </c>
      <c r="X88" s="242">
        <f>IF(OR('Invoer Lokaal Type 1'!$J$7=0,'Invoer Lokaal Type 1'!$J$7="n.v.t."),0,'Invoer Algemeen'!$F$16+'Invoer Algemeen'!$F$17+'Invoer Algemeen'!$F$18+'Invoer Algemeen'!$F$19)</f>
        <v>0</v>
      </c>
      <c r="Y88" s="242">
        <f>IF(OR('Invoer Lokaal Type 2'!$J$7=0,'Invoer Lokaal Type 2'!$J$7="n.v.t."),0,'Invoer Algemeen'!$G$16+'Invoer Algemeen'!$G$17+'Invoer Algemeen'!$G$18+'Invoer Algemeen'!$G$19)</f>
        <v>0</v>
      </c>
      <c r="Z88" s="242">
        <f>IF(OR('Invoer Lokaal Type 3'!$J$7=0,'Invoer Lokaal Type 3'!$J$7="n.v.t."),0,'Invoer Algemeen'!$H$16+'Invoer Algemeen'!$H$17+'Invoer Algemeen'!$H$18+'Invoer Algemeen'!$H$19)</f>
        <v>0</v>
      </c>
      <c r="AA88" s="242">
        <f>IF(OR('Invoer Lokaal Type 4'!$J$7=0,'Invoer Lokaal Type 4'!$J$7="n.v.t."),0,'Invoer Algemeen'!$I$16+'Invoer Algemeen'!$I$17+'Invoer Algemeen'!$I$18+'Invoer Algemeen'!$I$19)</f>
        <v>0</v>
      </c>
      <c r="AB88" s="242">
        <f>SUM(X88:AA88)</f>
        <v>0</v>
      </c>
    </row>
    <row r="89" spans="1:28" s="242" customFormat="1" ht="11.25" hidden="1" x14ac:dyDescent="0.2">
      <c r="A89" s="318" t="s">
        <v>176</v>
      </c>
      <c r="B89" s="242">
        <f>IF('Verwerken Verwarming en Tapwate'!$J$3=0,0,$B$55*E75/('Verwerken Verwarming en Tapwate'!$J$3*'Verwerken Verwarming en Tapwate'!$O$3))</f>
        <v>0</v>
      </c>
      <c r="C89" s="242">
        <f>IF('Verwerken Verwarming en Tapwate'!$J$3=0,0,$C$55*K75/('Verwerken Verwarming en Tapwate'!$J$3*'Verwerken Verwarming en Tapwate'!$O$3))</f>
        <v>0</v>
      </c>
      <c r="D89" s="242">
        <f>IF('Verwerken Verwarming en Tapwate'!$J$3=0,0,$D$55*Q75/('Verwerken Verwarming en Tapwate'!$J$3*'Verwerken Verwarming en Tapwate'!$O$3))</f>
        <v>0</v>
      </c>
      <c r="E89" s="242">
        <f>IF('Verwerken Verwarming en Tapwate'!$J$3=0,0,$E$55*W75/('Verwerken Verwarming en Tapwate'!$J$3*'Verwerken Verwarming en Tapwate'!$O$3))</f>
        <v>0</v>
      </c>
      <c r="F89" s="242">
        <f>IF('Verwerken Verwarming en Tapwate'!$J$4=0,0,$B$56*E75/('Verwerken Verwarming en Tapwate'!$J$4*'Verwerken Verwarming en Tapwate'!$O$4))</f>
        <v>0</v>
      </c>
      <c r="G89" s="242">
        <f>IF('Verwerken Verwarming en Tapwate'!$J$4=0,0,$C$56*K75/('Verwerken Verwarming en Tapwate'!$J$4*'Verwerken Verwarming en Tapwate'!$O$4))</f>
        <v>0</v>
      </c>
      <c r="H89" s="242">
        <f>IF('Verwerken Verwarming en Tapwate'!$J$4=0,0,$D$56*Q75/('Verwerken Verwarming en Tapwate'!$J$4*'Verwerken Verwarming en Tapwate'!$O$4))</f>
        <v>0</v>
      </c>
      <c r="I89" s="242">
        <f>IF('Verwerken Verwarming en Tapwate'!$J$4=0,0,$E$56*W75/('Verwerken Verwarming en Tapwate'!$J$4*'Verwerken Verwarming en Tapwate'!$O$4))</f>
        <v>0</v>
      </c>
      <c r="J89" s="242">
        <f>IF('Verwerken Verwarming en Tapwate'!$J$5=0,0,$B$57*E75/('Verwerken Verwarming en Tapwate'!$J$5*'Verwerken Verwarming en Tapwate'!$O$5))</f>
        <v>0</v>
      </c>
      <c r="K89" s="242">
        <f>IF('Verwerken Verwarming en Tapwate'!$J$5=0,0,$C$57*K75/('Verwerken Verwarming en Tapwate'!$J$5*'Verwerken Verwarming en Tapwate'!$O$5))</f>
        <v>0</v>
      </c>
      <c r="L89" s="242">
        <f>IF('Verwerken Verwarming en Tapwate'!$J$5=0,0,$D$57*Q75/('Verwerken Verwarming en Tapwate'!$J$5*'Verwerken Verwarming en Tapwate'!$O$5))</f>
        <v>0</v>
      </c>
      <c r="M89" s="242">
        <f>IF('Verwerken Verwarming en Tapwate'!$J$5=0,0,$E$57*W75/('Verwerken Verwarming en Tapwate'!$J$5*'Verwerken Verwarming en Tapwate'!$O$5))</f>
        <v>0</v>
      </c>
      <c r="N89" s="440">
        <f>IF('Verwerken Verwarming en Tapwate'!$J$6=0,0,$B$58*E75/('Verwerken Verwarming en Tapwate'!$J$6*'Verwerken Verwarming en Tapwate'!$O$6))</f>
        <v>0</v>
      </c>
      <c r="O89" s="440">
        <f>IF('Verwerken Verwarming en Tapwate'!$J$6=0,0,$C$58*K75/('Verwerken Verwarming en Tapwate'!$J$6*'Verwerken Verwarming en Tapwate'!$O$6))</f>
        <v>0</v>
      </c>
      <c r="P89" s="440">
        <f>IF('Verwerken Verwarming en Tapwate'!$J$6=0,0,$D$58*Q75/('Verwerken Verwarming en Tapwate'!$J$6*'Verwerken Verwarming en Tapwate'!$O$6))</f>
        <v>0</v>
      </c>
      <c r="Q89" s="440">
        <f>IF('Verwerken Verwarming en Tapwate'!$J$6=0,0,$E$58*W75/('Verwerken Verwarming en Tapwate'!$J$6*'Verwerken Verwarming en Tapwate'!$O$6))</f>
        <v>0</v>
      </c>
      <c r="R89" s="440"/>
      <c r="S89" s="242">
        <f t="shared" si="24"/>
        <v>0</v>
      </c>
      <c r="W89" s="447" t="s">
        <v>176</v>
      </c>
      <c r="X89" s="242">
        <f>IF(OR('Invoer Lokaal Type 1'!$J$13=0,'Invoer Lokaal Type 1'!$J$13="n.v.t."),0,'Invoer Algemeen'!$F$16+'Invoer Algemeen'!$F$17+'Invoer Algemeen'!$F$18+'Invoer Algemeen'!$F$19)</f>
        <v>0</v>
      </c>
      <c r="Y89" s="242">
        <f>IF(OR('Invoer Lokaal Type 2'!$J$13=0,'Invoer Lokaal Type 2'!$J$13="n.v.t."),0,'Invoer Algemeen'!$G$16+'Invoer Algemeen'!$G$17+'Invoer Algemeen'!$G$18+'Invoer Algemeen'!$G$19)</f>
        <v>0</v>
      </c>
      <c r="Z89" s="242">
        <f>IF(OR('Invoer Lokaal Type 3'!$J$13=0,'Invoer Lokaal Type 3'!$J$13="n.v.t."),0,'Invoer Algemeen'!$H$16+'Invoer Algemeen'!$H$17+'Invoer Algemeen'!$H$18+'Invoer Algemeen'!$H$19)</f>
        <v>0</v>
      </c>
      <c r="AA89" s="242">
        <f>IF(OR('Invoer Lokaal Type 4'!$J$13=0,'Invoer Lokaal Type 4'!$J$13="n.v.t."),0,'Invoer Algemeen'!$I$16+'Invoer Algemeen'!$I$17+'Invoer Algemeen'!$I$18+'Invoer Algemeen'!$I$19)</f>
        <v>0</v>
      </c>
      <c r="AB89" s="242">
        <f>SUM(X89:AA89)</f>
        <v>0</v>
      </c>
    </row>
    <row r="90" spans="1:28" s="242" customFormat="1" ht="11.25" hidden="1" x14ac:dyDescent="0.2">
      <c r="A90" s="318" t="s">
        <v>862</v>
      </c>
      <c r="B90" s="242">
        <f>IF('Verwerken Verwarming en Tapwate'!$J$3=0,0,$B$55*E76/('Verwerken Verwarming en Tapwate'!$J$3*'Verwerken Verwarming en Tapwate'!$O$3))</f>
        <v>0</v>
      </c>
      <c r="C90" s="242">
        <f>IF('Verwerken Verwarming en Tapwate'!$J$3=0,0,$C$55*K76/('Verwerken Verwarming en Tapwate'!$J$3*'Verwerken Verwarming en Tapwate'!$O$3))</f>
        <v>0</v>
      </c>
      <c r="D90" s="242">
        <f>IF('Verwerken Verwarming en Tapwate'!$J$3=0,0,$D$55*Q76/('Verwerken Verwarming en Tapwate'!$J$3*'Verwerken Verwarming en Tapwate'!$O$3))</f>
        <v>0</v>
      </c>
      <c r="E90" s="242">
        <f>IF('Verwerken Verwarming en Tapwate'!$J$3=0,0,$E$55*W76/('Verwerken Verwarming en Tapwate'!$J$3*'Verwerken Verwarming en Tapwate'!$O$3))</f>
        <v>0</v>
      </c>
      <c r="F90" s="242">
        <f>IF('Verwerken Verwarming en Tapwate'!$J$4=0,0,$B$56*E76/('Verwerken Verwarming en Tapwate'!$J$4*'Verwerken Verwarming en Tapwate'!$O$4))</f>
        <v>0</v>
      </c>
      <c r="G90" s="242">
        <f>IF('Verwerken Verwarming en Tapwate'!$J$4=0,0,$C$56*K76/('Verwerken Verwarming en Tapwate'!$J$4*'Verwerken Verwarming en Tapwate'!$O$4))</f>
        <v>0</v>
      </c>
      <c r="H90" s="242">
        <f>IF('Verwerken Verwarming en Tapwate'!$J$4=0,0,$D$56*Q76/('Verwerken Verwarming en Tapwate'!$J$4*'Verwerken Verwarming en Tapwate'!$O$4))</f>
        <v>0</v>
      </c>
      <c r="I90" s="242">
        <f>IF('Verwerken Verwarming en Tapwate'!$J$4=0,0,$E$56*W76/('Verwerken Verwarming en Tapwate'!$J$4*'Verwerken Verwarming en Tapwate'!$O$4))</f>
        <v>0</v>
      </c>
      <c r="J90" s="242">
        <f>IF('Verwerken Verwarming en Tapwate'!$J$5=0,0,$B$57*E76/('Verwerken Verwarming en Tapwate'!$J$5*'Verwerken Verwarming en Tapwate'!$O$5))</f>
        <v>0</v>
      </c>
      <c r="K90" s="242">
        <f>IF('Verwerken Verwarming en Tapwate'!$J$5=0,0,$C$57*K76/('Verwerken Verwarming en Tapwate'!$J$5*'Verwerken Verwarming en Tapwate'!$O$5))</f>
        <v>0</v>
      </c>
      <c r="L90" s="242">
        <f>IF('Verwerken Verwarming en Tapwate'!$J$5=0,0,$D$57*Q76/('Verwerken Verwarming en Tapwate'!$J$5*'Verwerken Verwarming en Tapwate'!$O$5))</f>
        <v>0</v>
      </c>
      <c r="M90" s="242">
        <f>IF('Verwerken Verwarming en Tapwate'!$J$5=0,0,$E$57*W76/('Verwerken Verwarming en Tapwate'!$J$5*'Verwerken Verwarming en Tapwate'!$O$5))</f>
        <v>0</v>
      </c>
      <c r="N90" s="440">
        <f>IF('Verwerken Verwarming en Tapwate'!$J$6=0,0,$B$58*E76/('Verwerken Verwarming en Tapwate'!$J$6*'Verwerken Verwarming en Tapwate'!$O$6))</f>
        <v>0</v>
      </c>
      <c r="O90" s="440">
        <f>IF('Verwerken Verwarming en Tapwate'!$J$6=0,0,$C$58*K76/('Verwerken Verwarming en Tapwate'!$J$6*'Verwerken Verwarming en Tapwate'!$O$6))</f>
        <v>0</v>
      </c>
      <c r="P90" s="440">
        <f>IF('Verwerken Verwarming en Tapwate'!$J$6=0,0,$D$58*Q76/('Verwerken Verwarming en Tapwate'!$J$6*'Verwerken Verwarming en Tapwate'!$O$6))</f>
        <v>0</v>
      </c>
      <c r="Q90" s="440">
        <f>IF('Verwerken Verwarming en Tapwate'!$J$6=0,0,$E$58*W76/('Verwerken Verwarming en Tapwate'!$J$6*'Verwerken Verwarming en Tapwate'!$O$6))</f>
        <v>0</v>
      </c>
      <c r="R90" s="440"/>
      <c r="S90" s="242">
        <f t="shared" si="24"/>
        <v>0</v>
      </c>
      <c r="W90" s="447" t="s">
        <v>862</v>
      </c>
    </row>
    <row r="91" spans="1:28" s="242" customFormat="1" ht="11.25" hidden="1" x14ac:dyDescent="0.2">
      <c r="A91" s="318" t="s">
        <v>867</v>
      </c>
      <c r="B91" s="242">
        <f>IF('Verwerken Verwarming en Tapwate'!$J$3=0,0,$B$55*E77/('Verwerken Verwarming en Tapwate'!$J$3*'Verwerken Verwarming en Tapwate'!$O$3))</f>
        <v>0</v>
      </c>
      <c r="C91" s="242">
        <f>IF('Verwerken Verwarming en Tapwate'!$J$3=0,0,$C$55*K77/('Verwerken Verwarming en Tapwate'!$J$3*'Verwerken Verwarming en Tapwate'!$O$3))</f>
        <v>0</v>
      </c>
      <c r="D91" s="242">
        <f>IF('Verwerken Verwarming en Tapwate'!$J$3=0,0,$D$55*Q77/('Verwerken Verwarming en Tapwate'!$J$3*'Verwerken Verwarming en Tapwate'!$O$3))</f>
        <v>0</v>
      </c>
      <c r="E91" s="242">
        <f>IF('Verwerken Verwarming en Tapwate'!$J$3=0,0,$E$55*W77/('Verwerken Verwarming en Tapwate'!$J$3*'Verwerken Verwarming en Tapwate'!$O$3))</f>
        <v>0</v>
      </c>
      <c r="F91" s="242">
        <f>IF('Verwerken Verwarming en Tapwate'!$J$4=0,0,$B$56*E77/('Verwerken Verwarming en Tapwate'!$J$4*'Verwerken Verwarming en Tapwate'!$O$4))</f>
        <v>0</v>
      </c>
      <c r="G91" s="242">
        <f>IF('Verwerken Verwarming en Tapwate'!$J$4=0,0,$C$56*K77/('Verwerken Verwarming en Tapwate'!$J$4*'Verwerken Verwarming en Tapwate'!$O$4))</f>
        <v>0</v>
      </c>
      <c r="H91" s="242">
        <f>IF('Verwerken Verwarming en Tapwate'!$J$4=0,0,$D$56*Q77/('Verwerken Verwarming en Tapwate'!$J$4*'Verwerken Verwarming en Tapwate'!$O$4))</f>
        <v>0</v>
      </c>
      <c r="I91" s="242">
        <f>IF('Verwerken Verwarming en Tapwate'!$J$4=0,0,$E$56*W77/('Verwerken Verwarming en Tapwate'!$J$4*'Verwerken Verwarming en Tapwate'!$O$4))</f>
        <v>0</v>
      </c>
      <c r="J91" s="242">
        <f>IF('Verwerken Verwarming en Tapwate'!$J$5=0,0,$B$57*E77/('Verwerken Verwarming en Tapwate'!$J$5*'Verwerken Verwarming en Tapwate'!$O$5))</f>
        <v>0</v>
      </c>
      <c r="K91" s="242">
        <f>IF('Verwerken Verwarming en Tapwate'!$J$5=0,0,$C$57*K77/('Verwerken Verwarming en Tapwate'!$J$5*'Verwerken Verwarming en Tapwate'!$O$5))</f>
        <v>0</v>
      </c>
      <c r="L91" s="242">
        <f>IF('Verwerken Verwarming en Tapwate'!$J$5=0,0,$D$57*Q77/('Verwerken Verwarming en Tapwate'!$J$5*'Verwerken Verwarming en Tapwate'!$O$5))</f>
        <v>0</v>
      </c>
      <c r="M91" s="242">
        <f>IF('Verwerken Verwarming en Tapwate'!$J$5=0,0,$E$57*W77/('Verwerken Verwarming en Tapwate'!$J$5*'Verwerken Verwarming en Tapwate'!$O$5))</f>
        <v>0</v>
      </c>
      <c r="N91" s="440">
        <f>IF('Verwerken Verwarming en Tapwate'!$J$6=0,0,$B$58*E77/('Verwerken Verwarming en Tapwate'!$J$6*'Verwerken Verwarming en Tapwate'!$O$6))</f>
        <v>0</v>
      </c>
      <c r="O91" s="440">
        <f>IF('Verwerken Verwarming en Tapwate'!$J$6=0,0,$C$58*K77/('Verwerken Verwarming en Tapwate'!$J$6*'Verwerken Verwarming en Tapwate'!$O$6))</f>
        <v>0</v>
      </c>
      <c r="P91" s="440">
        <f>IF('Verwerken Verwarming en Tapwate'!$J$6=0,0,$D$58*Q77/('Verwerken Verwarming en Tapwate'!$J$6*'Verwerken Verwarming en Tapwate'!$O$6))</f>
        <v>0</v>
      </c>
      <c r="Q91" s="440">
        <f>IF('Verwerken Verwarming en Tapwate'!$J$6=0,0,$E$58*W77/('Verwerken Verwarming en Tapwate'!$J$6*'Verwerken Verwarming en Tapwate'!$O$6))</f>
        <v>0</v>
      </c>
      <c r="R91" s="440"/>
      <c r="S91" s="242">
        <f t="shared" si="24"/>
        <v>0</v>
      </c>
      <c r="W91" s="447" t="s">
        <v>867</v>
      </c>
      <c r="X91" s="242">
        <f>IF(OR('Invoer Lokaal Type 1'!$J$16=0,'Invoer Lokaal Type 1'!$J$16="n.v.t."),0,'Invoer Algemeen'!$F$16+'Invoer Algemeen'!$F$17+'Invoer Algemeen'!$F$18+'Invoer Algemeen'!$F$19)</f>
        <v>0</v>
      </c>
      <c r="Y91" s="242">
        <f>IF(OR('Invoer Lokaal Type 2'!$J$16=0,'Invoer Lokaal Type 2'!$J$16="n.v.t."),0,'Invoer Algemeen'!$G$16+'Invoer Algemeen'!$G$17+'Invoer Algemeen'!$G$18+'Invoer Algemeen'!$G$19)</f>
        <v>0</v>
      </c>
      <c r="Z91" s="242">
        <f>IF(OR('Invoer Lokaal Type 3'!$J$16=0,'Invoer Lokaal Type 3'!$J$16="n.v.t."),0,'Invoer Algemeen'!$H$16+'Invoer Algemeen'!$H$17+'Invoer Algemeen'!$H$18+'Invoer Algemeen'!$H$19)</f>
        <v>0</v>
      </c>
      <c r="AA91" s="242">
        <f>IF(OR('Invoer Lokaal Type 4'!$J$16=0,'Invoer Lokaal Type 4'!$J$16="n.v.t."),0,'Invoer Algemeen'!$I$16+'Invoer Algemeen'!$I$17+'Invoer Algemeen'!$I$18+'Invoer Algemeen'!$I$19)</f>
        <v>0</v>
      </c>
      <c r="AB91" s="242">
        <f t="shared" ref="AB91:AB98" si="25">SUM(X91:AA91)</f>
        <v>0</v>
      </c>
    </row>
    <row r="92" spans="1:28" s="242" customFormat="1" ht="11.25" hidden="1" x14ac:dyDescent="0.2">
      <c r="A92" s="318" t="s">
        <v>864</v>
      </c>
      <c r="B92" s="242">
        <f>IF('Verwerken Verwarming en Tapwate'!$J$3=0,0,$B$55*E78/('Verwerken Verwarming en Tapwate'!$J$3*'Verwerken Verwarming en Tapwate'!$O$3))</f>
        <v>0</v>
      </c>
      <c r="C92" s="242">
        <f>IF('Verwerken Verwarming en Tapwate'!$J$3=0,0,$C$55*K78/('Verwerken Verwarming en Tapwate'!$J$3*'Verwerken Verwarming en Tapwate'!$O$3))</f>
        <v>0</v>
      </c>
      <c r="D92" s="242">
        <f>IF('Verwerken Verwarming en Tapwate'!$J$3=0,0,$D$55*Q78/('Verwerken Verwarming en Tapwate'!$J$3*'Verwerken Verwarming en Tapwate'!$O$3))</f>
        <v>0</v>
      </c>
      <c r="E92" s="242">
        <f>IF('Verwerken Verwarming en Tapwate'!$J$3=0,0,$E$55*W78/('Verwerken Verwarming en Tapwate'!$J$3*'Verwerken Verwarming en Tapwate'!$O$3))</f>
        <v>0</v>
      </c>
      <c r="F92" s="242">
        <f>IF('Verwerken Verwarming en Tapwate'!$J$4=0,0,$B$56*E78/('Verwerken Verwarming en Tapwate'!$J$4*'Verwerken Verwarming en Tapwate'!$O$4))</f>
        <v>0</v>
      </c>
      <c r="G92" s="242">
        <f>IF('Verwerken Verwarming en Tapwate'!$J$4=0,0,$C$56*K78/('Verwerken Verwarming en Tapwate'!$J$4*'Verwerken Verwarming en Tapwate'!$O$4))</f>
        <v>0</v>
      </c>
      <c r="H92" s="242">
        <f>IF('Verwerken Verwarming en Tapwate'!$J$4=0,0,$D$56*Q78/('Verwerken Verwarming en Tapwate'!$J$4*'Verwerken Verwarming en Tapwate'!$O$4))</f>
        <v>0</v>
      </c>
      <c r="I92" s="242">
        <f>IF('Verwerken Verwarming en Tapwate'!$J$4=0,0,$E$56*W78/('Verwerken Verwarming en Tapwate'!$J$4*'Verwerken Verwarming en Tapwate'!$O$4))</f>
        <v>0</v>
      </c>
      <c r="J92" s="242">
        <f>IF('Verwerken Verwarming en Tapwate'!$J$5=0,0,$B$57*E78/('Verwerken Verwarming en Tapwate'!$J$5*'Verwerken Verwarming en Tapwate'!$O$5))</f>
        <v>0</v>
      </c>
      <c r="K92" s="242">
        <f>IF('Verwerken Verwarming en Tapwate'!$J$5=0,0,$C$57*K78/('Verwerken Verwarming en Tapwate'!$J$5*'Verwerken Verwarming en Tapwate'!$O$5))</f>
        <v>0</v>
      </c>
      <c r="L92" s="242">
        <f>IF('Verwerken Verwarming en Tapwate'!$J$5=0,0,$D$57*Q78/('Verwerken Verwarming en Tapwate'!$J$5*'Verwerken Verwarming en Tapwate'!$O$5))</f>
        <v>0</v>
      </c>
      <c r="M92" s="242">
        <f>IF('Verwerken Verwarming en Tapwate'!$J$5=0,0,$E$57*W78/('Verwerken Verwarming en Tapwate'!$J$5*'Verwerken Verwarming en Tapwate'!$O$5))</f>
        <v>0</v>
      </c>
      <c r="N92" s="440">
        <f>IF('Verwerken Verwarming en Tapwate'!$J$6=0,0,$B$58*E78/('Verwerken Verwarming en Tapwate'!$J$6*'Verwerken Verwarming en Tapwate'!$O$6))</f>
        <v>0</v>
      </c>
      <c r="O92" s="440">
        <f>IF('Verwerken Verwarming en Tapwate'!$J$6=0,0,$C$58*K78/('Verwerken Verwarming en Tapwate'!$J$6*'Verwerken Verwarming en Tapwate'!$O$6))</f>
        <v>0</v>
      </c>
      <c r="P92" s="440">
        <f>IF('Verwerken Verwarming en Tapwate'!$J$6=0,0,$D$58*Q78/('Verwerken Verwarming en Tapwate'!$J$6*'Verwerken Verwarming en Tapwate'!$O$6))</f>
        <v>0</v>
      </c>
      <c r="Q92" s="440">
        <f>IF('Verwerken Verwarming en Tapwate'!$J$6=0,0,$E$58*W78/('Verwerken Verwarming en Tapwate'!$J$6*'Verwerken Verwarming en Tapwate'!$O$6))</f>
        <v>0</v>
      </c>
      <c r="R92" s="440"/>
      <c r="S92" s="242">
        <f t="shared" si="24"/>
        <v>0</v>
      </c>
      <c r="W92" s="447" t="s">
        <v>864</v>
      </c>
      <c r="X92" s="242">
        <f>IF(OR('Invoer Lokaal Type 1'!$J$17=0,'Invoer Lokaal Type 1'!$J$17="n.v.t."),0,'Invoer Algemeen'!$F$16+'Invoer Algemeen'!$F$17+'Invoer Algemeen'!$F$18+'Invoer Algemeen'!$F$19)</f>
        <v>0</v>
      </c>
      <c r="Y92" s="242">
        <f>IF(OR('Invoer Lokaal Type 2'!$J$17=0,'Invoer Lokaal Type 2'!$J$17="n.v.t."),0,'Invoer Algemeen'!$G$16+'Invoer Algemeen'!$G$17+'Invoer Algemeen'!$G$18+'Invoer Algemeen'!$G$19)</f>
        <v>0</v>
      </c>
      <c r="Z92" s="242">
        <f>IF(OR('Invoer Lokaal Type 3'!$J$17=0,'Invoer Lokaal Type 3'!$J$17="n.v.t."),0,'Invoer Algemeen'!$H$16+'Invoer Algemeen'!$H$17+'Invoer Algemeen'!$H$18+'Invoer Algemeen'!$H$19)</f>
        <v>0</v>
      </c>
      <c r="AA92" s="242">
        <f>IF(OR('Invoer Lokaal Type 4'!$J$17=0,'Invoer Lokaal Type 4'!$J$17="n.v.t."),0,'Invoer Algemeen'!$I$16+'Invoer Algemeen'!$I$17+'Invoer Algemeen'!$I$18+'Invoer Algemeen'!$I$19)</f>
        <v>0</v>
      </c>
      <c r="AB92" s="242">
        <f t="shared" si="25"/>
        <v>0</v>
      </c>
    </row>
    <row r="93" spans="1:28" s="242" customFormat="1" ht="11.25" hidden="1" x14ac:dyDescent="0.2">
      <c r="A93" s="318" t="s">
        <v>865</v>
      </c>
      <c r="B93" s="242">
        <f>IF('Verwerken Verwarming en Tapwate'!$J$3=0,0,$B$55*E79/('Verwerken Verwarming en Tapwate'!$J$3*'Verwerken Verwarming en Tapwate'!$O$3))</f>
        <v>0</v>
      </c>
      <c r="C93" s="242">
        <f>IF('Verwerken Verwarming en Tapwate'!$J$3=0,0,$C$55*K79/('Verwerken Verwarming en Tapwate'!$J$3*'Verwerken Verwarming en Tapwate'!$O$3))</f>
        <v>0</v>
      </c>
      <c r="D93" s="242">
        <f>IF('Verwerken Verwarming en Tapwate'!$J$3=0,0,$D$55*Q79/('Verwerken Verwarming en Tapwate'!$J$3*'Verwerken Verwarming en Tapwate'!$O$3))</f>
        <v>0</v>
      </c>
      <c r="E93" s="242">
        <f>IF('Verwerken Verwarming en Tapwate'!$J$3=0,0,$E$55*W79/('Verwerken Verwarming en Tapwate'!$J$3*'Verwerken Verwarming en Tapwate'!$O$3))</f>
        <v>0</v>
      </c>
      <c r="F93" s="242">
        <f>IF('Verwerken Verwarming en Tapwate'!$J$4=0,0,$B$56*E79/('Verwerken Verwarming en Tapwate'!$J$4*'Verwerken Verwarming en Tapwate'!$O$4))</f>
        <v>0</v>
      </c>
      <c r="G93" s="242">
        <f>IF('Verwerken Verwarming en Tapwate'!$J$4=0,0,$C$56*K79/('Verwerken Verwarming en Tapwate'!$J$4*'Verwerken Verwarming en Tapwate'!$O$4))</f>
        <v>0</v>
      </c>
      <c r="H93" s="242">
        <f>IF('Verwerken Verwarming en Tapwate'!$J$4=0,0,$D$56*Q79/('Verwerken Verwarming en Tapwate'!$J$4*'Verwerken Verwarming en Tapwate'!$O$4))</f>
        <v>0</v>
      </c>
      <c r="I93" s="242">
        <f>IF('Verwerken Verwarming en Tapwate'!$J$4=0,0,$E$56*W79/('Verwerken Verwarming en Tapwate'!$J$4*'Verwerken Verwarming en Tapwate'!$O$4))</f>
        <v>0</v>
      </c>
      <c r="J93" s="242">
        <f>IF('Verwerken Verwarming en Tapwate'!$J$5=0,0,$B$57*E79/('Verwerken Verwarming en Tapwate'!$J$5*'Verwerken Verwarming en Tapwate'!$O$5))</f>
        <v>0</v>
      </c>
      <c r="K93" s="242">
        <f>IF('Verwerken Verwarming en Tapwate'!$J$5=0,0,$C$57*K79/('Verwerken Verwarming en Tapwate'!$J$5*'Verwerken Verwarming en Tapwate'!$O$5))</f>
        <v>0</v>
      </c>
      <c r="L93" s="242">
        <f>IF('Verwerken Verwarming en Tapwate'!$J$5=0,0,$D$57*Q79/('Verwerken Verwarming en Tapwate'!$J$5*'Verwerken Verwarming en Tapwate'!$O$5))</f>
        <v>0</v>
      </c>
      <c r="M93" s="242">
        <f>IF('Verwerken Verwarming en Tapwate'!$J$5=0,0,$E$57*W79/('Verwerken Verwarming en Tapwate'!$J$5*'Verwerken Verwarming en Tapwate'!$O$5))</f>
        <v>0</v>
      </c>
      <c r="N93" s="440">
        <f>IF('Verwerken Verwarming en Tapwate'!$J$6=0,0,$B$58*E79/('Verwerken Verwarming en Tapwate'!$J$6*'Verwerken Verwarming en Tapwate'!$O$6))</f>
        <v>0</v>
      </c>
      <c r="O93" s="440">
        <f>IF('Verwerken Verwarming en Tapwate'!$J$6=0,0,$C$58*K79/('Verwerken Verwarming en Tapwate'!$J$6*'Verwerken Verwarming en Tapwate'!$O$6))</f>
        <v>0</v>
      </c>
      <c r="P93" s="440">
        <f>IF('Verwerken Verwarming en Tapwate'!$J$6=0,0,$D$58*Q79/('Verwerken Verwarming en Tapwate'!$J$6*'Verwerken Verwarming en Tapwate'!$O$6))</f>
        <v>0</v>
      </c>
      <c r="Q93" s="440">
        <f>IF('Verwerken Verwarming en Tapwate'!$J$6=0,0,$E$58*W79/('Verwerken Verwarming en Tapwate'!$J$6*'Verwerken Verwarming en Tapwate'!$O$6))</f>
        <v>0</v>
      </c>
      <c r="R93" s="440"/>
      <c r="S93" s="242">
        <f t="shared" si="24"/>
        <v>0</v>
      </c>
      <c r="W93" s="447" t="s">
        <v>865</v>
      </c>
      <c r="X93" s="242">
        <f>IF(OR('Invoer Lokaal Type 1'!$J$18=0,'Invoer Lokaal Type 1'!$J$18="n.v.t."),0,'Invoer Algemeen'!$F$16+'Invoer Algemeen'!$F$17+'Invoer Algemeen'!$F$18+'Invoer Algemeen'!$F$19)</f>
        <v>0</v>
      </c>
      <c r="Y93" s="242">
        <f>IF(OR('Invoer Lokaal Type 2'!$J$18=0,'Invoer Lokaal Type 2'!$J$18="n.v.t."),0,'Invoer Algemeen'!$G$16+'Invoer Algemeen'!$G$17+'Invoer Algemeen'!$G$18+'Invoer Algemeen'!$G$19)</f>
        <v>0</v>
      </c>
      <c r="Z93" s="242">
        <f>IF(OR('Invoer Lokaal Type 3'!$J$18=0,'Invoer Lokaal Type 3'!$J$18="n.v.t."),0,'Invoer Algemeen'!$H$16+'Invoer Algemeen'!$H$17+'Invoer Algemeen'!$H$18+'Invoer Algemeen'!$H$19)</f>
        <v>0</v>
      </c>
      <c r="AA93" s="242">
        <f>IF(OR('Invoer Lokaal Type 4'!$J$18=0,'Invoer Lokaal Type 4'!$J$18="n.v.t."),0,'Invoer Algemeen'!$I$16+'Invoer Algemeen'!$I$17+'Invoer Algemeen'!$I$18+'Invoer Algemeen'!$I$19)</f>
        <v>0</v>
      </c>
      <c r="AB93" s="242">
        <f t="shared" si="25"/>
        <v>0</v>
      </c>
    </row>
    <row r="94" spans="1:28" s="242" customFormat="1" ht="11.25" hidden="1" x14ac:dyDescent="0.2">
      <c r="A94" s="318" t="s">
        <v>866</v>
      </c>
      <c r="B94" s="242">
        <f>IF('Verwerken Verwarming en Tapwate'!$J$3=0,0,$B$55*E80/('Verwerken Verwarming en Tapwate'!$J$3*'Verwerken Verwarming en Tapwate'!$O$3))</f>
        <v>0</v>
      </c>
      <c r="C94" s="242">
        <f>IF('Verwerken Verwarming en Tapwate'!$J$3=0,0,$C$55*K80/('Verwerken Verwarming en Tapwate'!$J$3*'Verwerken Verwarming en Tapwate'!$O$3))</f>
        <v>0</v>
      </c>
      <c r="D94" s="242">
        <f>IF('Verwerken Verwarming en Tapwate'!$J$3=0,0,$D$55*Q80/('Verwerken Verwarming en Tapwate'!$J$3*'Verwerken Verwarming en Tapwate'!$O$3))</f>
        <v>0</v>
      </c>
      <c r="E94" s="242">
        <f>IF('Verwerken Verwarming en Tapwate'!$J$3=0,0,$E$55*W80/('Verwerken Verwarming en Tapwate'!$J$3*'Verwerken Verwarming en Tapwate'!$O$3))</f>
        <v>0</v>
      </c>
      <c r="F94" s="242">
        <f>IF('Verwerken Verwarming en Tapwate'!$J$4=0,0,$B$56*E80/('Verwerken Verwarming en Tapwate'!$J$4*'Verwerken Verwarming en Tapwate'!$O$4))</f>
        <v>0</v>
      </c>
      <c r="G94" s="242">
        <f>IF('Verwerken Verwarming en Tapwate'!$J$4=0,0,$C$56*K80/('Verwerken Verwarming en Tapwate'!$J$4*'Verwerken Verwarming en Tapwate'!$O$4))</f>
        <v>0</v>
      </c>
      <c r="H94" s="242">
        <f>IF('Verwerken Verwarming en Tapwate'!$J$4=0,0,$D$56*Q80/('Verwerken Verwarming en Tapwate'!$J$4*'Verwerken Verwarming en Tapwate'!$O$4))</f>
        <v>0</v>
      </c>
      <c r="I94" s="242">
        <f>IF('Verwerken Verwarming en Tapwate'!$J$4=0,0,$E$56*W80/('Verwerken Verwarming en Tapwate'!$J$4*'Verwerken Verwarming en Tapwate'!$O$4))</f>
        <v>0</v>
      </c>
      <c r="J94" s="242">
        <f>IF('Verwerken Verwarming en Tapwate'!$J$5=0,0,$B$57*E80/('Verwerken Verwarming en Tapwate'!$J$5*'Verwerken Verwarming en Tapwate'!$O$5))</f>
        <v>0</v>
      </c>
      <c r="K94" s="242">
        <f>IF('Verwerken Verwarming en Tapwate'!$J$5=0,0,$C$57*K80/('Verwerken Verwarming en Tapwate'!$J$5*'Verwerken Verwarming en Tapwate'!$O$5))</f>
        <v>0</v>
      </c>
      <c r="L94" s="242">
        <f>IF('Verwerken Verwarming en Tapwate'!$J$5=0,0,$D$57*Q80/('Verwerken Verwarming en Tapwate'!$J$5*'Verwerken Verwarming en Tapwate'!$O$5))</f>
        <v>0</v>
      </c>
      <c r="M94" s="242">
        <f>IF('Verwerken Verwarming en Tapwate'!$J$5=0,0,$E$57*W80/('Verwerken Verwarming en Tapwate'!$J$5*'Verwerken Verwarming en Tapwate'!$O$5))</f>
        <v>0</v>
      </c>
      <c r="N94" s="440">
        <f>IF('Verwerken Verwarming en Tapwate'!$J$6=0,0,$B$58*E80/('Verwerken Verwarming en Tapwate'!$J$6*'Verwerken Verwarming en Tapwate'!$O$6))</f>
        <v>0</v>
      </c>
      <c r="O94" s="440">
        <f>IF('Verwerken Verwarming en Tapwate'!$J$6=0,0,$C$58*K80/('Verwerken Verwarming en Tapwate'!$J$6*'Verwerken Verwarming en Tapwate'!$O$6))</f>
        <v>0</v>
      </c>
      <c r="P94" s="440">
        <f>IF('Verwerken Verwarming en Tapwate'!$J$6=0,0,$D$58*Q80/('Verwerken Verwarming en Tapwate'!$J$6*'Verwerken Verwarming en Tapwate'!$O$6))</f>
        <v>0</v>
      </c>
      <c r="Q94" s="440">
        <f>IF('Verwerken Verwarming en Tapwate'!$J$6=0,0,$E$58*W80/('Verwerken Verwarming en Tapwate'!$J$6*'Verwerken Verwarming en Tapwate'!$O$6))</f>
        <v>0</v>
      </c>
      <c r="R94" s="440"/>
      <c r="S94" s="242">
        <f t="shared" si="24"/>
        <v>0</v>
      </c>
      <c r="W94" s="447" t="s">
        <v>866</v>
      </c>
      <c r="X94" s="242">
        <f>IF(OR('Invoer Lokaal Type 1'!$J$19=0,'Invoer Lokaal Type 1'!$J$19="n.v.t."),0,'Invoer Algemeen'!$F$16+'Invoer Algemeen'!$F$17+'Invoer Algemeen'!$F$18+'Invoer Algemeen'!$F$19)</f>
        <v>0</v>
      </c>
      <c r="Y94" s="242">
        <f>IF(OR('Invoer Lokaal Type 2'!$J$19=0,'Invoer Lokaal Type 2'!$J$19="n.v.t."),0,'Invoer Algemeen'!$G$16+'Invoer Algemeen'!$G$17+'Invoer Algemeen'!$G$18+'Invoer Algemeen'!$G$19)</f>
        <v>0</v>
      </c>
      <c r="Z94" s="242">
        <f>IF(OR('Invoer Lokaal Type 3'!$J$19=0,'Invoer Lokaal Type 3'!$J$19="n.v.t."),0,'Invoer Algemeen'!$H$16+'Invoer Algemeen'!$H$17+'Invoer Algemeen'!$H$18+'Invoer Algemeen'!$H$19)</f>
        <v>0</v>
      </c>
      <c r="AA94" s="242">
        <f>IF(OR('Invoer Lokaal Type 4'!$J$19=0,'Invoer Lokaal Type 4'!$J$19="n.v.t."),0,'Invoer Algemeen'!$I$16+'Invoer Algemeen'!$I$17+'Invoer Algemeen'!$I$18+'Invoer Algemeen'!$I$19)</f>
        <v>0</v>
      </c>
      <c r="AB94" s="242">
        <f t="shared" si="25"/>
        <v>0</v>
      </c>
    </row>
    <row r="95" spans="1:28" s="242" customFormat="1" ht="11.25" hidden="1" x14ac:dyDescent="0.2">
      <c r="A95" s="318" t="s">
        <v>868</v>
      </c>
      <c r="B95" s="242">
        <f>IF('Verwerken Verwarming en Tapwate'!$J$3=0,0,$B$55*E81/('Verwerken Verwarming en Tapwate'!$J$3*'Verwerken Verwarming en Tapwate'!$O$3))</f>
        <v>0</v>
      </c>
      <c r="C95" s="242">
        <f>IF('Verwerken Verwarming en Tapwate'!$J$3=0,0,$C$55*K81/('Verwerken Verwarming en Tapwate'!$J$3*'Verwerken Verwarming en Tapwate'!$O$3))</f>
        <v>0</v>
      </c>
      <c r="D95" s="242">
        <f>IF('Verwerken Verwarming en Tapwate'!$J$3=0,0,$D$55*Q81/('Verwerken Verwarming en Tapwate'!$J$3*'Verwerken Verwarming en Tapwate'!$O$3))</f>
        <v>0</v>
      </c>
      <c r="E95" s="242">
        <f>IF('Verwerken Verwarming en Tapwate'!$J$3=0,0,$E$55*W81/('Verwerken Verwarming en Tapwate'!$J$3*'Verwerken Verwarming en Tapwate'!$O$3))</f>
        <v>0</v>
      </c>
      <c r="F95" s="242">
        <f>IF('Verwerken Verwarming en Tapwate'!$J$4=0,0,$B$56*E81/('Verwerken Verwarming en Tapwate'!$J$4*'Verwerken Verwarming en Tapwate'!$O$4))</f>
        <v>0</v>
      </c>
      <c r="G95" s="242">
        <f>IF('Verwerken Verwarming en Tapwate'!$J$4=0,0,$C$56*K81/('Verwerken Verwarming en Tapwate'!$J$4*'Verwerken Verwarming en Tapwate'!$O$4))</f>
        <v>0</v>
      </c>
      <c r="H95" s="242">
        <f>IF('Verwerken Verwarming en Tapwate'!$J$4=0,0,$D$56*Q81/('Verwerken Verwarming en Tapwate'!$J$4*'Verwerken Verwarming en Tapwate'!$O$4))</f>
        <v>0</v>
      </c>
      <c r="I95" s="242">
        <f>IF('Verwerken Verwarming en Tapwate'!$J$4=0,0,$E$56*W81/('Verwerken Verwarming en Tapwate'!$J$4*'Verwerken Verwarming en Tapwate'!$O$4))</f>
        <v>0</v>
      </c>
      <c r="J95" s="242">
        <f>IF('Verwerken Verwarming en Tapwate'!$J$5=0,0,$B$57*E81/('Verwerken Verwarming en Tapwate'!$J$5*'Verwerken Verwarming en Tapwate'!$O$5))</f>
        <v>0</v>
      </c>
      <c r="K95" s="242">
        <f>IF('Verwerken Verwarming en Tapwate'!$J$5=0,0,$C$57*K81/('Verwerken Verwarming en Tapwate'!$J$5*'Verwerken Verwarming en Tapwate'!$O$5))</f>
        <v>0</v>
      </c>
      <c r="L95" s="242">
        <f>IF('Verwerken Verwarming en Tapwate'!$J$5=0,0,$D$57*Q81/('Verwerken Verwarming en Tapwate'!$J$5*'Verwerken Verwarming en Tapwate'!$O$5))</f>
        <v>0</v>
      </c>
      <c r="M95" s="242">
        <f>IF('Verwerken Verwarming en Tapwate'!$J$5=0,0,$E$57*W81/('Verwerken Verwarming en Tapwate'!$J$5*'Verwerken Verwarming en Tapwate'!$O$5))</f>
        <v>0</v>
      </c>
      <c r="N95" s="440">
        <f>IF('Verwerken Verwarming en Tapwate'!$J$6=0,0,$B$58*E81/('Verwerken Verwarming en Tapwate'!$J$6*'Verwerken Verwarming en Tapwate'!$O$6))</f>
        <v>0</v>
      </c>
      <c r="O95" s="440">
        <f>IF('Verwerken Verwarming en Tapwate'!$J$6=0,0,$C$58*K81/('Verwerken Verwarming en Tapwate'!$J$6*'Verwerken Verwarming en Tapwate'!$O$6))</f>
        <v>0</v>
      </c>
      <c r="P95" s="440">
        <f>IF('Verwerken Verwarming en Tapwate'!$J$6=0,0,$D$58*Q81/('Verwerken Verwarming en Tapwate'!$J$6*'Verwerken Verwarming en Tapwate'!$O$6))</f>
        <v>0</v>
      </c>
      <c r="Q95" s="440">
        <f>IF('Verwerken Verwarming en Tapwate'!$J$6=0,0,$E$58*W81/('Verwerken Verwarming en Tapwate'!$J$6*'Verwerken Verwarming en Tapwate'!$O$6))</f>
        <v>0</v>
      </c>
      <c r="R95" s="440"/>
      <c r="S95" s="242">
        <f t="shared" si="24"/>
        <v>0</v>
      </c>
      <c r="W95" s="447" t="s">
        <v>868</v>
      </c>
      <c r="X95" s="242">
        <f>IF(OR('Invoer Lokaal Type 1'!$J$20=0,'Invoer Lokaal Type 1'!$J$20="n.v.t."),0,'Invoer Algemeen'!$F$16+'Invoer Algemeen'!$F$17+'Invoer Algemeen'!$F$18+'Invoer Algemeen'!$F$19)</f>
        <v>0</v>
      </c>
      <c r="Y95" s="242">
        <f>IF(OR('Invoer Lokaal Type 2'!$J$20=0,'Invoer Lokaal Type 2'!$J$20="n.v.t."),0,'Invoer Algemeen'!$G$16+'Invoer Algemeen'!$G$17+'Invoer Algemeen'!$G$18+'Invoer Algemeen'!$G$19)</f>
        <v>0</v>
      </c>
      <c r="Z95" s="242">
        <f>IF(OR('Invoer Lokaal Type 3'!$J$20=0,'Invoer Lokaal Type 3'!$J$20="n.v.t."),0,'Invoer Algemeen'!$H$16+'Invoer Algemeen'!$H$17+'Invoer Algemeen'!$H$18+'Invoer Algemeen'!$H$19)</f>
        <v>0</v>
      </c>
      <c r="AA95" s="242">
        <f>IF(OR('Invoer Lokaal Type 4'!$J$20=0,'Invoer Lokaal Type 4'!$J$20="n.v.t."),0,'Invoer Algemeen'!$I$16+'Invoer Algemeen'!$I$17+'Invoer Algemeen'!$I$18+'Invoer Algemeen'!$I$19)</f>
        <v>0</v>
      </c>
      <c r="AB95" s="242">
        <f t="shared" si="25"/>
        <v>0</v>
      </c>
    </row>
    <row r="96" spans="1:28" s="242" customFormat="1" ht="11.25" hidden="1" x14ac:dyDescent="0.2">
      <c r="A96" s="318" t="s">
        <v>863</v>
      </c>
      <c r="B96" s="242">
        <f>IF('Verwerken Verwarming en Tapwate'!$J$3=0,0,$B$55*E82/('Verwerken Verwarming en Tapwate'!$J$3*'Verwerken Verwarming en Tapwate'!$O$3))</f>
        <v>0</v>
      </c>
      <c r="C96" s="242">
        <f>IF('Verwerken Verwarming en Tapwate'!$J$3=0,0,$C$55*K82/('Verwerken Verwarming en Tapwate'!$J$3*'Verwerken Verwarming en Tapwate'!$O$3))</f>
        <v>0</v>
      </c>
      <c r="D96" s="242">
        <f>IF('Verwerken Verwarming en Tapwate'!$J$3=0,0,$D$55*Q82/('Verwerken Verwarming en Tapwate'!$J$3*'Verwerken Verwarming en Tapwate'!$O$3))</f>
        <v>0</v>
      </c>
      <c r="E96" s="242">
        <f>IF('Verwerken Verwarming en Tapwate'!$J$3=0,0,$E$55*W82/('Verwerken Verwarming en Tapwate'!$J$3*'Verwerken Verwarming en Tapwate'!$O$3))</f>
        <v>0</v>
      </c>
      <c r="F96" s="242">
        <f>IF('Verwerken Verwarming en Tapwate'!$J$4=0,0,$B$56*E82/('Verwerken Verwarming en Tapwate'!$J$4*'Verwerken Verwarming en Tapwate'!$O$4))</f>
        <v>0</v>
      </c>
      <c r="G96" s="242">
        <f>IF('Verwerken Verwarming en Tapwate'!$J$4=0,0,$C$56*K82/('Verwerken Verwarming en Tapwate'!$J$4*'Verwerken Verwarming en Tapwate'!$O$4))</f>
        <v>0</v>
      </c>
      <c r="H96" s="242">
        <f>IF('Verwerken Verwarming en Tapwate'!$J$4=0,0,$D$56*Q82/('Verwerken Verwarming en Tapwate'!$J$4*'Verwerken Verwarming en Tapwate'!$O$4))</f>
        <v>0</v>
      </c>
      <c r="I96" s="242">
        <f>IF('Verwerken Verwarming en Tapwate'!$J$4=0,0,$E$56*W82/('Verwerken Verwarming en Tapwate'!$J$4*'Verwerken Verwarming en Tapwate'!$O$4))</f>
        <v>0</v>
      </c>
      <c r="J96" s="242">
        <f>IF('Verwerken Verwarming en Tapwate'!$J$5=0,0,$B$57*E82/('Verwerken Verwarming en Tapwate'!$J$5*'Verwerken Verwarming en Tapwate'!$O$5))</f>
        <v>0</v>
      </c>
      <c r="K96" s="242">
        <f>IF('Verwerken Verwarming en Tapwate'!$J$5=0,0,$C$57*K82/('Verwerken Verwarming en Tapwate'!$J$5*'Verwerken Verwarming en Tapwate'!$O$5))</f>
        <v>0</v>
      </c>
      <c r="L96" s="242">
        <f>IF('Verwerken Verwarming en Tapwate'!$J$5=0,0,$D$57*Q82/('Verwerken Verwarming en Tapwate'!$J$5*'Verwerken Verwarming en Tapwate'!$O$5))</f>
        <v>0</v>
      </c>
      <c r="M96" s="242">
        <f>IF('Verwerken Verwarming en Tapwate'!$J$5=0,0,$E$57*W82/('Verwerken Verwarming en Tapwate'!$J$5*'Verwerken Verwarming en Tapwate'!$O$5))</f>
        <v>0</v>
      </c>
      <c r="N96" s="440">
        <f>IF('Verwerken Verwarming en Tapwate'!$J$6=0,0,$B$58*E82/('Verwerken Verwarming en Tapwate'!$J$6*'Verwerken Verwarming en Tapwate'!$O$6))</f>
        <v>0</v>
      </c>
      <c r="O96" s="440">
        <f>IF('Verwerken Verwarming en Tapwate'!$J$6=0,0,$C$58*K82/('Verwerken Verwarming en Tapwate'!$J$6*'Verwerken Verwarming en Tapwate'!$O$6))</f>
        <v>0</v>
      </c>
      <c r="P96" s="440">
        <f>IF('Verwerken Verwarming en Tapwate'!$J$6=0,0,$D$58*Q82/('Verwerken Verwarming en Tapwate'!$J$6*'Verwerken Verwarming en Tapwate'!$O$6))</f>
        <v>0</v>
      </c>
      <c r="Q96" s="440">
        <f>IF('Verwerken Verwarming en Tapwate'!$J$6=0,0,$E$58*W82/('Verwerken Verwarming en Tapwate'!$J$6*'Verwerken Verwarming en Tapwate'!$O$6))</f>
        <v>0</v>
      </c>
      <c r="R96" s="440"/>
      <c r="S96" s="242">
        <f t="shared" si="24"/>
        <v>0</v>
      </c>
      <c r="W96" s="447" t="s">
        <v>1037</v>
      </c>
      <c r="X96" s="242">
        <f>IF(OR('Invoer Lokaal Type 1'!$J$21=0,'Invoer Lokaal Type 1'!$J$21="n.v.t."),0,('Invoer Algemeen'!$F$16+'Invoer Algemeen'!$F$17+'Invoer Algemeen'!$F$18+'Invoer Algemeen'!$F$19)*'Invoer Lokaal Type 1'!E20)</f>
        <v>0</v>
      </c>
      <c r="Y96" s="242">
        <f>IF(OR('Invoer Lokaal Type 2'!$J$21=0,'Invoer Lokaal Type 2'!$J$21="n.v.t."),0,('Invoer Algemeen'!$G$16+'Invoer Algemeen'!$G$17+'Invoer Algemeen'!$G$18+'Invoer Algemeen'!$G$19)*'Invoer Lokaal Type 2'!E20)</f>
        <v>0</v>
      </c>
      <c r="Z96" s="242">
        <f>IF(OR('Invoer Lokaal Type 3'!$J$21=0,'Invoer Lokaal Type 3'!$J$21="n.v.t."),0,('Invoer Algemeen'!$H$16+'Invoer Algemeen'!$H$17+'Invoer Algemeen'!$H$18+'Invoer Algemeen'!$H$19)*'Invoer Lokaal Type 3'!E20)</f>
        <v>0</v>
      </c>
      <c r="AA96" s="242">
        <f>IF(OR('Invoer Lokaal Type 4'!$J$21=0,'Invoer Lokaal Type 4'!$J$21="n.v.t."),0,('Invoer Algemeen'!$I$16+'Invoer Algemeen'!$I$17+'Invoer Algemeen'!$I$18+'Invoer Algemeen'!$I$19)*'Invoer Lokaal Type 4'!E20)</f>
        <v>0</v>
      </c>
      <c r="AB96" s="242">
        <f t="shared" si="25"/>
        <v>0</v>
      </c>
    </row>
    <row r="97" spans="1:28" s="242" customFormat="1" ht="11.25" hidden="1" x14ac:dyDescent="0.2">
      <c r="A97" s="318" t="s">
        <v>838</v>
      </c>
      <c r="B97" s="242">
        <f>IF('Verwerken Verwarming en Tapwate'!$J$3=0,0,$B$55*E83/('Verwerken Verwarming en Tapwate'!$J$3*'Verwerken Verwarming en Tapwate'!$O$3))</f>
        <v>0</v>
      </c>
      <c r="C97" s="242">
        <f>IF('Verwerken Verwarming en Tapwate'!$J$3=0,0,$C$55*K83/('Verwerken Verwarming en Tapwate'!$J$3*'Verwerken Verwarming en Tapwate'!$O$3))</f>
        <v>0</v>
      </c>
      <c r="D97" s="242">
        <f>IF('Verwerken Verwarming en Tapwate'!$J$3=0,0,$D$55*Q83/('Verwerken Verwarming en Tapwate'!$J$3*'Verwerken Verwarming en Tapwate'!$O$3))</f>
        <v>0</v>
      </c>
      <c r="E97" s="242">
        <f>IF('Verwerken Verwarming en Tapwate'!$J$3=0,0,$E$55*W83/('Verwerken Verwarming en Tapwate'!$J$3*'Verwerken Verwarming en Tapwate'!$O$3))</f>
        <v>0</v>
      </c>
      <c r="F97" s="242">
        <f>IF('Verwerken Verwarming en Tapwate'!$J$4=0,0,$B$56*E83/('Verwerken Verwarming en Tapwate'!$J$4*'Verwerken Verwarming en Tapwate'!$O$4))</f>
        <v>0</v>
      </c>
      <c r="G97" s="242">
        <f>IF('Verwerken Verwarming en Tapwate'!$J$4=0,0,$C$56*K83/('Verwerken Verwarming en Tapwate'!$J$4*'Verwerken Verwarming en Tapwate'!$O$4))</f>
        <v>0</v>
      </c>
      <c r="H97" s="242">
        <f>IF('Verwerken Verwarming en Tapwate'!$J$4=0,0,$D$56*Q83/('Verwerken Verwarming en Tapwate'!$J$4*'Verwerken Verwarming en Tapwate'!$O$4))</f>
        <v>0</v>
      </c>
      <c r="I97" s="242">
        <f>IF('Verwerken Verwarming en Tapwate'!$J$4=0,0,$E$56*W83/('Verwerken Verwarming en Tapwate'!$J$4*'Verwerken Verwarming en Tapwate'!$O$4))</f>
        <v>0</v>
      </c>
      <c r="J97" s="242">
        <f>IF('Verwerken Verwarming en Tapwate'!$J$5=0,0,$B$57*E83/('Verwerken Verwarming en Tapwate'!$J$5*'Verwerken Verwarming en Tapwate'!$O$5))</f>
        <v>0</v>
      </c>
      <c r="K97" s="242">
        <f>IF('Verwerken Verwarming en Tapwate'!$J$5=0,0,$C$57*K83/('Verwerken Verwarming en Tapwate'!$J$5*'Verwerken Verwarming en Tapwate'!$O$5))</f>
        <v>0</v>
      </c>
      <c r="L97" s="242">
        <f>IF('Verwerken Verwarming en Tapwate'!$J$5=0,0,$D$57*Q83/('Verwerken Verwarming en Tapwate'!$J$5*'Verwerken Verwarming en Tapwate'!$O$5))</f>
        <v>0</v>
      </c>
      <c r="M97" s="242">
        <f>IF('Verwerken Verwarming en Tapwate'!$J$5=0,0,$E$57*W83/('Verwerken Verwarming en Tapwate'!$J$5*'Verwerken Verwarming en Tapwate'!$O$5))</f>
        <v>0</v>
      </c>
      <c r="N97" s="440">
        <f>IF('Verwerken Verwarming en Tapwate'!$J$6=0,0,$B$58*E83/('Verwerken Verwarming en Tapwate'!$J$6*'Verwerken Verwarming en Tapwate'!$O$6))</f>
        <v>0</v>
      </c>
      <c r="O97" s="440">
        <f>IF('Verwerken Verwarming en Tapwate'!$J$6=0,0,$C$58*K83/('Verwerken Verwarming en Tapwate'!$J$6*'Verwerken Verwarming en Tapwate'!$O$6))</f>
        <v>0</v>
      </c>
      <c r="P97" s="440">
        <f>IF('Verwerken Verwarming en Tapwate'!$J$6=0,0,$D$58*Q83/('Verwerken Verwarming en Tapwate'!$J$6*'Verwerken Verwarming en Tapwate'!$O$6))</f>
        <v>0</v>
      </c>
      <c r="Q97" s="440">
        <f>IF('Verwerken Verwarming en Tapwate'!$J$6=0,0,$E$58*W83/('Verwerken Verwarming en Tapwate'!$J$6*'Verwerken Verwarming en Tapwate'!$O$6))</f>
        <v>0</v>
      </c>
      <c r="R97" s="440"/>
      <c r="S97" s="242">
        <f t="shared" si="24"/>
        <v>0</v>
      </c>
      <c r="W97" s="447" t="s">
        <v>1038</v>
      </c>
      <c r="X97" s="242">
        <f>IF(OR('Invoer Lokaal Type 1'!$J$22=0,'Invoer Lokaal Type 1'!$J$22="n.v.t."),0,('Invoer Algemeen'!$F$16+'Invoer Algemeen'!$F$17+'Invoer Algemeen'!$F$18+'Invoer Algemeen'!$F$19)*'Invoer Lokaal Type 1'!C22)</f>
        <v>0</v>
      </c>
      <c r="Y97" s="242">
        <f>IF(OR('Invoer Lokaal Type 2'!$J$22=0,'Invoer Lokaal Type 2'!$J$22="n.v.t."),0,('Invoer Algemeen'!$G$16+'Invoer Algemeen'!$G$17+'Invoer Algemeen'!$G$18+'Invoer Algemeen'!$G$19)*'Invoer Lokaal Type 2'!C22)</f>
        <v>0</v>
      </c>
      <c r="Z97" s="242">
        <f>IF(OR('Invoer Lokaal Type 3'!$J$22=0,'Invoer Lokaal Type 3'!$J$22="n.v.t."),0,('Invoer Algemeen'!$H$16+'Invoer Algemeen'!$H$17+'Invoer Algemeen'!$H$18+'Invoer Algemeen'!$H$19)*'Invoer Lokaal Type 3'!C22)</f>
        <v>0</v>
      </c>
      <c r="AA97" s="242">
        <f>IF(OR('Invoer Lokaal Type 4'!$J$22=0,'Invoer Lokaal Type 4'!$J$22="n.v.t."),0,('Invoer Algemeen'!$I$16+'Invoer Algemeen'!$I$17+'Invoer Algemeen'!$I$18+'Invoer Algemeen'!$I$19)*'Invoer Lokaal Type 4'!C22)</f>
        <v>0</v>
      </c>
      <c r="AB97" s="242">
        <f t="shared" si="25"/>
        <v>0</v>
      </c>
    </row>
    <row r="98" spans="1:28" s="242" customFormat="1" ht="11.25" hidden="1" x14ac:dyDescent="0.2">
      <c r="A98" s="318" t="s">
        <v>204</v>
      </c>
      <c r="B98" s="242">
        <f>IF('Verwerken Verwarming en Tapwate'!$J$3=0,0,$B$55*E84/('Verwerken Verwarming en Tapwate'!$J$3*'Verwerken Verwarming en Tapwate'!$O$3))</f>
        <v>0</v>
      </c>
      <c r="C98" s="242">
        <f>IF('Verwerken Verwarming en Tapwate'!$J$3=0,0,$C$55*K84/('Verwerken Verwarming en Tapwate'!$J$3*'Verwerken Verwarming en Tapwate'!$O$3))</f>
        <v>0</v>
      </c>
      <c r="D98" s="242">
        <f>IF('Verwerken Verwarming en Tapwate'!$J$3=0,0,$D$55*Q84/('Verwerken Verwarming en Tapwate'!$J$3*'Verwerken Verwarming en Tapwate'!$O$3))</f>
        <v>0</v>
      </c>
      <c r="E98" s="242">
        <f>IF('Verwerken Verwarming en Tapwate'!$J$3=0,0,$E$55*W84/('Verwerken Verwarming en Tapwate'!$J$3*'Verwerken Verwarming en Tapwate'!$O$3))</f>
        <v>0</v>
      </c>
      <c r="F98" s="242">
        <f>IF('Verwerken Verwarming en Tapwate'!$J$4=0,0,$B$56*E84/('Verwerken Verwarming en Tapwate'!$J$4*'Verwerken Verwarming en Tapwate'!$O$4))</f>
        <v>0</v>
      </c>
      <c r="G98" s="242">
        <f>IF('Verwerken Verwarming en Tapwate'!$J$4=0,0,$C$56*K84/('Verwerken Verwarming en Tapwate'!$J$4*'Verwerken Verwarming en Tapwate'!$O$4))</f>
        <v>0</v>
      </c>
      <c r="H98" s="242">
        <f>IF('Verwerken Verwarming en Tapwate'!$J$4=0,0,$D$56*Q84/('Verwerken Verwarming en Tapwate'!$J$4*'Verwerken Verwarming en Tapwate'!$O$4))</f>
        <v>0</v>
      </c>
      <c r="I98" s="242">
        <f>IF('Verwerken Verwarming en Tapwate'!$J$4=0,0,$E$56*W84/('Verwerken Verwarming en Tapwate'!$J$4*'Verwerken Verwarming en Tapwate'!$O$4))</f>
        <v>0</v>
      </c>
      <c r="J98" s="242">
        <f>IF('Verwerken Verwarming en Tapwate'!$J$5=0,0,$B$57*E84/('Verwerken Verwarming en Tapwate'!$J$5*'Verwerken Verwarming en Tapwate'!$O$5))</f>
        <v>0</v>
      </c>
      <c r="K98" s="242">
        <f>IF('Verwerken Verwarming en Tapwate'!$J$5=0,0,$C$57*K84/('Verwerken Verwarming en Tapwate'!$J$5*'Verwerken Verwarming en Tapwate'!$O$5))</f>
        <v>0</v>
      </c>
      <c r="L98" s="242">
        <f>IF('Verwerken Verwarming en Tapwate'!$J$5=0,0,$D$57*Q84/('Verwerken Verwarming en Tapwate'!$J$5*'Verwerken Verwarming en Tapwate'!$O$5))</f>
        <v>0</v>
      </c>
      <c r="M98" s="242">
        <f>IF('Verwerken Verwarming en Tapwate'!$J$5=0,0,$E$57*W84/('Verwerken Verwarming en Tapwate'!$J$5*'Verwerken Verwarming en Tapwate'!$O$5))</f>
        <v>0</v>
      </c>
      <c r="N98" s="440">
        <f>IF('Verwerken Verwarming en Tapwate'!$J$6=0,0,$B$58*E84/('Verwerken Verwarming en Tapwate'!$J$6*'Verwerken Verwarming en Tapwate'!$O$6))</f>
        <v>0</v>
      </c>
      <c r="O98" s="440">
        <f>IF('Verwerken Verwarming en Tapwate'!$J$6=0,0,$C$58*K84/('Verwerken Verwarming en Tapwate'!$J$6*'Verwerken Verwarming en Tapwate'!$O$6))</f>
        <v>0</v>
      </c>
      <c r="P98" s="440">
        <f>IF('Verwerken Verwarming en Tapwate'!$J$6=0,0,$D$58*Q84/('Verwerken Verwarming en Tapwate'!$J$6*'Verwerken Verwarming en Tapwate'!$O$6))</f>
        <v>0</v>
      </c>
      <c r="Q98" s="440">
        <f>IF('Verwerken Verwarming en Tapwate'!$J$6=0,0,$E$58*W84/('Verwerken Verwarming en Tapwate'!$J$6*'Verwerken Verwarming en Tapwate'!$O$6))</f>
        <v>0</v>
      </c>
      <c r="R98" s="440"/>
      <c r="S98" s="242">
        <f t="shared" si="24"/>
        <v>0</v>
      </c>
      <c r="W98" s="447" t="s">
        <v>204</v>
      </c>
      <c r="X98" s="242">
        <f>IF(OR('Invoer Lokaal Type 1'!$J$25=0,'Invoer Lokaal Type 1'!$J$25="n.v.t."),0,'Invoer Algemeen'!$F$16+'Invoer Algemeen'!$F$17+'Invoer Algemeen'!$F$18+'Invoer Algemeen'!$F$19)</f>
        <v>0</v>
      </c>
      <c r="Y98" s="242">
        <f>IF(OR('Invoer Lokaal Type 2'!$J$25=0,'Invoer Lokaal Type 2'!$J$25="n.v.t."),0,'Invoer Algemeen'!$G$16+'Invoer Algemeen'!$G$17+'Invoer Algemeen'!$G$18+'Invoer Algemeen'!$G$19)</f>
        <v>0</v>
      </c>
      <c r="Z98" s="242">
        <f>IF(OR('Invoer Lokaal Type 3'!$J$25=0,'Invoer Lokaal Type 3'!$J$25="n.v.t."),0,'Invoer Algemeen'!$H$16+'Invoer Algemeen'!$H$17+'Invoer Algemeen'!$H$18+'Invoer Algemeen'!$H$19)</f>
        <v>0</v>
      </c>
      <c r="AA98" s="242">
        <f>IF(OR('Invoer Lokaal Type 4'!$J$25=0,'Invoer Lokaal Type 4'!$J$25="n.v.t."),0,'Invoer Algemeen'!$I$16+'Invoer Algemeen'!$I$17+'Invoer Algemeen'!$I$18+'Invoer Algemeen'!$I$19)</f>
        <v>0</v>
      </c>
      <c r="AB98" s="242">
        <f t="shared" si="25"/>
        <v>0</v>
      </c>
    </row>
    <row r="99" spans="1:28" s="242" customFormat="1" ht="11.25" x14ac:dyDescent="0.2">
      <c r="N99" s="440"/>
      <c r="O99" s="440"/>
      <c r="P99" s="440"/>
      <c r="Q99" s="440"/>
      <c r="R99" s="440"/>
    </row>
    <row r="100" spans="1:28" s="242" customFormat="1" ht="45" x14ac:dyDescent="0.2">
      <c r="B100" s="436" t="s">
        <v>1118</v>
      </c>
      <c r="C100" s="438" t="s">
        <v>755</v>
      </c>
      <c r="D100" s="438" t="s">
        <v>760</v>
      </c>
      <c r="E100" s="438" t="s">
        <v>608</v>
      </c>
      <c r="F100" s="438" t="s">
        <v>609</v>
      </c>
      <c r="G100" s="438" t="s">
        <v>610</v>
      </c>
      <c r="H100" s="438" t="s">
        <v>613</v>
      </c>
      <c r="I100" s="438" t="s">
        <v>47</v>
      </c>
      <c r="J100" s="439" t="s">
        <v>1210</v>
      </c>
      <c r="K100" s="438" t="s">
        <v>35</v>
      </c>
      <c r="L100" s="438" t="s">
        <v>643</v>
      </c>
      <c r="N100" s="440"/>
      <c r="O100" s="440"/>
      <c r="P100" s="440"/>
      <c r="Q100" s="440"/>
      <c r="R100" s="440"/>
    </row>
    <row r="101" spans="1:28" s="242" customFormat="1" ht="11.25" x14ac:dyDescent="0.2">
      <c r="A101" s="440">
        <f>P101</f>
        <v>0</v>
      </c>
      <c r="B101" s="323" t="s">
        <v>861</v>
      </c>
      <c r="C101" s="448">
        <f>I101/2000</f>
        <v>0</v>
      </c>
      <c r="D101" s="449" t="s">
        <v>759</v>
      </c>
      <c r="E101" s="441">
        <f>-1*S88</f>
        <v>0</v>
      </c>
      <c r="F101" s="441"/>
      <c r="G101" s="441">
        <f>-1*(F74*$B$59+L74*$C$59+R74*$D$59+X74*$E$59)</f>
        <v>0</v>
      </c>
      <c r="H101" s="441">
        <f>(E101*('Invoer energieverbruik'!$C$23+'Energiebelasting en transport'!$D$13)+F101*('Invoer energieverbruik'!$C$27)+G101*'Energiebelasting en transport'!$C$24)*1.19</f>
        <v>0</v>
      </c>
      <c r="I101" s="441">
        <f>(B74*$B$59+H74*$C$59+N74*$D$59+T74*$E$59)</f>
        <v>0</v>
      </c>
      <c r="J101" s="442">
        <v>0</v>
      </c>
      <c r="K101" s="441" t="s">
        <v>91</v>
      </c>
      <c r="L101" s="443">
        <f>IF(H101=0,0,(E101*35.17+F101*1000+G101*9.23)/($G$9*35.17+$G$10*1000+$G$11*9.23))</f>
        <v>0</v>
      </c>
      <c r="N101" s="440">
        <f>IF(I101&gt;0,1,0)</f>
        <v>0</v>
      </c>
      <c r="O101" s="440">
        <f>N101</f>
        <v>0</v>
      </c>
      <c r="P101" s="440">
        <f>N101*O101</f>
        <v>0</v>
      </c>
      <c r="Q101" s="450">
        <v>1</v>
      </c>
      <c r="R101" s="440"/>
    </row>
    <row r="102" spans="1:28" s="242" customFormat="1" ht="11.25" x14ac:dyDescent="0.2">
      <c r="A102" s="440">
        <f t="shared" ref="A102:A111" si="26">P102</f>
        <v>0</v>
      </c>
      <c r="B102" s="323" t="s">
        <v>176</v>
      </c>
      <c r="C102" s="448">
        <f>I102/2500</f>
        <v>0</v>
      </c>
      <c r="D102" s="449" t="s">
        <v>759</v>
      </c>
      <c r="E102" s="441">
        <f t="shared" ref="E102:E111" si="27">-1*S89</f>
        <v>0</v>
      </c>
      <c r="F102" s="441"/>
      <c r="G102" s="441">
        <f>-1*(F75*$B$59+L75*$C$59+R75*$D$59+X75*$E$59)</f>
        <v>0</v>
      </c>
      <c r="H102" s="441">
        <f>(E102*('Invoer energieverbruik'!$C$23+'Energiebelasting en transport'!$D$13)+F102*('Invoer energieverbruik'!$C$27)+G102*'Energiebelasting en transport'!$C$24)*1.19</f>
        <v>0</v>
      </c>
      <c r="I102" s="441">
        <f>(B75*$B$59+H75*$C$59+N75*$D$59+T75*$E$59)</f>
        <v>0</v>
      </c>
      <c r="J102" s="442">
        <v>0</v>
      </c>
      <c r="K102" s="441" t="s">
        <v>91</v>
      </c>
      <c r="L102" s="443">
        <f t="shared" ref="L102:L111" si="28">IF(H102=0,0,(E102*35.17+F102*1000+G102*9.23)/($G$9*35.17+$G$10*1000+$G$11*9.23))</f>
        <v>0</v>
      </c>
      <c r="N102" s="440">
        <f t="shared" ref="N102:N111" si="29">IF(I102&gt;0,1,0)</f>
        <v>0</v>
      </c>
      <c r="O102" s="440">
        <f>O101+N102</f>
        <v>0</v>
      </c>
      <c r="P102" s="440">
        <f t="shared" ref="P102:P112" si="30">N102*O102</f>
        <v>0</v>
      </c>
      <c r="Q102" s="450">
        <v>2</v>
      </c>
      <c r="R102" s="440"/>
    </row>
    <row r="103" spans="1:28" s="242" customFormat="1" ht="11.25" x14ac:dyDescent="0.2">
      <c r="A103" s="440">
        <f t="shared" si="26"/>
        <v>0</v>
      </c>
      <c r="B103" s="323" t="s">
        <v>862</v>
      </c>
      <c r="C103" s="448"/>
      <c r="D103" s="449"/>
      <c r="E103" s="441"/>
      <c r="F103" s="441"/>
      <c r="G103" s="441"/>
      <c r="H103" s="441"/>
      <c r="I103" s="441"/>
      <c r="J103" s="442">
        <v>0</v>
      </c>
      <c r="K103" s="441"/>
      <c r="L103" s="443"/>
      <c r="N103" s="440">
        <f t="shared" si="29"/>
        <v>0</v>
      </c>
      <c r="O103" s="440">
        <f t="shared" ref="O103:O111" si="31">O102+N103</f>
        <v>0</v>
      </c>
      <c r="P103" s="440">
        <f t="shared" si="30"/>
        <v>0</v>
      </c>
      <c r="Q103" s="450">
        <v>3</v>
      </c>
      <c r="R103" s="440"/>
    </row>
    <row r="104" spans="1:28" s="242" customFormat="1" ht="11.25" x14ac:dyDescent="0.2">
      <c r="A104" s="440">
        <f t="shared" si="26"/>
        <v>0</v>
      </c>
      <c r="B104" s="323" t="s">
        <v>867</v>
      </c>
      <c r="C104" s="448">
        <f>I104/2500</f>
        <v>0</v>
      </c>
      <c r="D104" s="449" t="s">
        <v>759</v>
      </c>
      <c r="E104" s="441">
        <f t="shared" si="27"/>
        <v>0</v>
      </c>
      <c r="F104" s="441"/>
      <c r="G104" s="441">
        <f>-1*(F77*$B$59+L77*$C$59+R77*$D$59+X77*$E$59)</f>
        <v>0</v>
      </c>
      <c r="H104" s="441">
        <f>(E104*('Invoer energieverbruik'!$C$23+'Energiebelasting en transport'!$D$13)+F104*('Invoer energieverbruik'!$C$27)+G104*'Energiebelasting en transport'!$C$24)*1.19</f>
        <v>0</v>
      </c>
      <c r="I104" s="441">
        <f>(B77*$B$59+H77*$C$59+N77*$D$59+T77*$E$59)</f>
        <v>0</v>
      </c>
      <c r="J104" s="442">
        <v>0</v>
      </c>
      <c r="K104" s="441" t="s">
        <v>91</v>
      </c>
      <c r="L104" s="443">
        <f t="shared" si="28"/>
        <v>0</v>
      </c>
      <c r="N104" s="440">
        <f t="shared" si="29"/>
        <v>0</v>
      </c>
      <c r="O104" s="440">
        <f t="shared" si="31"/>
        <v>0</v>
      </c>
      <c r="P104" s="440">
        <f t="shared" si="30"/>
        <v>0</v>
      </c>
      <c r="Q104" s="450">
        <v>4</v>
      </c>
      <c r="R104" s="440"/>
    </row>
    <row r="105" spans="1:28" s="242" customFormat="1" ht="11.25" x14ac:dyDescent="0.2">
      <c r="A105" s="440">
        <f t="shared" si="26"/>
        <v>0</v>
      </c>
      <c r="B105" s="323" t="s">
        <v>1044</v>
      </c>
      <c r="C105" s="448">
        <f>I105/8500</f>
        <v>0</v>
      </c>
      <c r="D105" s="449" t="s">
        <v>759</v>
      </c>
      <c r="E105" s="441">
        <f t="shared" si="27"/>
        <v>0</v>
      </c>
      <c r="F105" s="441"/>
      <c r="G105" s="441">
        <f>-1*(F78*$B$59+L78*$C$59+R78*$D$59+X78*$E$59)</f>
        <v>0</v>
      </c>
      <c r="H105" s="441">
        <f>(E105*('Invoer energieverbruik'!$C$23+'Energiebelasting en transport'!$D$13)+F105*('Invoer energieverbruik'!$C$27)+G105*'Energiebelasting en transport'!$C$24)*1.19</f>
        <v>0</v>
      </c>
      <c r="I105" s="441">
        <f>(B78*$B$59+H78*$C$59+N78*$D$59+T78*$E$59)</f>
        <v>0</v>
      </c>
      <c r="J105" s="442">
        <v>0</v>
      </c>
      <c r="K105" s="441" t="s">
        <v>91</v>
      </c>
      <c r="L105" s="443">
        <f t="shared" si="28"/>
        <v>0</v>
      </c>
      <c r="N105" s="440">
        <f t="shared" si="29"/>
        <v>0</v>
      </c>
      <c r="O105" s="440">
        <f t="shared" si="31"/>
        <v>0</v>
      </c>
      <c r="P105" s="440">
        <f t="shared" si="30"/>
        <v>0</v>
      </c>
      <c r="Q105" s="450">
        <v>5</v>
      </c>
      <c r="R105" s="440"/>
    </row>
    <row r="106" spans="1:28" s="242" customFormat="1" ht="11.25" x14ac:dyDescent="0.2">
      <c r="A106" s="440">
        <f t="shared" si="26"/>
        <v>0</v>
      </c>
      <c r="B106" s="323" t="s">
        <v>865</v>
      </c>
      <c r="C106" s="448">
        <f>I106/7000</f>
        <v>0</v>
      </c>
      <c r="D106" s="449" t="s">
        <v>759</v>
      </c>
      <c r="E106" s="441">
        <f t="shared" si="27"/>
        <v>0</v>
      </c>
      <c r="F106" s="441"/>
      <c r="G106" s="441">
        <f>-1*(F79*$B$59+L79*$C$59+R79*$D$59+X79*$E$59)</f>
        <v>0</v>
      </c>
      <c r="H106" s="441">
        <f>(E106*('Invoer energieverbruik'!$C$23+'Energiebelasting en transport'!$D$13)+F106*('Invoer energieverbruik'!$C$27)+G106*'Energiebelasting en transport'!$C$24)*1.19</f>
        <v>0</v>
      </c>
      <c r="I106" s="441">
        <f>(B79*$B$59+H79*$C$59+N79*$D$59+T79*$E$59)</f>
        <v>0</v>
      </c>
      <c r="J106" s="442">
        <v>0</v>
      </c>
      <c r="K106" s="441" t="s">
        <v>91</v>
      </c>
      <c r="L106" s="443">
        <f t="shared" si="28"/>
        <v>0</v>
      </c>
      <c r="N106" s="440">
        <f t="shared" si="29"/>
        <v>0</v>
      </c>
      <c r="O106" s="440">
        <f t="shared" si="31"/>
        <v>0</v>
      </c>
      <c r="P106" s="440">
        <f t="shared" si="30"/>
        <v>0</v>
      </c>
      <c r="Q106" s="450">
        <v>6</v>
      </c>
      <c r="R106" s="440"/>
    </row>
    <row r="107" spans="1:28" s="242" customFormat="1" ht="11.25" x14ac:dyDescent="0.2">
      <c r="A107" s="440">
        <f t="shared" si="26"/>
        <v>0</v>
      </c>
      <c r="B107" s="323" t="s">
        <v>866</v>
      </c>
      <c r="C107" s="448">
        <f>I107/7500</f>
        <v>0</v>
      </c>
      <c r="D107" s="449" t="s">
        <v>759</v>
      </c>
      <c r="E107" s="441">
        <f t="shared" si="27"/>
        <v>0</v>
      </c>
      <c r="F107" s="441"/>
      <c r="G107" s="441">
        <f>-1*(F80*$B$59+L80*$C$59+R80*$D$59+X80*$E$59)</f>
        <v>0</v>
      </c>
      <c r="H107" s="441">
        <f>(E107*('Invoer energieverbruik'!$C$23+'Energiebelasting en transport'!$D$13)+F107*('Invoer energieverbruik'!$C$27)+G107*'Energiebelasting en transport'!$C$24)*1.19</f>
        <v>0</v>
      </c>
      <c r="I107" s="441">
        <f>(B80*$B$59+H80*$C$59+N80*$D$59+T80*$E$59)</f>
        <v>0</v>
      </c>
      <c r="J107" s="442">
        <v>0</v>
      </c>
      <c r="K107" s="441" t="s">
        <v>91</v>
      </c>
      <c r="L107" s="443">
        <f t="shared" si="28"/>
        <v>0</v>
      </c>
      <c r="N107" s="440">
        <f t="shared" si="29"/>
        <v>0</v>
      </c>
      <c r="O107" s="440">
        <f t="shared" si="31"/>
        <v>0</v>
      </c>
      <c r="P107" s="440">
        <f t="shared" si="30"/>
        <v>0</v>
      </c>
      <c r="Q107" s="450">
        <v>7</v>
      </c>
      <c r="R107" s="440"/>
    </row>
    <row r="108" spans="1:28" s="242" customFormat="1" ht="11.25" x14ac:dyDescent="0.2">
      <c r="A108" s="440">
        <f t="shared" si="26"/>
        <v>0</v>
      </c>
      <c r="B108" s="323" t="s">
        <v>868</v>
      </c>
      <c r="C108" s="448">
        <f>I108/9000</f>
        <v>0</v>
      </c>
      <c r="D108" s="449" t="s">
        <v>759</v>
      </c>
      <c r="E108" s="441">
        <f t="shared" si="27"/>
        <v>0</v>
      </c>
      <c r="F108" s="441"/>
      <c r="G108" s="441">
        <f>-1*(F81*$B$59+L81*$C$59+R81*$D$59+X81*$E$59)</f>
        <v>0</v>
      </c>
      <c r="H108" s="441">
        <f>(E108*('Invoer energieverbruik'!$C$23+'Energiebelasting en transport'!$D$13)+F108*('Invoer energieverbruik'!$C$27)+G108*'Energiebelasting en transport'!$C$24)*1.19</f>
        <v>0</v>
      </c>
      <c r="I108" s="441">
        <f>(B81*$B$59+H81*$C$59+N81*$D$59+T81*$E$59)</f>
        <v>0</v>
      </c>
      <c r="J108" s="442">
        <v>0</v>
      </c>
      <c r="K108" s="441" t="s">
        <v>91</v>
      </c>
      <c r="L108" s="443">
        <f t="shared" si="28"/>
        <v>0</v>
      </c>
      <c r="N108" s="440">
        <f t="shared" si="29"/>
        <v>0</v>
      </c>
      <c r="O108" s="440">
        <f t="shared" si="31"/>
        <v>0</v>
      </c>
      <c r="P108" s="440">
        <f t="shared" si="30"/>
        <v>0</v>
      </c>
      <c r="Q108" s="450">
        <v>8</v>
      </c>
      <c r="R108" s="440"/>
    </row>
    <row r="109" spans="1:28" s="242" customFormat="1" ht="11.25" x14ac:dyDescent="0.2">
      <c r="A109" s="440">
        <f t="shared" si="26"/>
        <v>0</v>
      </c>
      <c r="B109" s="323" t="s">
        <v>1040</v>
      </c>
      <c r="C109" s="448"/>
      <c r="D109" s="449" t="s">
        <v>762</v>
      </c>
      <c r="E109" s="441">
        <f t="shared" si="27"/>
        <v>0</v>
      </c>
      <c r="F109" s="441">
        <v>0</v>
      </c>
      <c r="G109" s="441">
        <v>0</v>
      </c>
      <c r="H109" s="441">
        <v>0</v>
      </c>
      <c r="I109" s="441">
        <v>0</v>
      </c>
      <c r="J109" s="442">
        <v>0</v>
      </c>
      <c r="K109" s="441">
        <v>0</v>
      </c>
      <c r="L109" s="443">
        <f t="shared" si="28"/>
        <v>0</v>
      </c>
      <c r="N109" s="440">
        <f t="shared" si="29"/>
        <v>0</v>
      </c>
      <c r="O109" s="440">
        <f t="shared" si="31"/>
        <v>0</v>
      </c>
      <c r="P109" s="440">
        <f t="shared" si="30"/>
        <v>0</v>
      </c>
      <c r="Q109" s="450">
        <v>9</v>
      </c>
      <c r="R109" s="440"/>
    </row>
    <row r="110" spans="1:28" s="242" customFormat="1" ht="11.25" x14ac:dyDescent="0.2">
      <c r="A110" s="440">
        <f t="shared" si="26"/>
        <v>0</v>
      </c>
      <c r="B110" s="323" t="s">
        <v>1039</v>
      </c>
      <c r="C110" s="448">
        <f>B20+L20+V20+AF20</f>
        <v>0</v>
      </c>
      <c r="D110" s="449" t="s">
        <v>105</v>
      </c>
      <c r="E110" s="441">
        <f t="shared" si="27"/>
        <v>0</v>
      </c>
      <c r="F110" s="441">
        <v>0</v>
      </c>
      <c r="G110" s="441">
        <v>0</v>
      </c>
      <c r="H110" s="441">
        <v>0</v>
      </c>
      <c r="I110" s="441">
        <f>I38</f>
        <v>0</v>
      </c>
      <c r="J110" s="442">
        <v>0</v>
      </c>
      <c r="K110" s="441">
        <v>0</v>
      </c>
      <c r="L110" s="443">
        <f t="shared" si="28"/>
        <v>0</v>
      </c>
      <c r="N110" s="440">
        <f t="shared" si="29"/>
        <v>0</v>
      </c>
      <c r="O110" s="440">
        <f t="shared" si="31"/>
        <v>0</v>
      </c>
      <c r="P110" s="440">
        <f t="shared" si="30"/>
        <v>0</v>
      </c>
      <c r="Q110" s="450">
        <v>10</v>
      </c>
      <c r="R110" s="440"/>
    </row>
    <row r="111" spans="1:28" s="242" customFormat="1" ht="11.25" x14ac:dyDescent="0.2">
      <c r="A111" s="440">
        <f t="shared" si="26"/>
        <v>0</v>
      </c>
      <c r="B111" s="323" t="s">
        <v>204</v>
      </c>
      <c r="C111" s="448">
        <f>I111/3000</f>
        <v>0</v>
      </c>
      <c r="D111" s="449" t="s">
        <v>759</v>
      </c>
      <c r="E111" s="441">
        <f t="shared" si="27"/>
        <v>0</v>
      </c>
      <c r="F111" s="441"/>
      <c r="G111" s="441">
        <f>-1*(F84*$B$59+L84*$C$59+R84*$D$59+X84*$E$59)</f>
        <v>0</v>
      </c>
      <c r="H111" s="441">
        <f>(E111*('Invoer energieverbruik'!$C$23+'Energiebelasting en transport'!$D$13)+F111*('Invoer energieverbruik'!$C$27)+G111*'Energiebelasting en transport'!$C$24)*1.19</f>
        <v>0</v>
      </c>
      <c r="I111" s="441">
        <f>(B84*$B$59+H84*$C$59+N84*$D$59+T84*$E$59)</f>
        <v>0</v>
      </c>
      <c r="J111" s="442">
        <v>0</v>
      </c>
      <c r="K111" s="441" t="s">
        <v>91</v>
      </c>
      <c r="L111" s="443">
        <f t="shared" si="28"/>
        <v>0</v>
      </c>
      <c r="N111" s="440">
        <f t="shared" si="29"/>
        <v>0</v>
      </c>
      <c r="O111" s="440">
        <f t="shared" si="31"/>
        <v>0</v>
      </c>
      <c r="P111" s="440">
        <f t="shared" si="30"/>
        <v>0</v>
      </c>
      <c r="Q111" s="450">
        <v>11</v>
      </c>
      <c r="R111" s="440"/>
    </row>
    <row r="112" spans="1:28" x14ac:dyDescent="0.2">
      <c r="B112" s="415"/>
      <c r="C112" s="415"/>
      <c r="D112" s="415"/>
      <c r="E112" s="415"/>
      <c r="F112" s="415"/>
      <c r="G112" s="415"/>
      <c r="H112" s="415"/>
      <c r="I112" s="415"/>
      <c r="J112" s="415"/>
      <c r="K112" s="415"/>
      <c r="L112" s="432"/>
      <c r="N112" s="430">
        <f>IF(G112&gt;0,1,0)</f>
        <v>0</v>
      </c>
      <c r="O112" s="430">
        <f>O111+N112</f>
        <v>0</v>
      </c>
      <c r="P112" s="430">
        <f t="shared" si="30"/>
        <v>0</v>
      </c>
      <c r="Q112" s="454">
        <v>12</v>
      </c>
      <c r="R112" s="430"/>
    </row>
    <row r="113" spans="14:18" x14ac:dyDescent="0.2">
      <c r="N113" s="430"/>
      <c r="O113" s="430"/>
      <c r="P113" s="430"/>
      <c r="Q113" s="430"/>
      <c r="R113" s="430"/>
    </row>
    <row r="114" spans="14:18" x14ac:dyDescent="0.2">
      <c r="N114" s="430">
        <f>COUNTIF(N101:N112,"&gt;0")</f>
        <v>0</v>
      </c>
      <c r="O114" s="430"/>
      <c r="P114" s="430"/>
      <c r="Q114" s="430"/>
      <c r="R114" s="430"/>
    </row>
    <row r="115" spans="14:18" x14ac:dyDescent="0.2">
      <c r="N115" s="430"/>
      <c r="O115" s="430"/>
      <c r="P115" s="430"/>
      <c r="Q115" s="430"/>
      <c r="R115" s="430"/>
    </row>
  </sheetData>
  <phoneticPr fontId="0" type="noConversion"/>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59"/>
  <sheetViews>
    <sheetView topLeftCell="A26" workbookViewId="0">
      <selection activeCell="C58" sqref="C58"/>
    </sheetView>
  </sheetViews>
  <sheetFormatPr defaultRowHeight="12.75" x14ac:dyDescent="0.2"/>
  <cols>
    <col min="1" max="1" width="28.7109375" customWidth="1"/>
    <col min="2" max="2" width="14.42578125" customWidth="1"/>
    <col min="3" max="3" width="17.42578125" customWidth="1"/>
  </cols>
  <sheetData>
    <row r="2" spans="1:5" x14ac:dyDescent="0.2">
      <c r="A2" s="28" t="s">
        <v>316</v>
      </c>
      <c r="B2">
        <v>2</v>
      </c>
    </row>
    <row r="4" spans="1:5" x14ac:dyDescent="0.2">
      <c r="D4" s="273" t="s">
        <v>54</v>
      </c>
    </row>
    <row r="5" spans="1:5" x14ac:dyDescent="0.2">
      <c r="A5" s="272"/>
      <c r="B5" s="273" t="s">
        <v>55</v>
      </c>
      <c r="C5" s="273" t="s">
        <v>56</v>
      </c>
      <c r="D5" s="273" t="s">
        <v>679</v>
      </c>
      <c r="E5" s="295" t="s">
        <v>680</v>
      </c>
    </row>
    <row r="6" spans="1:5" x14ac:dyDescent="0.2">
      <c r="A6" s="273" t="s">
        <v>634</v>
      </c>
      <c r="B6" s="80">
        <f>'Invoer energieverbruik'!I20</f>
        <v>25000</v>
      </c>
      <c r="C6" s="80">
        <f>'Invoer energieverbruik'!J20</f>
        <v>4417.1049999999996</v>
      </c>
      <c r="D6" s="81"/>
      <c r="E6" s="81"/>
    </row>
    <row r="7" spans="1:5" x14ac:dyDescent="0.2">
      <c r="A7" s="273" t="s">
        <v>3</v>
      </c>
      <c r="B7" s="80">
        <f>'Invoer energieverbruik'!I21</f>
        <v>0</v>
      </c>
      <c r="C7" s="80">
        <f>'Invoer energieverbruik'!J21</f>
        <v>0</v>
      </c>
      <c r="D7" s="81"/>
      <c r="E7" s="81"/>
    </row>
    <row r="8" spans="1:5" x14ac:dyDescent="0.2">
      <c r="A8" s="273" t="s">
        <v>4</v>
      </c>
      <c r="B8" s="80">
        <f>'Invoer energieverbruik'!I22</f>
        <v>0</v>
      </c>
      <c r="C8" s="80">
        <f>'Invoer energieverbruik'!J22</f>
        <v>0</v>
      </c>
      <c r="D8" s="81"/>
      <c r="E8" s="81"/>
    </row>
    <row r="18" spans="1:6" x14ac:dyDescent="0.2">
      <c r="A18" s="118" t="s">
        <v>937</v>
      </c>
    </row>
    <row r="19" spans="1:6" x14ac:dyDescent="0.2">
      <c r="A19" s="118" t="s">
        <v>938</v>
      </c>
    </row>
    <row r="22" spans="1:6" ht="13.5" thickBot="1" x14ac:dyDescent="0.25"/>
    <row r="23" spans="1:6" ht="15" thickBot="1" x14ac:dyDescent="0.25">
      <c r="A23" s="177" t="s">
        <v>492</v>
      </c>
      <c r="B23" s="178" t="s">
        <v>493</v>
      </c>
      <c r="E23" s="118" t="s">
        <v>719</v>
      </c>
      <c r="F23" s="243" t="s">
        <v>720</v>
      </c>
    </row>
    <row r="24" spans="1:6" ht="15" thickBot="1" x14ac:dyDescent="0.25">
      <c r="A24" s="181"/>
      <c r="B24" s="182"/>
      <c r="F24" s="118"/>
    </row>
    <row r="25" spans="1:6" ht="15.75" thickBot="1" x14ac:dyDescent="0.25">
      <c r="A25" s="179" t="s">
        <v>934</v>
      </c>
      <c r="B25" s="180">
        <v>1.7</v>
      </c>
      <c r="E25" s="118" t="s">
        <v>939</v>
      </c>
      <c r="F25">
        <v>100</v>
      </c>
    </row>
    <row r="26" spans="1:6" ht="15.75" thickBot="1" x14ac:dyDescent="0.25">
      <c r="A26" s="179" t="s">
        <v>935</v>
      </c>
      <c r="B26" s="180">
        <v>1</v>
      </c>
      <c r="E26" s="118" t="s">
        <v>940</v>
      </c>
      <c r="F26">
        <v>50</v>
      </c>
    </row>
    <row r="27" spans="1:6" ht="15.75" thickBot="1" x14ac:dyDescent="0.25">
      <c r="A27" s="179" t="s">
        <v>936</v>
      </c>
      <c r="B27" s="180">
        <v>1.5</v>
      </c>
    </row>
    <row r="29" spans="1:6" x14ac:dyDescent="0.2">
      <c r="B29" s="118" t="s">
        <v>26</v>
      </c>
      <c r="C29" s="118" t="s">
        <v>720</v>
      </c>
    </row>
    <row r="30" spans="1:6" ht="15" x14ac:dyDescent="0.2">
      <c r="A30" s="335" t="s">
        <v>67</v>
      </c>
      <c r="B30">
        <v>1</v>
      </c>
      <c r="C30">
        <f>INDEX($F$24:$F$26,B30)</f>
        <v>0</v>
      </c>
    </row>
    <row r="31" spans="1:6" ht="15" x14ac:dyDescent="0.2">
      <c r="A31" s="335" t="s">
        <v>68</v>
      </c>
      <c r="B31">
        <v>1</v>
      </c>
      <c r="C31">
        <f>INDEX($F$24:$F$26,B31)</f>
        <v>0</v>
      </c>
    </row>
    <row r="32" spans="1:6" ht="15" x14ac:dyDescent="0.2">
      <c r="A32" s="335" t="s">
        <v>69</v>
      </c>
      <c r="B32">
        <v>1</v>
      </c>
      <c r="C32">
        <f>INDEX($F$24:$F$26,B32)</f>
        <v>0</v>
      </c>
    </row>
    <row r="33" spans="1:3" ht="15" x14ac:dyDescent="0.2">
      <c r="A33" s="335" t="s">
        <v>70</v>
      </c>
      <c r="B33">
        <v>1</v>
      </c>
      <c r="C33">
        <f>INDEX($F$24:$F$26,B33)</f>
        <v>0</v>
      </c>
    </row>
    <row r="38" spans="1:3" x14ac:dyDescent="0.2">
      <c r="B38" t="s">
        <v>1219</v>
      </c>
      <c r="C38" t="s">
        <v>1220</v>
      </c>
    </row>
    <row r="39" spans="1:3" x14ac:dyDescent="0.2">
      <c r="B39">
        <v>1</v>
      </c>
      <c r="C39">
        <v>375</v>
      </c>
    </row>
    <row r="40" spans="1:3" x14ac:dyDescent="0.2">
      <c r="B40">
        <v>2</v>
      </c>
      <c r="C40">
        <v>375</v>
      </c>
    </row>
    <row r="41" spans="1:3" x14ac:dyDescent="0.2">
      <c r="B41">
        <v>3</v>
      </c>
      <c r="C41">
        <v>495</v>
      </c>
    </row>
    <row r="42" spans="1:3" x14ac:dyDescent="0.2">
      <c r="B42">
        <v>4</v>
      </c>
      <c r="C42">
        <v>650</v>
      </c>
    </row>
    <row r="43" spans="1:3" x14ac:dyDescent="0.2">
      <c r="B43">
        <v>5</v>
      </c>
      <c r="C43">
        <v>785</v>
      </c>
    </row>
    <row r="44" spans="1:3" x14ac:dyDescent="0.2">
      <c r="B44">
        <v>6</v>
      </c>
      <c r="C44">
        <v>875</v>
      </c>
    </row>
    <row r="45" spans="1:3" x14ac:dyDescent="0.2">
      <c r="B45">
        <v>7</v>
      </c>
      <c r="C45">
        <v>980</v>
      </c>
    </row>
    <row r="46" spans="1:3" x14ac:dyDescent="0.2">
      <c r="B46">
        <v>8</v>
      </c>
      <c r="C46">
        <v>1085</v>
      </c>
    </row>
    <row r="47" spans="1:3" x14ac:dyDescent="0.2">
      <c r="B47">
        <v>9</v>
      </c>
      <c r="C47">
        <v>1190</v>
      </c>
    </row>
    <row r="48" spans="1:3" x14ac:dyDescent="0.2">
      <c r="B48">
        <v>10</v>
      </c>
      <c r="C48">
        <v>1295</v>
      </c>
    </row>
    <row r="49" spans="2:3" x14ac:dyDescent="0.2">
      <c r="B49">
        <v>11</v>
      </c>
      <c r="C49">
        <v>1400</v>
      </c>
    </row>
    <row r="50" spans="2:3" x14ac:dyDescent="0.2">
      <c r="B50">
        <v>12</v>
      </c>
      <c r="C50">
        <v>1505</v>
      </c>
    </row>
    <row r="51" spans="2:3" x14ac:dyDescent="0.2">
      <c r="B51">
        <v>13</v>
      </c>
      <c r="C51">
        <v>1610</v>
      </c>
    </row>
    <row r="52" spans="2:3" x14ac:dyDescent="0.2">
      <c r="B52">
        <v>14</v>
      </c>
      <c r="C52">
        <v>1755</v>
      </c>
    </row>
    <row r="53" spans="2:3" x14ac:dyDescent="0.2">
      <c r="B53">
        <v>15</v>
      </c>
      <c r="C53">
        <v>1860</v>
      </c>
    </row>
    <row r="54" spans="2:3" x14ac:dyDescent="0.2">
      <c r="B54">
        <v>16</v>
      </c>
      <c r="C54">
        <v>1965</v>
      </c>
    </row>
    <row r="55" spans="2:3" x14ac:dyDescent="0.2">
      <c r="B55">
        <v>17</v>
      </c>
      <c r="C55">
        <v>2070</v>
      </c>
    </row>
    <row r="56" spans="2:3" x14ac:dyDescent="0.2">
      <c r="B56">
        <v>18</v>
      </c>
      <c r="C56">
        <v>2175</v>
      </c>
    </row>
    <row r="57" spans="2:3" x14ac:dyDescent="0.2">
      <c r="B57">
        <v>19</v>
      </c>
      <c r="C57">
        <v>2280</v>
      </c>
    </row>
    <row r="58" spans="2:3" x14ac:dyDescent="0.2">
      <c r="B58">
        <v>20</v>
      </c>
      <c r="C58">
        <v>2385</v>
      </c>
    </row>
    <row r="59" spans="2:3" x14ac:dyDescent="0.2">
      <c r="C59">
        <v>105</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P34"/>
  <sheetViews>
    <sheetView workbookViewId="0">
      <selection activeCell="K21" sqref="K21:K22"/>
    </sheetView>
  </sheetViews>
  <sheetFormatPr defaultRowHeight="11.25" x14ac:dyDescent="0.2"/>
  <cols>
    <col min="1" max="1" width="20.28515625" style="74" customWidth="1"/>
    <col min="2" max="5" width="9.140625" style="74"/>
    <col min="6" max="6" width="11" style="74" customWidth="1"/>
    <col min="7" max="7" width="13.85546875" style="74" bestFit="1" customWidth="1"/>
    <col min="8" max="8" width="13.5703125" style="74" customWidth="1"/>
    <col min="9" max="9" width="9.140625" style="74"/>
    <col min="10" max="10" width="11" style="74" customWidth="1"/>
    <col min="11" max="11" width="13.85546875" style="74" bestFit="1" customWidth="1"/>
    <col min="12" max="12" width="16.28515625" style="74" bestFit="1" customWidth="1"/>
    <col min="13" max="16384" width="9.140625" style="74"/>
  </cols>
  <sheetData>
    <row r="1" spans="1:13" s="62" customFormat="1" ht="20.25" x14ac:dyDescent="0.3">
      <c r="A1" s="77" t="s">
        <v>305</v>
      </c>
    </row>
    <row r="2" spans="1:13" s="62" customFormat="1" ht="12.75" customHeight="1" x14ac:dyDescent="0.3">
      <c r="A2" s="77"/>
    </row>
    <row r="3" spans="1:13" s="62" customFormat="1" ht="12.75" customHeight="1" x14ac:dyDescent="0.2">
      <c r="A3" s="76" t="s">
        <v>1187</v>
      </c>
      <c r="F3" s="400" t="s">
        <v>1017</v>
      </c>
    </row>
    <row r="4" spans="1:13" s="62" customFormat="1" ht="15.75" customHeight="1" x14ac:dyDescent="0.2">
      <c r="A4" s="62" t="s">
        <v>28</v>
      </c>
      <c r="F4" s="264" t="s">
        <v>1016</v>
      </c>
      <c r="G4" s="70" t="s">
        <v>51</v>
      </c>
      <c r="H4" s="70" t="s">
        <v>52</v>
      </c>
      <c r="I4" s="264" t="s">
        <v>1018</v>
      </c>
      <c r="J4" s="70" t="s">
        <v>51</v>
      </c>
      <c r="K4" s="264" t="s">
        <v>637</v>
      </c>
      <c r="L4" s="62" t="s">
        <v>53</v>
      </c>
      <c r="M4" s="242" t="s">
        <v>633</v>
      </c>
    </row>
    <row r="5" spans="1:13" s="62" customFormat="1" x14ac:dyDescent="0.2">
      <c r="A5" s="62" t="s">
        <v>0</v>
      </c>
      <c r="B5" s="268">
        <v>20000</v>
      </c>
      <c r="C5" s="62" t="s">
        <v>2</v>
      </c>
      <c r="E5" s="265" t="s">
        <v>630</v>
      </c>
      <c r="F5" s="269">
        <v>36964</v>
      </c>
      <c r="G5" s="83"/>
      <c r="H5" s="71">
        <f>J5-G5</f>
        <v>0</v>
      </c>
      <c r="I5" s="269">
        <v>36967</v>
      </c>
      <c r="J5" s="83"/>
      <c r="K5" s="71">
        <f>I5-F5</f>
        <v>3</v>
      </c>
      <c r="L5" s="276" t="str">
        <f>IF(K5&lt;350,"geen heel jaar",1)</f>
        <v>geen heel jaar</v>
      </c>
      <c r="M5" s="78">
        <f>IF(H5=0,0,L5*H5)</f>
        <v>0</v>
      </c>
    </row>
    <row r="6" spans="1:13" s="62" customFormat="1" x14ac:dyDescent="0.2">
      <c r="A6" s="62" t="s">
        <v>1</v>
      </c>
      <c r="B6" s="268">
        <v>5000</v>
      </c>
      <c r="C6" s="62" t="s">
        <v>2</v>
      </c>
      <c r="E6" s="265" t="s">
        <v>631</v>
      </c>
      <c r="F6" s="269">
        <v>36965</v>
      </c>
      <c r="G6" s="83"/>
      <c r="H6" s="71">
        <f>J6-G6</f>
        <v>0</v>
      </c>
      <c r="I6" s="269">
        <v>36965</v>
      </c>
      <c r="J6" s="83"/>
      <c r="K6" s="71">
        <f>I6-F6</f>
        <v>0</v>
      </c>
      <c r="L6" s="276" t="str">
        <f>IF(K6&lt;350,"geen heel jaar",1)</f>
        <v>geen heel jaar</v>
      </c>
      <c r="M6" s="78">
        <f>IF(H6=0,0,L6*H6)</f>
        <v>0</v>
      </c>
    </row>
    <row r="7" spans="1:13" s="62" customFormat="1" x14ac:dyDescent="0.2">
      <c r="A7" s="242" t="s">
        <v>674</v>
      </c>
      <c r="B7" s="268">
        <f>B5+B6</f>
        <v>25000</v>
      </c>
      <c r="C7" s="62" t="s">
        <v>2</v>
      </c>
      <c r="E7" s="265" t="s">
        <v>632</v>
      </c>
      <c r="F7" s="269">
        <v>36966</v>
      </c>
      <c r="G7" s="63"/>
      <c r="H7" s="71">
        <f>J7-G7</f>
        <v>0</v>
      </c>
      <c r="I7" s="269">
        <v>36966</v>
      </c>
      <c r="J7" s="63"/>
      <c r="K7" s="71">
        <f>I7-F7</f>
        <v>0</v>
      </c>
      <c r="L7" s="276" t="str">
        <f>IF(K7&lt;350,"geen heel jaar",1)</f>
        <v>geen heel jaar</v>
      </c>
      <c r="M7" s="78">
        <f>IF(H7=0,0,L7*H7)</f>
        <v>0</v>
      </c>
    </row>
    <row r="8" spans="1:13" s="62" customFormat="1" x14ac:dyDescent="0.2">
      <c r="B8" s="70"/>
      <c r="E8" s="61"/>
      <c r="F8" s="275"/>
      <c r="G8" s="75"/>
      <c r="H8" s="75"/>
      <c r="I8" s="275"/>
      <c r="J8" s="75"/>
      <c r="K8" s="75"/>
      <c r="L8" s="60"/>
      <c r="M8" s="60"/>
    </row>
    <row r="9" spans="1:13" s="62" customFormat="1" x14ac:dyDescent="0.2">
      <c r="A9" s="62" t="s">
        <v>5</v>
      </c>
      <c r="B9" s="263"/>
      <c r="C9" s="62" t="s">
        <v>2</v>
      </c>
      <c r="E9" s="266" t="s">
        <v>3</v>
      </c>
      <c r="F9" s="269">
        <v>36968</v>
      </c>
      <c r="G9" s="83"/>
      <c r="H9" s="71">
        <f>J9-G9</f>
        <v>0</v>
      </c>
      <c r="I9" s="269">
        <v>36968</v>
      </c>
      <c r="J9" s="83"/>
      <c r="K9" s="71">
        <f>I9-F9</f>
        <v>0</v>
      </c>
      <c r="L9" s="71">
        <f>IF(L11="","",L12/L11)</f>
        <v>1</v>
      </c>
      <c r="M9" s="78">
        <f>IF(L11="","",H9*L9)</f>
        <v>0</v>
      </c>
    </row>
    <row r="10" spans="1:13" s="62" customFormat="1" x14ac:dyDescent="0.2">
      <c r="A10" s="242" t="s">
        <v>635</v>
      </c>
      <c r="B10" s="268"/>
      <c r="C10" s="62" t="s">
        <v>2</v>
      </c>
      <c r="E10" s="265" t="s">
        <v>4</v>
      </c>
      <c r="F10" s="269">
        <v>36969</v>
      </c>
      <c r="G10" s="83"/>
      <c r="H10" s="71">
        <f>J10-G10</f>
        <v>0</v>
      </c>
      <c r="I10" s="269">
        <v>36969</v>
      </c>
      <c r="J10" s="83"/>
      <c r="K10" s="71">
        <f>I10-F10</f>
        <v>0</v>
      </c>
      <c r="L10" s="71">
        <f>IF(L11="","",L12/L11)</f>
        <v>1</v>
      </c>
      <c r="M10" s="78">
        <f>IF(L11="","",H10*L10)</f>
        <v>0</v>
      </c>
    </row>
    <row r="11" spans="1:13" s="62" customFormat="1" x14ac:dyDescent="0.2">
      <c r="J11" s="61"/>
      <c r="K11" s="61" t="s">
        <v>57</v>
      </c>
      <c r="L11" s="267">
        <v>3011</v>
      </c>
      <c r="M11" s="400" t="s">
        <v>1007</v>
      </c>
    </row>
    <row r="12" spans="1:13" s="62" customFormat="1" ht="11.25" customHeight="1" x14ac:dyDescent="0.2">
      <c r="A12" s="62" t="s">
        <v>7</v>
      </c>
      <c r="J12" s="61"/>
      <c r="K12" s="61" t="s">
        <v>58</v>
      </c>
      <c r="L12" s="267">
        <v>3011</v>
      </c>
      <c r="M12" s="400" t="s">
        <v>1007</v>
      </c>
    </row>
    <row r="13" spans="1:13" s="62" customFormat="1" ht="15.75" customHeight="1" x14ac:dyDescent="0.2">
      <c r="A13" s="62" t="s">
        <v>23</v>
      </c>
      <c r="G13" s="79"/>
    </row>
    <row r="14" spans="1:13" s="62" customFormat="1" x14ac:dyDescent="0.2">
      <c r="G14" s="79"/>
    </row>
    <row r="15" spans="1:13" s="62" customFormat="1" ht="22.5" x14ac:dyDescent="0.2">
      <c r="C15" s="264" t="s">
        <v>1014</v>
      </c>
      <c r="E15" s="277" t="s">
        <v>639</v>
      </c>
      <c r="G15" s="79"/>
    </row>
    <row r="16" spans="1:13" s="62" customFormat="1" x14ac:dyDescent="0.2">
      <c r="A16" s="62" t="s">
        <v>8</v>
      </c>
      <c r="C16" s="83">
        <v>6.8500000000000005E-2</v>
      </c>
      <c r="D16" s="62" t="s">
        <v>9</v>
      </c>
      <c r="E16" s="53">
        <f>IF('Energiebelasting en transport'!A24=2,C16*B5*1.21,0)</f>
        <v>1657.7</v>
      </c>
      <c r="F16" s="400" t="s">
        <v>1015</v>
      </c>
      <c r="G16" s="79"/>
      <c r="I16" s="544" t="s">
        <v>1217</v>
      </c>
      <c r="J16" s="544"/>
      <c r="K16" s="521">
        <v>8</v>
      </c>
    </row>
    <row r="17" spans="1:16" s="62" customFormat="1" ht="12.75" customHeight="1" x14ac:dyDescent="0.2">
      <c r="A17" s="62" t="s">
        <v>10</v>
      </c>
      <c r="C17" s="83">
        <v>5.5199999999999999E-2</v>
      </c>
      <c r="D17" s="62" t="s">
        <v>9</v>
      </c>
      <c r="E17" s="53">
        <f>IF('Energiebelasting en transport'!A24=2,C17*B6*1.21,0)</f>
        <v>333.96</v>
      </c>
      <c r="I17" s="544" t="s">
        <v>1218</v>
      </c>
      <c r="J17" s="544"/>
      <c r="K17" s="59">
        <f>IF(K16&gt;20,'Verwerken Algemeen'!C58+('Invoer energieverbruik'!K16-20)*'Verwerken Algemeen'!C59,INDEX('Verwerken Algemeen'!C39:C58,K16))</f>
        <v>1085</v>
      </c>
    </row>
    <row r="18" spans="1:16" s="62" customFormat="1" x14ac:dyDescent="0.2">
      <c r="A18" s="62" t="s">
        <v>27</v>
      </c>
      <c r="C18" s="83">
        <v>6.3399999999999998E-2</v>
      </c>
      <c r="D18" s="62" t="s">
        <v>9</v>
      </c>
      <c r="E18" s="53">
        <f>IF('Energiebelasting en transport'!A24=1,C18*B7*1.21,0)</f>
        <v>0</v>
      </c>
    </row>
    <row r="19" spans="1:16" s="62" customFormat="1" ht="33.75" x14ac:dyDescent="0.2">
      <c r="C19" s="83"/>
      <c r="E19" s="53"/>
      <c r="F19" s="53"/>
      <c r="H19" s="122"/>
      <c r="I19" s="525" t="s">
        <v>55</v>
      </c>
      <c r="J19" s="526" t="s">
        <v>1224</v>
      </c>
      <c r="K19" s="526" t="s">
        <v>1221</v>
      </c>
    </row>
    <row r="20" spans="1:16" s="62" customFormat="1" x14ac:dyDescent="0.2">
      <c r="A20" s="242" t="s">
        <v>1188</v>
      </c>
      <c r="C20" s="75"/>
      <c r="D20" s="62" t="s">
        <v>11</v>
      </c>
      <c r="E20" s="82">
        <f>'Energiebelasting en transport'!E9*1.21</f>
        <v>2425.4449999999997</v>
      </c>
      <c r="F20" s="82"/>
      <c r="H20" s="441" t="s">
        <v>1225</v>
      </c>
      <c r="I20" s="527">
        <f>B7</f>
        <v>25000</v>
      </c>
      <c r="J20" s="527">
        <f>E22</f>
        <v>4417.1049999999996</v>
      </c>
      <c r="K20" s="528">
        <f>90.45+K17*1.58</f>
        <v>1804.7500000000002</v>
      </c>
    </row>
    <row r="21" spans="1:16" s="62" customFormat="1" x14ac:dyDescent="0.2">
      <c r="A21" s="242" t="s">
        <v>642</v>
      </c>
      <c r="C21" s="83"/>
      <c r="D21" s="62" t="s">
        <v>12</v>
      </c>
      <c r="E21" s="53">
        <f>C21</f>
        <v>0</v>
      </c>
      <c r="F21" s="252" t="s">
        <v>640</v>
      </c>
      <c r="G21" s="252"/>
      <c r="H21" s="441" t="s">
        <v>1226</v>
      </c>
      <c r="I21" s="527">
        <f>B9</f>
        <v>0</v>
      </c>
      <c r="J21" s="527">
        <f>E26</f>
        <v>0</v>
      </c>
      <c r="K21" s="547">
        <f>31.74+K17*6.58</f>
        <v>7171.04</v>
      </c>
    </row>
    <row r="22" spans="1:16" s="62" customFormat="1" x14ac:dyDescent="0.2">
      <c r="A22" s="76" t="s">
        <v>13</v>
      </c>
      <c r="B22" s="76"/>
      <c r="C22" s="278"/>
      <c r="D22" s="76" t="s">
        <v>11</v>
      </c>
      <c r="E22" s="68">
        <f>SUM(E16:E21)</f>
        <v>4417.1049999999996</v>
      </c>
      <c r="F22" s="68"/>
      <c r="H22" s="441" t="s">
        <v>1227</v>
      </c>
      <c r="I22" s="444">
        <f>B10</f>
        <v>0</v>
      </c>
      <c r="J22" s="441">
        <f>E30</f>
        <v>0</v>
      </c>
      <c r="K22" s="548"/>
    </row>
    <row r="23" spans="1:16" s="62" customFormat="1" x14ac:dyDescent="0.2">
      <c r="A23" s="62" t="s">
        <v>14</v>
      </c>
      <c r="C23" s="274">
        <v>0.28999999999999998</v>
      </c>
      <c r="D23" s="62" t="s">
        <v>15</v>
      </c>
      <c r="E23" s="53">
        <f>C23*B9*1.21</f>
        <v>0</v>
      </c>
      <c r="H23" s="242"/>
      <c r="I23" s="242"/>
      <c r="J23" s="523">
        <f>SUM(J20:J22)</f>
        <v>4417.1049999999996</v>
      </c>
      <c r="K23" s="524">
        <f>SUM(K20:K22)</f>
        <v>8975.7900000000009</v>
      </c>
    </row>
    <row r="24" spans="1:16" s="62" customFormat="1" x14ac:dyDescent="0.2">
      <c r="A24" s="242" t="s">
        <v>1222</v>
      </c>
      <c r="C24" s="75"/>
      <c r="D24" s="62" t="s">
        <v>11</v>
      </c>
      <c r="E24" s="82">
        <f>'Energiebelasting en transport'!E14*1.21</f>
        <v>0</v>
      </c>
    </row>
    <row r="25" spans="1:16" s="62" customFormat="1" x14ac:dyDescent="0.2">
      <c r="A25" s="242" t="s">
        <v>638</v>
      </c>
      <c r="C25" s="83"/>
      <c r="D25" s="62" t="s">
        <v>12</v>
      </c>
      <c r="E25" s="53">
        <f>C25</f>
        <v>0</v>
      </c>
      <c r="F25" s="252" t="s">
        <v>640</v>
      </c>
    </row>
    <row r="26" spans="1:16" s="62" customFormat="1" x14ac:dyDescent="0.2">
      <c r="A26" s="76" t="s">
        <v>22</v>
      </c>
      <c r="B26" s="76"/>
      <c r="C26" s="279"/>
      <c r="D26" s="76" t="s">
        <v>11</v>
      </c>
      <c r="E26" s="68">
        <f>SUM(E23:E25)</f>
        <v>0</v>
      </c>
    </row>
    <row r="27" spans="1:16" s="62" customFormat="1" x14ac:dyDescent="0.2">
      <c r="A27" s="62" t="s">
        <v>329</v>
      </c>
      <c r="C27" s="63">
        <v>11</v>
      </c>
      <c r="D27" s="242" t="s">
        <v>636</v>
      </c>
      <c r="E27" s="53">
        <f>C27*B10*1.21/1000</f>
        <v>0</v>
      </c>
    </row>
    <row r="28" spans="1:16" s="62" customFormat="1" x14ac:dyDescent="0.2">
      <c r="A28" s="242" t="s">
        <v>1223</v>
      </c>
      <c r="C28" s="60"/>
      <c r="D28" s="76" t="s">
        <v>11</v>
      </c>
      <c r="E28" s="53">
        <f>C28*1.21</f>
        <v>0</v>
      </c>
    </row>
    <row r="29" spans="1:16" s="62" customFormat="1" ht="12.75" x14ac:dyDescent="0.2">
      <c r="A29" s="242" t="s">
        <v>641</v>
      </c>
      <c r="C29" s="63"/>
      <c r="D29" s="76" t="s">
        <v>11</v>
      </c>
      <c r="E29" s="53">
        <f>C29*1.21</f>
        <v>0</v>
      </c>
      <c r="F29" s="252" t="s">
        <v>640</v>
      </c>
      <c r="M29" s="66"/>
      <c r="N29" s="242" t="s">
        <v>675</v>
      </c>
    </row>
    <row r="30" spans="1:16" s="62" customFormat="1" ht="12.75" x14ac:dyDescent="0.2">
      <c r="A30" s="76" t="s">
        <v>330</v>
      </c>
      <c r="C30" s="60"/>
      <c r="D30" s="76" t="s">
        <v>11</v>
      </c>
      <c r="E30" s="68">
        <f>E27+E28+E29</f>
        <v>0</v>
      </c>
      <c r="M30" s="65"/>
      <c r="N30" s="242" t="s">
        <v>676</v>
      </c>
    </row>
    <row r="31" spans="1:16" s="62" customFormat="1" ht="12.75" x14ac:dyDescent="0.2">
      <c r="M31" s="291"/>
      <c r="N31" s="242" t="s">
        <v>677</v>
      </c>
    </row>
    <row r="32" spans="1:16" x14ac:dyDescent="0.2">
      <c r="A32" s="62"/>
      <c r="B32" s="62"/>
      <c r="C32" s="62"/>
      <c r="D32" s="62"/>
      <c r="E32" s="62"/>
      <c r="F32" s="62"/>
      <c r="G32" s="62"/>
      <c r="H32" s="62"/>
      <c r="I32" s="62"/>
      <c r="J32" s="62"/>
      <c r="K32" s="62"/>
      <c r="L32" s="62"/>
      <c r="M32" s="62"/>
      <c r="N32" s="62"/>
      <c r="O32" s="62"/>
      <c r="P32" s="62"/>
    </row>
    <row r="33" spans="1:16" x14ac:dyDescent="0.2">
      <c r="A33" s="62"/>
      <c r="B33" s="62"/>
      <c r="C33" s="62"/>
      <c r="D33" s="62"/>
      <c r="E33" s="62"/>
      <c r="F33" s="62"/>
      <c r="G33" s="62"/>
      <c r="H33" s="62"/>
      <c r="I33" s="62"/>
      <c r="J33" s="62"/>
      <c r="K33" s="62"/>
      <c r="L33" s="62"/>
      <c r="M33" s="62"/>
      <c r="N33" s="62"/>
      <c r="O33" s="62"/>
      <c r="P33" s="62"/>
    </row>
    <row r="34" spans="1:16" x14ac:dyDescent="0.2">
      <c r="A34" s="62"/>
      <c r="B34" s="62"/>
      <c r="C34" s="62"/>
      <c r="D34" s="62"/>
      <c r="E34" s="62"/>
      <c r="F34" s="62"/>
      <c r="G34" s="62"/>
      <c r="H34" s="62"/>
      <c r="I34" s="62"/>
      <c r="J34" s="62"/>
      <c r="K34" s="62"/>
      <c r="L34" s="62"/>
      <c r="M34" s="62"/>
      <c r="N34" s="62"/>
      <c r="O34" s="62"/>
      <c r="P34" s="62"/>
    </row>
  </sheetData>
  <mergeCells count="3">
    <mergeCell ref="K21:K22"/>
    <mergeCell ref="I16:J16"/>
    <mergeCell ref="I17:J17"/>
  </mergeCells>
  <phoneticPr fontId="1"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Drop Down 8">
              <controlPr defaultSize="0" autoLine="0" autoPict="0">
                <anchor moveWithCells="1">
                  <from>
                    <xdr:col>1</xdr:col>
                    <xdr:colOff>0</xdr:colOff>
                    <xdr:row>12</xdr:row>
                    <xdr:rowOff>0</xdr:rowOff>
                  </from>
                  <to>
                    <xdr:col>2</xdr:col>
                    <xdr:colOff>600075</xdr:colOff>
                    <xdr:row>13</xdr:row>
                    <xdr:rowOff>0</xdr:rowOff>
                  </to>
                </anchor>
              </controlPr>
            </control>
          </mc:Choice>
        </mc:AlternateContent>
        <mc:AlternateContent xmlns:mc="http://schemas.openxmlformats.org/markup-compatibility/2006">
          <mc:Choice Requires="x14">
            <control shapeId="1033" r:id="rId5" name="Drop Down 9">
              <controlPr defaultSize="0" autoLine="0" autoPict="0">
                <anchor moveWithCells="1">
                  <from>
                    <xdr:col>1</xdr:col>
                    <xdr:colOff>0</xdr:colOff>
                    <xdr:row>3</xdr:row>
                    <xdr:rowOff>0</xdr:rowOff>
                  </from>
                  <to>
                    <xdr:col>3</xdr:col>
                    <xdr:colOff>9525</xdr:colOff>
                    <xdr:row>4</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
  <sheetViews>
    <sheetView topLeftCell="A4" zoomScaleNormal="100" workbookViewId="0">
      <selection activeCell="D12" sqref="D12"/>
    </sheetView>
  </sheetViews>
  <sheetFormatPr defaultRowHeight="12.75" x14ac:dyDescent="0.2"/>
  <cols>
    <col min="1" max="1" width="30.5703125" customWidth="1"/>
    <col min="2" max="2" width="11.7109375" customWidth="1"/>
    <col min="3" max="3" width="12.28515625" customWidth="1"/>
    <col min="4" max="4" width="12.85546875" customWidth="1"/>
    <col min="5" max="5" width="13.28515625" customWidth="1"/>
    <col min="6" max="6" width="10.140625" customWidth="1"/>
    <col min="7" max="7" width="12.85546875" customWidth="1"/>
    <col min="8" max="8" width="10.140625" customWidth="1"/>
  </cols>
  <sheetData>
    <row r="1" spans="1:10" x14ac:dyDescent="0.2">
      <c r="A1" s="494"/>
      <c r="B1" s="493"/>
    </row>
    <row r="2" spans="1:10" x14ac:dyDescent="0.2">
      <c r="A2" s="491"/>
      <c r="B2" s="492"/>
    </row>
    <row r="5" spans="1:10" x14ac:dyDescent="0.2">
      <c r="A5" s="348"/>
      <c r="B5" s="657" t="s">
        <v>919</v>
      </c>
      <c r="C5" s="657"/>
      <c r="D5" s="657"/>
      <c r="E5" s="657"/>
      <c r="F5" s="645" t="s">
        <v>920</v>
      </c>
      <c r="G5" s="645"/>
      <c r="H5" s="652" t="s">
        <v>747</v>
      </c>
    </row>
    <row r="6" spans="1:10" ht="15.75" customHeight="1" x14ac:dyDescent="0.2">
      <c r="A6" s="349"/>
      <c r="B6" s="657" t="s">
        <v>921</v>
      </c>
      <c r="C6" s="657"/>
      <c r="D6" s="657" t="s">
        <v>922</v>
      </c>
      <c r="E6" s="657"/>
      <c r="F6" s="350" t="s">
        <v>724</v>
      </c>
      <c r="G6" s="351" t="s">
        <v>922</v>
      </c>
      <c r="H6" s="652"/>
      <c r="I6" s="111"/>
    </row>
    <row r="7" spans="1:10" x14ac:dyDescent="0.2">
      <c r="A7" s="352" t="s">
        <v>1125</v>
      </c>
      <c r="B7" s="354">
        <f>'Invoer energieverbruik'!I20</f>
        <v>25000</v>
      </c>
      <c r="C7" s="355" t="s">
        <v>610</v>
      </c>
      <c r="D7" s="354" t="e">
        <f>B7/'Invoer Algemeen'!D20</f>
        <v>#DIV/0!</v>
      </c>
      <c r="E7" s="355" t="s">
        <v>744</v>
      </c>
      <c r="F7" s="354">
        <f>'Invoer energieverbruik'!J20</f>
        <v>4417.1049999999996</v>
      </c>
      <c r="G7" s="356" t="e">
        <f>'Invoer energieverbruik'!J20/'Invoer Algemeen'!D20</f>
        <v>#DIV/0!</v>
      </c>
      <c r="H7" s="354">
        <f>IF(B7=0,"n.v.t.",'Invoer energieverbruik'!K20)</f>
        <v>1804.7500000000002</v>
      </c>
      <c r="I7" s="112"/>
    </row>
    <row r="8" spans="1:10" x14ac:dyDescent="0.2">
      <c r="A8" s="352" t="s">
        <v>3</v>
      </c>
      <c r="B8" s="354">
        <f>'Invoer energieverbruik'!I21</f>
        <v>0</v>
      </c>
      <c r="C8" s="355" t="s">
        <v>608</v>
      </c>
      <c r="D8" s="354" t="e">
        <f>B8/'Invoer Algemeen'!D20</f>
        <v>#DIV/0!</v>
      </c>
      <c r="E8" s="355" t="s">
        <v>745</v>
      </c>
      <c r="F8" s="354">
        <f>'Invoer energieverbruik'!J21</f>
        <v>0</v>
      </c>
      <c r="G8" s="356" t="e">
        <f>'Invoer energieverbruik'!J21/'Invoer Algemeen'!D20</f>
        <v>#DIV/0!</v>
      </c>
      <c r="H8" s="354" t="str">
        <f>IF(B8=0,"n.v.t.",'Invoer energieverbruik'!K21)</f>
        <v>n.v.t.</v>
      </c>
      <c r="I8" s="112"/>
    </row>
    <row r="9" spans="1:10" x14ac:dyDescent="0.2">
      <c r="A9" s="396" t="s">
        <v>4</v>
      </c>
      <c r="B9" s="354">
        <f>'Invoer energieverbruik'!I22</f>
        <v>0</v>
      </c>
      <c r="C9" s="355" t="s">
        <v>743</v>
      </c>
      <c r="D9" s="354" t="e">
        <f>B9/'Invoer Algemeen'!D20</f>
        <v>#DIV/0!</v>
      </c>
      <c r="E9" s="355" t="s">
        <v>746</v>
      </c>
      <c r="F9" s="354">
        <f>'Invoer energieverbruik'!J22</f>
        <v>0</v>
      </c>
      <c r="G9" s="356" t="e">
        <f>'Invoer energieverbruik'!J22/'Invoer Algemeen'!D20</f>
        <v>#DIV/0!</v>
      </c>
      <c r="H9" s="354" t="str">
        <f>IF(B9=0,"n.v.t.",'Invoer energieverbruik'!K22)</f>
        <v>n.v.t.</v>
      </c>
      <c r="I9" s="112"/>
    </row>
    <row r="10" spans="1:10" x14ac:dyDescent="0.2">
      <c r="A10" s="457"/>
      <c r="B10" s="458"/>
      <c r="C10" s="459"/>
      <c r="D10" s="458"/>
      <c r="E10" s="459"/>
      <c r="F10" s="458"/>
      <c r="G10" s="460"/>
      <c r="H10" s="458"/>
      <c r="I10" s="112"/>
    </row>
    <row r="11" spans="1:10" ht="48.75" customHeight="1" x14ac:dyDescent="0.2">
      <c r="A11" s="364" t="s">
        <v>1126</v>
      </c>
      <c r="B11" s="364" t="s">
        <v>1127</v>
      </c>
      <c r="C11" s="364" t="s">
        <v>46</v>
      </c>
      <c r="D11" s="364" t="s">
        <v>1186</v>
      </c>
      <c r="E11" s="364" t="s">
        <v>1128</v>
      </c>
      <c r="F11" s="460"/>
      <c r="G11" s="458"/>
      <c r="H11" s="112"/>
      <c r="J11" s="167" t="s">
        <v>1185</v>
      </c>
    </row>
    <row r="12" spans="1:10" ht="13.5" customHeight="1" x14ac:dyDescent="0.2">
      <c r="A12" s="365">
        <v>1</v>
      </c>
      <c r="B12" s="365"/>
      <c r="C12" s="368">
        <f>'Invoer Algemeen'!F20</f>
        <v>0</v>
      </c>
      <c r="D12" s="462">
        <f>IF('Invoer Lokaal Type 1'!$B$2=0,0,('binnenklimaatlabel type 1'!$C$38+'binnenklimaatlabel type 1'!$C$39)/'Invoer Lokaal Type 1'!$B$2)</f>
        <v>33.333333333333336</v>
      </c>
      <c r="E12" s="462" t="str">
        <f>'binnenklimaatlabel type 1'!$B$52</f>
        <v>B</v>
      </c>
      <c r="F12" s="460"/>
      <c r="G12" s="458"/>
      <c r="H12" s="112"/>
    </row>
    <row r="13" spans="1:10" ht="15" customHeight="1" x14ac:dyDescent="0.2">
      <c r="A13" s="365">
        <v>2</v>
      </c>
      <c r="B13" s="365"/>
      <c r="C13" s="368">
        <f>'Invoer Algemeen'!G20</f>
        <v>0</v>
      </c>
      <c r="D13" s="462">
        <f>IF('Invoer Lokaal Type 2'!$B$2=0,0,('binnenklimaatlabel type 2'!$C$38+'binnenklimaatlabel type 2'!$C$39)/'Invoer Lokaal Type 2'!$B$2)</f>
        <v>0</v>
      </c>
      <c r="E13" s="462" t="str">
        <f>'binnenklimaatlabel type 2'!$B$52</f>
        <v>D</v>
      </c>
      <c r="F13" s="460"/>
      <c r="G13" s="458"/>
      <c r="H13" s="112"/>
    </row>
    <row r="14" spans="1:10" ht="14.25" customHeight="1" x14ac:dyDescent="0.2">
      <c r="A14" s="365">
        <v>3</v>
      </c>
      <c r="B14" s="365"/>
      <c r="C14" s="368">
        <f>'Invoer Algemeen'!H20</f>
        <v>0</v>
      </c>
      <c r="D14" s="462">
        <f>IF('Invoer Lokaal Type 3'!$B$2=0,0,('binnenklimaatlabel type 3'!$C$38+'binnenklimaatlabel type 3'!$C$39)/'Invoer Lokaal Type 3'!$B$2)</f>
        <v>0</v>
      </c>
      <c r="E14" s="462" t="str">
        <f>'binnenklimaatlabel type 3'!$B$52</f>
        <v>D</v>
      </c>
      <c r="F14" s="460"/>
      <c r="G14" s="458"/>
      <c r="H14" s="112"/>
    </row>
    <row r="15" spans="1:10" x14ac:dyDescent="0.2">
      <c r="A15" s="365">
        <v>4</v>
      </c>
      <c r="B15" s="365"/>
      <c r="C15" s="368">
        <f>'Invoer Algemeen'!I20</f>
        <v>0</v>
      </c>
      <c r="D15" s="462">
        <f>IF('Invoer Lokaal Type 4'!$B$2=0,0,('binnenklimaatlabel type 4'!$C$38+'binnenklimaatlabel type 4'!$C$39)/'Invoer Lokaal Type 4'!$B$2)</f>
        <v>0</v>
      </c>
      <c r="E15" s="462" t="str">
        <f>'binnenklimaatlabel type 4'!$B$52</f>
        <v>D</v>
      </c>
      <c r="F15" s="460"/>
      <c r="G15" s="458"/>
      <c r="H15" s="112"/>
    </row>
    <row r="16" spans="1:10" x14ac:dyDescent="0.2">
      <c r="A16" s="457"/>
      <c r="B16" s="458"/>
      <c r="C16" s="459"/>
      <c r="D16" s="458"/>
      <c r="E16" s="459"/>
      <c r="F16" s="458"/>
      <c r="G16" s="460"/>
      <c r="H16" s="458"/>
      <c r="I16" s="112"/>
    </row>
    <row r="18" spans="1:8" ht="24.75" customHeight="1" x14ac:dyDescent="0.2">
      <c r="A18" s="348"/>
      <c r="B18" s="363" t="s">
        <v>923</v>
      </c>
      <c r="C18" s="647" t="s">
        <v>924</v>
      </c>
      <c r="D18" s="647"/>
    </row>
    <row r="19" spans="1:8" x14ac:dyDescent="0.2">
      <c r="A19" s="357" t="s">
        <v>860</v>
      </c>
      <c r="B19" s="353" t="e">
        <f>'Kosten en Baten maatregelen'!H67</f>
        <v>#DIV/0!</v>
      </c>
      <c r="C19" s="650" t="e">
        <f>'Kosten en Baten maatregelen'!R67</f>
        <v>#DIV/0!</v>
      </c>
      <c r="D19" s="650"/>
    </row>
    <row r="20" spans="1:8" x14ac:dyDescent="0.2">
      <c r="A20" s="357" t="s">
        <v>859</v>
      </c>
      <c r="B20" s="353" t="e">
        <f>'Kosten en Baten maatregelen'!H68</f>
        <v>#DIV/0!</v>
      </c>
      <c r="C20" s="650" t="e">
        <f>'Kosten en Baten maatregelen'!R68</f>
        <v>#DIV/0!</v>
      </c>
      <c r="D20" s="650"/>
    </row>
    <row r="21" spans="1:8" x14ac:dyDescent="0.2">
      <c r="A21" s="357" t="s">
        <v>918</v>
      </c>
      <c r="B21" s="353" t="e">
        <f>'Kosten en Baten maatregelen'!H69</f>
        <v>#DIV/0!</v>
      </c>
      <c r="C21" s="650" t="e">
        <f>'Kosten en Baten maatregelen'!R69</f>
        <v>#DIV/0!</v>
      </c>
      <c r="D21" s="650"/>
    </row>
    <row r="22" spans="1:8" x14ac:dyDescent="0.2">
      <c r="A22" s="243"/>
      <c r="B22" s="413"/>
      <c r="C22" s="413"/>
      <c r="D22" s="413"/>
    </row>
    <row r="23" spans="1:8" x14ac:dyDescent="0.2">
      <c r="A23" s="243"/>
      <c r="B23" s="413"/>
      <c r="C23" s="413"/>
      <c r="D23" s="413"/>
    </row>
    <row r="24" spans="1:8" x14ac:dyDescent="0.2">
      <c r="A24" s="641"/>
      <c r="B24" s="642" t="s">
        <v>1137</v>
      </c>
      <c r="C24" s="642" t="s">
        <v>1138</v>
      </c>
      <c r="D24" s="642" t="s">
        <v>1139</v>
      </c>
      <c r="E24" s="658" t="s">
        <v>1136</v>
      </c>
      <c r="F24" s="658"/>
      <c r="G24" s="658"/>
      <c r="H24" s="658"/>
    </row>
    <row r="25" spans="1:8" ht="22.5" x14ac:dyDescent="0.2">
      <c r="A25" s="641"/>
      <c r="B25" s="642"/>
      <c r="C25" s="642"/>
      <c r="D25" s="642"/>
      <c r="E25" s="464" t="s">
        <v>1129</v>
      </c>
      <c r="F25" s="464" t="s">
        <v>1130</v>
      </c>
      <c r="G25" s="464" t="s">
        <v>1131</v>
      </c>
      <c r="H25" s="464" t="s">
        <v>1132</v>
      </c>
    </row>
    <row r="26" spans="1:8" x14ac:dyDescent="0.2">
      <c r="A26" s="358" t="s">
        <v>717</v>
      </c>
      <c r="B26" s="463"/>
      <c r="C26" s="463"/>
      <c r="D26" s="463"/>
      <c r="E26" s="368">
        <f>'Verwerking Bouwdelen'!$N$208</f>
        <v>0</v>
      </c>
      <c r="F26" s="368">
        <f>'Verwerking Bouwdelen'!$O$208</f>
        <v>0</v>
      </c>
      <c r="G26" s="368">
        <f>'Verwerking Bouwdelen'!$P$208</f>
        <v>0</v>
      </c>
      <c r="H26" s="368">
        <f>'Verwerking Bouwdelen'!$Q$208</f>
        <v>0</v>
      </c>
    </row>
    <row r="27" spans="1:8" x14ac:dyDescent="0.2">
      <c r="A27" s="358" t="s">
        <v>239</v>
      </c>
      <c r="B27" s="463"/>
      <c r="C27" s="463"/>
      <c r="D27" s="463"/>
      <c r="E27" s="368">
        <f>'Verwerking Bouwdelen'!$R$208</f>
        <v>0</v>
      </c>
      <c r="F27" s="368">
        <f>'Verwerking Bouwdelen'!$S$208</f>
        <v>0</v>
      </c>
      <c r="G27" s="368">
        <f>'Verwerking Bouwdelen'!$T$208</f>
        <v>0</v>
      </c>
      <c r="H27" s="368">
        <f>'Verwerking Bouwdelen'!$U$208</f>
        <v>0</v>
      </c>
    </row>
    <row r="28" spans="1:8" x14ac:dyDescent="0.2">
      <c r="A28" s="358" t="s">
        <v>221</v>
      </c>
      <c r="B28" s="463"/>
      <c r="C28" s="463"/>
      <c r="D28" s="463"/>
      <c r="E28" s="368">
        <f>'Verwerking Bouwdelen'!$J$208</f>
        <v>0</v>
      </c>
      <c r="F28" s="368">
        <f>'Verwerking Bouwdelen'!$K$208</f>
        <v>0</v>
      </c>
      <c r="G28" s="368">
        <f>'Verwerking Bouwdelen'!$L$208</f>
        <v>0</v>
      </c>
      <c r="H28" s="368">
        <f>'Verwerking Bouwdelen'!$M$208</f>
        <v>0</v>
      </c>
    </row>
    <row r="29" spans="1:8" x14ac:dyDescent="0.2">
      <c r="A29" s="358"/>
      <c r="B29" s="365"/>
      <c r="C29" s="365"/>
      <c r="D29" s="365"/>
      <c r="E29" s="414" t="s">
        <v>712</v>
      </c>
      <c r="F29" s="414" t="s">
        <v>1133</v>
      </c>
      <c r="G29" s="414" t="s">
        <v>1134</v>
      </c>
      <c r="H29" s="414" t="s">
        <v>1135</v>
      </c>
    </row>
    <row r="30" spans="1:8" x14ac:dyDescent="0.2">
      <c r="A30" s="358" t="s">
        <v>530</v>
      </c>
      <c r="B30" s="463"/>
      <c r="C30" s="463"/>
      <c r="D30" s="463"/>
      <c r="E30" s="465">
        <f>'Verwerking Bouwdelen'!$E$253</f>
        <v>0</v>
      </c>
      <c r="F30" s="465">
        <f>'Verwerking Bouwdelen'!$F$253</f>
        <v>0</v>
      </c>
      <c r="G30" s="465">
        <f>'Verwerking Bouwdelen'!$G$253</f>
        <v>0</v>
      </c>
      <c r="H30" s="465">
        <f>'Verwerking Bouwdelen'!$H$253</f>
        <v>0</v>
      </c>
    </row>
    <row r="31" spans="1:8" x14ac:dyDescent="0.2">
      <c r="A31" s="243"/>
      <c r="B31" s="413"/>
      <c r="C31" s="413"/>
      <c r="D31" s="413"/>
    </row>
    <row r="32" spans="1:8" ht="24" x14ac:dyDescent="0.2">
      <c r="A32" s="365"/>
      <c r="B32" s="365" t="s">
        <v>1161</v>
      </c>
      <c r="C32" s="365" t="s">
        <v>1140</v>
      </c>
      <c r="D32" s="365" t="s">
        <v>1141</v>
      </c>
      <c r="E32" s="365" t="s">
        <v>1142</v>
      </c>
    </row>
    <row r="33" spans="1:6" x14ac:dyDescent="0.2">
      <c r="A33" s="365" t="s">
        <v>220</v>
      </c>
      <c r="B33" s="471">
        <f>'Verwerking Bouwdelen'!B258</f>
        <v>0</v>
      </c>
      <c r="C33" s="471">
        <f>'Verwerking Bouwdelen'!C258</f>
        <v>0</v>
      </c>
      <c r="D33" s="471">
        <f>'Verwerking Bouwdelen'!D258</f>
        <v>0</v>
      </c>
      <c r="E33" s="471">
        <f>'Verwerking Bouwdelen'!E258</f>
        <v>0</v>
      </c>
    </row>
    <row r="34" spans="1:6" x14ac:dyDescent="0.2">
      <c r="A34" s="365" t="s">
        <v>415</v>
      </c>
      <c r="B34" s="471">
        <f>'Verwerking Bouwdelen'!B259</f>
        <v>0</v>
      </c>
      <c r="C34" s="471">
        <f>'Verwerking Bouwdelen'!C259</f>
        <v>0</v>
      </c>
      <c r="D34" s="471">
        <f>'Verwerking Bouwdelen'!D259</f>
        <v>0</v>
      </c>
      <c r="E34" s="471">
        <f>'Verwerking Bouwdelen'!E259</f>
        <v>0</v>
      </c>
    </row>
    <row r="35" spans="1:6" x14ac:dyDescent="0.2">
      <c r="A35" s="365" t="s">
        <v>1143</v>
      </c>
      <c r="B35" s="471">
        <f>'Verwerking Bouwdelen'!B260</f>
        <v>0</v>
      </c>
      <c r="C35" s="471">
        <f>'Verwerking Bouwdelen'!C260</f>
        <v>0</v>
      </c>
      <c r="D35" s="471">
        <f>'Verwerking Bouwdelen'!D260</f>
        <v>0</v>
      </c>
      <c r="E35" s="471">
        <f>'Verwerking Bouwdelen'!E260</f>
        <v>0</v>
      </c>
    </row>
    <row r="36" spans="1:6" x14ac:dyDescent="0.2">
      <c r="A36" s="365" t="s">
        <v>1144</v>
      </c>
      <c r="B36" s="471">
        <f>'Verwerking Bouwdelen'!B261</f>
        <v>0</v>
      </c>
      <c r="C36" s="471">
        <f>'Verwerking Bouwdelen'!C261</f>
        <v>0</v>
      </c>
      <c r="D36" s="471">
        <f>'Verwerking Bouwdelen'!D261</f>
        <v>0</v>
      </c>
      <c r="E36" s="471">
        <f>'Verwerking Bouwdelen'!E261</f>
        <v>0</v>
      </c>
    </row>
    <row r="37" spans="1:6" x14ac:dyDescent="0.2">
      <c r="A37" s="243"/>
      <c r="B37" s="413"/>
      <c r="C37" s="413"/>
      <c r="D37" s="413"/>
    </row>
    <row r="38" spans="1:6" ht="25.5" x14ac:dyDescent="0.2">
      <c r="A38" s="366" t="s">
        <v>763</v>
      </c>
      <c r="B38" s="481" t="s">
        <v>1162</v>
      </c>
      <c r="C38" s="482" t="s">
        <v>1163</v>
      </c>
      <c r="D38" s="482" t="s">
        <v>1164</v>
      </c>
      <c r="E38" s="481" t="s">
        <v>1165</v>
      </c>
      <c r="F38" s="483" t="s">
        <v>386</v>
      </c>
    </row>
    <row r="39" spans="1:6" ht="12.75" customHeight="1" x14ac:dyDescent="0.3">
      <c r="A39" s="651" t="s">
        <v>375</v>
      </c>
      <c r="B39" s="488" t="s">
        <v>1180</v>
      </c>
      <c r="C39" s="368">
        <f>'Verwerken verlichting'!C85</f>
        <v>0</v>
      </c>
      <c r="D39" s="480"/>
      <c r="E39" s="648" t="s">
        <v>1168</v>
      </c>
      <c r="F39" s="648" t="s">
        <v>1168</v>
      </c>
    </row>
    <row r="40" spans="1:6" ht="22.5" x14ac:dyDescent="0.3">
      <c r="A40" s="651"/>
      <c r="B40" s="488" t="s">
        <v>1179</v>
      </c>
      <c r="C40" s="368">
        <f>'Verwerken verlichting'!C86</f>
        <v>0</v>
      </c>
      <c r="D40" s="480"/>
      <c r="E40" s="648"/>
      <c r="F40" s="648"/>
    </row>
    <row r="41" spans="1:6" x14ac:dyDescent="0.2">
      <c r="A41" s="651"/>
      <c r="B41" s="488" t="s">
        <v>1170</v>
      </c>
      <c r="C41" s="368">
        <f>'Verwerken verlichting'!C87</f>
        <v>0</v>
      </c>
      <c r="D41" s="489"/>
      <c r="E41" s="648"/>
      <c r="F41" s="648"/>
    </row>
    <row r="42" spans="1:6" ht="22.5" x14ac:dyDescent="0.2">
      <c r="A42" s="651"/>
      <c r="B42" s="488" t="s">
        <v>1178</v>
      </c>
      <c r="C42" s="368">
        <f>'Verwerken verlichting'!C88</f>
        <v>0</v>
      </c>
      <c r="D42" s="489"/>
      <c r="E42" s="648"/>
      <c r="F42" s="648"/>
    </row>
    <row r="43" spans="1:6" x14ac:dyDescent="0.2">
      <c r="A43" s="651" t="s">
        <v>1172</v>
      </c>
      <c r="B43" s="488" t="s">
        <v>1180</v>
      </c>
      <c r="C43" s="368">
        <f>'Verwerken verlichting'!C89</f>
        <v>0</v>
      </c>
      <c r="D43" s="489"/>
      <c r="E43" s="648" t="s">
        <v>1168</v>
      </c>
      <c r="F43" s="648" t="s">
        <v>1168</v>
      </c>
    </row>
    <row r="44" spans="1:6" ht="22.5" x14ac:dyDescent="0.2">
      <c r="A44" s="651"/>
      <c r="B44" s="488" t="s">
        <v>1179</v>
      </c>
      <c r="C44" s="368">
        <f>'Verwerken verlichting'!C90</f>
        <v>0</v>
      </c>
      <c r="D44" s="489"/>
      <c r="E44" s="648"/>
      <c r="F44" s="648"/>
    </row>
    <row r="45" spans="1:6" x14ac:dyDescent="0.2">
      <c r="A45" s="651"/>
      <c r="B45" s="488" t="s">
        <v>1170</v>
      </c>
      <c r="C45" s="368">
        <f>'Verwerken verlichting'!C91</f>
        <v>0</v>
      </c>
      <c r="D45" s="489"/>
      <c r="E45" s="648"/>
      <c r="F45" s="648"/>
    </row>
    <row r="46" spans="1:6" ht="22.5" x14ac:dyDescent="0.3">
      <c r="A46" s="651"/>
      <c r="B46" s="488" t="s">
        <v>1178</v>
      </c>
      <c r="C46" s="368">
        <f>'Verwerken verlichting'!C92</f>
        <v>0</v>
      </c>
      <c r="D46" s="480">
        <f>'Verwerken verlichting'!$D$85</f>
        <v>0</v>
      </c>
      <c r="E46" s="648"/>
      <c r="F46" s="648"/>
    </row>
    <row r="47" spans="1:6" ht="15.75" customHeight="1" x14ac:dyDescent="0.2">
      <c r="A47" s="651" t="s">
        <v>1173</v>
      </c>
      <c r="B47" s="488" t="s">
        <v>1180</v>
      </c>
      <c r="C47" s="368">
        <f>'Verwerken verlichting'!C93</f>
        <v>0</v>
      </c>
      <c r="D47" s="649" t="s">
        <v>1167</v>
      </c>
      <c r="E47" s="648" t="s">
        <v>1168</v>
      </c>
      <c r="F47" s="648" t="s">
        <v>1168</v>
      </c>
    </row>
    <row r="48" spans="1:6" ht="22.5" x14ac:dyDescent="0.2">
      <c r="A48" s="651"/>
      <c r="B48" s="488" t="s">
        <v>1179</v>
      </c>
      <c r="C48" s="368">
        <f>'Verwerken verlichting'!C94</f>
        <v>0</v>
      </c>
      <c r="D48" s="649"/>
      <c r="E48" s="648"/>
      <c r="F48" s="648"/>
    </row>
    <row r="49" spans="1:11" x14ac:dyDescent="0.2">
      <c r="A49" s="651"/>
      <c r="B49" s="488" t="s">
        <v>1170</v>
      </c>
      <c r="C49" s="368">
        <f>'Verwerken verlichting'!C95</f>
        <v>0</v>
      </c>
      <c r="D49" s="489"/>
      <c r="E49" s="648"/>
      <c r="F49" s="648"/>
    </row>
    <row r="50" spans="1:11" ht="22.5" x14ac:dyDescent="0.2">
      <c r="A50" s="651"/>
      <c r="B50" s="488" t="s">
        <v>1178</v>
      </c>
      <c r="C50" s="368">
        <f>'Verwerken verlichting'!C96</f>
        <v>0</v>
      </c>
      <c r="D50" s="489"/>
      <c r="E50" s="648"/>
      <c r="F50" s="648"/>
    </row>
    <row r="51" spans="1:11" x14ac:dyDescent="0.2">
      <c r="A51" s="651" t="s">
        <v>312</v>
      </c>
      <c r="B51" s="488" t="s">
        <v>1180</v>
      </c>
      <c r="C51" s="368">
        <f>'Verwerken verlichting'!C97</f>
        <v>0</v>
      </c>
      <c r="D51" s="489"/>
      <c r="E51" s="648" t="s">
        <v>1168</v>
      </c>
      <c r="F51" s="648" t="s">
        <v>1168</v>
      </c>
    </row>
    <row r="52" spans="1:11" ht="22.5" x14ac:dyDescent="0.2">
      <c r="A52" s="651"/>
      <c r="B52" s="488" t="s">
        <v>1179</v>
      </c>
      <c r="C52" s="368">
        <f>'Verwerken verlichting'!C98</f>
        <v>0</v>
      </c>
      <c r="D52" s="489"/>
      <c r="E52" s="648"/>
      <c r="F52" s="648"/>
    </row>
    <row r="53" spans="1:11" x14ac:dyDescent="0.2">
      <c r="A53" s="651"/>
      <c r="B53" s="488" t="s">
        <v>1170</v>
      </c>
      <c r="C53" s="368">
        <f>'Verwerken verlichting'!C99</f>
        <v>0</v>
      </c>
      <c r="D53" s="489"/>
      <c r="E53" s="648"/>
      <c r="F53" s="648"/>
    </row>
    <row r="54" spans="1:11" ht="22.5" x14ac:dyDescent="0.2">
      <c r="A54" s="651"/>
      <c r="B54" s="488" t="s">
        <v>1178</v>
      </c>
      <c r="C54" s="368">
        <f>'Verwerken verlichting'!C100</f>
        <v>0</v>
      </c>
      <c r="D54" s="490"/>
      <c r="E54" s="648"/>
      <c r="F54" s="648"/>
    </row>
    <row r="55" spans="1:11" x14ac:dyDescent="0.2">
      <c r="A55" s="243"/>
      <c r="B55" s="413"/>
      <c r="C55" s="413"/>
      <c r="D55" s="413"/>
    </row>
    <row r="57" spans="1:11" x14ac:dyDescent="0.2">
      <c r="A57" s="176" t="s">
        <v>925</v>
      </c>
    </row>
    <row r="58" spans="1:11" ht="12.75" customHeight="1" x14ac:dyDescent="0.2">
      <c r="A58" s="643" t="s">
        <v>926</v>
      </c>
      <c r="B58" s="653" t="s">
        <v>927</v>
      </c>
      <c r="C58" s="654"/>
      <c r="D58" s="646" t="s">
        <v>928</v>
      </c>
      <c r="E58" s="646" t="s">
        <v>1183</v>
      </c>
      <c r="F58" s="646" t="s">
        <v>929</v>
      </c>
      <c r="G58" s="646"/>
      <c r="H58" s="646" t="s">
        <v>932</v>
      </c>
    </row>
    <row r="59" spans="1:11" ht="22.5" x14ac:dyDescent="0.2">
      <c r="A59" s="644"/>
      <c r="B59" s="655"/>
      <c r="C59" s="656"/>
      <c r="D59" s="646"/>
      <c r="E59" s="646"/>
      <c r="F59" s="343" t="s">
        <v>1116</v>
      </c>
      <c r="G59" s="343" t="s">
        <v>931</v>
      </c>
      <c r="H59" s="646"/>
    </row>
    <row r="60" spans="1:11" x14ac:dyDescent="0.2">
      <c r="A60" s="345" t="str">
        <f>IF('Kosten en Baten maatregelen'!$Q33&lt;='Kosten en Baten maatregelen'!$N$53,VLOOKUP('Kosten en Baten maatregelen'!$Q33,'Kosten en Baten maatregelen'!$A$33:$N$53,2,),"")</f>
        <v/>
      </c>
      <c r="B60" s="347" t="str">
        <f>IF('Kosten en Baten maatregelen'!$Q33&lt;='Kosten en Baten maatregelen'!$N$53,VLOOKUP('Kosten en Baten maatregelen'!$Q33,'Kosten en Baten maatregelen'!$A$33:$N$53,3,),"")</f>
        <v/>
      </c>
      <c r="C60" s="347" t="str">
        <f>IF('Kosten en Baten maatregelen'!$Q33&lt;='Kosten en Baten maatregelen'!$N$53,VLOOKUP('Kosten en Baten maatregelen'!$Q33,'Kosten en Baten maatregelen'!$A$33:$N$53,4,),"")</f>
        <v/>
      </c>
      <c r="D60" s="347" t="str">
        <f>IF('Kosten en Baten maatregelen'!$Q33&lt;='Kosten en Baten maatregelen'!$N$53,VLOOKUP('Kosten en Baten maatregelen'!$Q33,'Kosten en Baten maatregelen'!$A$33:$N$53,9,),"")</f>
        <v/>
      </c>
      <c r="E60" s="347" t="str">
        <f>IF('Kosten en Baten maatregelen'!$Q33&lt;='Kosten en Baten maatregelen'!$N$53,VLOOKUP('Kosten en Baten maatregelen'!$Q33,'Kosten en Baten maatregelen'!$A$33:$N$53,10,),"")</f>
        <v/>
      </c>
      <c r="F60" s="346" t="str">
        <f>IF('Kosten en Baten maatregelen'!$Q33&lt;='Kosten en Baten maatregelen'!$N$53,VLOOKUP('Kosten en Baten maatregelen'!$Q33,'Kosten en Baten maatregelen'!$A$33:$N$53,12,),"")</f>
        <v/>
      </c>
      <c r="G60" s="347" t="str">
        <f>IF('Kosten en Baten maatregelen'!$Q33&lt;='Kosten en Baten maatregelen'!$N$53,VLOOKUP('Kosten en Baten maatregelen'!$Q33,'Kosten en Baten maatregelen'!$A$33:$N$53,8,),"")</f>
        <v/>
      </c>
      <c r="H60" s="346" t="str">
        <f>IF('Kosten en Baten maatregelen'!$Q33&lt;='Kosten en Baten maatregelen'!$N$53,VLOOKUP('Kosten en Baten maatregelen'!$Q33,'Kosten en Baten maatregelen'!$A$33:$N$53,11,),"")</f>
        <v/>
      </c>
    </row>
    <row r="61" spans="1:11" x14ac:dyDescent="0.2">
      <c r="A61" s="345" t="str">
        <f>IF('Kosten en Baten maatregelen'!$Q34&lt;='Kosten en Baten maatregelen'!$N$53,VLOOKUP('Kosten en Baten maatregelen'!$Q34,'Kosten en Baten maatregelen'!$A$33:$N$53,2,),"")</f>
        <v/>
      </c>
      <c r="B61" s="347" t="str">
        <f>IF('Kosten en Baten maatregelen'!$Q34&lt;='Kosten en Baten maatregelen'!$N$53,VLOOKUP('Kosten en Baten maatregelen'!$Q34,'Kosten en Baten maatregelen'!$A$33:$N$53,3,),"")</f>
        <v/>
      </c>
      <c r="C61" s="347" t="str">
        <f>IF('Kosten en Baten maatregelen'!$Q34&lt;='Kosten en Baten maatregelen'!$N$53,VLOOKUP('Kosten en Baten maatregelen'!$Q34,'Kosten en Baten maatregelen'!$A$33:$N$53,4,),"")</f>
        <v/>
      </c>
      <c r="D61" s="347" t="str">
        <f>IF('Kosten en Baten maatregelen'!$Q34&lt;='Kosten en Baten maatregelen'!$N$53,VLOOKUP('Kosten en Baten maatregelen'!$Q34,'Kosten en Baten maatregelen'!$A$33:$N$53,9,),"")</f>
        <v/>
      </c>
      <c r="E61" s="347" t="str">
        <f>IF('Kosten en Baten maatregelen'!$Q34&lt;='Kosten en Baten maatregelen'!$N$53,VLOOKUP('Kosten en Baten maatregelen'!$Q34,'Kosten en Baten maatregelen'!$A$33:$N$53,10,),"")</f>
        <v/>
      </c>
      <c r="F61" s="346" t="str">
        <f>IF('Kosten en Baten maatregelen'!$Q34&lt;='Kosten en Baten maatregelen'!$N$53,VLOOKUP('Kosten en Baten maatregelen'!$Q34,'Kosten en Baten maatregelen'!$A$33:$N$53,12,),"")</f>
        <v/>
      </c>
      <c r="G61" s="347" t="str">
        <f>IF('Kosten en Baten maatregelen'!$Q34&lt;='Kosten en Baten maatregelen'!$N$53,VLOOKUP('Kosten en Baten maatregelen'!$Q34,'Kosten en Baten maatregelen'!$A$33:$N$53,8,),"")</f>
        <v/>
      </c>
      <c r="H61" s="346" t="str">
        <f>IF('Kosten en Baten maatregelen'!$Q34&lt;='Kosten en Baten maatregelen'!$N$53,VLOOKUP('Kosten en Baten maatregelen'!$Q34,'Kosten en Baten maatregelen'!$A$33:$N$53,11,),"")</f>
        <v/>
      </c>
    </row>
    <row r="62" spans="1:11" x14ac:dyDescent="0.2">
      <c r="A62" s="345" t="str">
        <f>IF('Kosten en Baten maatregelen'!$Q35&lt;='Kosten en Baten maatregelen'!$N$53,VLOOKUP('Kosten en Baten maatregelen'!$Q35,'Kosten en Baten maatregelen'!$A$33:$N$53,2,),"")</f>
        <v/>
      </c>
      <c r="B62" s="347" t="str">
        <f>IF('Kosten en Baten maatregelen'!$Q35&lt;='Kosten en Baten maatregelen'!$N$53,VLOOKUP('Kosten en Baten maatregelen'!$Q35,'Kosten en Baten maatregelen'!$A$33:$N$53,3,),"")</f>
        <v/>
      </c>
      <c r="C62" s="347" t="str">
        <f>IF('Kosten en Baten maatregelen'!$Q35&lt;='Kosten en Baten maatregelen'!$N$53,VLOOKUP('Kosten en Baten maatregelen'!$Q35,'Kosten en Baten maatregelen'!$A$33:$N$53,4,),"")</f>
        <v/>
      </c>
      <c r="D62" s="347" t="str">
        <f>IF('Kosten en Baten maatregelen'!$Q35&lt;='Kosten en Baten maatregelen'!$N$53,VLOOKUP('Kosten en Baten maatregelen'!$Q35,'Kosten en Baten maatregelen'!$A$33:$N$53,9,),"")</f>
        <v/>
      </c>
      <c r="E62" s="347" t="str">
        <f>IF('Kosten en Baten maatregelen'!$Q35&lt;='Kosten en Baten maatregelen'!$N$53,VLOOKUP('Kosten en Baten maatregelen'!$Q35,'Kosten en Baten maatregelen'!$A$33:$N$53,10,),"")</f>
        <v/>
      </c>
      <c r="F62" s="346" t="str">
        <f>IF('Kosten en Baten maatregelen'!$Q35&lt;='Kosten en Baten maatregelen'!$N$53,VLOOKUP('Kosten en Baten maatregelen'!$Q35,'Kosten en Baten maatregelen'!$A$33:$N$53,12,),"")</f>
        <v/>
      </c>
      <c r="G62" s="347" t="str">
        <f>IF('Kosten en Baten maatregelen'!$Q35&lt;='Kosten en Baten maatregelen'!$N$53,VLOOKUP('Kosten en Baten maatregelen'!$Q35,'Kosten en Baten maatregelen'!$A$33:$N$53,8,),"")</f>
        <v/>
      </c>
      <c r="H62" s="346" t="str">
        <f>IF('Kosten en Baten maatregelen'!$Q35&lt;='Kosten en Baten maatregelen'!$N$53,VLOOKUP('Kosten en Baten maatregelen'!$Q35,'Kosten en Baten maatregelen'!$A$33:$N$53,11,),"")</f>
        <v/>
      </c>
    </row>
    <row r="63" spans="1:11" x14ac:dyDescent="0.2">
      <c r="A63" s="345" t="str">
        <f>IF('Kosten en Baten maatregelen'!$Q36&lt;='Kosten en Baten maatregelen'!$N$53,VLOOKUP('Kosten en Baten maatregelen'!$Q36,'Kosten en Baten maatregelen'!$A$33:$N$53,2,),"")</f>
        <v/>
      </c>
      <c r="B63" s="347" t="str">
        <f>IF('Kosten en Baten maatregelen'!$Q36&lt;='Kosten en Baten maatregelen'!$N$53,VLOOKUP('Kosten en Baten maatregelen'!$Q36,'Kosten en Baten maatregelen'!$A$33:$N$53,3,),"")</f>
        <v/>
      </c>
      <c r="C63" s="347" t="str">
        <f>IF('Kosten en Baten maatregelen'!$Q36&lt;='Kosten en Baten maatregelen'!$N$53,VLOOKUP('Kosten en Baten maatregelen'!$Q36,'Kosten en Baten maatregelen'!$A$33:$N$53,4,),"")</f>
        <v/>
      </c>
      <c r="D63" s="347" t="str">
        <f>IF('Kosten en Baten maatregelen'!$Q36&lt;='Kosten en Baten maatregelen'!$N$53,VLOOKUP('Kosten en Baten maatregelen'!$Q36,'Kosten en Baten maatregelen'!$A$33:$N$53,9,),"")</f>
        <v/>
      </c>
      <c r="E63" s="347" t="str">
        <f>IF('Kosten en Baten maatregelen'!$Q36&lt;='Kosten en Baten maatregelen'!$N$53,VLOOKUP('Kosten en Baten maatregelen'!$Q36,'Kosten en Baten maatregelen'!$A$33:$N$53,10,),"")</f>
        <v/>
      </c>
      <c r="F63" s="346" t="str">
        <f>IF('Kosten en Baten maatregelen'!$Q36&lt;='Kosten en Baten maatregelen'!$N$53,VLOOKUP('Kosten en Baten maatregelen'!$Q36,'Kosten en Baten maatregelen'!$A$33:$N$53,12,),"")</f>
        <v/>
      </c>
      <c r="G63" s="347" t="str">
        <f>IF('Kosten en Baten maatregelen'!$Q36&lt;='Kosten en Baten maatregelen'!$N$53,VLOOKUP('Kosten en Baten maatregelen'!$Q36,'Kosten en Baten maatregelen'!$A$33:$N$53,8,),"")</f>
        <v/>
      </c>
      <c r="H63" s="346" t="str">
        <f>IF('Kosten en Baten maatregelen'!$Q36&lt;='Kosten en Baten maatregelen'!$N$53,VLOOKUP('Kosten en Baten maatregelen'!$Q36,'Kosten en Baten maatregelen'!$A$33:$N$53,11,),"")</f>
        <v/>
      </c>
    </row>
    <row r="64" spans="1:11" x14ac:dyDescent="0.2">
      <c r="A64" s="345" t="str">
        <f>IF('Kosten en Baten maatregelen'!$Q37&lt;='Kosten en Baten maatregelen'!$N$53,VLOOKUP('Kosten en Baten maatregelen'!$Q37,'Kosten en Baten maatregelen'!$A$33:$N$53,2,),"")</f>
        <v/>
      </c>
      <c r="B64" s="347" t="str">
        <f>IF('Kosten en Baten maatregelen'!$Q37&lt;='Kosten en Baten maatregelen'!$N$53,VLOOKUP('Kosten en Baten maatregelen'!$Q37,'Kosten en Baten maatregelen'!$A$33:$N$53,3,),"")</f>
        <v/>
      </c>
      <c r="C64" s="347" t="str">
        <f>IF('Kosten en Baten maatregelen'!$Q37&lt;='Kosten en Baten maatregelen'!$N$53,VLOOKUP('Kosten en Baten maatregelen'!$Q37,'Kosten en Baten maatregelen'!$A$33:$N$53,4,),"")</f>
        <v/>
      </c>
      <c r="D64" s="347" t="str">
        <f>IF('Kosten en Baten maatregelen'!$Q37&lt;='Kosten en Baten maatregelen'!$N$53,VLOOKUP('Kosten en Baten maatregelen'!$Q37,'Kosten en Baten maatregelen'!$A$33:$N$53,9,),"")</f>
        <v/>
      </c>
      <c r="E64" s="347" t="str">
        <f>IF('Kosten en Baten maatregelen'!$Q37&lt;='Kosten en Baten maatregelen'!$N$53,VLOOKUP('Kosten en Baten maatregelen'!$Q37,'Kosten en Baten maatregelen'!$A$33:$N$53,10,),"")</f>
        <v/>
      </c>
      <c r="F64" s="346" t="str">
        <f>IF('Kosten en Baten maatregelen'!$Q37&lt;='Kosten en Baten maatregelen'!$N$53,VLOOKUP('Kosten en Baten maatregelen'!$Q37,'Kosten en Baten maatregelen'!$A$33:$N$53,12,),"")</f>
        <v/>
      </c>
      <c r="G64" s="347" t="str">
        <f>IF('Kosten en Baten maatregelen'!$Q37&lt;='Kosten en Baten maatregelen'!$N$53,VLOOKUP('Kosten en Baten maatregelen'!$Q37,'Kosten en Baten maatregelen'!$A$33:$N$53,8,),"")</f>
        <v/>
      </c>
      <c r="H64" s="346" t="str">
        <f>IF('Kosten en Baten maatregelen'!$Q37&lt;='Kosten en Baten maatregelen'!$N$53,VLOOKUP('Kosten en Baten maatregelen'!$Q37,'Kosten en Baten maatregelen'!$A$33:$N$53,11,),"")</f>
        <v/>
      </c>
      <c r="J64" s="411" t="s">
        <v>1055</v>
      </c>
      <c r="K64" s="498" t="s">
        <v>1184</v>
      </c>
    </row>
    <row r="65" spans="1:11" x14ac:dyDescent="0.2">
      <c r="A65" s="345" t="str">
        <f>IF('Kosten en Baten maatregelen'!$Q38&lt;='Kosten en Baten maatregelen'!$N$53,VLOOKUP('Kosten en Baten maatregelen'!$Q38,'Kosten en Baten maatregelen'!$A$33:$N$53,2,),"")</f>
        <v/>
      </c>
      <c r="B65" s="347" t="str">
        <f>IF('Kosten en Baten maatregelen'!$Q38&lt;='Kosten en Baten maatregelen'!$N$53,VLOOKUP('Kosten en Baten maatregelen'!$Q38,'Kosten en Baten maatregelen'!$A$33:$N$53,3,),"")</f>
        <v/>
      </c>
      <c r="C65" s="347" t="str">
        <f>IF('Kosten en Baten maatregelen'!$Q38&lt;='Kosten en Baten maatregelen'!$N$53,VLOOKUP('Kosten en Baten maatregelen'!$Q38,'Kosten en Baten maatregelen'!$A$33:$N$53,4,),"")</f>
        <v/>
      </c>
      <c r="D65" s="347" t="str">
        <f>IF('Kosten en Baten maatregelen'!$Q38&lt;='Kosten en Baten maatregelen'!$N$53,VLOOKUP('Kosten en Baten maatregelen'!$Q38,'Kosten en Baten maatregelen'!$A$33:$N$53,9,),"")</f>
        <v/>
      </c>
      <c r="E65" s="347" t="str">
        <f>IF('Kosten en Baten maatregelen'!$Q38&lt;='Kosten en Baten maatregelen'!$N$53,VLOOKUP('Kosten en Baten maatregelen'!$Q38,'Kosten en Baten maatregelen'!$A$33:$N$53,10,),"")</f>
        <v/>
      </c>
      <c r="F65" s="346" t="str">
        <f>IF('Kosten en Baten maatregelen'!$Q38&lt;='Kosten en Baten maatregelen'!$N$53,VLOOKUP('Kosten en Baten maatregelen'!$Q38,'Kosten en Baten maatregelen'!$A$33:$N$53,12,),"")</f>
        <v/>
      </c>
      <c r="G65" s="347" t="str">
        <f>IF('Kosten en Baten maatregelen'!$Q38&lt;='Kosten en Baten maatregelen'!$N$53,VLOOKUP('Kosten en Baten maatregelen'!$Q38,'Kosten en Baten maatregelen'!$A$33:$N$53,8,),"")</f>
        <v/>
      </c>
      <c r="H65" s="346" t="str">
        <f>IF('Kosten en Baten maatregelen'!$Q38&lt;='Kosten en Baten maatregelen'!$N$53,VLOOKUP('Kosten en Baten maatregelen'!$Q38,'Kosten en Baten maatregelen'!$A$33:$N$53,11,),"")</f>
        <v/>
      </c>
      <c r="J65" s="411"/>
      <c r="K65" s="411" t="s">
        <v>1056</v>
      </c>
    </row>
    <row r="66" spans="1:11" x14ac:dyDescent="0.2">
      <c r="A66" s="345" t="str">
        <f>IF('Kosten en Baten maatregelen'!$Q39&lt;='Kosten en Baten maatregelen'!$N$53,VLOOKUP('Kosten en Baten maatregelen'!$Q39,'Kosten en Baten maatregelen'!$A$33:$N$53,2,),"")</f>
        <v/>
      </c>
      <c r="B66" s="347" t="str">
        <f>IF('Kosten en Baten maatregelen'!$Q39&lt;='Kosten en Baten maatregelen'!$N$53,VLOOKUP('Kosten en Baten maatregelen'!$Q39,'Kosten en Baten maatregelen'!$A$33:$N$53,3,),"")</f>
        <v/>
      </c>
      <c r="C66" s="347" t="str">
        <f>IF('Kosten en Baten maatregelen'!$Q39&lt;='Kosten en Baten maatregelen'!$N$53,VLOOKUP('Kosten en Baten maatregelen'!$Q39,'Kosten en Baten maatregelen'!$A$33:$N$53,4,),"")</f>
        <v/>
      </c>
      <c r="D66" s="347" t="str">
        <f>IF('Kosten en Baten maatregelen'!$Q39&lt;='Kosten en Baten maatregelen'!$N$53,VLOOKUP('Kosten en Baten maatregelen'!$Q39,'Kosten en Baten maatregelen'!$A$33:$N$53,9,),"")</f>
        <v/>
      </c>
      <c r="E66" s="347" t="str">
        <f>IF('Kosten en Baten maatregelen'!$Q39&lt;='Kosten en Baten maatregelen'!$N$53,VLOOKUP('Kosten en Baten maatregelen'!$Q39,'Kosten en Baten maatregelen'!$A$33:$N$53,10,),"")</f>
        <v/>
      </c>
      <c r="F66" s="346" t="str">
        <f>IF('Kosten en Baten maatregelen'!$Q39&lt;='Kosten en Baten maatregelen'!$N$53,VLOOKUP('Kosten en Baten maatregelen'!$Q39,'Kosten en Baten maatregelen'!$A$33:$N$53,12,),"")</f>
        <v/>
      </c>
      <c r="G66" s="347" t="str">
        <f>IF('Kosten en Baten maatregelen'!$Q39&lt;='Kosten en Baten maatregelen'!$N$53,VLOOKUP('Kosten en Baten maatregelen'!$Q39,'Kosten en Baten maatregelen'!$A$33:$N$53,8,),"")</f>
        <v/>
      </c>
      <c r="H66" s="346" t="str">
        <f>IF('Kosten en Baten maatregelen'!$Q39&lt;='Kosten en Baten maatregelen'!$N$53,VLOOKUP('Kosten en Baten maatregelen'!$Q39,'Kosten en Baten maatregelen'!$A$33:$N$53,11,),"")</f>
        <v/>
      </c>
    </row>
    <row r="67" spans="1:11" x14ac:dyDescent="0.2">
      <c r="A67" s="345" t="str">
        <f>IF('Kosten en Baten maatregelen'!$Q40&lt;='Kosten en Baten maatregelen'!$N$53,VLOOKUP('Kosten en Baten maatregelen'!$Q40,'Kosten en Baten maatregelen'!$A$33:$N$53,2,),"")</f>
        <v/>
      </c>
      <c r="B67" s="347" t="str">
        <f>IF('Kosten en Baten maatregelen'!$Q40&lt;='Kosten en Baten maatregelen'!$N$53,VLOOKUP('Kosten en Baten maatregelen'!$Q40,'Kosten en Baten maatregelen'!$A$33:$N$53,3,),"")</f>
        <v/>
      </c>
      <c r="C67" s="347" t="str">
        <f>IF('Kosten en Baten maatregelen'!$Q40&lt;='Kosten en Baten maatregelen'!$N$53,VLOOKUP('Kosten en Baten maatregelen'!$Q40,'Kosten en Baten maatregelen'!$A$33:$N$53,4,),"")</f>
        <v/>
      </c>
      <c r="D67" s="347" t="str">
        <f>IF('Kosten en Baten maatregelen'!$Q40&lt;='Kosten en Baten maatregelen'!$N$53,VLOOKUP('Kosten en Baten maatregelen'!$Q40,'Kosten en Baten maatregelen'!$A$33:$N$53,9,),"")</f>
        <v/>
      </c>
      <c r="E67" s="347" t="str">
        <f>IF('Kosten en Baten maatregelen'!$Q40&lt;='Kosten en Baten maatregelen'!$N$53,VLOOKUP('Kosten en Baten maatregelen'!$Q40,'Kosten en Baten maatregelen'!$A$33:$N$53,10,),"")</f>
        <v/>
      </c>
      <c r="F67" s="346" t="str">
        <f>IF('Kosten en Baten maatregelen'!$Q40&lt;='Kosten en Baten maatregelen'!$N$53,VLOOKUP('Kosten en Baten maatregelen'!$Q40,'Kosten en Baten maatregelen'!$A$33:$N$53,12,),"")</f>
        <v/>
      </c>
      <c r="G67" s="347" t="str">
        <f>IF('Kosten en Baten maatregelen'!$Q40&lt;='Kosten en Baten maatregelen'!$N$53,VLOOKUP('Kosten en Baten maatregelen'!$Q40,'Kosten en Baten maatregelen'!$A$33:$N$53,8,),"")</f>
        <v/>
      </c>
      <c r="H67" s="346" t="str">
        <f>IF('Kosten en Baten maatregelen'!$Q40&lt;='Kosten en Baten maatregelen'!$N$53,VLOOKUP('Kosten en Baten maatregelen'!$Q40,'Kosten en Baten maatregelen'!$A$33:$N$53,11,),"")</f>
        <v/>
      </c>
      <c r="J67" s="360" t="s">
        <v>748</v>
      </c>
      <c r="K67" s="360" t="s">
        <v>749</v>
      </c>
    </row>
    <row r="68" spans="1:11" x14ac:dyDescent="0.2">
      <c r="A68" s="345" t="str">
        <f>IF('Kosten en Baten maatregelen'!$Q41&lt;='Kosten en Baten maatregelen'!$N$53,VLOOKUP('Kosten en Baten maatregelen'!$Q41,'Kosten en Baten maatregelen'!$A$33:$N$53,2,),"")</f>
        <v/>
      </c>
      <c r="B68" s="347" t="str">
        <f>IF('Kosten en Baten maatregelen'!$Q41&lt;='Kosten en Baten maatregelen'!$N$53,VLOOKUP('Kosten en Baten maatregelen'!$Q41,'Kosten en Baten maatregelen'!$A$33:$N$53,3,),"")</f>
        <v/>
      </c>
      <c r="C68" s="347" t="str">
        <f>IF('Kosten en Baten maatregelen'!$Q41&lt;='Kosten en Baten maatregelen'!$N$53,VLOOKUP('Kosten en Baten maatregelen'!$Q41,'Kosten en Baten maatregelen'!$A$33:$N$53,4,),"")</f>
        <v/>
      </c>
      <c r="D68" s="347" t="str">
        <f>IF('Kosten en Baten maatregelen'!$Q41&lt;='Kosten en Baten maatregelen'!$N$53,VLOOKUP('Kosten en Baten maatregelen'!$Q41,'Kosten en Baten maatregelen'!$A$33:$N$53,9,),"")</f>
        <v/>
      </c>
      <c r="E68" s="347" t="str">
        <f>IF('Kosten en Baten maatregelen'!$Q41&lt;='Kosten en Baten maatregelen'!$N$53,VLOOKUP('Kosten en Baten maatregelen'!$Q41,'Kosten en Baten maatregelen'!$A$33:$N$53,10,),"")</f>
        <v/>
      </c>
      <c r="F68" s="346" t="str">
        <f>IF('Kosten en Baten maatregelen'!$Q41&lt;='Kosten en Baten maatregelen'!$N$53,VLOOKUP('Kosten en Baten maatregelen'!$Q41,'Kosten en Baten maatregelen'!$A$33:$N$53,12,),"")</f>
        <v/>
      </c>
      <c r="G68" s="347" t="str">
        <f>IF('Kosten en Baten maatregelen'!$Q41&lt;='Kosten en Baten maatregelen'!$N$53,VLOOKUP('Kosten en Baten maatregelen'!$Q41,'Kosten en Baten maatregelen'!$A$33:$N$53,8,),"")</f>
        <v/>
      </c>
      <c r="H68" s="346" t="str">
        <f>IF('Kosten en Baten maatregelen'!$Q41&lt;='Kosten en Baten maatregelen'!$N$53,VLOOKUP('Kosten en Baten maatregelen'!$Q41,'Kosten en Baten maatregelen'!$A$33:$N$53,11,),"")</f>
        <v/>
      </c>
      <c r="J68" s="360"/>
      <c r="K68" s="360" t="s">
        <v>750</v>
      </c>
    </row>
    <row r="69" spans="1:11" x14ac:dyDescent="0.2">
      <c r="A69" s="345" t="str">
        <f>IF('Kosten en Baten maatregelen'!$Q42&lt;='Kosten en Baten maatregelen'!$N$53,VLOOKUP('Kosten en Baten maatregelen'!$Q42,'Kosten en Baten maatregelen'!$A$33:$N$53,2,),"")</f>
        <v/>
      </c>
      <c r="B69" s="347" t="str">
        <f>IF('Kosten en Baten maatregelen'!$Q42&lt;='Kosten en Baten maatregelen'!$N$53,VLOOKUP('Kosten en Baten maatregelen'!$Q42,'Kosten en Baten maatregelen'!$A$33:$N$53,3,),"")</f>
        <v/>
      </c>
      <c r="C69" s="347" t="str">
        <f>IF('Kosten en Baten maatregelen'!$Q42&lt;='Kosten en Baten maatregelen'!$N$53,VLOOKUP('Kosten en Baten maatregelen'!$Q42,'Kosten en Baten maatregelen'!$A$33:$N$53,4,),"")</f>
        <v/>
      </c>
      <c r="D69" s="347" t="str">
        <f>IF('Kosten en Baten maatregelen'!$Q42&lt;='Kosten en Baten maatregelen'!$N$53,VLOOKUP('Kosten en Baten maatregelen'!$Q42,'Kosten en Baten maatregelen'!$A$33:$N$53,9,),"")</f>
        <v/>
      </c>
      <c r="E69" s="347" t="str">
        <f>IF('Kosten en Baten maatregelen'!$Q42&lt;='Kosten en Baten maatregelen'!$N$53,VLOOKUP('Kosten en Baten maatregelen'!$Q42,'Kosten en Baten maatregelen'!$A$33:$N$53,10,),"")</f>
        <v/>
      </c>
      <c r="F69" s="346" t="str">
        <f>IF('Kosten en Baten maatregelen'!$Q42&lt;='Kosten en Baten maatregelen'!$N$53,VLOOKUP('Kosten en Baten maatregelen'!$Q42,'Kosten en Baten maatregelen'!$A$33:$N$53,12,),"")</f>
        <v/>
      </c>
      <c r="G69" s="347" t="str">
        <f>IF('Kosten en Baten maatregelen'!$Q42&lt;='Kosten en Baten maatregelen'!$N$53,VLOOKUP('Kosten en Baten maatregelen'!$Q42,'Kosten en Baten maatregelen'!$A$33:$N$53,8,),"")</f>
        <v/>
      </c>
      <c r="H69" s="346" t="str">
        <f>IF('Kosten en Baten maatregelen'!$Q42&lt;='Kosten en Baten maatregelen'!$N$53,VLOOKUP('Kosten en Baten maatregelen'!$Q42,'Kosten en Baten maatregelen'!$A$33:$N$53,11,),"")</f>
        <v/>
      </c>
      <c r="J69" s="360"/>
      <c r="K69" s="360" t="s">
        <v>751</v>
      </c>
    </row>
    <row r="70" spans="1:11" x14ac:dyDescent="0.2">
      <c r="A70" s="345" t="str">
        <f>IF('Kosten en Baten maatregelen'!$Q43&lt;='Kosten en Baten maatregelen'!$N$53,VLOOKUP('Kosten en Baten maatregelen'!$Q43,'Kosten en Baten maatregelen'!$A$33:$N$53,2,),"")</f>
        <v/>
      </c>
      <c r="B70" s="347" t="str">
        <f>IF('Kosten en Baten maatregelen'!$Q43&lt;='Kosten en Baten maatregelen'!$N$53,VLOOKUP('Kosten en Baten maatregelen'!$Q43,'Kosten en Baten maatregelen'!$A$33:$N$53,3,),"")</f>
        <v/>
      </c>
      <c r="C70" s="347" t="str">
        <f>IF('Kosten en Baten maatregelen'!$Q43&lt;='Kosten en Baten maatregelen'!$N$53,VLOOKUP('Kosten en Baten maatregelen'!$Q43,'Kosten en Baten maatregelen'!$A$33:$N$53,4,),"")</f>
        <v/>
      </c>
      <c r="D70" s="347" t="str">
        <f>IF('Kosten en Baten maatregelen'!$Q43&lt;='Kosten en Baten maatregelen'!$N$53,VLOOKUP('Kosten en Baten maatregelen'!$Q43,'Kosten en Baten maatregelen'!$A$33:$N$53,9,),"")</f>
        <v/>
      </c>
      <c r="E70" s="347" t="str">
        <f>IF('Kosten en Baten maatregelen'!$Q43&lt;='Kosten en Baten maatregelen'!$N$53,VLOOKUP('Kosten en Baten maatregelen'!$Q43,'Kosten en Baten maatregelen'!$A$33:$N$53,10,),"")</f>
        <v/>
      </c>
      <c r="F70" s="346" t="str">
        <f>IF('Kosten en Baten maatregelen'!$Q43&lt;='Kosten en Baten maatregelen'!$N$53,VLOOKUP('Kosten en Baten maatregelen'!$Q43,'Kosten en Baten maatregelen'!$A$33:$N$53,12,),"")</f>
        <v/>
      </c>
      <c r="G70" s="347" t="str">
        <f>IF('Kosten en Baten maatregelen'!$Q43&lt;='Kosten en Baten maatregelen'!$N$53,VLOOKUP('Kosten en Baten maatregelen'!$Q43,'Kosten en Baten maatregelen'!$A$33:$N$53,8,),"")</f>
        <v/>
      </c>
      <c r="H70" s="346" t="str">
        <f>IF('Kosten en Baten maatregelen'!$Q43&lt;='Kosten en Baten maatregelen'!$N$53,VLOOKUP('Kosten en Baten maatregelen'!$Q43,'Kosten en Baten maatregelen'!$A$33:$N$53,11,),"")</f>
        <v/>
      </c>
    </row>
    <row r="71" spans="1:11" x14ac:dyDescent="0.2">
      <c r="A71" s="345" t="str">
        <f>IF('Kosten en Baten maatregelen'!$Q44&lt;='Kosten en Baten maatregelen'!$N$53,VLOOKUP('Kosten en Baten maatregelen'!$Q44,'Kosten en Baten maatregelen'!$A$33:$N$53,2,),"")</f>
        <v/>
      </c>
      <c r="B71" s="347" t="str">
        <f>IF('Kosten en Baten maatregelen'!$Q44&lt;='Kosten en Baten maatregelen'!$N$53,VLOOKUP('Kosten en Baten maatregelen'!$Q44,'Kosten en Baten maatregelen'!$A$33:$N$53,3,),"")</f>
        <v/>
      </c>
      <c r="C71" s="347" t="str">
        <f>IF('Kosten en Baten maatregelen'!$Q44&lt;='Kosten en Baten maatregelen'!$N$53,VLOOKUP('Kosten en Baten maatregelen'!$Q44,'Kosten en Baten maatregelen'!$A$33:$N$53,4,),"")</f>
        <v/>
      </c>
      <c r="D71" s="347" t="str">
        <f>IF('Kosten en Baten maatregelen'!$Q44&lt;='Kosten en Baten maatregelen'!$N$53,VLOOKUP('Kosten en Baten maatregelen'!$Q44,'Kosten en Baten maatregelen'!$A$33:$N$53,9,),"")</f>
        <v/>
      </c>
      <c r="E71" s="347" t="str">
        <f>IF('Kosten en Baten maatregelen'!$Q44&lt;='Kosten en Baten maatregelen'!$N$53,VLOOKUP('Kosten en Baten maatregelen'!$Q44,'Kosten en Baten maatregelen'!$A$33:$N$53,10,),"")</f>
        <v/>
      </c>
      <c r="F71" s="346" t="str">
        <f>IF('Kosten en Baten maatregelen'!$Q44&lt;='Kosten en Baten maatregelen'!$N$53,VLOOKUP('Kosten en Baten maatregelen'!$Q44,'Kosten en Baten maatregelen'!$A$33:$N$53,12,),"")</f>
        <v/>
      </c>
      <c r="G71" s="347" t="str">
        <f>IF('Kosten en Baten maatregelen'!$Q44&lt;='Kosten en Baten maatregelen'!$N$53,VLOOKUP('Kosten en Baten maatregelen'!$Q44,'Kosten en Baten maatregelen'!$A$33:$N$53,8,),"")</f>
        <v/>
      </c>
      <c r="H71" s="346" t="str">
        <f>IF('Kosten en Baten maatregelen'!$Q44&lt;='Kosten en Baten maatregelen'!$N$53,VLOOKUP('Kosten en Baten maatregelen'!$Q44,'Kosten en Baten maatregelen'!$A$33:$N$53,11,),"")</f>
        <v/>
      </c>
      <c r="K71" s="360" t="s">
        <v>752</v>
      </c>
    </row>
    <row r="72" spans="1:11" x14ac:dyDescent="0.2">
      <c r="A72" s="345" t="str">
        <f>IF('Kosten en Baten maatregelen'!$Q45&lt;='Kosten en Baten maatregelen'!$N$53,VLOOKUP('Kosten en Baten maatregelen'!$Q45,'Kosten en Baten maatregelen'!$A$33:$N$53,2,),"")</f>
        <v/>
      </c>
      <c r="B72" s="347" t="str">
        <f>IF('Kosten en Baten maatregelen'!$Q45&lt;='Kosten en Baten maatregelen'!$N$53,VLOOKUP('Kosten en Baten maatregelen'!$Q45,'Kosten en Baten maatregelen'!$A$33:$N$53,3,),"")</f>
        <v/>
      </c>
      <c r="C72" s="347" t="str">
        <f>IF('Kosten en Baten maatregelen'!$Q45&lt;='Kosten en Baten maatregelen'!$N$53,VLOOKUP('Kosten en Baten maatregelen'!$Q45,'Kosten en Baten maatregelen'!$A$33:$N$53,4,),"")</f>
        <v/>
      </c>
      <c r="D72" s="347" t="str">
        <f>IF('Kosten en Baten maatregelen'!$Q45&lt;='Kosten en Baten maatregelen'!$N$53,VLOOKUP('Kosten en Baten maatregelen'!$Q45,'Kosten en Baten maatregelen'!$A$33:$N$53,9,),"")</f>
        <v/>
      </c>
      <c r="E72" s="347" t="str">
        <f>IF('Kosten en Baten maatregelen'!$Q45&lt;='Kosten en Baten maatregelen'!$N$53,VLOOKUP('Kosten en Baten maatregelen'!$Q45,'Kosten en Baten maatregelen'!$A$33:$N$53,10,),"")</f>
        <v/>
      </c>
      <c r="F72" s="346" t="str">
        <f>IF('Kosten en Baten maatregelen'!$Q45&lt;='Kosten en Baten maatregelen'!$N$53,VLOOKUP('Kosten en Baten maatregelen'!$Q45,'Kosten en Baten maatregelen'!$A$33:$N$53,12,),"")</f>
        <v/>
      </c>
      <c r="G72" s="347" t="str">
        <f>IF('Kosten en Baten maatregelen'!$Q45&lt;='Kosten en Baten maatregelen'!$N$53,VLOOKUP('Kosten en Baten maatregelen'!$Q45,'Kosten en Baten maatregelen'!$A$33:$N$53,8,),"")</f>
        <v/>
      </c>
      <c r="H72" s="346" t="str">
        <f>IF('Kosten en Baten maatregelen'!$Q45&lt;='Kosten en Baten maatregelen'!$N$53,VLOOKUP('Kosten en Baten maatregelen'!$Q45,'Kosten en Baten maatregelen'!$A$33:$N$53,11,),"")</f>
        <v/>
      </c>
      <c r="K72" s="360" t="s">
        <v>753</v>
      </c>
    </row>
    <row r="73" spans="1:11" x14ac:dyDescent="0.2">
      <c r="A73" s="345" t="str">
        <f>IF('Kosten en Baten maatregelen'!$Q46&lt;='Kosten en Baten maatregelen'!$N$53,VLOOKUP('Kosten en Baten maatregelen'!$Q46,'Kosten en Baten maatregelen'!$A$33:$N$53,2,),"")</f>
        <v/>
      </c>
      <c r="B73" s="347" t="str">
        <f>IF('Kosten en Baten maatregelen'!$Q46&lt;='Kosten en Baten maatregelen'!$N$53,VLOOKUP('Kosten en Baten maatregelen'!$Q46,'Kosten en Baten maatregelen'!$A$33:$N$53,3,),"")</f>
        <v/>
      </c>
      <c r="C73" s="347" t="str">
        <f>IF('Kosten en Baten maatregelen'!$Q46&lt;='Kosten en Baten maatregelen'!$N$53,VLOOKUP('Kosten en Baten maatregelen'!$Q46,'Kosten en Baten maatregelen'!$A$33:$N$53,4,),"")</f>
        <v/>
      </c>
      <c r="D73" s="347" t="str">
        <f>IF('Kosten en Baten maatregelen'!$Q46&lt;='Kosten en Baten maatregelen'!$N$53,VLOOKUP('Kosten en Baten maatregelen'!$Q46,'Kosten en Baten maatregelen'!$A$33:$N$53,9,),"")</f>
        <v/>
      </c>
      <c r="E73" s="347" t="str">
        <f>IF('Kosten en Baten maatregelen'!$Q46&lt;='Kosten en Baten maatregelen'!$N$53,VLOOKUP('Kosten en Baten maatregelen'!$Q46,'Kosten en Baten maatregelen'!$A$33:$N$53,10,),"")</f>
        <v/>
      </c>
      <c r="F73" s="346" t="str">
        <f>IF('Kosten en Baten maatregelen'!$Q46&lt;='Kosten en Baten maatregelen'!$N$53,VLOOKUP('Kosten en Baten maatregelen'!$Q46,'Kosten en Baten maatregelen'!$A$33:$N$53,12,),"")</f>
        <v/>
      </c>
      <c r="G73" s="347" t="str">
        <f>IF('Kosten en Baten maatregelen'!$Q46&lt;='Kosten en Baten maatregelen'!$N$53,VLOOKUP('Kosten en Baten maatregelen'!$Q46,'Kosten en Baten maatregelen'!$A$33:$N$53,8,),"")</f>
        <v/>
      </c>
      <c r="H73" s="346" t="str">
        <f>IF('Kosten en Baten maatregelen'!$Q46&lt;='Kosten en Baten maatregelen'!$N$53,VLOOKUP('Kosten en Baten maatregelen'!$Q46,'Kosten en Baten maatregelen'!$A$33:$N$53,11,),"")</f>
        <v/>
      </c>
    </row>
    <row r="74" spans="1:11" x14ac:dyDescent="0.2">
      <c r="A74" s="345" t="str">
        <f>IF('Kosten en Baten maatregelen'!$Q47&lt;='Kosten en Baten maatregelen'!$N$53,VLOOKUP('Kosten en Baten maatregelen'!$Q47,'Kosten en Baten maatregelen'!$A$33:$N$53,2,),"")</f>
        <v/>
      </c>
      <c r="B74" s="347" t="str">
        <f>IF('Kosten en Baten maatregelen'!$Q47&lt;='Kosten en Baten maatregelen'!$N$53,VLOOKUP('Kosten en Baten maatregelen'!$Q47,'Kosten en Baten maatregelen'!$A$33:$N$53,3,),"")</f>
        <v/>
      </c>
      <c r="C74" s="347" t="str">
        <f>IF('Kosten en Baten maatregelen'!$Q47&lt;='Kosten en Baten maatregelen'!$N$53,VLOOKUP('Kosten en Baten maatregelen'!$Q47,'Kosten en Baten maatregelen'!$A$33:$N$53,4,),"")</f>
        <v/>
      </c>
      <c r="D74" s="347" t="str">
        <f>IF('Kosten en Baten maatregelen'!$Q47&lt;='Kosten en Baten maatregelen'!$N$53,VLOOKUP('Kosten en Baten maatregelen'!$Q47,'Kosten en Baten maatregelen'!$A$33:$N$53,9,),"")</f>
        <v/>
      </c>
      <c r="E74" s="347" t="str">
        <f>IF('Kosten en Baten maatregelen'!$Q47&lt;='Kosten en Baten maatregelen'!$N$53,VLOOKUP('Kosten en Baten maatregelen'!$Q47,'Kosten en Baten maatregelen'!$A$33:$N$53,10,),"")</f>
        <v/>
      </c>
      <c r="F74" s="346" t="str">
        <f>IF('Kosten en Baten maatregelen'!$Q47&lt;='Kosten en Baten maatregelen'!$N$53,VLOOKUP('Kosten en Baten maatregelen'!$Q47,'Kosten en Baten maatregelen'!$A$33:$N$53,12,),"")</f>
        <v/>
      </c>
      <c r="G74" s="347" t="str">
        <f>IF('Kosten en Baten maatregelen'!$Q47&lt;='Kosten en Baten maatregelen'!$N$53,VLOOKUP('Kosten en Baten maatregelen'!$Q47,'Kosten en Baten maatregelen'!$A$33:$N$53,8,),"")</f>
        <v/>
      </c>
      <c r="H74" s="346" t="str">
        <f>IF('Kosten en Baten maatregelen'!$Q47&lt;='Kosten en Baten maatregelen'!$N$53,VLOOKUP('Kosten en Baten maatregelen'!$Q47,'Kosten en Baten maatregelen'!$A$33:$N$53,11,),"")</f>
        <v/>
      </c>
    </row>
    <row r="75" spans="1:11" ht="12.75" customHeight="1" x14ac:dyDescent="0.2">
      <c r="A75" s="344"/>
    </row>
    <row r="76" spans="1:11" x14ac:dyDescent="0.2">
      <c r="A76" s="359" t="s">
        <v>933</v>
      </c>
    </row>
    <row r="77" spans="1:11" ht="12.75" customHeight="1" x14ac:dyDescent="0.2">
      <c r="A77" s="643" t="s">
        <v>926</v>
      </c>
      <c r="B77" s="653" t="s">
        <v>927</v>
      </c>
      <c r="C77" s="654"/>
      <c r="D77" s="646" t="s">
        <v>928</v>
      </c>
      <c r="E77" s="646" t="s">
        <v>1183</v>
      </c>
      <c r="F77" s="646" t="s">
        <v>929</v>
      </c>
      <c r="G77" s="646"/>
      <c r="H77" s="646" t="s">
        <v>932</v>
      </c>
    </row>
    <row r="78" spans="1:11" ht="22.5" x14ac:dyDescent="0.2">
      <c r="A78" s="644"/>
      <c r="B78" s="655"/>
      <c r="C78" s="656"/>
      <c r="D78" s="646"/>
      <c r="E78" s="646"/>
      <c r="F78" s="343" t="s">
        <v>930</v>
      </c>
      <c r="G78" s="343" t="s">
        <v>931</v>
      </c>
      <c r="H78" s="646"/>
    </row>
    <row r="79" spans="1:11" x14ac:dyDescent="0.2">
      <c r="A79" s="345" t="str">
        <f>IF('Kosten en Baten maatregelen'!$Q101&lt;='Kosten en Baten maatregelen'!$N$114,VLOOKUP('Kosten en Baten maatregelen'!$Q101,'Kosten en Baten maatregelen'!$A$53:$M$114,2,),"")</f>
        <v/>
      </c>
      <c r="B79" s="347" t="str">
        <f>IF('Kosten en Baten maatregelen'!$Q101&lt;='Kosten en Baten maatregelen'!$N$114,VLOOKUP('Kosten en Baten maatregelen'!$Q101,'Kosten en Baten maatregelen'!$A$53:$M$114,3,),"")</f>
        <v/>
      </c>
      <c r="C79" s="347" t="str">
        <f>IF('Kosten en Baten maatregelen'!$Q101&lt;='Kosten en Baten maatregelen'!$N$114,VLOOKUP('Kosten en Baten maatregelen'!$Q101,'Kosten en Baten maatregelen'!$A$53:$M$114,4,),"")</f>
        <v/>
      </c>
      <c r="D79" s="347" t="str">
        <f>IF('Kosten en Baten maatregelen'!$Q101&lt;='Kosten en Baten maatregelen'!$N$114,VLOOKUP('Kosten en Baten maatregelen'!$Q101,'Kosten en Baten maatregelen'!$A$53:$M$114,9,),"")</f>
        <v/>
      </c>
      <c r="E79" s="347" t="str">
        <f>IF('Kosten en Baten maatregelen'!$Q101&lt;='Kosten en Baten maatregelen'!$N$114,VLOOKUP('Kosten en Baten maatregelen'!$Q101,'Kosten en Baten maatregelen'!$A$53:$M$114,10,),"")</f>
        <v/>
      </c>
      <c r="F79" s="346" t="str">
        <f>IF('Kosten en Baten maatregelen'!$Q101&lt;='Kosten en Baten maatregelen'!$N$114,VLOOKUP('Kosten en Baten maatregelen'!$Q101,'Kosten en Baten maatregelen'!$A$53:$M$114,12,),"")</f>
        <v/>
      </c>
      <c r="G79" s="347" t="str">
        <f>IF('Kosten en Baten maatregelen'!$Q101&lt;='Kosten en Baten maatregelen'!$N$114,VLOOKUP('Kosten en Baten maatregelen'!$Q101,'Kosten en Baten maatregelen'!$A$53:$M$114,8,),"")</f>
        <v/>
      </c>
      <c r="H79" s="345" t="str">
        <f>IF('Kosten en Baten maatregelen'!$Q101&lt;='Kosten en Baten maatregelen'!$N$114,VLOOKUP('Kosten en Baten maatregelen'!$Q101,'Kosten en Baten maatregelen'!$A$53:$M$114,11,),"")</f>
        <v/>
      </c>
    </row>
    <row r="80" spans="1:11" x14ac:dyDescent="0.2">
      <c r="A80" s="345" t="str">
        <f>IF('Kosten en Baten maatregelen'!$Q102&lt;='Kosten en Baten maatregelen'!$N$114,VLOOKUP('Kosten en Baten maatregelen'!$Q102,'Kosten en Baten maatregelen'!$A$53:$M$114,2,),"")</f>
        <v/>
      </c>
      <c r="B80" s="347" t="str">
        <f>IF('Kosten en Baten maatregelen'!$Q102&lt;='Kosten en Baten maatregelen'!$N$114,VLOOKUP('Kosten en Baten maatregelen'!$Q102,'Kosten en Baten maatregelen'!$A$53:$M$114,3,),"")</f>
        <v/>
      </c>
      <c r="C80" s="347" t="str">
        <f>IF('Kosten en Baten maatregelen'!$Q102&lt;='Kosten en Baten maatregelen'!$N$114,VLOOKUP('Kosten en Baten maatregelen'!$Q102,'Kosten en Baten maatregelen'!$A$53:$M$114,4,),"")</f>
        <v/>
      </c>
      <c r="D80" s="347" t="str">
        <f>IF('Kosten en Baten maatregelen'!$Q102&lt;='Kosten en Baten maatregelen'!$N$114,VLOOKUP('Kosten en Baten maatregelen'!$Q102,'Kosten en Baten maatregelen'!$A$53:$M$114,9,),"")</f>
        <v/>
      </c>
      <c r="E80" s="347" t="str">
        <f>IF('Kosten en Baten maatregelen'!$Q102&lt;='Kosten en Baten maatregelen'!$N$114,VLOOKUP('Kosten en Baten maatregelen'!$Q102,'Kosten en Baten maatregelen'!$A$53:$M$114,10,),"")</f>
        <v/>
      </c>
      <c r="F80" s="346" t="str">
        <f>IF('Kosten en Baten maatregelen'!$Q102&lt;='Kosten en Baten maatregelen'!$N$114,VLOOKUP('Kosten en Baten maatregelen'!$Q102,'Kosten en Baten maatregelen'!$A$53:$M$114,12,),"")</f>
        <v/>
      </c>
      <c r="G80" s="347" t="str">
        <f>IF('Kosten en Baten maatregelen'!$Q102&lt;='Kosten en Baten maatregelen'!$N$114,VLOOKUP('Kosten en Baten maatregelen'!$Q102,'Kosten en Baten maatregelen'!$A$53:$M$114,8,),"")</f>
        <v/>
      </c>
      <c r="H80" s="345" t="str">
        <f>IF('Kosten en Baten maatregelen'!$Q102&lt;='Kosten en Baten maatregelen'!$N$114,VLOOKUP('Kosten en Baten maatregelen'!$Q102,'Kosten en Baten maatregelen'!$A$53:$M$114,11,),"")</f>
        <v/>
      </c>
    </row>
    <row r="81" spans="1:10" x14ac:dyDescent="0.2">
      <c r="A81" s="345" t="str">
        <f>IF('Kosten en Baten maatregelen'!$Q103&lt;='Kosten en Baten maatregelen'!$N$114,VLOOKUP('Kosten en Baten maatregelen'!$Q103,'Kosten en Baten maatregelen'!$A$53:$M$114,2,),"")</f>
        <v/>
      </c>
      <c r="B81" s="347" t="str">
        <f>IF('Kosten en Baten maatregelen'!$Q103&lt;='Kosten en Baten maatregelen'!$N$114,VLOOKUP('Kosten en Baten maatregelen'!$Q103,'Kosten en Baten maatregelen'!$A$53:$M$114,3,),"")</f>
        <v/>
      </c>
      <c r="C81" s="347" t="str">
        <f>IF('Kosten en Baten maatregelen'!$Q103&lt;='Kosten en Baten maatregelen'!$N$114,VLOOKUP('Kosten en Baten maatregelen'!$Q103,'Kosten en Baten maatregelen'!$A$53:$M$114,4,),"")</f>
        <v/>
      </c>
      <c r="D81" s="347" t="str">
        <f>IF('Kosten en Baten maatregelen'!$Q103&lt;='Kosten en Baten maatregelen'!$N$114,VLOOKUP('Kosten en Baten maatregelen'!$Q103,'Kosten en Baten maatregelen'!$A$53:$M$114,9,),"")</f>
        <v/>
      </c>
      <c r="E81" s="347" t="str">
        <f>IF('Kosten en Baten maatregelen'!$Q103&lt;='Kosten en Baten maatregelen'!$N$114,VLOOKUP('Kosten en Baten maatregelen'!$Q103,'Kosten en Baten maatregelen'!$A$53:$M$114,10,),"")</f>
        <v/>
      </c>
      <c r="F81" s="346" t="str">
        <f>IF('Kosten en Baten maatregelen'!$Q103&lt;='Kosten en Baten maatregelen'!$N$114,VLOOKUP('Kosten en Baten maatregelen'!$Q103,'Kosten en Baten maatregelen'!$A$53:$M$114,12,),"")</f>
        <v/>
      </c>
      <c r="G81" s="347" t="str">
        <f>IF('Kosten en Baten maatregelen'!$Q103&lt;='Kosten en Baten maatregelen'!$N$114,VLOOKUP('Kosten en Baten maatregelen'!$Q103,'Kosten en Baten maatregelen'!$A$53:$M$114,8,),"")</f>
        <v/>
      </c>
      <c r="H81" s="345" t="str">
        <f>IF('Kosten en Baten maatregelen'!$Q103&lt;='Kosten en Baten maatregelen'!$N$114,VLOOKUP('Kosten en Baten maatregelen'!$Q103,'Kosten en Baten maatregelen'!$A$53:$M$114,11,),"")</f>
        <v/>
      </c>
    </row>
    <row r="82" spans="1:10" x14ac:dyDescent="0.2">
      <c r="A82" s="345" t="str">
        <f>IF('Kosten en Baten maatregelen'!$Q104&lt;='Kosten en Baten maatregelen'!$N$114,VLOOKUP('Kosten en Baten maatregelen'!$Q104,'Kosten en Baten maatregelen'!$A$53:$M$114,2,),"")</f>
        <v/>
      </c>
      <c r="B82" s="347" t="str">
        <f>IF('Kosten en Baten maatregelen'!$Q104&lt;='Kosten en Baten maatregelen'!$N$114,VLOOKUP('Kosten en Baten maatregelen'!$Q104,'Kosten en Baten maatregelen'!$A$53:$M$114,3,),"")</f>
        <v/>
      </c>
      <c r="C82" s="347" t="str">
        <f>IF('Kosten en Baten maatregelen'!$Q104&lt;='Kosten en Baten maatregelen'!$N$114,VLOOKUP('Kosten en Baten maatregelen'!$Q104,'Kosten en Baten maatregelen'!$A$53:$M$114,4,),"")</f>
        <v/>
      </c>
      <c r="D82" s="347" t="str">
        <f>IF('Kosten en Baten maatregelen'!$Q104&lt;='Kosten en Baten maatregelen'!$N$114,VLOOKUP('Kosten en Baten maatregelen'!$Q104,'Kosten en Baten maatregelen'!$A$53:$M$114,9,),"")</f>
        <v/>
      </c>
      <c r="E82" s="347" t="str">
        <f>IF('Kosten en Baten maatregelen'!$Q104&lt;='Kosten en Baten maatregelen'!$N$114,VLOOKUP('Kosten en Baten maatregelen'!$Q104,'Kosten en Baten maatregelen'!$A$53:$M$114,10,),"")</f>
        <v/>
      </c>
      <c r="F82" s="346" t="str">
        <f>IF('Kosten en Baten maatregelen'!$Q104&lt;='Kosten en Baten maatregelen'!$N$114,VLOOKUP('Kosten en Baten maatregelen'!$Q104,'Kosten en Baten maatregelen'!$A$53:$M$114,12,),"")</f>
        <v/>
      </c>
      <c r="G82" s="347" t="str">
        <f>IF('Kosten en Baten maatregelen'!$Q104&lt;='Kosten en Baten maatregelen'!$N$114,VLOOKUP('Kosten en Baten maatregelen'!$Q104,'Kosten en Baten maatregelen'!$A$53:$M$114,8,),"")</f>
        <v/>
      </c>
      <c r="H82" s="345" t="str">
        <f>IF('Kosten en Baten maatregelen'!$Q104&lt;='Kosten en Baten maatregelen'!$N$114,VLOOKUP('Kosten en Baten maatregelen'!$Q104,'Kosten en Baten maatregelen'!$A$53:$M$114,11,),"")</f>
        <v/>
      </c>
    </row>
    <row r="83" spans="1:10" x14ac:dyDescent="0.2">
      <c r="A83" s="345" t="str">
        <f>IF('Kosten en Baten maatregelen'!$Q105&lt;='Kosten en Baten maatregelen'!$N$114,VLOOKUP('Kosten en Baten maatregelen'!$Q105,'Kosten en Baten maatregelen'!$A$53:$M$114,2,),"")</f>
        <v/>
      </c>
      <c r="B83" s="347" t="str">
        <f>IF('Kosten en Baten maatregelen'!$Q105&lt;='Kosten en Baten maatregelen'!$N$114,VLOOKUP('Kosten en Baten maatregelen'!$Q105,'Kosten en Baten maatregelen'!$A$53:$M$114,3,),"")</f>
        <v/>
      </c>
      <c r="C83" s="347" t="str">
        <f>IF('Kosten en Baten maatregelen'!$Q105&lt;='Kosten en Baten maatregelen'!$N$114,VLOOKUP('Kosten en Baten maatregelen'!$Q105,'Kosten en Baten maatregelen'!$A$53:$M$114,4,),"")</f>
        <v/>
      </c>
      <c r="D83" s="347" t="str">
        <f>IF('Kosten en Baten maatregelen'!$Q105&lt;='Kosten en Baten maatregelen'!$N$114,VLOOKUP('Kosten en Baten maatregelen'!$Q105,'Kosten en Baten maatregelen'!$A$53:$M$114,9,),"")</f>
        <v/>
      </c>
      <c r="E83" s="347" t="str">
        <f>IF('Kosten en Baten maatregelen'!$Q105&lt;='Kosten en Baten maatregelen'!$N$114,VLOOKUP('Kosten en Baten maatregelen'!$Q105,'Kosten en Baten maatregelen'!$A$53:$M$114,10,),"")</f>
        <v/>
      </c>
      <c r="F83" s="346" t="str">
        <f>IF('Kosten en Baten maatregelen'!$Q105&lt;='Kosten en Baten maatregelen'!$N$114,VLOOKUP('Kosten en Baten maatregelen'!$Q105,'Kosten en Baten maatregelen'!$A$53:$M$114,12,),"")</f>
        <v/>
      </c>
      <c r="G83" s="347" t="str">
        <f>IF('Kosten en Baten maatregelen'!$Q105&lt;='Kosten en Baten maatregelen'!$N$114,VLOOKUP('Kosten en Baten maatregelen'!$Q105,'Kosten en Baten maatregelen'!$A$53:$M$114,8,),"")</f>
        <v/>
      </c>
      <c r="H83" s="345" t="str">
        <f>IF('Kosten en Baten maatregelen'!$Q105&lt;='Kosten en Baten maatregelen'!$N$114,VLOOKUP('Kosten en Baten maatregelen'!$Q105,'Kosten en Baten maatregelen'!$A$53:$M$114,11,),"")</f>
        <v/>
      </c>
    </row>
    <row r="84" spans="1:10" x14ac:dyDescent="0.2">
      <c r="A84" s="345" t="str">
        <f>IF('Kosten en Baten maatregelen'!$Q106&lt;='Kosten en Baten maatregelen'!$N$114,VLOOKUP('Kosten en Baten maatregelen'!$Q106,'Kosten en Baten maatregelen'!$A$53:$M$114,2,),"")</f>
        <v/>
      </c>
      <c r="B84" s="347" t="str">
        <f>IF('Kosten en Baten maatregelen'!$Q106&lt;='Kosten en Baten maatregelen'!$N$114,VLOOKUP('Kosten en Baten maatregelen'!$Q106,'Kosten en Baten maatregelen'!$A$53:$M$114,3,),"")</f>
        <v/>
      </c>
      <c r="C84" s="347" t="str">
        <f>IF('Kosten en Baten maatregelen'!$Q106&lt;='Kosten en Baten maatregelen'!$N$114,VLOOKUP('Kosten en Baten maatregelen'!$Q106,'Kosten en Baten maatregelen'!$A$53:$M$114,4,),"")</f>
        <v/>
      </c>
      <c r="D84" s="347" t="str">
        <f>IF('Kosten en Baten maatregelen'!$Q106&lt;='Kosten en Baten maatregelen'!$N$114,VLOOKUP('Kosten en Baten maatregelen'!$Q106,'Kosten en Baten maatregelen'!$A$53:$M$114,9,),"")</f>
        <v/>
      </c>
      <c r="E84" s="347" t="str">
        <f>IF('Kosten en Baten maatregelen'!$Q106&lt;='Kosten en Baten maatregelen'!$N$114,VLOOKUP('Kosten en Baten maatregelen'!$Q106,'Kosten en Baten maatregelen'!$A$53:$M$114,10,),"")</f>
        <v/>
      </c>
      <c r="F84" s="346" t="str">
        <f>IF('Kosten en Baten maatregelen'!$Q106&lt;='Kosten en Baten maatregelen'!$N$114,VLOOKUP('Kosten en Baten maatregelen'!$Q106,'Kosten en Baten maatregelen'!$A$53:$M$114,12,),"")</f>
        <v/>
      </c>
      <c r="G84" s="347" t="str">
        <f>IF('Kosten en Baten maatregelen'!$Q106&lt;='Kosten en Baten maatregelen'!$N$114,VLOOKUP('Kosten en Baten maatregelen'!$Q106,'Kosten en Baten maatregelen'!$A$53:$M$114,8,),"")</f>
        <v/>
      </c>
      <c r="H84" s="345" t="str">
        <f>IF('Kosten en Baten maatregelen'!$Q106&lt;='Kosten en Baten maatregelen'!$N$114,VLOOKUP('Kosten en Baten maatregelen'!$Q106,'Kosten en Baten maatregelen'!$A$53:$M$114,11,),"")</f>
        <v/>
      </c>
    </row>
    <row r="85" spans="1:10" x14ac:dyDescent="0.2">
      <c r="A85" s="345" t="str">
        <f>IF('Kosten en Baten maatregelen'!$Q107&lt;='Kosten en Baten maatregelen'!$N$114,VLOOKUP('Kosten en Baten maatregelen'!$Q107,'Kosten en Baten maatregelen'!$A$53:$M$114,2,),"")</f>
        <v/>
      </c>
      <c r="B85" s="347" t="str">
        <f>IF('Kosten en Baten maatregelen'!$Q107&lt;='Kosten en Baten maatregelen'!$N$114,VLOOKUP('Kosten en Baten maatregelen'!$Q107,'Kosten en Baten maatregelen'!$A$53:$M$114,3,),"")</f>
        <v/>
      </c>
      <c r="C85" s="347" t="str">
        <f>IF('Kosten en Baten maatregelen'!$Q107&lt;='Kosten en Baten maatregelen'!$N$114,VLOOKUP('Kosten en Baten maatregelen'!$Q107,'Kosten en Baten maatregelen'!$A$53:$M$114,4,),"")</f>
        <v/>
      </c>
      <c r="D85" s="347" t="str">
        <f>IF('Kosten en Baten maatregelen'!$Q107&lt;='Kosten en Baten maatregelen'!$N$114,VLOOKUP('Kosten en Baten maatregelen'!$Q107,'Kosten en Baten maatregelen'!$A$53:$M$114,9,),"")</f>
        <v/>
      </c>
      <c r="E85" s="347" t="str">
        <f>IF('Kosten en Baten maatregelen'!$Q107&lt;='Kosten en Baten maatregelen'!$N$114,VLOOKUP('Kosten en Baten maatregelen'!$Q107,'Kosten en Baten maatregelen'!$A$53:$M$114,10,),"")</f>
        <v/>
      </c>
      <c r="F85" s="346" t="str">
        <f>IF('Kosten en Baten maatregelen'!$Q107&lt;='Kosten en Baten maatregelen'!$N$114,VLOOKUP('Kosten en Baten maatregelen'!$Q107,'Kosten en Baten maatregelen'!$A$53:$M$114,12,),"")</f>
        <v/>
      </c>
      <c r="G85" s="347" t="str">
        <f>IF('Kosten en Baten maatregelen'!$Q107&lt;='Kosten en Baten maatregelen'!$N$114,VLOOKUP('Kosten en Baten maatregelen'!$Q107,'Kosten en Baten maatregelen'!$A$53:$M$114,8,),"")</f>
        <v/>
      </c>
      <c r="H85" s="345" t="str">
        <f>IF('Kosten en Baten maatregelen'!$Q107&lt;='Kosten en Baten maatregelen'!$N$114,VLOOKUP('Kosten en Baten maatregelen'!$Q107,'Kosten en Baten maatregelen'!$A$53:$M$114,11,),"")</f>
        <v/>
      </c>
      <c r="J85" s="411" t="s">
        <v>1035</v>
      </c>
    </row>
    <row r="86" spans="1:10" x14ac:dyDescent="0.2">
      <c r="A86" s="345" t="str">
        <f>IF('Kosten en Baten maatregelen'!$Q108&lt;='Kosten en Baten maatregelen'!$N$114,VLOOKUP('Kosten en Baten maatregelen'!$Q108,'Kosten en Baten maatregelen'!$A$53:$M$114,2,),"")</f>
        <v/>
      </c>
      <c r="B86" s="347" t="str">
        <f>IF('Kosten en Baten maatregelen'!$Q108&lt;='Kosten en Baten maatregelen'!$N$114,VLOOKUP('Kosten en Baten maatregelen'!$Q108,'Kosten en Baten maatregelen'!$A$53:$M$114,3,),"")</f>
        <v/>
      </c>
      <c r="C86" s="347" t="str">
        <f>IF('Kosten en Baten maatregelen'!$Q108&lt;='Kosten en Baten maatregelen'!$N$114,VLOOKUP('Kosten en Baten maatregelen'!$Q108,'Kosten en Baten maatregelen'!$A$53:$M$114,4,),"")</f>
        <v/>
      </c>
      <c r="D86" s="347" t="str">
        <f>IF('Kosten en Baten maatregelen'!$Q108&lt;='Kosten en Baten maatregelen'!$N$114,VLOOKUP('Kosten en Baten maatregelen'!$Q108,'Kosten en Baten maatregelen'!$A$53:$M$114,9,),"")</f>
        <v/>
      </c>
      <c r="E86" s="347" t="str">
        <f>IF('Kosten en Baten maatregelen'!$Q108&lt;='Kosten en Baten maatregelen'!$N$114,VLOOKUP('Kosten en Baten maatregelen'!$Q108,'Kosten en Baten maatregelen'!$A$53:$M$114,10,),"")</f>
        <v/>
      </c>
      <c r="F86" s="346" t="str">
        <f>IF('Kosten en Baten maatregelen'!$Q108&lt;='Kosten en Baten maatregelen'!$N$114,VLOOKUP('Kosten en Baten maatregelen'!$Q108,'Kosten en Baten maatregelen'!$A$53:$M$114,12,),"")</f>
        <v/>
      </c>
      <c r="G86" s="347" t="str">
        <f>IF('Kosten en Baten maatregelen'!$Q108&lt;='Kosten en Baten maatregelen'!$N$114,VLOOKUP('Kosten en Baten maatregelen'!$Q108,'Kosten en Baten maatregelen'!$A$53:$M$114,8,),"")</f>
        <v/>
      </c>
      <c r="H86" s="345" t="str">
        <f>IF('Kosten en Baten maatregelen'!$Q108&lt;='Kosten en Baten maatregelen'!$N$114,VLOOKUP('Kosten en Baten maatregelen'!$Q108,'Kosten en Baten maatregelen'!$A$53:$M$114,11,),"")</f>
        <v/>
      </c>
      <c r="J86" s="411" t="s">
        <v>1036</v>
      </c>
    </row>
    <row r="87" spans="1:10" x14ac:dyDescent="0.2">
      <c r="A87" s="345" t="str">
        <f>IF('Kosten en Baten maatregelen'!$Q109&lt;='Kosten en Baten maatregelen'!$N$114,VLOOKUP('Kosten en Baten maatregelen'!$Q109,'Kosten en Baten maatregelen'!$A$53:$M$114,2,),"")</f>
        <v/>
      </c>
      <c r="B87" s="347" t="str">
        <f>IF('Kosten en Baten maatregelen'!$Q109&lt;='Kosten en Baten maatregelen'!$N$114,VLOOKUP('Kosten en Baten maatregelen'!$Q109,'Kosten en Baten maatregelen'!$A$53:$M$114,3,),"")</f>
        <v/>
      </c>
      <c r="C87" s="347" t="str">
        <f>IF('Kosten en Baten maatregelen'!$Q109&lt;='Kosten en Baten maatregelen'!$N$114,VLOOKUP('Kosten en Baten maatregelen'!$Q109,'Kosten en Baten maatregelen'!$A$53:$M$114,4,),"")</f>
        <v/>
      </c>
      <c r="D87" s="347" t="str">
        <f>IF('Kosten en Baten maatregelen'!$Q109&lt;='Kosten en Baten maatregelen'!$N$114,VLOOKUP('Kosten en Baten maatregelen'!$Q109,'Kosten en Baten maatregelen'!$A$53:$M$114,9,),"")</f>
        <v/>
      </c>
      <c r="E87" s="347" t="str">
        <f>IF('Kosten en Baten maatregelen'!$Q109&lt;='Kosten en Baten maatregelen'!$N$114,VLOOKUP('Kosten en Baten maatregelen'!$Q109,'Kosten en Baten maatregelen'!$A$53:$M$114,10,),"")</f>
        <v/>
      </c>
      <c r="F87" s="346" t="str">
        <f>IF('Kosten en Baten maatregelen'!$Q109&lt;='Kosten en Baten maatregelen'!$N$114,VLOOKUP('Kosten en Baten maatregelen'!$Q109,'Kosten en Baten maatregelen'!$A$53:$M$114,12,),"")</f>
        <v/>
      </c>
      <c r="G87" s="347" t="str">
        <f>IF('Kosten en Baten maatregelen'!$Q109&lt;='Kosten en Baten maatregelen'!$N$114,VLOOKUP('Kosten en Baten maatregelen'!$Q109,'Kosten en Baten maatregelen'!$A$53:$M$114,8,),"")</f>
        <v/>
      </c>
      <c r="H87" s="345" t="str">
        <f>IF('Kosten en Baten maatregelen'!$Q109&lt;='Kosten en Baten maatregelen'!$N$114,VLOOKUP('Kosten en Baten maatregelen'!$Q109,'Kosten en Baten maatregelen'!$A$53:$M$114,11,),"")</f>
        <v/>
      </c>
    </row>
    <row r="88" spans="1:10" x14ac:dyDescent="0.2">
      <c r="A88" s="345" t="str">
        <f>IF('Kosten en Baten maatregelen'!$Q110&lt;='Kosten en Baten maatregelen'!$N$114,VLOOKUP('Kosten en Baten maatregelen'!$Q110,'Kosten en Baten maatregelen'!$A$53:$M$114,2,),"")</f>
        <v/>
      </c>
      <c r="B88" s="347" t="str">
        <f>IF('Kosten en Baten maatregelen'!$Q110&lt;='Kosten en Baten maatregelen'!$N$114,VLOOKUP('Kosten en Baten maatregelen'!$Q110,'Kosten en Baten maatregelen'!$A$53:$M$114,3,),"")</f>
        <v/>
      </c>
      <c r="C88" s="347" t="str">
        <f>IF('Kosten en Baten maatregelen'!$Q110&lt;='Kosten en Baten maatregelen'!$N$114,VLOOKUP('Kosten en Baten maatregelen'!$Q110,'Kosten en Baten maatregelen'!$A$53:$M$114,4,),"")</f>
        <v/>
      </c>
      <c r="D88" s="347" t="str">
        <f>IF('Kosten en Baten maatregelen'!$Q110&lt;='Kosten en Baten maatregelen'!$N$114,VLOOKUP('Kosten en Baten maatregelen'!$Q110,'Kosten en Baten maatregelen'!$A$53:$M$114,9,),"")</f>
        <v/>
      </c>
      <c r="E88" s="347" t="str">
        <f>IF('Kosten en Baten maatregelen'!$Q110&lt;='Kosten en Baten maatregelen'!$N$114,VLOOKUP('Kosten en Baten maatregelen'!$Q110,'Kosten en Baten maatregelen'!$A$53:$M$114,10,),"")</f>
        <v/>
      </c>
      <c r="F88" s="346" t="str">
        <f>IF('Kosten en Baten maatregelen'!$Q110&lt;='Kosten en Baten maatregelen'!$N$114,VLOOKUP('Kosten en Baten maatregelen'!$Q110,'Kosten en Baten maatregelen'!$A$53:$M$114,12,),"")</f>
        <v/>
      </c>
      <c r="G88" s="347" t="str">
        <f>IF('Kosten en Baten maatregelen'!$Q110&lt;='Kosten en Baten maatregelen'!$N$114,VLOOKUP('Kosten en Baten maatregelen'!$Q110,'Kosten en Baten maatregelen'!$A$53:$M$114,8,),"")</f>
        <v/>
      </c>
      <c r="H88" s="345" t="str">
        <f>IF('Kosten en Baten maatregelen'!$Q110&lt;='Kosten en Baten maatregelen'!$N$114,VLOOKUP('Kosten en Baten maatregelen'!$Q110,'Kosten en Baten maatregelen'!$A$53:$M$114,11,),"")</f>
        <v/>
      </c>
      <c r="J88" s="411" t="s">
        <v>1041</v>
      </c>
    </row>
    <row r="89" spans="1:10" x14ac:dyDescent="0.2">
      <c r="A89" s="345" t="str">
        <f>IF('Kosten en Baten maatregelen'!$Q111&lt;='Kosten en Baten maatregelen'!$N$114,VLOOKUP('Kosten en Baten maatregelen'!$Q111,'Kosten en Baten maatregelen'!$A$53:$M$114,2,),"")</f>
        <v/>
      </c>
      <c r="B89" s="347" t="str">
        <f>IF('Kosten en Baten maatregelen'!$Q111&lt;='Kosten en Baten maatregelen'!$N$114,VLOOKUP('Kosten en Baten maatregelen'!$Q111,'Kosten en Baten maatregelen'!$A$53:$M$114,3,),"")</f>
        <v/>
      </c>
      <c r="C89" s="347" t="str">
        <f>IF('Kosten en Baten maatregelen'!$Q111&lt;='Kosten en Baten maatregelen'!$N$114,VLOOKUP('Kosten en Baten maatregelen'!$Q111,'Kosten en Baten maatregelen'!$A$53:$M$114,4,),"")</f>
        <v/>
      </c>
      <c r="D89" s="347" t="str">
        <f>IF('Kosten en Baten maatregelen'!$Q111&lt;='Kosten en Baten maatregelen'!$N$114,VLOOKUP('Kosten en Baten maatregelen'!$Q111,'Kosten en Baten maatregelen'!$A$53:$M$114,9,),"")</f>
        <v/>
      </c>
      <c r="E89" s="347" t="str">
        <f>IF('Kosten en Baten maatregelen'!$Q111&lt;='Kosten en Baten maatregelen'!$N$114,VLOOKUP('Kosten en Baten maatregelen'!$Q111,'Kosten en Baten maatregelen'!$A$53:$M$114,10,),"")</f>
        <v/>
      </c>
      <c r="F89" s="346" t="str">
        <f>IF('Kosten en Baten maatregelen'!$Q111&lt;='Kosten en Baten maatregelen'!$N$114,VLOOKUP('Kosten en Baten maatregelen'!$Q111,'Kosten en Baten maatregelen'!$A$53:$M$114,12,),"")</f>
        <v/>
      </c>
      <c r="G89" s="347" t="str">
        <f>IF('Kosten en Baten maatregelen'!$Q111&lt;='Kosten en Baten maatregelen'!$N$114,VLOOKUP('Kosten en Baten maatregelen'!$Q111,'Kosten en Baten maatregelen'!$A$53:$M$114,8,),"")</f>
        <v/>
      </c>
      <c r="H89" s="345" t="str">
        <f>IF('Kosten en Baten maatregelen'!$Q111&lt;='Kosten en Baten maatregelen'!$N$114,VLOOKUP('Kosten en Baten maatregelen'!$Q111,'Kosten en Baten maatregelen'!$A$53:$M$114,11,),"")</f>
        <v/>
      </c>
      <c r="J89" s="411" t="s">
        <v>1042</v>
      </c>
    </row>
    <row r="90" spans="1:10" ht="13.5" customHeight="1" x14ac:dyDescent="0.2">
      <c r="A90" s="345" t="str">
        <f>IF('Kosten en Baten maatregelen'!$Q112&lt;='Kosten en Baten maatregelen'!$N$114,VLOOKUP('Kosten en Baten maatregelen'!$Q112,'Kosten en Baten maatregelen'!$A$53:$M$114,2,),"")</f>
        <v/>
      </c>
      <c r="B90" s="347" t="str">
        <f>IF('Kosten en Baten maatregelen'!$Q112&lt;='Kosten en Baten maatregelen'!$N$114,VLOOKUP('Kosten en Baten maatregelen'!$Q112,'Kosten en Baten maatregelen'!$A$53:$M$114,3,),"")</f>
        <v/>
      </c>
      <c r="C90" s="347" t="str">
        <f>IF('Kosten en Baten maatregelen'!$Q112&lt;='Kosten en Baten maatregelen'!$N$114,VLOOKUP('Kosten en Baten maatregelen'!$Q112,'Kosten en Baten maatregelen'!$A$53:$M$114,4,),"")</f>
        <v/>
      </c>
      <c r="D90" s="347" t="str">
        <f>IF('Kosten en Baten maatregelen'!$Q112&lt;='Kosten en Baten maatregelen'!$N$114,VLOOKUP('Kosten en Baten maatregelen'!$Q112,'Kosten en Baten maatregelen'!$A$53:$M$114,9,),"")</f>
        <v/>
      </c>
      <c r="E90" s="347" t="str">
        <f>IF('Kosten en Baten maatregelen'!$Q112&lt;='Kosten en Baten maatregelen'!$N$114,VLOOKUP('Kosten en Baten maatregelen'!$Q112,'Kosten en Baten maatregelen'!$A$53:$M$114,10,),"")</f>
        <v/>
      </c>
      <c r="F90" s="346" t="str">
        <f>IF('Kosten en Baten maatregelen'!$Q112&lt;='Kosten en Baten maatregelen'!$N$114,VLOOKUP('Kosten en Baten maatregelen'!$Q112,'Kosten en Baten maatregelen'!$A$53:$M$114,12,),"")</f>
        <v/>
      </c>
      <c r="G90" s="347" t="str">
        <f>IF('Kosten en Baten maatregelen'!$Q112&lt;='Kosten en Baten maatregelen'!$N$114,VLOOKUP('Kosten en Baten maatregelen'!$Q112,'Kosten en Baten maatregelen'!$A$53:$M$114,8,),"")</f>
        <v/>
      </c>
      <c r="H90" s="345" t="str">
        <f>IF('Kosten en Baten maatregelen'!$Q112&lt;='Kosten en Baten maatregelen'!$N$114,VLOOKUP('Kosten en Baten maatregelen'!$Q112,'Kosten en Baten maatregelen'!$A$53:$M$114,11,),"")</f>
        <v/>
      </c>
      <c r="J90" s="411" t="s">
        <v>1043</v>
      </c>
    </row>
    <row r="93" spans="1:10" x14ac:dyDescent="0.2">
      <c r="A93" s="118"/>
    </row>
  </sheetData>
  <mergeCells count="39">
    <mergeCell ref="D77:D78"/>
    <mergeCell ref="E77:E78"/>
    <mergeCell ref="F77:G77"/>
    <mergeCell ref="B5:E5"/>
    <mergeCell ref="E43:E46"/>
    <mergeCell ref="F39:F42"/>
    <mergeCell ref="E24:H24"/>
    <mergeCell ref="F58:G58"/>
    <mergeCell ref="D58:D59"/>
    <mergeCell ref="E58:E59"/>
    <mergeCell ref="H58:H59"/>
    <mergeCell ref="F43:F46"/>
    <mergeCell ref="E39:E42"/>
    <mergeCell ref="A77:A78"/>
    <mergeCell ref="A43:A46"/>
    <mergeCell ref="A47:A50"/>
    <mergeCell ref="A51:A54"/>
    <mergeCell ref="A39:A42"/>
    <mergeCell ref="F5:G5"/>
    <mergeCell ref="H77:H78"/>
    <mergeCell ref="C18:D18"/>
    <mergeCell ref="E51:E54"/>
    <mergeCell ref="D47:D48"/>
    <mergeCell ref="F47:F50"/>
    <mergeCell ref="F51:F54"/>
    <mergeCell ref="E47:E50"/>
    <mergeCell ref="C20:D20"/>
    <mergeCell ref="C19:D19"/>
    <mergeCell ref="H5:H6"/>
    <mergeCell ref="B77:C78"/>
    <mergeCell ref="B58:C59"/>
    <mergeCell ref="D6:E6"/>
    <mergeCell ref="B6:C6"/>
    <mergeCell ref="C21:D21"/>
    <mergeCell ref="A24:A25"/>
    <mergeCell ref="B24:B25"/>
    <mergeCell ref="C24:C25"/>
    <mergeCell ref="D24:D25"/>
    <mergeCell ref="A58:A59"/>
  </mergeCells>
  <phoneticPr fontId="0" type="noConversion"/>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6"/>
  <sheetViews>
    <sheetView workbookViewId="0">
      <selection activeCell="H15" sqref="H15"/>
    </sheetView>
  </sheetViews>
  <sheetFormatPr defaultRowHeight="12.75" x14ac:dyDescent="0.2"/>
  <cols>
    <col min="1" max="1" width="18.7109375" customWidth="1"/>
  </cols>
  <sheetData>
    <row r="2" spans="1:15" x14ac:dyDescent="0.2">
      <c r="A2" t="s">
        <v>390</v>
      </c>
    </row>
    <row r="4" spans="1:15" ht="13.5" thickBot="1" x14ac:dyDescent="0.25">
      <c r="A4" t="s">
        <v>443</v>
      </c>
    </row>
    <row r="5" spans="1:15" ht="33.75" x14ac:dyDescent="0.2">
      <c r="A5" s="665" t="s">
        <v>391</v>
      </c>
      <c r="B5" s="667" t="s">
        <v>392</v>
      </c>
      <c r="C5" s="667" t="s">
        <v>393</v>
      </c>
      <c r="D5" s="133" t="s">
        <v>394</v>
      </c>
    </row>
    <row r="6" spans="1:15" ht="43.5" thickBot="1" x14ac:dyDescent="0.25">
      <c r="A6" s="666"/>
      <c r="B6" s="668"/>
      <c r="C6" s="668"/>
      <c r="D6" s="134" t="s">
        <v>395</v>
      </c>
      <c r="E6" s="118" t="s">
        <v>453</v>
      </c>
      <c r="F6" s="118" t="s">
        <v>533</v>
      </c>
      <c r="G6" s="118" t="s">
        <v>534</v>
      </c>
      <c r="H6" s="118" t="s">
        <v>400</v>
      </c>
      <c r="I6" s="118" t="s">
        <v>535</v>
      </c>
      <c r="J6" s="118" t="s">
        <v>536</v>
      </c>
      <c r="K6" s="118" t="s">
        <v>454</v>
      </c>
      <c r="L6" s="118" t="s">
        <v>537</v>
      </c>
      <c r="M6" s="118" t="s">
        <v>456</v>
      </c>
      <c r="N6" s="118" t="s">
        <v>457</v>
      </c>
      <c r="O6" s="118" t="s">
        <v>458</v>
      </c>
    </row>
    <row r="7" spans="1:15" ht="15.75" thickBot="1" x14ac:dyDescent="0.25">
      <c r="A7" s="135" t="s">
        <v>396</v>
      </c>
      <c r="B7" s="137">
        <v>2.5</v>
      </c>
      <c r="C7" s="137">
        <v>16</v>
      </c>
      <c r="D7" s="138">
        <v>43</v>
      </c>
      <c r="E7">
        <v>117</v>
      </c>
      <c r="F7">
        <v>254</v>
      </c>
      <c r="G7">
        <v>373</v>
      </c>
      <c r="H7">
        <v>503</v>
      </c>
      <c r="I7">
        <v>574</v>
      </c>
      <c r="J7">
        <v>504</v>
      </c>
      <c r="K7">
        <v>489</v>
      </c>
      <c r="L7">
        <v>295</v>
      </c>
      <c r="M7">
        <v>166</v>
      </c>
      <c r="N7">
        <v>63</v>
      </c>
      <c r="O7">
        <v>35</v>
      </c>
    </row>
    <row r="8" spans="1:15" ht="15.75" thickBot="1" x14ac:dyDescent="0.25">
      <c r="A8" s="135" t="s">
        <v>397</v>
      </c>
      <c r="B8" s="137">
        <v>2.7</v>
      </c>
      <c r="C8" s="137">
        <v>16</v>
      </c>
      <c r="D8" s="138">
        <v>117</v>
      </c>
    </row>
    <row r="9" spans="1:15" ht="15.75" thickBot="1" x14ac:dyDescent="0.25">
      <c r="A9" s="135" t="s">
        <v>398</v>
      </c>
      <c r="B9" s="137">
        <v>5.6</v>
      </c>
      <c r="C9" s="137">
        <v>16</v>
      </c>
      <c r="D9" s="138">
        <v>254</v>
      </c>
    </row>
    <row r="10" spans="1:15" ht="15.75" thickBot="1" x14ac:dyDescent="0.25">
      <c r="A10" s="135" t="s">
        <v>399</v>
      </c>
      <c r="B10" s="137">
        <v>8</v>
      </c>
      <c r="C10" s="137">
        <v>16</v>
      </c>
      <c r="D10" s="138">
        <v>373</v>
      </c>
    </row>
    <row r="11" spans="1:15" ht="15.75" thickBot="1" x14ac:dyDescent="0.25">
      <c r="A11" s="135" t="s">
        <v>400</v>
      </c>
      <c r="B11" s="137">
        <v>11.9</v>
      </c>
      <c r="C11" s="137">
        <v>16</v>
      </c>
      <c r="D11" s="138">
        <v>503</v>
      </c>
    </row>
    <row r="12" spans="1:15" ht="15.75" thickBot="1" x14ac:dyDescent="0.25">
      <c r="A12" s="135" t="s">
        <v>401</v>
      </c>
      <c r="B12" s="137">
        <v>15.5</v>
      </c>
      <c r="C12" s="137">
        <v>17</v>
      </c>
      <c r="D12" s="138">
        <v>574</v>
      </c>
    </row>
    <row r="13" spans="1:15" ht="15.75" thickBot="1" x14ac:dyDescent="0.25">
      <c r="A13" s="135" t="s">
        <v>402</v>
      </c>
      <c r="B13" s="137">
        <v>17</v>
      </c>
      <c r="C13" s="137">
        <v>18.5</v>
      </c>
      <c r="D13" s="138">
        <v>504</v>
      </c>
    </row>
    <row r="14" spans="1:15" ht="15.75" thickBot="1" x14ac:dyDescent="0.25">
      <c r="A14" s="135" t="s">
        <v>403</v>
      </c>
      <c r="B14" s="137">
        <v>16.399999999999999</v>
      </c>
      <c r="C14" s="137">
        <v>17.899999999999999</v>
      </c>
      <c r="D14" s="138">
        <v>489</v>
      </c>
    </row>
    <row r="15" spans="1:15" ht="17.25" customHeight="1" thickBot="1" x14ac:dyDescent="0.25">
      <c r="A15" s="135" t="s">
        <v>404</v>
      </c>
      <c r="B15" s="137">
        <v>13.8</v>
      </c>
      <c r="C15" s="137">
        <v>16</v>
      </c>
      <c r="D15" s="138">
        <v>295</v>
      </c>
    </row>
    <row r="16" spans="1:15" ht="15.75" thickBot="1" x14ac:dyDescent="0.25">
      <c r="A16" s="135" t="s">
        <v>405</v>
      </c>
      <c r="B16" s="137">
        <v>11.2</v>
      </c>
      <c r="C16" s="137">
        <v>16</v>
      </c>
      <c r="D16" s="138">
        <v>166</v>
      </c>
    </row>
    <row r="17" spans="1:11" ht="14.25" customHeight="1" thickBot="1" x14ac:dyDescent="0.25">
      <c r="A17" s="135" t="s">
        <v>406</v>
      </c>
      <c r="B17" s="137">
        <v>6</v>
      </c>
      <c r="C17" s="137">
        <v>16</v>
      </c>
      <c r="D17" s="138">
        <v>63</v>
      </c>
    </row>
    <row r="18" spans="1:11" ht="16.5" customHeight="1" thickBot="1" x14ac:dyDescent="0.25">
      <c r="A18" s="135" t="s">
        <v>407</v>
      </c>
      <c r="B18" s="137">
        <v>3.4</v>
      </c>
      <c r="C18" s="137">
        <v>16</v>
      </c>
      <c r="D18" s="138">
        <v>35</v>
      </c>
    </row>
    <row r="19" spans="1:11" ht="19.5" customHeight="1" thickBot="1" x14ac:dyDescent="0.25">
      <c r="A19" s="136" t="s">
        <v>408</v>
      </c>
      <c r="B19" s="139">
        <v>9.5</v>
      </c>
      <c r="C19" s="139">
        <v>16.5</v>
      </c>
      <c r="D19" s="140">
        <v>3416</v>
      </c>
    </row>
    <row r="20" spans="1:11" ht="19.5" customHeight="1" x14ac:dyDescent="0.2">
      <c r="A20" s="152"/>
      <c r="B20" s="153"/>
      <c r="C20" s="153"/>
      <c r="D20" s="154"/>
    </row>
    <row r="21" spans="1:11" ht="14.25" customHeight="1" x14ac:dyDescent="0.2">
      <c r="A21" s="663" t="s">
        <v>442</v>
      </c>
      <c r="B21" s="663"/>
      <c r="C21" s="663"/>
      <c r="D21" s="663"/>
      <c r="E21" s="663"/>
      <c r="F21" s="663"/>
      <c r="G21" s="663"/>
      <c r="H21" s="663"/>
      <c r="I21" s="663"/>
      <c r="J21" s="663"/>
    </row>
    <row r="22" spans="1:11" ht="14.25" x14ac:dyDescent="0.2">
      <c r="A22" s="680" t="s">
        <v>428</v>
      </c>
      <c r="B22" s="680"/>
      <c r="C22" s="680"/>
      <c r="D22" s="680"/>
      <c r="E22" s="680"/>
      <c r="F22" s="680"/>
      <c r="G22" s="680"/>
      <c r="H22" s="680"/>
      <c r="I22" s="680"/>
      <c r="J22" s="680"/>
    </row>
    <row r="23" spans="1:11" ht="17.25" customHeight="1" thickBot="1" x14ac:dyDescent="0.25">
      <c r="A23" s="669" t="s">
        <v>391</v>
      </c>
      <c r="B23" s="671" t="s">
        <v>409</v>
      </c>
      <c r="C23" s="672"/>
      <c r="D23" s="672"/>
      <c r="E23" s="672"/>
      <c r="F23" s="672"/>
      <c r="G23" s="672"/>
      <c r="H23" s="672"/>
      <c r="I23" s="672"/>
      <c r="J23" s="673"/>
    </row>
    <row r="24" spans="1:11" ht="15.75" thickBot="1" x14ac:dyDescent="0.25">
      <c r="A24" s="669"/>
      <c r="B24" s="674" t="s">
        <v>410</v>
      </c>
      <c r="C24" s="675"/>
      <c r="D24" s="675"/>
      <c r="E24" s="675"/>
      <c r="F24" s="675"/>
      <c r="G24" s="675"/>
      <c r="H24" s="675"/>
      <c r="I24" s="676"/>
      <c r="J24" s="141"/>
      <c r="K24" s="141"/>
    </row>
    <row r="25" spans="1:11" ht="17.25" customHeight="1" thickBot="1" x14ac:dyDescent="0.25">
      <c r="A25" s="669"/>
      <c r="B25" s="677" t="s">
        <v>411</v>
      </c>
      <c r="C25" s="678"/>
      <c r="D25" s="678"/>
      <c r="E25" s="678"/>
      <c r="F25" s="678"/>
      <c r="G25" s="678"/>
      <c r="H25" s="678"/>
      <c r="I25" s="679"/>
      <c r="J25" s="141"/>
      <c r="K25" s="141"/>
    </row>
    <row r="26" spans="1:11" ht="30.75" thickBot="1" x14ac:dyDescent="0.25">
      <c r="A26" s="670"/>
      <c r="B26" s="199"/>
      <c r="C26" s="142" t="s">
        <v>148</v>
      </c>
      <c r="D26" s="142" t="s">
        <v>412</v>
      </c>
      <c r="E26" s="142" t="s">
        <v>220</v>
      </c>
      <c r="F26" s="142" t="s">
        <v>413</v>
      </c>
      <c r="G26" s="142" t="s">
        <v>144</v>
      </c>
      <c r="H26" s="142" t="s">
        <v>414</v>
      </c>
      <c r="I26" s="142" t="s">
        <v>415</v>
      </c>
      <c r="J26" s="142" t="s">
        <v>416</v>
      </c>
      <c r="K26" s="201" t="s">
        <v>529</v>
      </c>
    </row>
    <row r="27" spans="1:11" ht="15.75" thickBot="1" x14ac:dyDescent="0.25">
      <c r="A27" s="143" t="s">
        <v>396</v>
      </c>
      <c r="B27" s="200"/>
      <c r="C27" s="144">
        <v>0.95</v>
      </c>
      <c r="D27" s="144">
        <v>0.93</v>
      </c>
      <c r="E27" s="144">
        <v>0.91</v>
      </c>
      <c r="F27" s="144">
        <v>0.91</v>
      </c>
      <c r="G27" s="144">
        <v>0.91</v>
      </c>
      <c r="H27" s="144">
        <v>0.91</v>
      </c>
      <c r="I27" s="144">
        <v>0.91</v>
      </c>
      <c r="J27" s="144">
        <v>0.95</v>
      </c>
      <c r="K27" s="144">
        <v>1</v>
      </c>
    </row>
    <row r="28" spans="1:11" ht="15.75" thickBot="1" x14ac:dyDescent="0.25">
      <c r="A28" s="143" t="s">
        <v>397</v>
      </c>
      <c r="B28" s="200"/>
      <c r="C28" s="144">
        <v>1.22</v>
      </c>
      <c r="D28" s="144">
        <v>0.9</v>
      </c>
      <c r="E28" s="144">
        <v>0.5</v>
      </c>
      <c r="F28" s="144">
        <v>0.41</v>
      </c>
      <c r="G28" s="144">
        <v>0.41</v>
      </c>
      <c r="H28" s="144">
        <v>0.42</v>
      </c>
      <c r="I28" s="144">
        <v>0.62</v>
      </c>
      <c r="J28" s="144">
        <v>1.08</v>
      </c>
      <c r="K28" s="144">
        <v>1</v>
      </c>
    </row>
    <row r="29" spans="1:11" ht="15.75" thickBot="1" x14ac:dyDescent="0.25">
      <c r="A29" s="143" t="s">
        <v>398</v>
      </c>
      <c r="B29" s="200"/>
      <c r="C29" s="144">
        <v>1.04</v>
      </c>
      <c r="D29" s="144">
        <v>0.78</v>
      </c>
      <c r="E29" s="144">
        <v>0.51</v>
      </c>
      <c r="F29" s="144">
        <v>0.37</v>
      </c>
      <c r="G29" s="144">
        <v>0.35</v>
      </c>
      <c r="H29" s="144">
        <v>0.39</v>
      </c>
      <c r="I29" s="144">
        <v>0.66</v>
      </c>
      <c r="J29" s="144">
        <v>0.96</v>
      </c>
      <c r="K29" s="144">
        <v>1</v>
      </c>
    </row>
    <row r="30" spans="1:11" ht="15.75" thickBot="1" x14ac:dyDescent="0.25">
      <c r="A30" s="143" t="s">
        <v>399</v>
      </c>
      <c r="B30" s="200"/>
      <c r="C30" s="144">
        <v>0.82</v>
      </c>
      <c r="D30" s="144">
        <v>0.69</v>
      </c>
      <c r="E30" s="144">
        <v>0.52</v>
      </c>
      <c r="F30" s="144">
        <v>0.37</v>
      </c>
      <c r="G30" s="144">
        <v>0.33</v>
      </c>
      <c r="H30" s="144">
        <v>0.43</v>
      </c>
      <c r="I30" s="144">
        <v>0.65</v>
      </c>
      <c r="J30" s="144">
        <v>0.82</v>
      </c>
      <c r="K30" s="144">
        <v>1</v>
      </c>
    </row>
    <row r="31" spans="1:11" ht="15.75" thickBot="1" x14ac:dyDescent="0.25">
      <c r="A31" s="143" t="s">
        <v>400</v>
      </c>
      <c r="B31" s="200"/>
      <c r="C31" s="144">
        <v>0.61</v>
      </c>
      <c r="D31" s="144">
        <v>0.6</v>
      </c>
      <c r="E31" s="144">
        <v>0.55000000000000004</v>
      </c>
      <c r="F31" s="144">
        <v>0.42</v>
      </c>
      <c r="G31" s="144">
        <v>0.37</v>
      </c>
      <c r="H31" s="144">
        <v>0.53</v>
      </c>
      <c r="I31" s="144">
        <v>0.7</v>
      </c>
      <c r="J31" s="144">
        <v>0.71</v>
      </c>
      <c r="K31" s="144">
        <v>1</v>
      </c>
    </row>
    <row r="32" spans="1:11" ht="15.75" thickBot="1" x14ac:dyDescent="0.25">
      <c r="A32" s="143" t="s">
        <v>401</v>
      </c>
      <c r="B32" s="200"/>
      <c r="C32" s="144">
        <v>0.55000000000000004</v>
      </c>
      <c r="D32" s="144">
        <v>0.56000000000000005</v>
      </c>
      <c r="E32" s="144">
        <v>0.52</v>
      </c>
      <c r="F32" s="144">
        <v>0.41</v>
      </c>
      <c r="G32" s="144">
        <v>0.4</v>
      </c>
      <c r="H32" s="144">
        <v>0.6</v>
      </c>
      <c r="I32" s="144">
        <v>0.73</v>
      </c>
      <c r="J32" s="144">
        <v>0.66</v>
      </c>
      <c r="K32" s="144">
        <v>1</v>
      </c>
    </row>
    <row r="33" spans="1:11" ht="15.75" thickBot="1" x14ac:dyDescent="0.25">
      <c r="A33" s="143" t="s">
        <v>402</v>
      </c>
      <c r="B33" s="200"/>
      <c r="C33" s="144">
        <v>0.57999999999999996</v>
      </c>
      <c r="D33" s="144">
        <v>0.56999999999999995</v>
      </c>
      <c r="E33" s="144">
        <v>0.52</v>
      </c>
      <c r="F33" s="144">
        <v>0.41</v>
      </c>
      <c r="G33" s="144">
        <v>0.38</v>
      </c>
      <c r="H33" s="144">
        <v>0.55000000000000004</v>
      </c>
      <c r="I33" s="144">
        <v>0.69</v>
      </c>
      <c r="J33" s="144">
        <v>0.67</v>
      </c>
      <c r="K33" s="144">
        <v>1</v>
      </c>
    </row>
    <row r="34" spans="1:11" ht="15.75" thickBot="1" x14ac:dyDescent="0.25">
      <c r="A34" s="143" t="s">
        <v>403</v>
      </c>
      <c r="B34" s="200"/>
      <c r="C34" s="144">
        <v>0.75</v>
      </c>
      <c r="D34" s="144">
        <v>0.71</v>
      </c>
      <c r="E34" s="144">
        <v>0.59</v>
      </c>
      <c r="F34" s="144">
        <v>0.4</v>
      </c>
      <c r="G34" s="144">
        <v>0.33</v>
      </c>
      <c r="H34" s="144">
        <v>0.49</v>
      </c>
      <c r="I34" s="144">
        <v>0.68</v>
      </c>
      <c r="J34" s="144">
        <v>0.76</v>
      </c>
      <c r="K34" s="144">
        <v>1</v>
      </c>
    </row>
    <row r="35" spans="1:11" ht="15.75" thickBot="1" x14ac:dyDescent="0.25">
      <c r="A35" s="143" t="s">
        <v>404</v>
      </c>
      <c r="B35" s="200"/>
      <c r="C35" s="144">
        <v>0.93</v>
      </c>
      <c r="D35" s="144">
        <v>0.72</v>
      </c>
      <c r="E35" s="144">
        <v>0.52</v>
      </c>
      <c r="F35" s="144">
        <v>0.37</v>
      </c>
      <c r="G35" s="144">
        <v>0.36</v>
      </c>
      <c r="H35" s="144">
        <v>0.55000000000000004</v>
      </c>
      <c r="I35" s="144">
        <v>0.84</v>
      </c>
      <c r="J35" s="144">
        <v>1</v>
      </c>
      <c r="K35" s="144">
        <v>1</v>
      </c>
    </row>
    <row r="36" spans="1:11" ht="15.75" thickBot="1" x14ac:dyDescent="0.25">
      <c r="A36" s="143" t="s">
        <v>405</v>
      </c>
      <c r="B36" s="200"/>
      <c r="C36" s="144">
        <v>1.22</v>
      </c>
      <c r="D36" s="144">
        <v>0.92</v>
      </c>
      <c r="E36" s="144">
        <v>0.52</v>
      </c>
      <c r="F36" s="144">
        <v>0.39</v>
      </c>
      <c r="G36" s="144">
        <v>0.39</v>
      </c>
      <c r="H36" s="144">
        <v>0.4</v>
      </c>
      <c r="I36" s="144">
        <v>0.63</v>
      </c>
      <c r="J36" s="144">
        <v>1.05</v>
      </c>
      <c r="K36" s="144">
        <v>1</v>
      </c>
    </row>
    <row r="37" spans="1:11" ht="15.75" thickBot="1" x14ac:dyDescent="0.25">
      <c r="A37" s="143" t="s">
        <v>406</v>
      </c>
      <c r="B37" s="200"/>
      <c r="C37" s="144">
        <v>1.1599999999999999</v>
      </c>
      <c r="D37" s="144">
        <v>0.92</v>
      </c>
      <c r="E37" s="144">
        <v>0.56999999999999995</v>
      </c>
      <c r="F37" s="144">
        <v>0.52</v>
      </c>
      <c r="G37" s="144">
        <v>0.52</v>
      </c>
      <c r="H37" s="144">
        <v>0.52</v>
      </c>
      <c r="I37" s="144">
        <v>0.63</v>
      </c>
      <c r="J37" s="144">
        <v>1.02</v>
      </c>
      <c r="K37" s="144">
        <v>1</v>
      </c>
    </row>
    <row r="38" spans="1:11" ht="15.75" thickBot="1" x14ac:dyDescent="0.25">
      <c r="A38" s="143" t="s">
        <v>407</v>
      </c>
      <c r="B38" s="200"/>
      <c r="C38" s="144">
        <v>0.63</v>
      </c>
      <c r="D38" s="144">
        <v>0.63</v>
      </c>
      <c r="E38" s="144">
        <v>0.63</v>
      </c>
      <c r="F38" s="144">
        <v>0.63</v>
      </c>
      <c r="G38" s="144">
        <v>0.63</v>
      </c>
      <c r="H38" s="144">
        <v>0.63</v>
      </c>
      <c r="I38" s="144">
        <v>0.63</v>
      </c>
      <c r="J38" s="144">
        <v>0.63</v>
      </c>
      <c r="K38" s="144">
        <v>1</v>
      </c>
    </row>
    <row r="40" spans="1:11" ht="15.75" customHeight="1" x14ac:dyDescent="0.2">
      <c r="A40" s="662" t="s">
        <v>441</v>
      </c>
      <c r="B40" s="662"/>
      <c r="C40" s="662"/>
      <c r="D40" s="662"/>
      <c r="E40" s="662"/>
    </row>
    <row r="41" spans="1:11" ht="64.5" customHeight="1" x14ac:dyDescent="0.2">
      <c r="A41" s="147" t="s">
        <v>429</v>
      </c>
      <c r="B41" s="664" t="s">
        <v>430</v>
      </c>
      <c r="C41" s="664"/>
    </row>
    <row r="42" spans="1:11" ht="15" x14ac:dyDescent="0.2">
      <c r="A42" s="148">
        <v>90</v>
      </c>
      <c r="B42" s="659" t="s">
        <v>417</v>
      </c>
      <c r="C42" s="659"/>
    </row>
    <row r="43" spans="1:11" ht="15" x14ac:dyDescent="0.2">
      <c r="A43" s="148">
        <v>75</v>
      </c>
      <c r="B43" s="659" t="s">
        <v>431</v>
      </c>
      <c r="C43" s="659"/>
    </row>
    <row r="44" spans="1:11" ht="15" x14ac:dyDescent="0.2">
      <c r="A44" s="148">
        <v>60</v>
      </c>
      <c r="B44" s="659" t="s">
        <v>432</v>
      </c>
      <c r="C44" s="659"/>
    </row>
    <row r="45" spans="1:11" ht="15" x14ac:dyDescent="0.2">
      <c r="A45" s="148">
        <v>45</v>
      </c>
      <c r="B45" s="659" t="s">
        <v>433</v>
      </c>
      <c r="C45" s="659"/>
    </row>
    <row r="46" spans="1:11" ht="15" x14ac:dyDescent="0.2">
      <c r="A46" s="148">
        <v>30</v>
      </c>
      <c r="B46" s="659" t="s">
        <v>434</v>
      </c>
      <c r="C46" s="659"/>
    </row>
    <row r="47" spans="1:11" ht="15" x14ac:dyDescent="0.2">
      <c r="A47" s="148">
        <v>15</v>
      </c>
      <c r="B47" s="659" t="s">
        <v>435</v>
      </c>
      <c r="C47" s="659"/>
    </row>
    <row r="48" spans="1:11" ht="15" x14ac:dyDescent="0.2">
      <c r="A48" s="148">
        <v>0</v>
      </c>
      <c r="B48" s="659" t="s">
        <v>417</v>
      </c>
      <c r="C48" s="659"/>
    </row>
    <row r="50" spans="1:3" ht="13.5" thickBot="1" x14ac:dyDescent="0.25">
      <c r="A50" t="s">
        <v>440</v>
      </c>
    </row>
    <row r="51" spans="1:3" ht="17.25" customHeight="1" thickTop="1" thickBot="1" x14ac:dyDescent="0.25">
      <c r="A51" s="145"/>
      <c r="B51" s="660" t="s">
        <v>436</v>
      </c>
      <c r="C51" s="661"/>
    </row>
    <row r="52" spans="1:3" ht="17.25" customHeight="1" thickTop="1" thickBot="1" x14ac:dyDescent="0.25">
      <c r="A52" s="150"/>
      <c r="B52" s="660" t="s">
        <v>437</v>
      </c>
      <c r="C52" s="661"/>
    </row>
    <row r="53" spans="1:3" ht="15.75" thickTop="1" thickBot="1" x14ac:dyDescent="0.25">
      <c r="A53" s="150" t="s">
        <v>391</v>
      </c>
      <c r="B53" s="151" t="s">
        <v>438</v>
      </c>
      <c r="C53" s="151" t="s">
        <v>439</v>
      </c>
    </row>
    <row r="54" spans="1:3" ht="16.5" thickTop="1" thickBot="1" x14ac:dyDescent="0.25">
      <c r="A54" s="149" t="s">
        <v>396</v>
      </c>
      <c r="B54" s="146" t="s">
        <v>426</v>
      </c>
      <c r="C54" s="146">
        <v>1</v>
      </c>
    </row>
    <row r="55" spans="1:3" ht="16.5" thickTop="1" thickBot="1" x14ac:dyDescent="0.25">
      <c r="A55" s="149" t="s">
        <v>397</v>
      </c>
      <c r="B55" s="146" t="s">
        <v>421</v>
      </c>
      <c r="C55" s="146">
        <v>1</v>
      </c>
    </row>
    <row r="56" spans="1:3" ht="16.5" thickTop="1" thickBot="1" x14ac:dyDescent="0.25">
      <c r="A56" s="149" t="s">
        <v>398</v>
      </c>
      <c r="B56" s="146" t="s">
        <v>427</v>
      </c>
      <c r="C56" s="146">
        <v>1</v>
      </c>
    </row>
    <row r="57" spans="1:3" ht="16.5" thickTop="1" thickBot="1" x14ac:dyDescent="0.25">
      <c r="A57" s="149" t="s">
        <v>399</v>
      </c>
      <c r="B57" s="146" t="s">
        <v>424</v>
      </c>
      <c r="C57" s="146">
        <v>1</v>
      </c>
    </row>
    <row r="58" spans="1:3" ht="16.5" thickTop="1" thickBot="1" x14ac:dyDescent="0.25">
      <c r="A58" s="149" t="s">
        <v>400</v>
      </c>
      <c r="B58" s="146" t="s">
        <v>422</v>
      </c>
      <c r="C58" s="146">
        <v>1</v>
      </c>
    </row>
    <row r="59" spans="1:3" ht="16.5" thickTop="1" thickBot="1" x14ac:dyDescent="0.25">
      <c r="A59" s="149" t="s">
        <v>401</v>
      </c>
      <c r="B59" s="146" t="s">
        <v>420</v>
      </c>
      <c r="C59" s="146">
        <v>1</v>
      </c>
    </row>
    <row r="60" spans="1:3" ht="16.5" thickTop="1" thickBot="1" x14ac:dyDescent="0.25">
      <c r="A60" s="149" t="s">
        <v>402</v>
      </c>
      <c r="B60" s="146" t="s">
        <v>420</v>
      </c>
      <c r="C60" s="146">
        <v>1</v>
      </c>
    </row>
    <row r="61" spans="1:3" ht="16.5" thickTop="1" thickBot="1" x14ac:dyDescent="0.25">
      <c r="A61" s="149" t="s">
        <v>403</v>
      </c>
      <c r="B61" s="146" t="s">
        <v>425</v>
      </c>
      <c r="C61" s="146">
        <v>1</v>
      </c>
    </row>
    <row r="62" spans="1:3" ht="16.5" thickTop="1" thickBot="1" x14ac:dyDescent="0.25">
      <c r="A62" s="149" t="s">
        <v>404</v>
      </c>
      <c r="B62" s="146" t="s">
        <v>418</v>
      </c>
      <c r="C62" s="146">
        <v>1</v>
      </c>
    </row>
    <row r="63" spans="1:3" ht="16.5" thickTop="1" thickBot="1" x14ac:dyDescent="0.25">
      <c r="A63" s="149" t="s">
        <v>405</v>
      </c>
      <c r="B63" s="146" t="s">
        <v>419</v>
      </c>
      <c r="C63" s="146">
        <v>1</v>
      </c>
    </row>
    <row r="64" spans="1:3" ht="16.5" thickTop="1" thickBot="1" x14ac:dyDescent="0.25">
      <c r="A64" s="149" t="s">
        <v>406</v>
      </c>
      <c r="B64" s="146" t="s">
        <v>423</v>
      </c>
      <c r="C64" s="146">
        <v>1</v>
      </c>
    </row>
    <row r="65" spans="1:3" ht="16.5" thickTop="1" thickBot="1" x14ac:dyDescent="0.25">
      <c r="A65" s="149" t="s">
        <v>407</v>
      </c>
      <c r="B65" s="146" t="s">
        <v>427</v>
      </c>
      <c r="C65" s="146">
        <v>1</v>
      </c>
    </row>
    <row r="66" spans="1:3" ht="13.5" thickTop="1" x14ac:dyDescent="0.2"/>
  </sheetData>
  <mergeCells count="20">
    <mergeCell ref="A5:A6"/>
    <mergeCell ref="B5:B6"/>
    <mergeCell ref="C5:C6"/>
    <mergeCell ref="A23:A26"/>
    <mergeCell ref="B23:J23"/>
    <mergeCell ref="B24:I24"/>
    <mergeCell ref="B25:I25"/>
    <mergeCell ref="A22:J22"/>
    <mergeCell ref="A40:E40"/>
    <mergeCell ref="A21:J21"/>
    <mergeCell ref="B41:C41"/>
    <mergeCell ref="B42:C42"/>
    <mergeCell ref="B43:C43"/>
    <mergeCell ref="B44:C44"/>
    <mergeCell ref="B47:C47"/>
    <mergeCell ref="B48:C48"/>
    <mergeCell ref="B51:C51"/>
    <mergeCell ref="B52:C52"/>
    <mergeCell ref="B45:C45"/>
    <mergeCell ref="B46:C46"/>
  </mergeCells>
  <phoneticPr fontId="0" type="noConversion"/>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33"/>
  <sheetViews>
    <sheetView workbookViewId="0">
      <selection activeCell="H19" sqref="H19"/>
    </sheetView>
  </sheetViews>
  <sheetFormatPr defaultRowHeight="12.75" x14ac:dyDescent="0.2"/>
  <cols>
    <col min="1" max="1" width="16.85546875" customWidth="1"/>
  </cols>
  <sheetData>
    <row r="3" spans="1:9" x14ac:dyDescent="0.2">
      <c r="A3" s="1" t="s">
        <v>913</v>
      </c>
      <c r="B3" s="1"/>
      <c r="C3" s="1">
        <v>2015</v>
      </c>
      <c r="D3" s="1"/>
      <c r="I3" s="118" t="s">
        <v>1236</v>
      </c>
    </row>
    <row r="4" spans="1:9" x14ac:dyDescent="0.2">
      <c r="A4" s="1"/>
      <c r="B4" s="1"/>
      <c r="C4" s="1"/>
      <c r="D4" s="1"/>
      <c r="E4" s="1"/>
    </row>
    <row r="5" spans="1:9" ht="23.25" thickBot="1" x14ac:dyDescent="0.25">
      <c r="A5" s="1" t="s">
        <v>914</v>
      </c>
      <c r="B5" s="511" t="s">
        <v>1189</v>
      </c>
      <c r="C5" s="512" t="s">
        <v>1190</v>
      </c>
      <c r="D5" s="1" t="s">
        <v>915</v>
      </c>
      <c r="E5" s="1" t="s">
        <v>16</v>
      </c>
      <c r="I5" s="1" t="s">
        <v>16</v>
      </c>
    </row>
    <row r="6" spans="1:9" ht="13.5" thickBot="1" x14ac:dyDescent="0.25">
      <c r="A6" s="1" t="s">
        <v>17</v>
      </c>
      <c r="B6" s="513">
        <v>0.1196</v>
      </c>
      <c r="C6" s="514">
        <v>3.5999999999999999E-3</v>
      </c>
      <c r="D6" s="517">
        <f>B6+C6</f>
        <v>0.1232</v>
      </c>
      <c r="E6" s="2">
        <f>IF('Invoer energieverbruik'!B7&lt;=10000,'Invoer energieverbruik'!B7*D6,IF('Invoer energieverbruik'!B7&gt;10000,10000*D6,0))</f>
        <v>1232</v>
      </c>
      <c r="I6">
        <f>IF('Invoer eigenopwekking'!K16&lt;=10000,'Invoer eigenopwekking'!K16*D6,IF('Invoer eigenopwekking'!K16&gt;10000,10000*D6,0))</f>
        <v>38.931200000000004</v>
      </c>
    </row>
    <row r="7" spans="1:9" ht="13.5" thickBot="1" x14ac:dyDescent="0.25">
      <c r="A7" s="1" t="s">
        <v>18</v>
      </c>
      <c r="B7" s="515">
        <v>4.6899999999999997E-2</v>
      </c>
      <c r="C7" s="516">
        <v>4.5999999999999999E-3</v>
      </c>
      <c r="D7" s="517">
        <f>B7+C7</f>
        <v>5.1499999999999997E-2</v>
      </c>
      <c r="E7" s="2">
        <f>IF('Invoer energieverbruik'!B7&lt;=10000,0,IF(AND('Invoer energieverbruik'!B7&gt;10000,'Invoer energieverbruik'!B7&lt;=50000),('Invoer energieverbruik'!B7-10000)*D7,40000*D7))</f>
        <v>772.5</v>
      </c>
      <c r="I7">
        <f>IF('Invoer eigenopwekking'!K16&lt;=10000,0,IF(AND('Invoer eigenopwekking'!K16&gt;10000,'Invoer eigenopwekking'!K16&lt;=50000),('Invoer eigenopwekking'!K16-10000)*D7,40000*D7))</f>
        <v>0</v>
      </c>
    </row>
    <row r="8" spans="1:9" ht="13.5" thickBot="1" x14ac:dyDescent="0.25">
      <c r="A8" s="1" t="s">
        <v>19</v>
      </c>
      <c r="B8" s="515">
        <v>1.2500000000000001E-2</v>
      </c>
      <c r="C8" s="516">
        <v>1.1999999999999999E-3</v>
      </c>
      <c r="D8" s="517">
        <f>B8+C8</f>
        <v>1.37E-2</v>
      </c>
      <c r="E8" s="2">
        <f>IF('Invoer energieverbruik'!B7&lt;=50000,0,IF('Invoer energieverbruik'!B7&gt;50000,('Invoer energieverbruik'!B7-50000)*D8))</f>
        <v>0</v>
      </c>
      <c r="I8">
        <f>IF('Invoer eigenopwekking'!K16&lt;=50000,0,IF('Invoer eigenopwekking'!K16&gt;50000,('Invoer eigenopwekking'!K16-50000)*D8))</f>
        <v>0</v>
      </c>
    </row>
    <row r="9" spans="1:9" x14ac:dyDescent="0.2">
      <c r="A9" s="1"/>
      <c r="B9" s="1"/>
      <c r="C9" s="1"/>
      <c r="D9" s="1"/>
      <c r="E9" s="4">
        <f>SUM(E6:E8)</f>
        <v>2004.5</v>
      </c>
      <c r="I9">
        <f>SUM(I6:I8)</f>
        <v>38.931200000000004</v>
      </c>
    </row>
    <row r="10" spans="1:9" x14ac:dyDescent="0.2">
      <c r="A10" s="1"/>
      <c r="B10" s="1"/>
      <c r="C10" s="1"/>
      <c r="D10" s="1"/>
      <c r="E10" s="1"/>
    </row>
    <row r="11" spans="1:9" ht="23.25" thickBot="1" x14ac:dyDescent="0.25">
      <c r="A11" s="1" t="s">
        <v>917</v>
      </c>
      <c r="B11" s="511" t="s">
        <v>1189</v>
      </c>
      <c r="C11" s="512" t="s">
        <v>1190</v>
      </c>
      <c r="D11" s="1" t="s">
        <v>916</v>
      </c>
      <c r="E11" s="1" t="s">
        <v>16</v>
      </c>
    </row>
    <row r="12" spans="1:9" x14ac:dyDescent="0.2">
      <c r="A12" s="1" t="s">
        <v>20</v>
      </c>
      <c r="B12" s="1">
        <v>0.19109999999999999</v>
      </c>
      <c r="C12" s="1">
        <v>7.4000000000000003E-3</v>
      </c>
      <c r="D12" s="17">
        <f>B12+C12</f>
        <v>0.19849999999999998</v>
      </c>
      <c r="E12" s="2">
        <f>IF('Invoer energieverbruik'!B9&lt;5001,'Invoer energieverbruik'!B9*D12,IF('Invoer energieverbruik'!B9&gt;5000,5000*D12,0))</f>
        <v>0</v>
      </c>
    </row>
    <row r="13" spans="1:9" x14ac:dyDescent="0.2">
      <c r="A13" s="1" t="s">
        <v>21</v>
      </c>
      <c r="B13" s="1">
        <v>0.19109999999999999</v>
      </c>
      <c r="C13" s="1">
        <v>7.4000000000000003E-3</v>
      </c>
      <c r="D13" s="17">
        <f>B13+C13</f>
        <v>0.19849999999999998</v>
      </c>
      <c r="E13" s="2">
        <f>IF('Invoer energieverbruik'!B9&lt;=5000,0,'Invoer energieverbruik'!B9-5000)*D13</f>
        <v>0</v>
      </c>
    </row>
    <row r="14" spans="1:9" x14ac:dyDescent="0.2">
      <c r="A14" s="1"/>
      <c r="B14" s="1"/>
      <c r="C14" s="1"/>
      <c r="D14" s="1"/>
      <c r="E14" s="4">
        <f>SUM(E12:E13)</f>
        <v>0</v>
      </c>
    </row>
    <row r="15" spans="1:9" x14ac:dyDescent="0.2">
      <c r="A15" s="1"/>
      <c r="B15" s="1"/>
      <c r="C15" s="1"/>
      <c r="D15" s="1"/>
      <c r="E15" s="1"/>
    </row>
    <row r="16" spans="1:9" x14ac:dyDescent="0.2">
      <c r="A16" s="1" t="s">
        <v>23</v>
      </c>
      <c r="B16" s="1"/>
      <c r="C16" s="1"/>
      <c r="D16" s="1"/>
    </row>
    <row r="17" spans="1:4" x14ac:dyDescent="0.2">
      <c r="A17" s="1" t="s">
        <v>24</v>
      </c>
      <c r="B17" s="1"/>
      <c r="C17" s="1"/>
      <c r="D17" s="1"/>
    </row>
    <row r="18" spans="1:4" x14ac:dyDescent="0.2">
      <c r="A18" s="1" t="s">
        <v>25</v>
      </c>
      <c r="B18" s="1"/>
      <c r="C18" s="1"/>
      <c r="D18" s="1"/>
    </row>
    <row r="19" spans="1:4" x14ac:dyDescent="0.2">
      <c r="A19" s="1">
        <v>2</v>
      </c>
      <c r="B19" s="1" t="s">
        <v>26</v>
      </c>
      <c r="C19" s="1"/>
      <c r="D19" s="1"/>
    </row>
    <row r="20" spans="1:4" x14ac:dyDescent="0.2">
      <c r="A20" s="1"/>
      <c r="B20" s="1"/>
      <c r="C20" s="1"/>
      <c r="D20" s="1"/>
    </row>
    <row r="21" spans="1:4" x14ac:dyDescent="0.2">
      <c r="A21" s="1" t="s">
        <v>28</v>
      </c>
      <c r="B21" s="1" t="s">
        <v>32</v>
      </c>
      <c r="C21" s="1"/>
      <c r="D21" s="1"/>
    </row>
    <row r="22" spans="1:4" x14ac:dyDescent="0.2">
      <c r="A22" s="1" t="s">
        <v>29</v>
      </c>
      <c r="B22" s="5">
        <f>('Invoer energieverbruik'!C18+'Invoer energieverbruik'!C19+IF('Invoer energieverbruik'!B7&lt;10001,D6,IF('Invoer energieverbruik'!B7&gt;50000,D8,D7)))*1.21</f>
        <v>0.13902899999999999</v>
      </c>
      <c r="C22" s="1"/>
      <c r="D22" s="1"/>
    </row>
    <row r="23" spans="1:4" x14ac:dyDescent="0.2">
      <c r="A23" s="1" t="s">
        <v>30</v>
      </c>
      <c r="B23" s="5">
        <f>('Invoer energieverbruik'!$C$16+IF('Invoer energieverbruik'!B7&lt;10001,D6,IF('Invoer energieverbruik'!B7&gt;50000,D8,D7)))*1.21</f>
        <v>0.1452</v>
      </c>
      <c r="C23" s="5">
        <f>('Invoer energieverbruik'!$C$17+IF('Invoer energieverbruik'!B7&lt;10001,D6,IF('Invoer energieverbruik'!B7&gt;50000,D8,D7)))*1.19</f>
        <v>0.12697299999999997</v>
      </c>
      <c r="D23" s="1"/>
    </row>
    <row r="24" spans="1:4" x14ac:dyDescent="0.2">
      <c r="A24" s="1">
        <v>2</v>
      </c>
      <c r="B24" s="1" t="s">
        <v>26</v>
      </c>
      <c r="C24" s="1">
        <f>IF(A24=1,B22,B23)</f>
        <v>0.1452</v>
      </c>
      <c r="D24" s="1"/>
    </row>
    <row r="28" spans="1:4" ht="13.5" thickBot="1" x14ac:dyDescent="0.25"/>
    <row r="29" spans="1:4" ht="15" x14ac:dyDescent="0.25">
      <c r="B29" s="500"/>
      <c r="C29" s="501"/>
    </row>
    <row r="30" spans="1:4" ht="15.75" thickBot="1" x14ac:dyDescent="0.3">
      <c r="B30" s="502"/>
      <c r="C30" s="503"/>
    </row>
    <row r="31" spans="1:4" ht="15.75" thickBot="1" x14ac:dyDescent="0.3">
      <c r="A31" s="504"/>
      <c r="B31" s="505"/>
      <c r="C31" s="506"/>
      <c r="D31" s="507"/>
    </row>
    <row r="32" spans="1:4" ht="15.75" thickBot="1" x14ac:dyDescent="0.3">
      <c r="A32" s="508"/>
      <c r="B32" s="509"/>
      <c r="C32" s="510"/>
      <c r="D32" s="507"/>
    </row>
    <row r="33" spans="1:4" ht="15.75" thickBot="1" x14ac:dyDescent="0.3">
      <c r="A33" s="508"/>
      <c r="B33" s="509"/>
      <c r="C33" s="510"/>
      <c r="D33" s="507"/>
    </row>
  </sheetData>
  <phoneticPr fontId="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topLeftCell="A19" workbookViewId="0">
      <selection activeCell="B61" sqref="B61"/>
    </sheetView>
  </sheetViews>
  <sheetFormatPr defaultRowHeight="12" x14ac:dyDescent="0.2"/>
  <cols>
    <col min="1" max="1" width="49.28515625" style="424" customWidth="1"/>
    <col min="2" max="2" width="9.140625" style="424"/>
    <col min="3" max="3" width="11" style="424" customWidth="1"/>
    <col min="4" max="16384" width="9.140625" style="424"/>
  </cols>
  <sheetData>
    <row r="1" spans="1:8" ht="18" x14ac:dyDescent="0.25">
      <c r="A1" s="429" t="s">
        <v>1107</v>
      </c>
    </row>
    <row r="3" spans="1:8" x14ac:dyDescent="0.2">
      <c r="A3" s="424" t="s">
        <v>1108</v>
      </c>
    </row>
    <row r="4" spans="1:8" x14ac:dyDescent="0.2">
      <c r="A4" s="424" t="s">
        <v>1109</v>
      </c>
    </row>
    <row r="8" spans="1:8" x14ac:dyDescent="0.2">
      <c r="A8" s="423" t="s">
        <v>38</v>
      </c>
      <c r="B8" s="424" t="s">
        <v>1244</v>
      </c>
    </row>
    <row r="9" spans="1:8" ht="12.75" x14ac:dyDescent="0.2">
      <c r="A9" s="424" t="s">
        <v>39</v>
      </c>
      <c r="B9" s="425">
        <v>24</v>
      </c>
      <c r="C9" s="424" t="s">
        <v>1086</v>
      </c>
      <c r="G9" s="376"/>
      <c r="H9" s="371" t="s">
        <v>675</v>
      </c>
    </row>
    <row r="10" spans="1:8" ht="12.75" x14ac:dyDescent="0.2">
      <c r="A10" s="424" t="s">
        <v>40</v>
      </c>
      <c r="B10" s="425">
        <v>48</v>
      </c>
      <c r="C10" s="424" t="s">
        <v>1086</v>
      </c>
      <c r="G10" s="378"/>
      <c r="H10" s="371" t="s">
        <v>676</v>
      </c>
    </row>
    <row r="11" spans="1:8" ht="12.75" x14ac:dyDescent="0.2">
      <c r="A11" s="424" t="s">
        <v>595</v>
      </c>
      <c r="B11" s="425">
        <v>90</v>
      </c>
      <c r="C11" s="424" t="s">
        <v>1086</v>
      </c>
      <c r="G11" s="379"/>
      <c r="H11" s="371" t="s">
        <v>677</v>
      </c>
    </row>
    <row r="12" spans="1:8" x14ac:dyDescent="0.2">
      <c r="A12" s="424" t="s">
        <v>596</v>
      </c>
      <c r="B12" s="425">
        <v>181</v>
      </c>
      <c r="C12" s="424" t="s">
        <v>1086</v>
      </c>
    </row>
    <row r="13" spans="1:8" x14ac:dyDescent="0.2">
      <c r="A13" s="424" t="s">
        <v>41</v>
      </c>
      <c r="B13" s="425">
        <v>60</v>
      </c>
      <c r="C13" s="424" t="s">
        <v>1086</v>
      </c>
    </row>
    <row r="14" spans="1:8" x14ac:dyDescent="0.2">
      <c r="A14" s="424" t="s">
        <v>784</v>
      </c>
      <c r="B14" s="425">
        <v>84</v>
      </c>
      <c r="C14" s="424" t="s">
        <v>1086</v>
      </c>
    </row>
    <row r="15" spans="1:8" x14ac:dyDescent="0.2">
      <c r="A15" s="424" t="s">
        <v>42</v>
      </c>
      <c r="B15" s="425">
        <v>12</v>
      </c>
      <c r="C15" s="424" t="s">
        <v>1086</v>
      </c>
    </row>
    <row r="16" spans="1:8" x14ac:dyDescent="0.2">
      <c r="A16" s="424" t="s">
        <v>45</v>
      </c>
      <c r="B16" s="425">
        <v>54</v>
      </c>
      <c r="C16" s="424" t="s">
        <v>1086</v>
      </c>
    </row>
    <row r="17" spans="1:3" x14ac:dyDescent="0.2">
      <c r="A17" s="424" t="s">
        <v>1022</v>
      </c>
      <c r="B17" s="425">
        <v>24</v>
      </c>
      <c r="C17" s="424" t="s">
        <v>1086</v>
      </c>
    </row>
    <row r="18" spans="1:3" x14ac:dyDescent="0.2">
      <c r="A18" s="424" t="s">
        <v>1082</v>
      </c>
      <c r="B18" s="425">
        <v>60</v>
      </c>
      <c r="C18" s="424" t="s">
        <v>1086</v>
      </c>
    </row>
    <row r="19" spans="1:3" x14ac:dyDescent="0.2">
      <c r="A19" s="424" t="s">
        <v>1054</v>
      </c>
      <c r="B19" s="425">
        <v>72</v>
      </c>
      <c r="C19" s="424" t="s">
        <v>1086</v>
      </c>
    </row>
    <row r="21" spans="1:3" x14ac:dyDescent="0.2">
      <c r="A21" s="423" t="s">
        <v>530</v>
      </c>
    </row>
    <row r="22" spans="1:3" x14ac:dyDescent="0.2">
      <c r="A22" s="424" t="s">
        <v>44</v>
      </c>
      <c r="B22" s="425">
        <v>84</v>
      </c>
      <c r="C22" s="424" t="s">
        <v>1086</v>
      </c>
    </row>
    <row r="23" spans="1:3" x14ac:dyDescent="0.2">
      <c r="A23" s="424" t="s">
        <v>598</v>
      </c>
      <c r="B23" s="425">
        <v>181</v>
      </c>
      <c r="C23" s="424" t="s">
        <v>1086</v>
      </c>
    </row>
    <row r="24" spans="1:3" x14ac:dyDescent="0.2">
      <c r="A24" s="424" t="s">
        <v>599</v>
      </c>
      <c r="B24" s="425">
        <v>600</v>
      </c>
      <c r="C24" s="424" t="s">
        <v>1086</v>
      </c>
    </row>
    <row r="26" spans="1:3" x14ac:dyDescent="0.2">
      <c r="A26" s="423" t="s">
        <v>1083</v>
      </c>
    </row>
    <row r="27" spans="1:3" x14ac:dyDescent="0.2">
      <c r="A27" s="424" t="s">
        <v>146</v>
      </c>
      <c r="B27" s="425">
        <v>157</v>
      </c>
      <c r="C27" s="424" t="s">
        <v>1087</v>
      </c>
    </row>
    <row r="28" spans="1:3" x14ac:dyDescent="0.2">
      <c r="A28" s="424" t="s">
        <v>601</v>
      </c>
      <c r="B28" s="425">
        <v>157</v>
      </c>
      <c r="C28" s="424" t="s">
        <v>1087</v>
      </c>
    </row>
    <row r="29" spans="1:3" x14ac:dyDescent="0.2">
      <c r="A29" s="424" t="s">
        <v>602</v>
      </c>
      <c r="B29" s="425">
        <v>157</v>
      </c>
      <c r="C29" s="424" t="s">
        <v>1087</v>
      </c>
    </row>
    <row r="32" spans="1:3" x14ac:dyDescent="0.2">
      <c r="A32" s="423" t="s">
        <v>111</v>
      </c>
    </row>
    <row r="33" spans="1:3" x14ac:dyDescent="0.2">
      <c r="A33" s="424" t="s">
        <v>1098</v>
      </c>
      <c r="B33" s="425">
        <v>121</v>
      </c>
      <c r="C33" s="424" t="s">
        <v>1088</v>
      </c>
    </row>
    <row r="34" spans="1:3" x14ac:dyDescent="0.2">
      <c r="A34" s="424" t="s">
        <v>1099</v>
      </c>
      <c r="B34" s="425">
        <v>97</v>
      </c>
      <c r="C34" s="424" t="s">
        <v>1088</v>
      </c>
    </row>
    <row r="35" spans="1:3" x14ac:dyDescent="0.2">
      <c r="A35" s="424" t="s">
        <v>1100</v>
      </c>
      <c r="B35" s="425">
        <v>79</v>
      </c>
      <c r="C35" s="424" t="s">
        <v>1088</v>
      </c>
    </row>
    <row r="36" spans="1:3" x14ac:dyDescent="0.2">
      <c r="A36" s="424" t="s">
        <v>1102</v>
      </c>
      <c r="B36" s="425">
        <v>60</v>
      </c>
      <c r="C36" s="424" t="s">
        <v>1101</v>
      </c>
    </row>
    <row r="37" spans="1:3" x14ac:dyDescent="0.2">
      <c r="A37" s="424" t="s">
        <v>1103</v>
      </c>
      <c r="B37" s="425">
        <v>120</v>
      </c>
      <c r="C37" s="424" t="s">
        <v>1101</v>
      </c>
    </row>
    <row r="38" spans="1:3" x14ac:dyDescent="0.2">
      <c r="A38" s="424" t="s">
        <v>1104</v>
      </c>
      <c r="B38" s="425">
        <v>600</v>
      </c>
      <c r="C38" s="424" t="s">
        <v>1093</v>
      </c>
    </row>
    <row r="39" spans="1:3" x14ac:dyDescent="0.2">
      <c r="A39" s="424" t="s">
        <v>1110</v>
      </c>
      <c r="B39" s="425">
        <v>423</v>
      </c>
      <c r="C39" s="424" t="s">
        <v>1111</v>
      </c>
    </row>
    <row r="41" spans="1:3" x14ac:dyDescent="0.2">
      <c r="A41" s="423" t="s">
        <v>1084</v>
      </c>
    </row>
    <row r="42" spans="1:3" x14ac:dyDescent="0.2">
      <c r="A42" s="424" t="s">
        <v>1085</v>
      </c>
      <c r="B42" s="425">
        <v>181</v>
      </c>
      <c r="C42" s="424" t="s">
        <v>1089</v>
      </c>
    </row>
    <row r="43" spans="1:3" x14ac:dyDescent="0.2">
      <c r="A43" s="424" t="s">
        <v>322</v>
      </c>
      <c r="B43" s="425">
        <v>48</v>
      </c>
      <c r="C43" s="424" t="s">
        <v>1089</v>
      </c>
    </row>
    <row r="44" spans="1:3" x14ac:dyDescent="0.2">
      <c r="A44" s="424" t="s">
        <v>1091</v>
      </c>
      <c r="B44" s="425">
        <v>363</v>
      </c>
      <c r="C44" s="424" t="s">
        <v>1090</v>
      </c>
    </row>
    <row r="46" spans="1:3" x14ac:dyDescent="0.2">
      <c r="A46" s="423" t="s">
        <v>1092</v>
      </c>
    </row>
    <row r="47" spans="1:3" x14ac:dyDescent="0.2">
      <c r="A47" s="426" t="s">
        <v>126</v>
      </c>
      <c r="B47" s="425">
        <v>2400</v>
      </c>
      <c r="C47" s="424" t="s">
        <v>1093</v>
      </c>
    </row>
    <row r="48" spans="1:3" x14ac:dyDescent="0.2">
      <c r="A48" s="426" t="s">
        <v>1094</v>
      </c>
      <c r="B48" s="425">
        <v>1815</v>
      </c>
      <c r="C48" s="424" t="s">
        <v>1093</v>
      </c>
    </row>
    <row r="49" spans="1:3" x14ac:dyDescent="0.2">
      <c r="A49" s="426" t="s">
        <v>1095</v>
      </c>
      <c r="B49" s="425">
        <v>3000</v>
      </c>
      <c r="C49" s="424" t="s">
        <v>1093</v>
      </c>
    </row>
    <row r="50" spans="1:3" x14ac:dyDescent="0.2">
      <c r="A50" s="426" t="s">
        <v>303</v>
      </c>
      <c r="B50" s="425">
        <v>3000</v>
      </c>
      <c r="C50" s="424" t="s">
        <v>1093</v>
      </c>
    </row>
    <row r="51" spans="1:3" x14ac:dyDescent="0.2">
      <c r="A51" s="426" t="s">
        <v>1096</v>
      </c>
      <c r="B51" s="425">
        <v>7900</v>
      </c>
      <c r="C51" s="424" t="s">
        <v>1093</v>
      </c>
    </row>
    <row r="52" spans="1:3" x14ac:dyDescent="0.2">
      <c r="A52" s="426" t="s">
        <v>1097</v>
      </c>
      <c r="B52" s="425">
        <v>3000</v>
      </c>
      <c r="C52" s="424" t="s">
        <v>1093</v>
      </c>
    </row>
    <row r="53" spans="1:3" x14ac:dyDescent="0.2">
      <c r="A53" s="426" t="s">
        <v>300</v>
      </c>
      <c r="B53" s="425">
        <v>9000</v>
      </c>
      <c r="C53" s="424" t="s">
        <v>1093</v>
      </c>
    </row>
    <row r="54" spans="1:3" x14ac:dyDescent="0.2">
      <c r="A54" s="426" t="s">
        <v>301</v>
      </c>
      <c r="B54" s="425">
        <v>10000</v>
      </c>
      <c r="C54" s="424" t="s">
        <v>1093</v>
      </c>
    </row>
    <row r="55" spans="1:3" x14ac:dyDescent="0.2">
      <c r="A55" s="426" t="s">
        <v>302</v>
      </c>
      <c r="B55" s="425">
        <v>12000</v>
      </c>
      <c r="C55" s="424" t="s">
        <v>1093</v>
      </c>
    </row>
    <row r="57" spans="1:3" x14ac:dyDescent="0.2">
      <c r="A57" s="427" t="s">
        <v>1105</v>
      </c>
    </row>
    <row r="58" spans="1:3" x14ac:dyDescent="0.2">
      <c r="A58" s="428" t="s">
        <v>1106</v>
      </c>
      <c r="B58" s="425">
        <v>3500</v>
      </c>
      <c r="C58" s="424" t="s">
        <v>1093</v>
      </c>
    </row>
    <row r="60" spans="1:3" x14ac:dyDescent="0.2">
      <c r="A60" s="423" t="s">
        <v>1193</v>
      </c>
    </row>
    <row r="61" spans="1:3" x14ac:dyDescent="0.2">
      <c r="A61" s="424" t="s">
        <v>1207</v>
      </c>
      <c r="B61" s="425">
        <v>180</v>
      </c>
      <c r="C61" s="424" t="s">
        <v>1086</v>
      </c>
    </row>
    <row r="62" spans="1:3" x14ac:dyDescent="0.2">
      <c r="A62" s="424" t="s">
        <v>1206</v>
      </c>
      <c r="B62" s="425">
        <v>325</v>
      </c>
      <c r="C62" s="424" t="s">
        <v>1086</v>
      </c>
    </row>
    <row r="63" spans="1:3" x14ac:dyDescent="0.2">
      <c r="A63" s="424" t="s">
        <v>1202</v>
      </c>
      <c r="B63" s="425">
        <v>375</v>
      </c>
      <c r="C63" s="424" t="s">
        <v>1086</v>
      </c>
    </row>
  </sheetData>
  <phoneticPr fontId="53"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
  <sheetViews>
    <sheetView workbookViewId="0">
      <selection activeCell="A23" sqref="A23"/>
    </sheetView>
  </sheetViews>
  <sheetFormatPr defaultRowHeight="11.25" x14ac:dyDescent="0.2"/>
  <cols>
    <col min="1" max="1" width="21.28515625" style="74" customWidth="1"/>
    <col min="2" max="2" width="12.7109375" style="74" customWidth="1"/>
    <col min="3" max="3" width="13.28515625" style="74" customWidth="1"/>
    <col min="4" max="4" width="13.5703125" style="74" customWidth="1"/>
    <col min="5" max="5" width="9.140625" style="74"/>
    <col min="6" max="6" width="11" style="74" customWidth="1"/>
    <col min="7" max="7" width="13.85546875" style="74" bestFit="1" customWidth="1"/>
    <col min="8" max="8" width="9.140625" style="74"/>
    <col min="9" max="9" width="12.28515625" style="74" customWidth="1"/>
    <col min="10" max="10" width="13.85546875" style="74" customWidth="1"/>
    <col min="11" max="11" width="13.85546875" style="74" bestFit="1" customWidth="1"/>
    <col min="12" max="12" width="16.28515625" style="74" bestFit="1" customWidth="1"/>
    <col min="13" max="16384" width="9.140625" style="74"/>
  </cols>
  <sheetData>
    <row r="1" spans="1:13" s="62" customFormat="1" ht="20.25" x14ac:dyDescent="0.3">
      <c r="A1" s="77" t="s">
        <v>1191</v>
      </c>
    </row>
    <row r="2" spans="1:13" s="62" customFormat="1" ht="12.75" customHeight="1" x14ac:dyDescent="0.3">
      <c r="A2" s="77"/>
    </row>
    <row r="3" spans="1:13" s="62" customFormat="1" ht="12.75" customHeight="1" x14ac:dyDescent="0.2">
      <c r="A3" s="76" t="s">
        <v>1228</v>
      </c>
      <c r="F3" s="400"/>
      <c r="H3" s="76" t="s">
        <v>1229</v>
      </c>
    </row>
    <row r="4" spans="1:13" s="62" customFormat="1" ht="12.75" customHeight="1" x14ac:dyDescent="0.2">
      <c r="A4" s="76"/>
      <c r="F4" s="400"/>
      <c r="H4" s="76"/>
    </row>
    <row r="5" spans="1:13" s="62" customFormat="1" ht="14.25" customHeight="1" x14ac:dyDescent="0.2">
      <c r="A5" s="76"/>
      <c r="F5" s="400"/>
      <c r="H5" s="76"/>
    </row>
    <row r="6" spans="1:13" s="62" customFormat="1" ht="23.25" customHeight="1" x14ac:dyDescent="0.2">
      <c r="A6" s="242"/>
      <c r="B6" s="519" t="s">
        <v>1211</v>
      </c>
      <c r="C6" s="76" t="s">
        <v>1213</v>
      </c>
      <c r="D6" s="518" t="s">
        <v>1212</v>
      </c>
      <c r="E6" s="76" t="s">
        <v>170</v>
      </c>
      <c r="F6" s="264"/>
      <c r="G6" s="70"/>
      <c r="H6" s="242"/>
      <c r="I6" s="519" t="s">
        <v>1211</v>
      </c>
      <c r="J6" s="76" t="s">
        <v>1213</v>
      </c>
      <c r="K6" s="518" t="s">
        <v>1212</v>
      </c>
      <c r="L6" s="76" t="s">
        <v>170</v>
      </c>
      <c r="M6" s="264"/>
    </row>
    <row r="7" spans="1:13" s="62" customFormat="1" ht="16.5" customHeight="1" x14ac:dyDescent="0.2">
      <c r="A7" s="242" t="s">
        <v>1194</v>
      </c>
      <c r="B7" s="268"/>
      <c r="E7" s="265"/>
      <c r="F7" s="400"/>
      <c r="H7" s="242" t="s">
        <v>1194</v>
      </c>
      <c r="I7" s="268">
        <v>187</v>
      </c>
      <c r="L7" s="265"/>
      <c r="M7" s="400"/>
    </row>
    <row r="8" spans="1:13" s="62" customFormat="1" ht="16.5" customHeight="1" x14ac:dyDescent="0.2">
      <c r="A8" s="242" t="s">
        <v>1195</v>
      </c>
      <c r="B8" s="268"/>
      <c r="E8" s="265"/>
      <c r="F8" s="400"/>
      <c r="H8" s="242" t="s">
        <v>1195</v>
      </c>
      <c r="I8" s="268"/>
      <c r="L8" s="265"/>
      <c r="M8" s="400"/>
    </row>
    <row r="9" spans="1:13" s="62" customFormat="1" ht="14.25" customHeight="1" x14ac:dyDescent="0.2">
      <c r="A9" s="242" t="s">
        <v>1196</v>
      </c>
      <c r="B9" s="268"/>
      <c r="E9" s="265"/>
      <c r="F9" s="400"/>
      <c r="H9" s="242" t="s">
        <v>1196</v>
      </c>
      <c r="I9" s="268"/>
      <c r="L9" s="265"/>
      <c r="M9" s="400"/>
    </row>
    <row r="10" spans="1:13" s="62" customFormat="1" ht="14.25" customHeight="1" x14ac:dyDescent="0.2">
      <c r="A10" s="242" t="s">
        <v>1197</v>
      </c>
      <c r="B10" s="263"/>
      <c r="E10" s="266"/>
      <c r="F10" s="400"/>
      <c r="H10" s="242" t="s">
        <v>1197</v>
      </c>
      <c r="I10" s="263"/>
      <c r="L10" s="266"/>
      <c r="M10" s="400"/>
    </row>
    <row r="11" spans="1:13" s="62" customFormat="1" ht="15" customHeight="1" x14ac:dyDescent="0.2">
      <c r="A11" s="242" t="s">
        <v>1198</v>
      </c>
      <c r="B11" s="268"/>
      <c r="E11" s="265"/>
      <c r="F11" s="400"/>
      <c r="H11" s="242" t="s">
        <v>1198</v>
      </c>
      <c r="I11" s="268"/>
      <c r="L11" s="265"/>
      <c r="M11" s="400"/>
    </row>
    <row r="12" spans="1:13" s="62" customFormat="1" x14ac:dyDescent="0.2">
      <c r="F12" s="400"/>
    </row>
    <row r="13" spans="1:13" s="62" customFormat="1" ht="11.25" customHeight="1" x14ac:dyDescent="0.2">
      <c r="F13" s="400"/>
      <c r="I13" s="242" t="s">
        <v>1231</v>
      </c>
      <c r="J13" s="242" t="s">
        <v>1232</v>
      </c>
      <c r="K13" s="242" t="s">
        <v>724</v>
      </c>
      <c r="L13" s="242"/>
    </row>
    <row r="14" spans="1:13" s="62" customFormat="1" ht="15.75" customHeight="1" x14ac:dyDescent="0.2">
      <c r="A14" s="242" t="s">
        <v>1286</v>
      </c>
      <c r="B14" s="62">
        <f>'Verwerken eigenopwekking'!J11</f>
        <v>0</v>
      </c>
      <c r="C14" s="242" t="s">
        <v>610</v>
      </c>
      <c r="G14" s="79"/>
      <c r="H14" s="265" t="s">
        <v>1230</v>
      </c>
      <c r="I14" s="529">
        <f>'Invoer energieverbruik'!B5</f>
        <v>20000</v>
      </c>
      <c r="J14" s="529">
        <f>'Invoer energieverbruik'!B6</f>
        <v>5000</v>
      </c>
      <c r="K14" s="529">
        <f>I14+J14</f>
        <v>25000</v>
      </c>
    </row>
    <row r="15" spans="1:13" s="62" customFormat="1" x14ac:dyDescent="0.2">
      <c r="A15" s="242" t="s">
        <v>1287</v>
      </c>
      <c r="B15" s="535">
        <f>B14/'Invoer energieverbruik'!B7</f>
        <v>0</v>
      </c>
      <c r="G15" s="79"/>
      <c r="H15" s="265" t="s">
        <v>1233</v>
      </c>
      <c r="I15" s="529">
        <f>'Verwerken eigenopwekking'!Z11</f>
        <v>17631.428571428572</v>
      </c>
      <c r="J15" s="529">
        <f>'Verwerken eigenopwekking'!AA11</f>
        <v>7052.5714285714284</v>
      </c>
      <c r="K15" s="529">
        <f>I15+J15</f>
        <v>24684</v>
      </c>
    </row>
    <row r="16" spans="1:13" s="62" customFormat="1" x14ac:dyDescent="0.2">
      <c r="A16" s="400"/>
      <c r="H16" s="265" t="s">
        <v>1234</v>
      </c>
      <c r="I16" s="529">
        <f>I14-I15</f>
        <v>2368.5714285714275</v>
      </c>
      <c r="J16" s="529">
        <f>J14-J15</f>
        <v>-2052.5714285714284</v>
      </c>
      <c r="K16" s="529">
        <f>K14-K15</f>
        <v>316</v>
      </c>
    </row>
    <row r="17" spans="1:14" s="62" customFormat="1" x14ac:dyDescent="0.2"/>
    <row r="18" spans="1:14" s="62" customFormat="1" x14ac:dyDescent="0.2">
      <c r="H18" s="265" t="s">
        <v>1240</v>
      </c>
      <c r="I18" s="531">
        <f>'Verwerken eigenopwekking'!R20</f>
        <v>1932.4363079999998</v>
      </c>
    </row>
    <row r="19" spans="1:14" s="62" customFormat="1" x14ac:dyDescent="0.2">
      <c r="H19" s="265" t="s">
        <v>1241</v>
      </c>
      <c r="I19" s="531">
        <f>'Verwerken eigenopwekking'!S20</f>
        <v>2378.3382479999996</v>
      </c>
      <c r="J19" s="530" t="str">
        <f>IF(K16&lt;0,"Er wordt meer opgewekt dan verbruikt. Over het overschot wordt niet bespaard op energiebelasting. Hierdoor terugverdientijd van te veel geplaatste zonnepanelen relatief lang"," ")</f>
        <v xml:space="preserve"> </v>
      </c>
    </row>
    <row r="20" spans="1:14" s="62" customFormat="1" x14ac:dyDescent="0.2">
      <c r="H20" s="242" t="s">
        <v>48</v>
      </c>
      <c r="I20" s="531">
        <f>'Verwerken eigenopwekking'!T20</f>
        <v>4310.7745559999994</v>
      </c>
    </row>
    <row r="21" spans="1:14" s="62" customFormat="1" x14ac:dyDescent="0.2">
      <c r="A21" s="242"/>
    </row>
    <row r="22" spans="1:14" s="62" customFormat="1" x14ac:dyDescent="0.2">
      <c r="A22" s="242"/>
      <c r="H22" s="265" t="s">
        <v>35</v>
      </c>
      <c r="I22" s="522">
        <f>'Verwerken eigenopwekking'!AE11/'Verwerken eigenopwekking'!T20</f>
        <v>14.098394432483055</v>
      </c>
    </row>
    <row r="23" spans="1:14" s="62" customFormat="1" x14ac:dyDescent="0.2">
      <c r="A23" s="76"/>
      <c r="B23" s="76"/>
      <c r="C23" s="76"/>
      <c r="D23" s="76"/>
      <c r="E23" s="76"/>
      <c r="F23" s="76"/>
      <c r="G23" s="76"/>
      <c r="H23" s="76"/>
      <c r="I23" s="76"/>
      <c r="J23" s="76"/>
      <c r="K23" s="76"/>
    </row>
    <row r="24" spans="1:14" s="62" customFormat="1" x14ac:dyDescent="0.2"/>
    <row r="25" spans="1:14" s="62" customFormat="1" x14ac:dyDescent="0.2"/>
    <row r="26" spans="1:14" s="62" customFormat="1" x14ac:dyDescent="0.2">
      <c r="A26" s="242"/>
    </row>
    <row r="27" spans="1:14" s="62" customFormat="1" x14ac:dyDescent="0.2">
      <c r="A27" s="76"/>
      <c r="B27" s="76"/>
      <c r="C27" s="76"/>
      <c r="D27" s="76"/>
      <c r="E27" s="76"/>
      <c r="F27" s="76"/>
      <c r="G27" s="76"/>
      <c r="H27" s="76"/>
      <c r="I27" s="76"/>
      <c r="J27" s="76"/>
      <c r="K27" s="76"/>
    </row>
    <row r="28" spans="1:14" s="62" customFormat="1" x14ac:dyDescent="0.2"/>
    <row r="29" spans="1:14" s="62" customFormat="1" x14ac:dyDescent="0.2"/>
    <row r="30" spans="1:14" s="62" customFormat="1" ht="12.75" x14ac:dyDescent="0.2">
      <c r="A30" s="242"/>
      <c r="M30" s="66"/>
      <c r="N30" s="242" t="s">
        <v>675</v>
      </c>
    </row>
    <row r="31" spans="1:14" s="62" customFormat="1" ht="12.75" x14ac:dyDescent="0.2">
      <c r="A31" s="76"/>
      <c r="M31" s="65"/>
      <c r="N31" s="242" t="s">
        <v>676</v>
      </c>
    </row>
    <row r="32" spans="1:14" s="62" customFormat="1" ht="12.75" x14ac:dyDescent="0.2">
      <c r="M32" s="291"/>
      <c r="N32" s="242" t="s">
        <v>677</v>
      </c>
    </row>
    <row r="33" spans="1:16" x14ac:dyDescent="0.2">
      <c r="A33" s="62"/>
      <c r="B33" s="62"/>
      <c r="C33" s="62"/>
      <c r="D33" s="62"/>
      <c r="E33" s="62"/>
      <c r="F33" s="62"/>
      <c r="G33" s="62"/>
      <c r="H33" s="62"/>
      <c r="I33" s="62"/>
      <c r="J33" s="62"/>
      <c r="K33" s="62"/>
      <c r="L33" s="62"/>
      <c r="M33" s="62"/>
      <c r="N33" s="62"/>
      <c r="O33" s="62"/>
      <c r="P33" s="62"/>
    </row>
    <row r="34" spans="1:16" x14ac:dyDescent="0.2">
      <c r="A34" s="62"/>
      <c r="B34" s="62"/>
      <c r="C34" s="62"/>
      <c r="D34" s="62"/>
      <c r="E34" s="62"/>
      <c r="F34" s="62"/>
      <c r="G34" s="62"/>
      <c r="H34" s="62"/>
      <c r="I34" s="62"/>
      <c r="J34" s="62"/>
      <c r="K34" s="62"/>
      <c r="L34" s="62"/>
      <c r="M34" s="62"/>
      <c r="N34" s="62"/>
      <c r="O34" s="62"/>
      <c r="P34" s="62"/>
    </row>
    <row r="35" spans="1:16" x14ac:dyDescent="0.2">
      <c r="A35" s="62"/>
      <c r="B35" s="62"/>
      <c r="C35" s="62"/>
      <c r="D35" s="62"/>
      <c r="E35" s="62"/>
      <c r="F35" s="62"/>
      <c r="G35" s="62"/>
      <c r="H35" s="62"/>
      <c r="I35" s="62"/>
      <c r="J35" s="62"/>
      <c r="K35" s="62"/>
      <c r="L35" s="62"/>
      <c r="M35" s="62"/>
      <c r="N35" s="62"/>
      <c r="O35" s="62"/>
      <c r="P35" s="62"/>
    </row>
  </sheetData>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010" r:id="rId4" name="Drop Down 2">
              <controlPr defaultSize="0" autoLine="0" autoPict="0">
                <anchor moveWithCells="1">
                  <from>
                    <xdr:col>1</xdr:col>
                    <xdr:colOff>838200</xdr:colOff>
                    <xdr:row>6</xdr:row>
                    <xdr:rowOff>0</xdr:rowOff>
                  </from>
                  <to>
                    <xdr:col>2</xdr:col>
                    <xdr:colOff>857250</xdr:colOff>
                    <xdr:row>6</xdr:row>
                    <xdr:rowOff>200025</xdr:rowOff>
                  </to>
                </anchor>
              </controlPr>
            </control>
          </mc:Choice>
        </mc:AlternateContent>
        <mc:AlternateContent xmlns:mc="http://schemas.openxmlformats.org/markup-compatibility/2006">
          <mc:Choice Requires="x14">
            <control shapeId="43011" r:id="rId5" name="Drop Down 3">
              <controlPr defaultSize="0" autoLine="0" autoPict="0">
                <anchor moveWithCells="1">
                  <from>
                    <xdr:col>1</xdr:col>
                    <xdr:colOff>838200</xdr:colOff>
                    <xdr:row>7</xdr:row>
                    <xdr:rowOff>200025</xdr:rowOff>
                  </from>
                  <to>
                    <xdr:col>2</xdr:col>
                    <xdr:colOff>857250</xdr:colOff>
                    <xdr:row>9</xdr:row>
                    <xdr:rowOff>9525</xdr:rowOff>
                  </to>
                </anchor>
              </controlPr>
            </control>
          </mc:Choice>
        </mc:AlternateContent>
        <mc:AlternateContent xmlns:mc="http://schemas.openxmlformats.org/markup-compatibility/2006">
          <mc:Choice Requires="x14">
            <control shapeId="43012" r:id="rId6" name="Drop Down 4">
              <controlPr defaultSize="0" autoLine="0" autoPict="0">
                <anchor moveWithCells="1">
                  <from>
                    <xdr:col>1</xdr:col>
                    <xdr:colOff>838200</xdr:colOff>
                    <xdr:row>6</xdr:row>
                    <xdr:rowOff>190500</xdr:rowOff>
                  </from>
                  <to>
                    <xdr:col>2</xdr:col>
                    <xdr:colOff>857250</xdr:colOff>
                    <xdr:row>7</xdr:row>
                    <xdr:rowOff>180975</xdr:rowOff>
                  </to>
                </anchor>
              </controlPr>
            </control>
          </mc:Choice>
        </mc:AlternateContent>
        <mc:AlternateContent xmlns:mc="http://schemas.openxmlformats.org/markup-compatibility/2006">
          <mc:Choice Requires="x14">
            <control shapeId="43013" r:id="rId7" name="Drop Down 5">
              <controlPr defaultSize="0" autoLine="0" autoPict="0">
                <anchor moveWithCells="1">
                  <from>
                    <xdr:col>1</xdr:col>
                    <xdr:colOff>838200</xdr:colOff>
                    <xdr:row>8</xdr:row>
                    <xdr:rowOff>171450</xdr:rowOff>
                  </from>
                  <to>
                    <xdr:col>2</xdr:col>
                    <xdr:colOff>857250</xdr:colOff>
                    <xdr:row>10</xdr:row>
                    <xdr:rowOff>9525</xdr:rowOff>
                  </to>
                </anchor>
              </controlPr>
            </control>
          </mc:Choice>
        </mc:AlternateContent>
        <mc:AlternateContent xmlns:mc="http://schemas.openxmlformats.org/markup-compatibility/2006">
          <mc:Choice Requires="x14">
            <control shapeId="43014" r:id="rId8" name="Drop Down 6">
              <controlPr defaultSize="0" autoLine="0" autoPict="0">
                <anchor moveWithCells="1">
                  <from>
                    <xdr:col>1</xdr:col>
                    <xdr:colOff>838200</xdr:colOff>
                    <xdr:row>10</xdr:row>
                    <xdr:rowOff>9525</xdr:rowOff>
                  </from>
                  <to>
                    <xdr:col>2</xdr:col>
                    <xdr:colOff>857250</xdr:colOff>
                    <xdr:row>11</xdr:row>
                    <xdr:rowOff>19050</xdr:rowOff>
                  </to>
                </anchor>
              </controlPr>
            </control>
          </mc:Choice>
        </mc:AlternateContent>
        <mc:AlternateContent xmlns:mc="http://schemas.openxmlformats.org/markup-compatibility/2006">
          <mc:Choice Requires="x14">
            <control shapeId="43016" r:id="rId9" name="Drop Down 8">
              <controlPr defaultSize="0" autoLine="0" autoPict="0">
                <anchor moveWithCells="1">
                  <from>
                    <xdr:col>2</xdr:col>
                    <xdr:colOff>847725</xdr:colOff>
                    <xdr:row>6</xdr:row>
                    <xdr:rowOff>0</xdr:rowOff>
                  </from>
                  <to>
                    <xdr:col>3</xdr:col>
                    <xdr:colOff>828675</xdr:colOff>
                    <xdr:row>6</xdr:row>
                    <xdr:rowOff>200025</xdr:rowOff>
                  </to>
                </anchor>
              </controlPr>
            </control>
          </mc:Choice>
        </mc:AlternateContent>
        <mc:AlternateContent xmlns:mc="http://schemas.openxmlformats.org/markup-compatibility/2006">
          <mc:Choice Requires="x14">
            <control shapeId="43017" r:id="rId10" name="Drop Down 9">
              <controlPr defaultSize="0" autoLine="0" autoPict="0">
                <anchor moveWithCells="1">
                  <from>
                    <xdr:col>2</xdr:col>
                    <xdr:colOff>857250</xdr:colOff>
                    <xdr:row>6</xdr:row>
                    <xdr:rowOff>190500</xdr:rowOff>
                  </from>
                  <to>
                    <xdr:col>3</xdr:col>
                    <xdr:colOff>838200</xdr:colOff>
                    <xdr:row>7</xdr:row>
                    <xdr:rowOff>180975</xdr:rowOff>
                  </to>
                </anchor>
              </controlPr>
            </control>
          </mc:Choice>
        </mc:AlternateContent>
        <mc:AlternateContent xmlns:mc="http://schemas.openxmlformats.org/markup-compatibility/2006">
          <mc:Choice Requires="x14">
            <control shapeId="43018" r:id="rId11" name="Drop Down 10">
              <controlPr defaultSize="0" autoLine="0" autoPict="0">
                <anchor moveWithCells="1">
                  <from>
                    <xdr:col>2</xdr:col>
                    <xdr:colOff>857250</xdr:colOff>
                    <xdr:row>10</xdr:row>
                    <xdr:rowOff>38100</xdr:rowOff>
                  </from>
                  <to>
                    <xdr:col>3</xdr:col>
                    <xdr:colOff>838200</xdr:colOff>
                    <xdr:row>11</xdr:row>
                    <xdr:rowOff>47625</xdr:rowOff>
                  </to>
                </anchor>
              </controlPr>
            </control>
          </mc:Choice>
        </mc:AlternateContent>
        <mc:AlternateContent xmlns:mc="http://schemas.openxmlformats.org/markup-compatibility/2006">
          <mc:Choice Requires="x14">
            <control shapeId="43019" r:id="rId12" name="Drop Down 11">
              <controlPr defaultSize="0" autoLine="0" autoPict="0">
                <anchor moveWithCells="1">
                  <from>
                    <xdr:col>2</xdr:col>
                    <xdr:colOff>866775</xdr:colOff>
                    <xdr:row>7</xdr:row>
                    <xdr:rowOff>190500</xdr:rowOff>
                  </from>
                  <to>
                    <xdr:col>3</xdr:col>
                    <xdr:colOff>847725</xdr:colOff>
                    <xdr:row>9</xdr:row>
                    <xdr:rowOff>0</xdr:rowOff>
                  </to>
                </anchor>
              </controlPr>
            </control>
          </mc:Choice>
        </mc:AlternateContent>
        <mc:AlternateContent xmlns:mc="http://schemas.openxmlformats.org/markup-compatibility/2006">
          <mc:Choice Requires="x14">
            <control shapeId="43020" r:id="rId13" name="Drop Down 12">
              <controlPr defaultSize="0" autoLine="0" autoPict="0">
                <anchor moveWithCells="1">
                  <from>
                    <xdr:col>2</xdr:col>
                    <xdr:colOff>857250</xdr:colOff>
                    <xdr:row>9</xdr:row>
                    <xdr:rowOff>9525</xdr:rowOff>
                  </from>
                  <to>
                    <xdr:col>3</xdr:col>
                    <xdr:colOff>838200</xdr:colOff>
                    <xdr:row>10</xdr:row>
                    <xdr:rowOff>28575</xdr:rowOff>
                  </to>
                </anchor>
              </controlPr>
            </control>
          </mc:Choice>
        </mc:AlternateContent>
        <mc:AlternateContent xmlns:mc="http://schemas.openxmlformats.org/markup-compatibility/2006">
          <mc:Choice Requires="x14">
            <control shapeId="43021" r:id="rId14" name="Drop Down 13">
              <controlPr defaultSize="0" autoLine="0" autoPict="0">
                <anchor moveWithCells="1">
                  <from>
                    <xdr:col>3</xdr:col>
                    <xdr:colOff>838200</xdr:colOff>
                    <xdr:row>5</xdr:row>
                    <xdr:rowOff>285750</xdr:rowOff>
                  </from>
                  <to>
                    <xdr:col>5</xdr:col>
                    <xdr:colOff>190500</xdr:colOff>
                    <xdr:row>6</xdr:row>
                    <xdr:rowOff>190500</xdr:rowOff>
                  </to>
                </anchor>
              </controlPr>
            </control>
          </mc:Choice>
        </mc:AlternateContent>
        <mc:AlternateContent xmlns:mc="http://schemas.openxmlformats.org/markup-compatibility/2006">
          <mc:Choice Requires="x14">
            <control shapeId="43022" r:id="rId15" name="Drop Down 14">
              <controlPr defaultSize="0" autoLine="0" autoPict="0">
                <anchor moveWithCells="1">
                  <from>
                    <xdr:col>3</xdr:col>
                    <xdr:colOff>847725</xdr:colOff>
                    <xdr:row>10</xdr:row>
                    <xdr:rowOff>9525</xdr:rowOff>
                  </from>
                  <to>
                    <xdr:col>5</xdr:col>
                    <xdr:colOff>200025</xdr:colOff>
                    <xdr:row>11</xdr:row>
                    <xdr:rowOff>19050</xdr:rowOff>
                  </to>
                </anchor>
              </controlPr>
            </control>
          </mc:Choice>
        </mc:AlternateContent>
        <mc:AlternateContent xmlns:mc="http://schemas.openxmlformats.org/markup-compatibility/2006">
          <mc:Choice Requires="x14">
            <control shapeId="43023" r:id="rId16" name="Drop Down 15">
              <controlPr defaultSize="0" autoLine="0" autoPict="0">
                <anchor moveWithCells="1">
                  <from>
                    <xdr:col>3</xdr:col>
                    <xdr:colOff>847725</xdr:colOff>
                    <xdr:row>6</xdr:row>
                    <xdr:rowOff>180975</xdr:rowOff>
                  </from>
                  <to>
                    <xdr:col>5</xdr:col>
                    <xdr:colOff>200025</xdr:colOff>
                    <xdr:row>7</xdr:row>
                    <xdr:rowOff>171450</xdr:rowOff>
                  </to>
                </anchor>
              </controlPr>
            </control>
          </mc:Choice>
        </mc:AlternateContent>
        <mc:AlternateContent xmlns:mc="http://schemas.openxmlformats.org/markup-compatibility/2006">
          <mc:Choice Requires="x14">
            <control shapeId="43024" r:id="rId17" name="Drop Down 16">
              <controlPr defaultSize="0" autoLine="0" autoPict="0">
                <anchor moveWithCells="1">
                  <from>
                    <xdr:col>3</xdr:col>
                    <xdr:colOff>847725</xdr:colOff>
                    <xdr:row>7</xdr:row>
                    <xdr:rowOff>161925</xdr:rowOff>
                  </from>
                  <to>
                    <xdr:col>5</xdr:col>
                    <xdr:colOff>200025</xdr:colOff>
                    <xdr:row>8</xdr:row>
                    <xdr:rowOff>152400</xdr:rowOff>
                  </to>
                </anchor>
              </controlPr>
            </control>
          </mc:Choice>
        </mc:AlternateContent>
        <mc:AlternateContent xmlns:mc="http://schemas.openxmlformats.org/markup-compatibility/2006">
          <mc:Choice Requires="x14">
            <control shapeId="43025" r:id="rId18" name="Drop Down 17">
              <controlPr defaultSize="0" autoLine="0" autoPict="0">
                <anchor moveWithCells="1">
                  <from>
                    <xdr:col>3</xdr:col>
                    <xdr:colOff>828675</xdr:colOff>
                    <xdr:row>8</xdr:row>
                    <xdr:rowOff>152400</xdr:rowOff>
                  </from>
                  <to>
                    <xdr:col>5</xdr:col>
                    <xdr:colOff>180975</xdr:colOff>
                    <xdr:row>9</xdr:row>
                    <xdr:rowOff>171450</xdr:rowOff>
                  </to>
                </anchor>
              </controlPr>
            </control>
          </mc:Choice>
        </mc:AlternateContent>
        <mc:AlternateContent xmlns:mc="http://schemas.openxmlformats.org/markup-compatibility/2006">
          <mc:Choice Requires="x14">
            <control shapeId="43026" r:id="rId19" name="Drop Down 18">
              <controlPr defaultSize="0" autoLine="0" autoPict="0">
                <anchor moveWithCells="1">
                  <from>
                    <xdr:col>8</xdr:col>
                    <xdr:colOff>809625</xdr:colOff>
                    <xdr:row>6</xdr:row>
                    <xdr:rowOff>9525</xdr:rowOff>
                  </from>
                  <to>
                    <xdr:col>9</xdr:col>
                    <xdr:colOff>857250</xdr:colOff>
                    <xdr:row>7</xdr:row>
                    <xdr:rowOff>0</xdr:rowOff>
                  </to>
                </anchor>
              </controlPr>
            </control>
          </mc:Choice>
        </mc:AlternateContent>
        <mc:AlternateContent xmlns:mc="http://schemas.openxmlformats.org/markup-compatibility/2006">
          <mc:Choice Requires="x14">
            <control shapeId="43027" r:id="rId20" name="Drop Down 19">
              <controlPr defaultSize="0" autoLine="0" autoPict="0">
                <anchor moveWithCells="1">
                  <from>
                    <xdr:col>8</xdr:col>
                    <xdr:colOff>838200</xdr:colOff>
                    <xdr:row>7</xdr:row>
                    <xdr:rowOff>200025</xdr:rowOff>
                  </from>
                  <to>
                    <xdr:col>9</xdr:col>
                    <xdr:colOff>866775</xdr:colOff>
                    <xdr:row>9</xdr:row>
                    <xdr:rowOff>9525</xdr:rowOff>
                  </to>
                </anchor>
              </controlPr>
            </control>
          </mc:Choice>
        </mc:AlternateContent>
        <mc:AlternateContent xmlns:mc="http://schemas.openxmlformats.org/markup-compatibility/2006">
          <mc:Choice Requires="x14">
            <control shapeId="43028" r:id="rId21" name="Drop Down 20">
              <controlPr defaultSize="0" autoLine="0" autoPict="0">
                <anchor moveWithCells="1">
                  <from>
                    <xdr:col>8</xdr:col>
                    <xdr:colOff>838200</xdr:colOff>
                    <xdr:row>6</xdr:row>
                    <xdr:rowOff>190500</xdr:rowOff>
                  </from>
                  <to>
                    <xdr:col>9</xdr:col>
                    <xdr:colOff>866775</xdr:colOff>
                    <xdr:row>7</xdr:row>
                    <xdr:rowOff>180975</xdr:rowOff>
                  </to>
                </anchor>
              </controlPr>
            </control>
          </mc:Choice>
        </mc:AlternateContent>
        <mc:AlternateContent xmlns:mc="http://schemas.openxmlformats.org/markup-compatibility/2006">
          <mc:Choice Requires="x14">
            <control shapeId="43029" r:id="rId22" name="Drop Down 21">
              <controlPr defaultSize="0" autoLine="0" autoPict="0">
                <anchor moveWithCells="1">
                  <from>
                    <xdr:col>8</xdr:col>
                    <xdr:colOff>838200</xdr:colOff>
                    <xdr:row>8</xdr:row>
                    <xdr:rowOff>171450</xdr:rowOff>
                  </from>
                  <to>
                    <xdr:col>9</xdr:col>
                    <xdr:colOff>866775</xdr:colOff>
                    <xdr:row>10</xdr:row>
                    <xdr:rowOff>9525</xdr:rowOff>
                  </to>
                </anchor>
              </controlPr>
            </control>
          </mc:Choice>
        </mc:AlternateContent>
        <mc:AlternateContent xmlns:mc="http://schemas.openxmlformats.org/markup-compatibility/2006">
          <mc:Choice Requires="x14">
            <control shapeId="43030" r:id="rId23" name="Drop Down 22">
              <controlPr defaultSize="0" autoLine="0" autoPict="0">
                <anchor moveWithCells="1">
                  <from>
                    <xdr:col>8</xdr:col>
                    <xdr:colOff>838200</xdr:colOff>
                    <xdr:row>10</xdr:row>
                    <xdr:rowOff>9525</xdr:rowOff>
                  </from>
                  <to>
                    <xdr:col>9</xdr:col>
                    <xdr:colOff>866775</xdr:colOff>
                    <xdr:row>11</xdr:row>
                    <xdr:rowOff>19050</xdr:rowOff>
                  </to>
                </anchor>
              </controlPr>
            </control>
          </mc:Choice>
        </mc:AlternateContent>
        <mc:AlternateContent xmlns:mc="http://schemas.openxmlformats.org/markup-compatibility/2006">
          <mc:Choice Requires="x14">
            <control shapeId="43031" r:id="rId24" name="Drop Down 23">
              <controlPr defaultSize="0" autoLine="0" autoPict="0">
                <anchor moveWithCells="1">
                  <from>
                    <xdr:col>9</xdr:col>
                    <xdr:colOff>857250</xdr:colOff>
                    <xdr:row>6</xdr:row>
                    <xdr:rowOff>0</xdr:rowOff>
                  </from>
                  <to>
                    <xdr:col>10</xdr:col>
                    <xdr:colOff>800100</xdr:colOff>
                    <xdr:row>6</xdr:row>
                    <xdr:rowOff>200025</xdr:rowOff>
                  </to>
                </anchor>
              </controlPr>
            </control>
          </mc:Choice>
        </mc:AlternateContent>
        <mc:AlternateContent xmlns:mc="http://schemas.openxmlformats.org/markup-compatibility/2006">
          <mc:Choice Requires="x14">
            <control shapeId="43032" r:id="rId25" name="Drop Down 24">
              <controlPr defaultSize="0" autoLine="0" autoPict="0">
                <anchor moveWithCells="1">
                  <from>
                    <xdr:col>9</xdr:col>
                    <xdr:colOff>857250</xdr:colOff>
                    <xdr:row>6</xdr:row>
                    <xdr:rowOff>190500</xdr:rowOff>
                  </from>
                  <to>
                    <xdr:col>10</xdr:col>
                    <xdr:colOff>800100</xdr:colOff>
                    <xdr:row>7</xdr:row>
                    <xdr:rowOff>180975</xdr:rowOff>
                  </to>
                </anchor>
              </controlPr>
            </control>
          </mc:Choice>
        </mc:AlternateContent>
        <mc:AlternateContent xmlns:mc="http://schemas.openxmlformats.org/markup-compatibility/2006">
          <mc:Choice Requires="x14">
            <control shapeId="43033" r:id="rId26" name="Drop Down 25">
              <controlPr defaultSize="0" autoLine="0" autoPict="0">
                <anchor moveWithCells="1">
                  <from>
                    <xdr:col>9</xdr:col>
                    <xdr:colOff>857250</xdr:colOff>
                    <xdr:row>10</xdr:row>
                    <xdr:rowOff>38100</xdr:rowOff>
                  </from>
                  <to>
                    <xdr:col>10</xdr:col>
                    <xdr:colOff>800100</xdr:colOff>
                    <xdr:row>11</xdr:row>
                    <xdr:rowOff>47625</xdr:rowOff>
                  </to>
                </anchor>
              </controlPr>
            </control>
          </mc:Choice>
        </mc:AlternateContent>
        <mc:AlternateContent xmlns:mc="http://schemas.openxmlformats.org/markup-compatibility/2006">
          <mc:Choice Requires="x14">
            <control shapeId="43034" r:id="rId27" name="Drop Down 26">
              <controlPr defaultSize="0" autoLine="0" autoPict="0">
                <anchor moveWithCells="1">
                  <from>
                    <xdr:col>9</xdr:col>
                    <xdr:colOff>866775</xdr:colOff>
                    <xdr:row>7</xdr:row>
                    <xdr:rowOff>190500</xdr:rowOff>
                  </from>
                  <to>
                    <xdr:col>10</xdr:col>
                    <xdr:colOff>809625</xdr:colOff>
                    <xdr:row>9</xdr:row>
                    <xdr:rowOff>0</xdr:rowOff>
                  </to>
                </anchor>
              </controlPr>
            </control>
          </mc:Choice>
        </mc:AlternateContent>
        <mc:AlternateContent xmlns:mc="http://schemas.openxmlformats.org/markup-compatibility/2006">
          <mc:Choice Requires="x14">
            <control shapeId="43035" r:id="rId28" name="Drop Down 27">
              <controlPr defaultSize="0" autoLine="0" autoPict="0">
                <anchor moveWithCells="1">
                  <from>
                    <xdr:col>9</xdr:col>
                    <xdr:colOff>857250</xdr:colOff>
                    <xdr:row>9</xdr:row>
                    <xdr:rowOff>9525</xdr:rowOff>
                  </from>
                  <to>
                    <xdr:col>10</xdr:col>
                    <xdr:colOff>800100</xdr:colOff>
                    <xdr:row>10</xdr:row>
                    <xdr:rowOff>28575</xdr:rowOff>
                  </to>
                </anchor>
              </controlPr>
            </control>
          </mc:Choice>
        </mc:AlternateContent>
        <mc:AlternateContent xmlns:mc="http://schemas.openxmlformats.org/markup-compatibility/2006">
          <mc:Choice Requires="x14">
            <control shapeId="43036" r:id="rId29" name="Drop Down 28">
              <controlPr defaultSize="0" autoLine="0" autoPict="0">
                <anchor moveWithCells="1">
                  <from>
                    <xdr:col>10</xdr:col>
                    <xdr:colOff>828675</xdr:colOff>
                    <xdr:row>5</xdr:row>
                    <xdr:rowOff>285750</xdr:rowOff>
                  </from>
                  <to>
                    <xdr:col>11</xdr:col>
                    <xdr:colOff>771525</xdr:colOff>
                    <xdr:row>6</xdr:row>
                    <xdr:rowOff>190500</xdr:rowOff>
                  </to>
                </anchor>
              </controlPr>
            </control>
          </mc:Choice>
        </mc:AlternateContent>
        <mc:AlternateContent xmlns:mc="http://schemas.openxmlformats.org/markup-compatibility/2006">
          <mc:Choice Requires="x14">
            <control shapeId="43037" r:id="rId30" name="Drop Down 29">
              <controlPr defaultSize="0" autoLine="0" autoPict="0">
                <anchor moveWithCells="1">
                  <from>
                    <xdr:col>10</xdr:col>
                    <xdr:colOff>847725</xdr:colOff>
                    <xdr:row>10</xdr:row>
                    <xdr:rowOff>9525</xdr:rowOff>
                  </from>
                  <to>
                    <xdr:col>11</xdr:col>
                    <xdr:colOff>790575</xdr:colOff>
                    <xdr:row>11</xdr:row>
                    <xdr:rowOff>19050</xdr:rowOff>
                  </to>
                </anchor>
              </controlPr>
            </control>
          </mc:Choice>
        </mc:AlternateContent>
        <mc:AlternateContent xmlns:mc="http://schemas.openxmlformats.org/markup-compatibility/2006">
          <mc:Choice Requires="x14">
            <control shapeId="43038" r:id="rId31" name="Drop Down 30">
              <controlPr defaultSize="0" autoLine="0" autoPict="0">
                <anchor moveWithCells="1">
                  <from>
                    <xdr:col>10</xdr:col>
                    <xdr:colOff>847725</xdr:colOff>
                    <xdr:row>6</xdr:row>
                    <xdr:rowOff>180975</xdr:rowOff>
                  </from>
                  <to>
                    <xdr:col>11</xdr:col>
                    <xdr:colOff>790575</xdr:colOff>
                    <xdr:row>7</xdr:row>
                    <xdr:rowOff>171450</xdr:rowOff>
                  </to>
                </anchor>
              </controlPr>
            </control>
          </mc:Choice>
        </mc:AlternateContent>
        <mc:AlternateContent xmlns:mc="http://schemas.openxmlformats.org/markup-compatibility/2006">
          <mc:Choice Requires="x14">
            <control shapeId="43039" r:id="rId32" name="Drop Down 31">
              <controlPr defaultSize="0" autoLine="0" autoPict="0">
                <anchor moveWithCells="1">
                  <from>
                    <xdr:col>10</xdr:col>
                    <xdr:colOff>847725</xdr:colOff>
                    <xdr:row>7</xdr:row>
                    <xdr:rowOff>161925</xdr:rowOff>
                  </from>
                  <to>
                    <xdr:col>11</xdr:col>
                    <xdr:colOff>790575</xdr:colOff>
                    <xdr:row>8</xdr:row>
                    <xdr:rowOff>152400</xdr:rowOff>
                  </to>
                </anchor>
              </controlPr>
            </control>
          </mc:Choice>
        </mc:AlternateContent>
        <mc:AlternateContent xmlns:mc="http://schemas.openxmlformats.org/markup-compatibility/2006">
          <mc:Choice Requires="x14">
            <control shapeId="43040" r:id="rId33" name="Drop Down 32">
              <controlPr defaultSize="0" autoLine="0" autoPict="0">
                <anchor moveWithCells="1">
                  <from>
                    <xdr:col>10</xdr:col>
                    <xdr:colOff>828675</xdr:colOff>
                    <xdr:row>8</xdr:row>
                    <xdr:rowOff>152400</xdr:rowOff>
                  </from>
                  <to>
                    <xdr:col>11</xdr:col>
                    <xdr:colOff>771525</xdr:colOff>
                    <xdr:row>9</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4"/>
  <sheetViews>
    <sheetView workbookViewId="0">
      <selection activeCell="M24" sqref="M24"/>
    </sheetView>
  </sheetViews>
  <sheetFormatPr defaultRowHeight="12.75" x14ac:dyDescent="0.2"/>
  <cols>
    <col min="1" max="1" width="13" customWidth="1"/>
    <col min="3" max="3" width="10.140625" customWidth="1"/>
    <col min="4" max="4" width="15.28515625" customWidth="1"/>
    <col min="7" max="7" width="18" customWidth="1"/>
    <col min="8" max="8" width="10.7109375" bestFit="1" customWidth="1"/>
    <col min="9" max="9" width="14" customWidth="1"/>
  </cols>
  <sheetData>
    <row r="1" spans="1:31" x14ac:dyDescent="0.2">
      <c r="A1" s="118" t="s">
        <v>1201</v>
      </c>
    </row>
    <row r="4" spans="1:31" x14ac:dyDescent="0.2">
      <c r="A4" s="76" t="s">
        <v>1193</v>
      </c>
      <c r="B4" s="62"/>
      <c r="C4" s="62"/>
      <c r="D4" s="62"/>
      <c r="E4" s="62"/>
      <c r="AD4" s="118" t="s">
        <v>1242</v>
      </c>
    </row>
    <row r="5" spans="1:31" x14ac:dyDescent="0.2">
      <c r="A5" s="242"/>
      <c r="B5" s="242" t="s">
        <v>1192</v>
      </c>
      <c r="C5" s="242" t="s">
        <v>1199</v>
      </c>
      <c r="D5" s="242" t="s">
        <v>1200</v>
      </c>
      <c r="E5" s="242" t="s">
        <v>828</v>
      </c>
      <c r="G5" s="242" t="s">
        <v>1216</v>
      </c>
      <c r="H5" s="242" t="s">
        <v>1203</v>
      </c>
      <c r="I5" s="118" t="s">
        <v>1205</v>
      </c>
      <c r="J5" s="242" t="s">
        <v>610</v>
      </c>
      <c r="N5" s="242"/>
      <c r="O5" s="242" t="s">
        <v>1192</v>
      </c>
      <c r="P5" s="242" t="s">
        <v>1199</v>
      </c>
      <c r="Q5" s="242" t="s">
        <v>1200</v>
      </c>
      <c r="R5" s="242" t="s">
        <v>828</v>
      </c>
      <c r="T5" s="242" t="s">
        <v>1216</v>
      </c>
      <c r="U5" s="242" t="s">
        <v>1203</v>
      </c>
      <c r="V5" s="118" t="s">
        <v>1205</v>
      </c>
      <c r="W5" s="242" t="s">
        <v>610</v>
      </c>
      <c r="Z5" s="118" t="s">
        <v>1231</v>
      </c>
      <c r="AA5" s="118" t="s">
        <v>1235</v>
      </c>
      <c r="AD5" s="118" t="s">
        <v>1243</v>
      </c>
      <c r="AE5" s="118" t="s">
        <v>724</v>
      </c>
    </row>
    <row r="6" spans="1:31" x14ac:dyDescent="0.2">
      <c r="A6" s="242" t="s">
        <v>1194</v>
      </c>
      <c r="B6" s="268">
        <f>'Invoer eigenopwekking'!B7</f>
        <v>0</v>
      </c>
      <c r="C6" s="62">
        <v>2</v>
      </c>
      <c r="D6" s="62">
        <v>1</v>
      </c>
      <c r="E6" s="265">
        <v>1</v>
      </c>
      <c r="G6">
        <f>INDEX($D$36:$H$54,D6,E6)</f>
        <v>87</v>
      </c>
      <c r="H6">
        <f>INDEX($B$18:$B$20,C6)</f>
        <v>150</v>
      </c>
      <c r="I6">
        <f>INDEX($D$18:$D$20,C6)</f>
        <v>0.8</v>
      </c>
      <c r="J6">
        <f>1100*B6*(G6/100)*H6*I6/1000</f>
        <v>0</v>
      </c>
      <c r="N6" s="242" t="s">
        <v>1194</v>
      </c>
      <c r="O6" s="268">
        <f>'Invoer eigenopwekking'!I7</f>
        <v>187</v>
      </c>
      <c r="P6" s="62">
        <v>2</v>
      </c>
      <c r="Q6" s="62">
        <v>7</v>
      </c>
      <c r="R6" s="265">
        <v>3</v>
      </c>
      <c r="T6">
        <f>INDEX($D$36:$H$54,Q6,R6)</f>
        <v>100</v>
      </c>
      <c r="U6">
        <f>INDEX($B$18:$B$20,P6)</f>
        <v>150</v>
      </c>
      <c r="V6">
        <f>INDEX($D$18:$D$20,P6)</f>
        <v>0.8</v>
      </c>
      <c r="W6">
        <f>1100*O6*(T6/100)*U6*V6/1000</f>
        <v>24684</v>
      </c>
      <c r="Z6">
        <f>W6*5/7</f>
        <v>17631.428571428572</v>
      </c>
      <c r="AA6">
        <f>W6*2/7</f>
        <v>7052.5714285714284</v>
      </c>
      <c r="AD6">
        <f>INDEX($C$18:$C$20,P6)</f>
        <v>325</v>
      </c>
      <c r="AE6">
        <f>AD6*O6</f>
        <v>60775</v>
      </c>
    </row>
    <row r="7" spans="1:31" x14ac:dyDescent="0.2">
      <c r="A7" s="242" t="s">
        <v>1195</v>
      </c>
      <c r="B7" s="268">
        <f>'Invoer eigenopwekking'!B8</f>
        <v>0</v>
      </c>
      <c r="C7" s="62">
        <v>2</v>
      </c>
      <c r="D7" s="62">
        <v>1</v>
      </c>
      <c r="E7" s="265">
        <v>1</v>
      </c>
      <c r="G7">
        <f>INDEX($D$36:$H$54,D7,E7)</f>
        <v>87</v>
      </c>
      <c r="H7">
        <f>INDEX($B$18:$B$20,C7)</f>
        <v>150</v>
      </c>
      <c r="I7">
        <f>INDEX($D$18:$D$20,C7)</f>
        <v>0.8</v>
      </c>
      <c r="J7">
        <f>1100*B7*(G7/100)*H7*I7/1000</f>
        <v>0</v>
      </c>
      <c r="N7" s="242" t="s">
        <v>1195</v>
      </c>
      <c r="O7" s="268">
        <f>'Invoer eigenopwekking'!I8</f>
        <v>0</v>
      </c>
      <c r="P7" s="62">
        <v>2</v>
      </c>
      <c r="Q7" s="62">
        <v>1</v>
      </c>
      <c r="R7" s="265">
        <v>1</v>
      </c>
      <c r="T7">
        <f>INDEX($D$36:$H$54,Q7,R7)</f>
        <v>87</v>
      </c>
      <c r="U7">
        <f>INDEX($B$18:$B$20,P7)</f>
        <v>150</v>
      </c>
      <c r="V7">
        <f>INDEX($D$18:$D$20,P7)</f>
        <v>0.8</v>
      </c>
      <c r="W7">
        <f>1100*O7*(T7/100)*U7*V7/1000</f>
        <v>0</v>
      </c>
      <c r="Z7">
        <f>W7*5/7</f>
        <v>0</v>
      </c>
      <c r="AA7">
        <f>W7*2/7</f>
        <v>0</v>
      </c>
      <c r="AD7">
        <f>INDEX($C$18:$C$20,P7)</f>
        <v>325</v>
      </c>
      <c r="AE7">
        <f>AD7*O7</f>
        <v>0</v>
      </c>
    </row>
    <row r="8" spans="1:31" x14ac:dyDescent="0.2">
      <c r="A8" s="242" t="s">
        <v>1196</v>
      </c>
      <c r="B8" s="268">
        <f>'Invoer eigenopwekking'!B9</f>
        <v>0</v>
      </c>
      <c r="C8" s="62">
        <v>2</v>
      </c>
      <c r="D8" s="62">
        <v>1</v>
      </c>
      <c r="E8" s="265">
        <v>1</v>
      </c>
      <c r="G8">
        <f>INDEX($D$36:$H$54,D8,E8)</f>
        <v>87</v>
      </c>
      <c r="H8">
        <f>INDEX($B$18:$B$20,C8)</f>
        <v>150</v>
      </c>
      <c r="I8">
        <f>INDEX($D$18:$D$20,C8)</f>
        <v>0.8</v>
      </c>
      <c r="J8">
        <f>1100*B8*(G8/100)*H8*I8/1000</f>
        <v>0</v>
      </c>
      <c r="N8" s="242" t="s">
        <v>1196</v>
      </c>
      <c r="O8" s="268">
        <f>'Invoer eigenopwekking'!I9</f>
        <v>0</v>
      </c>
      <c r="P8" s="62">
        <v>2</v>
      </c>
      <c r="Q8" s="62">
        <v>1</v>
      </c>
      <c r="R8" s="265">
        <v>1</v>
      </c>
      <c r="T8">
        <f>INDEX($D$36:$H$54,Q8,R8)</f>
        <v>87</v>
      </c>
      <c r="U8">
        <f>INDEX($B$18:$B$20,P8)</f>
        <v>150</v>
      </c>
      <c r="V8">
        <f>INDEX($D$18:$D$20,P8)</f>
        <v>0.8</v>
      </c>
      <c r="W8">
        <f>1100*O8*(T8/100)*U8*V8/1000</f>
        <v>0</v>
      </c>
      <c r="Z8">
        <f>W8*5/7</f>
        <v>0</v>
      </c>
      <c r="AA8">
        <f>W8*2/7</f>
        <v>0</v>
      </c>
      <c r="AD8">
        <f>INDEX($C$18:$C$20,P8)</f>
        <v>325</v>
      </c>
      <c r="AE8">
        <f>AD8*O8</f>
        <v>0</v>
      </c>
    </row>
    <row r="9" spans="1:31" x14ac:dyDescent="0.2">
      <c r="A9" s="242" t="s">
        <v>1197</v>
      </c>
      <c r="B9" s="268">
        <f>'Invoer eigenopwekking'!B10</f>
        <v>0</v>
      </c>
      <c r="C9" s="62">
        <v>2</v>
      </c>
      <c r="D9" s="62">
        <v>1</v>
      </c>
      <c r="E9" s="266">
        <v>1</v>
      </c>
      <c r="G9">
        <f>INDEX($D$36:$H$54,D9,E9)</f>
        <v>87</v>
      </c>
      <c r="H9">
        <f>INDEX($B$18:$B$20,C9)</f>
        <v>150</v>
      </c>
      <c r="I9">
        <f>INDEX($D$18:$D$20,C9)</f>
        <v>0.8</v>
      </c>
      <c r="J9">
        <f>1100*B9*(G9/100)*H9*I9/1000</f>
        <v>0</v>
      </c>
      <c r="N9" s="242" t="s">
        <v>1197</v>
      </c>
      <c r="O9" s="268">
        <f>'Invoer eigenopwekking'!I10</f>
        <v>0</v>
      </c>
      <c r="P9" s="62">
        <v>2</v>
      </c>
      <c r="Q9" s="62">
        <v>1</v>
      </c>
      <c r="R9" s="266">
        <v>1</v>
      </c>
      <c r="T9">
        <f>INDEX($D$36:$H$54,Q9,R9)</f>
        <v>87</v>
      </c>
      <c r="U9">
        <f>INDEX($B$18:$B$20,P9)</f>
        <v>150</v>
      </c>
      <c r="V9">
        <f>INDEX($D$18:$D$20,P9)</f>
        <v>0.8</v>
      </c>
      <c r="W9">
        <f>1100*O9*(T9/100)*U9*V9/1000</f>
        <v>0</v>
      </c>
      <c r="Z9">
        <f>W9*5/7</f>
        <v>0</v>
      </c>
      <c r="AA9">
        <f>W9*2/7</f>
        <v>0</v>
      </c>
      <c r="AD9">
        <f>INDEX($C$18:$C$20,P9)</f>
        <v>325</v>
      </c>
      <c r="AE9">
        <f>AD9*O9</f>
        <v>0</v>
      </c>
    </row>
    <row r="10" spans="1:31" x14ac:dyDescent="0.2">
      <c r="A10" s="242" t="s">
        <v>1198</v>
      </c>
      <c r="B10" s="268">
        <f>'Invoer eigenopwekking'!B11</f>
        <v>0</v>
      </c>
      <c r="C10" s="62">
        <v>2</v>
      </c>
      <c r="D10" s="62">
        <v>1</v>
      </c>
      <c r="E10" s="265">
        <v>1</v>
      </c>
      <c r="G10">
        <f>INDEX($D$36:$H$54,D10,E10)</f>
        <v>87</v>
      </c>
      <c r="H10">
        <f>INDEX($B$18:$B$20,C10)</f>
        <v>150</v>
      </c>
      <c r="I10">
        <f>INDEX($D$18:$D$20,C10)</f>
        <v>0.8</v>
      </c>
      <c r="J10">
        <f>1100*B10*(G10/100)*H10*I10/1000</f>
        <v>0</v>
      </c>
      <c r="N10" s="242" t="s">
        <v>1198</v>
      </c>
      <c r="O10" s="268">
        <f>'Invoer eigenopwekking'!I11</f>
        <v>0</v>
      </c>
      <c r="P10" s="62">
        <v>2</v>
      </c>
      <c r="Q10" s="62">
        <v>1</v>
      </c>
      <c r="R10" s="265">
        <v>1</v>
      </c>
      <c r="T10">
        <f>INDEX($D$36:$H$54,Q10,R10)</f>
        <v>87</v>
      </c>
      <c r="U10">
        <f>INDEX($B$18:$B$20,P10)</f>
        <v>150</v>
      </c>
      <c r="V10">
        <f>INDEX($D$18:$D$20,P10)</f>
        <v>0.8</v>
      </c>
      <c r="W10">
        <f>1100*O10*(T10/100)*U10*V10/1000</f>
        <v>0</v>
      </c>
      <c r="Z10">
        <f>W10*5/7</f>
        <v>0</v>
      </c>
      <c r="AA10">
        <f>W10*2/7</f>
        <v>0</v>
      </c>
      <c r="AD10">
        <f>INDEX($C$18:$C$20,P10)</f>
        <v>325</v>
      </c>
      <c r="AE10">
        <f>AD10*O10</f>
        <v>0</v>
      </c>
    </row>
    <row r="11" spans="1:31" x14ac:dyDescent="0.2">
      <c r="J11">
        <f>SUM(J6:J10)</f>
        <v>0</v>
      </c>
      <c r="K11" s="118" t="s">
        <v>48</v>
      </c>
      <c r="W11">
        <f>SUM(W6:W10)</f>
        <v>24684</v>
      </c>
      <c r="X11" s="118" t="s">
        <v>48</v>
      </c>
      <c r="Z11">
        <f>SUM(Z6:Z10)</f>
        <v>17631.428571428572</v>
      </c>
      <c r="AA11">
        <f>SUM(AA6:AA10)</f>
        <v>7052.5714285714284</v>
      </c>
      <c r="AB11" s="118" t="s">
        <v>724</v>
      </c>
      <c r="AE11">
        <f>SUM(AE6:AE10)</f>
        <v>60775</v>
      </c>
    </row>
    <row r="14" spans="1:31" x14ac:dyDescent="0.2">
      <c r="R14" s="242" t="s">
        <v>1237</v>
      </c>
    </row>
    <row r="15" spans="1:31" x14ac:dyDescent="0.2">
      <c r="N15" s="62"/>
      <c r="O15" s="242" t="s">
        <v>1231</v>
      </c>
      <c r="P15" s="242" t="s">
        <v>1232</v>
      </c>
      <c r="Q15" s="242" t="s">
        <v>724</v>
      </c>
      <c r="R15" s="242" t="s">
        <v>1238</v>
      </c>
      <c r="S15" s="242" t="s">
        <v>1239</v>
      </c>
    </row>
    <row r="16" spans="1:31" x14ac:dyDescent="0.2">
      <c r="N16" s="265" t="s">
        <v>1230</v>
      </c>
      <c r="O16" s="529">
        <f>'Invoer eigenopwekking'!I14</f>
        <v>20000</v>
      </c>
      <c r="P16" s="529">
        <f>'Invoer eigenopwekking'!J14</f>
        <v>5000</v>
      </c>
      <c r="Q16" s="529">
        <f>'Invoer eigenopwekking'!K14</f>
        <v>25000</v>
      </c>
      <c r="R16" s="62">
        <f>IF('Energiebelasting en transport'!A24=2,(O16*'Invoer energieverbruik'!$C$16+P16*'Invoer energieverbruik'!$C$17)*1.21,(Q16*'Invoer energieverbruik'!C180*1.21))</f>
        <v>1991.6599999999999</v>
      </c>
      <c r="S16" s="11">
        <f>'Energiebelasting en transport'!E9*1.21</f>
        <v>2425.4449999999997</v>
      </c>
      <c r="T16">
        <f>SUM(R16:S16)</f>
        <v>4417.1049999999996</v>
      </c>
    </row>
    <row r="17" spans="1:20" x14ac:dyDescent="0.2">
      <c r="B17" s="118" t="s">
        <v>1203</v>
      </c>
      <c r="C17" s="118" t="s">
        <v>1204</v>
      </c>
      <c r="D17" s="118" t="s">
        <v>1205</v>
      </c>
      <c r="E17" s="118" t="s">
        <v>744</v>
      </c>
      <c r="N17" s="265" t="s">
        <v>1233</v>
      </c>
      <c r="O17" s="529">
        <f>'Invoer eigenopwekking'!I15</f>
        <v>17631.428571428572</v>
      </c>
      <c r="P17" s="529">
        <f>'Invoer eigenopwekking'!J15</f>
        <v>7052.5714285714284</v>
      </c>
      <c r="Q17" s="529">
        <f>'Invoer eigenopwekking'!K15</f>
        <v>24684</v>
      </c>
      <c r="R17" s="62"/>
    </row>
    <row r="18" spans="1:20" x14ac:dyDescent="0.2">
      <c r="A18" s="118" t="s">
        <v>1207</v>
      </c>
      <c r="B18">
        <v>75</v>
      </c>
      <c r="C18">
        <f>'Kosten kengetallen'!B61</f>
        <v>180</v>
      </c>
      <c r="D18">
        <v>0.9</v>
      </c>
      <c r="E18">
        <f>B18*1100*D18/1000</f>
        <v>74.25</v>
      </c>
      <c r="N18" s="265" t="s">
        <v>1234</v>
      </c>
      <c r="O18" s="529">
        <f>'Invoer eigenopwekking'!I16</f>
        <v>2368.5714285714275</v>
      </c>
      <c r="P18" s="529">
        <f>'Invoer eigenopwekking'!J16</f>
        <v>-2052.5714285714284</v>
      </c>
      <c r="Q18" s="529">
        <f>'Invoer eigenopwekking'!K16</f>
        <v>316</v>
      </c>
      <c r="R18" s="62">
        <f>IF('Energiebelasting en transport'!A24=2,(O18*'Invoer energieverbruik'!$C$16+P18*'Invoer energieverbruik'!$C$17)*1.21,(Q18*'Invoer energieverbruik'!C180*1.21))</f>
        <v>59.223691999999929</v>
      </c>
      <c r="S18">
        <f>IF(Q18&lt;0,0,'Energiebelasting en transport'!I9*1.21)</f>
        <v>47.106752</v>
      </c>
      <c r="T18">
        <f>SUM(R18:S18)</f>
        <v>106.33044399999993</v>
      </c>
    </row>
    <row r="19" spans="1:20" x14ac:dyDescent="0.2">
      <c r="A19" s="118" t="s">
        <v>1206</v>
      </c>
      <c r="B19">
        <v>150</v>
      </c>
      <c r="C19">
        <f>'Kosten kengetallen'!B62</f>
        <v>325</v>
      </c>
      <c r="D19" s="118">
        <v>0.8</v>
      </c>
      <c r="E19">
        <f>B19*1100*D19/1000</f>
        <v>132</v>
      </c>
    </row>
    <row r="20" spans="1:20" x14ac:dyDescent="0.2">
      <c r="A20" s="118" t="s">
        <v>1202</v>
      </c>
      <c r="B20">
        <v>170</v>
      </c>
      <c r="C20">
        <f>'Kosten kengetallen'!B63</f>
        <v>375</v>
      </c>
      <c r="D20">
        <v>0.8</v>
      </c>
      <c r="E20">
        <f>B20*1100*D20/1000</f>
        <v>149.6</v>
      </c>
      <c r="Q20" s="118" t="s">
        <v>605</v>
      </c>
      <c r="R20">
        <f>R16-R18</f>
        <v>1932.4363079999998</v>
      </c>
      <c r="S20" s="11">
        <f>S16-S18</f>
        <v>2378.3382479999996</v>
      </c>
      <c r="T20">
        <f>SUM(R20:S20)</f>
        <v>4310.7745559999994</v>
      </c>
    </row>
    <row r="34" spans="1:49" x14ac:dyDescent="0.2">
      <c r="D34" s="118" t="s">
        <v>415</v>
      </c>
      <c r="E34" s="118" t="s">
        <v>1214</v>
      </c>
      <c r="F34" s="118" t="s">
        <v>148</v>
      </c>
      <c r="G34" s="118" t="s">
        <v>1215</v>
      </c>
      <c r="H34" s="118" t="s">
        <v>220</v>
      </c>
      <c r="L34" s="118" t="s">
        <v>415</v>
      </c>
      <c r="U34" s="118" t="s">
        <v>1214</v>
      </c>
      <c r="AD34" s="118" t="s">
        <v>148</v>
      </c>
      <c r="AM34" s="118" t="s">
        <v>1215</v>
      </c>
      <c r="AV34" s="118" t="s">
        <v>220</v>
      </c>
    </row>
    <row r="35" spans="1:49" x14ac:dyDescent="0.2">
      <c r="A35" s="118" t="s">
        <v>415</v>
      </c>
      <c r="D35">
        <v>-90</v>
      </c>
      <c r="E35">
        <v>-45</v>
      </c>
      <c r="F35">
        <v>0</v>
      </c>
      <c r="G35">
        <v>45</v>
      </c>
      <c r="H35">
        <v>90</v>
      </c>
      <c r="L35">
        <v>-90</v>
      </c>
      <c r="M35">
        <v>-85</v>
      </c>
      <c r="N35">
        <v>-80</v>
      </c>
      <c r="O35">
        <v>-75</v>
      </c>
      <c r="P35">
        <v>-70</v>
      </c>
      <c r="Q35">
        <v>-65</v>
      </c>
      <c r="R35">
        <v>-60</v>
      </c>
      <c r="S35">
        <v>-55</v>
      </c>
      <c r="T35">
        <v>-50</v>
      </c>
      <c r="U35">
        <v>-45</v>
      </c>
      <c r="V35">
        <v>-40</v>
      </c>
      <c r="W35">
        <v>-35</v>
      </c>
      <c r="X35">
        <v>-30</v>
      </c>
      <c r="Y35">
        <v>-25</v>
      </c>
      <c r="Z35">
        <v>-20</v>
      </c>
      <c r="AA35">
        <v>-15</v>
      </c>
      <c r="AB35">
        <v>-10</v>
      </c>
      <c r="AC35">
        <v>-5</v>
      </c>
      <c r="AD35">
        <v>0</v>
      </c>
      <c r="AE35">
        <v>5</v>
      </c>
      <c r="AF35">
        <v>10</v>
      </c>
      <c r="AG35">
        <v>15</v>
      </c>
      <c r="AH35">
        <v>20</v>
      </c>
      <c r="AI35">
        <v>25</v>
      </c>
      <c r="AJ35">
        <v>30</v>
      </c>
      <c r="AK35">
        <v>35</v>
      </c>
      <c r="AL35">
        <v>40</v>
      </c>
      <c r="AM35">
        <v>45</v>
      </c>
      <c r="AN35">
        <v>50</v>
      </c>
      <c r="AO35">
        <v>55</v>
      </c>
      <c r="AP35">
        <v>60</v>
      </c>
      <c r="AQ35">
        <v>65</v>
      </c>
      <c r="AR35">
        <v>70</v>
      </c>
      <c r="AS35">
        <v>75</v>
      </c>
      <c r="AT35">
        <v>80</v>
      </c>
      <c r="AU35">
        <v>85</v>
      </c>
      <c r="AV35">
        <v>90</v>
      </c>
    </row>
    <row r="36" spans="1:49" x14ac:dyDescent="0.2">
      <c r="A36" s="118" t="s">
        <v>1214</v>
      </c>
      <c r="C36">
        <v>0</v>
      </c>
      <c r="D36" s="11">
        <v>87</v>
      </c>
      <c r="E36" s="11">
        <v>87</v>
      </c>
      <c r="F36" s="11">
        <v>87</v>
      </c>
      <c r="G36" s="11">
        <v>87</v>
      </c>
      <c r="H36" s="11">
        <v>87</v>
      </c>
      <c r="I36">
        <v>0</v>
      </c>
      <c r="K36">
        <v>0</v>
      </c>
      <c r="L36">
        <v>87</v>
      </c>
      <c r="M36">
        <v>87</v>
      </c>
      <c r="N36">
        <v>87</v>
      </c>
      <c r="O36">
        <v>87</v>
      </c>
      <c r="P36">
        <v>87</v>
      </c>
      <c r="Q36">
        <v>87</v>
      </c>
      <c r="R36">
        <v>87</v>
      </c>
      <c r="S36">
        <v>87</v>
      </c>
      <c r="T36">
        <v>87</v>
      </c>
      <c r="U36">
        <v>87</v>
      </c>
      <c r="V36">
        <v>87</v>
      </c>
      <c r="W36">
        <v>87</v>
      </c>
      <c r="X36">
        <v>87</v>
      </c>
      <c r="Y36">
        <v>87</v>
      </c>
      <c r="Z36">
        <v>87</v>
      </c>
      <c r="AA36">
        <v>87</v>
      </c>
      <c r="AB36">
        <v>87</v>
      </c>
      <c r="AC36">
        <v>87</v>
      </c>
      <c r="AD36">
        <v>87</v>
      </c>
      <c r="AE36">
        <v>87</v>
      </c>
      <c r="AF36">
        <v>87</v>
      </c>
      <c r="AG36">
        <v>87</v>
      </c>
      <c r="AH36">
        <v>87</v>
      </c>
      <c r="AI36">
        <v>87</v>
      </c>
      <c r="AJ36">
        <v>87</v>
      </c>
      <c r="AK36">
        <v>87</v>
      </c>
      <c r="AL36">
        <v>87</v>
      </c>
      <c r="AM36">
        <v>87</v>
      </c>
      <c r="AN36">
        <v>87</v>
      </c>
      <c r="AO36">
        <v>87</v>
      </c>
      <c r="AP36">
        <v>87</v>
      </c>
      <c r="AQ36">
        <v>87</v>
      </c>
      <c r="AR36">
        <v>87</v>
      </c>
      <c r="AS36">
        <v>87</v>
      </c>
      <c r="AT36">
        <v>87</v>
      </c>
      <c r="AU36">
        <v>87</v>
      </c>
      <c r="AV36">
        <v>87</v>
      </c>
      <c r="AW36">
        <v>0</v>
      </c>
    </row>
    <row r="37" spans="1:49" x14ac:dyDescent="0.2">
      <c r="A37" s="118" t="s">
        <v>148</v>
      </c>
      <c r="C37">
        <v>5</v>
      </c>
      <c r="D37" s="11">
        <v>88</v>
      </c>
      <c r="E37" s="11">
        <v>91</v>
      </c>
      <c r="F37" s="11">
        <v>92</v>
      </c>
      <c r="G37" s="11">
        <v>91</v>
      </c>
      <c r="H37" s="11">
        <v>89</v>
      </c>
      <c r="I37">
        <v>5</v>
      </c>
      <c r="K37">
        <v>5</v>
      </c>
      <c r="L37">
        <v>88</v>
      </c>
      <c r="M37">
        <v>88</v>
      </c>
      <c r="N37">
        <v>89</v>
      </c>
      <c r="O37">
        <v>89</v>
      </c>
      <c r="P37">
        <v>89</v>
      </c>
      <c r="Q37">
        <v>89</v>
      </c>
      <c r="R37">
        <v>90</v>
      </c>
      <c r="S37">
        <v>91</v>
      </c>
      <c r="T37">
        <v>91</v>
      </c>
      <c r="U37">
        <v>91</v>
      </c>
      <c r="V37">
        <v>91</v>
      </c>
      <c r="W37">
        <v>91</v>
      </c>
      <c r="X37">
        <v>91</v>
      </c>
      <c r="Y37">
        <v>91</v>
      </c>
      <c r="Z37">
        <v>91</v>
      </c>
      <c r="AA37">
        <v>91</v>
      </c>
      <c r="AB37">
        <v>91</v>
      </c>
      <c r="AC37">
        <v>92</v>
      </c>
      <c r="AD37">
        <v>92</v>
      </c>
      <c r="AE37">
        <v>92</v>
      </c>
      <c r="AF37">
        <v>91</v>
      </c>
      <c r="AG37">
        <v>91</v>
      </c>
      <c r="AH37">
        <v>91</v>
      </c>
      <c r="AI37">
        <v>91</v>
      </c>
      <c r="AJ37">
        <v>91</v>
      </c>
      <c r="AK37">
        <v>91</v>
      </c>
      <c r="AL37">
        <v>91</v>
      </c>
      <c r="AM37">
        <v>91</v>
      </c>
      <c r="AN37">
        <v>90</v>
      </c>
      <c r="AO37">
        <v>90</v>
      </c>
      <c r="AP37">
        <v>90</v>
      </c>
      <c r="AQ37">
        <v>91</v>
      </c>
      <c r="AR37">
        <v>91</v>
      </c>
      <c r="AS37">
        <v>91</v>
      </c>
      <c r="AT37">
        <v>90</v>
      </c>
      <c r="AU37">
        <v>89</v>
      </c>
      <c r="AV37">
        <v>89</v>
      </c>
      <c r="AW37">
        <v>5</v>
      </c>
    </row>
    <row r="38" spans="1:49" x14ac:dyDescent="0.2">
      <c r="A38" s="118" t="s">
        <v>1215</v>
      </c>
      <c r="C38">
        <v>10</v>
      </c>
      <c r="D38" s="11">
        <v>89</v>
      </c>
      <c r="E38" s="11">
        <v>94</v>
      </c>
      <c r="F38" s="11">
        <v>96</v>
      </c>
      <c r="G38" s="11">
        <v>94</v>
      </c>
      <c r="H38" s="11">
        <v>90</v>
      </c>
      <c r="I38">
        <v>10</v>
      </c>
      <c r="K38">
        <v>10</v>
      </c>
      <c r="L38">
        <v>89</v>
      </c>
      <c r="M38">
        <v>90</v>
      </c>
      <c r="N38">
        <v>91</v>
      </c>
      <c r="O38">
        <v>91</v>
      </c>
      <c r="P38">
        <v>91</v>
      </c>
      <c r="Q38">
        <v>92</v>
      </c>
      <c r="R38">
        <v>92</v>
      </c>
      <c r="S38">
        <v>93</v>
      </c>
      <c r="T38">
        <v>94</v>
      </c>
      <c r="U38">
        <v>94</v>
      </c>
      <c r="V38">
        <v>94</v>
      </c>
      <c r="W38">
        <v>95</v>
      </c>
      <c r="X38">
        <v>95</v>
      </c>
      <c r="Y38">
        <v>95</v>
      </c>
      <c r="Z38">
        <v>95</v>
      </c>
      <c r="AA38">
        <v>95</v>
      </c>
      <c r="AB38">
        <v>95</v>
      </c>
      <c r="AC38">
        <v>96</v>
      </c>
      <c r="AD38">
        <v>96</v>
      </c>
      <c r="AE38">
        <v>95</v>
      </c>
      <c r="AF38">
        <v>95</v>
      </c>
      <c r="AG38">
        <v>95</v>
      </c>
      <c r="AH38">
        <v>95</v>
      </c>
      <c r="AI38">
        <v>95</v>
      </c>
      <c r="AJ38">
        <v>95</v>
      </c>
      <c r="AK38">
        <v>95</v>
      </c>
      <c r="AL38">
        <v>94</v>
      </c>
      <c r="AM38">
        <v>94</v>
      </c>
      <c r="AN38">
        <v>94</v>
      </c>
      <c r="AO38">
        <v>93</v>
      </c>
      <c r="AP38">
        <v>93</v>
      </c>
      <c r="AQ38">
        <v>93</v>
      </c>
      <c r="AR38">
        <v>92</v>
      </c>
      <c r="AS38">
        <v>91</v>
      </c>
      <c r="AT38">
        <v>91</v>
      </c>
      <c r="AU38">
        <v>90</v>
      </c>
      <c r="AV38">
        <v>90</v>
      </c>
      <c r="AW38">
        <v>10</v>
      </c>
    </row>
    <row r="39" spans="1:49" x14ac:dyDescent="0.2">
      <c r="A39" s="118" t="s">
        <v>220</v>
      </c>
      <c r="C39">
        <v>15</v>
      </c>
      <c r="D39" s="11">
        <v>88</v>
      </c>
      <c r="E39" s="11">
        <v>95</v>
      </c>
      <c r="F39" s="11">
        <v>97</v>
      </c>
      <c r="G39" s="11">
        <v>95</v>
      </c>
      <c r="H39" s="11">
        <v>89</v>
      </c>
      <c r="I39">
        <v>15</v>
      </c>
      <c r="K39">
        <v>15</v>
      </c>
      <c r="L39">
        <v>88</v>
      </c>
      <c r="M39">
        <v>89</v>
      </c>
      <c r="N39">
        <v>90</v>
      </c>
      <c r="O39">
        <v>91</v>
      </c>
      <c r="P39">
        <v>92</v>
      </c>
      <c r="Q39">
        <v>93</v>
      </c>
      <c r="R39">
        <v>93</v>
      </c>
      <c r="S39">
        <v>94</v>
      </c>
      <c r="T39">
        <v>95</v>
      </c>
      <c r="U39">
        <v>95</v>
      </c>
      <c r="V39">
        <v>95</v>
      </c>
      <c r="W39">
        <v>96</v>
      </c>
      <c r="X39">
        <v>96</v>
      </c>
      <c r="Y39">
        <v>96</v>
      </c>
      <c r="Z39">
        <v>97</v>
      </c>
      <c r="AA39">
        <v>97</v>
      </c>
      <c r="AB39">
        <v>97</v>
      </c>
      <c r="AC39">
        <v>97</v>
      </c>
      <c r="AD39">
        <v>97</v>
      </c>
      <c r="AE39">
        <v>97</v>
      </c>
      <c r="AF39">
        <v>97</v>
      </c>
      <c r="AG39">
        <v>97</v>
      </c>
      <c r="AH39">
        <v>97</v>
      </c>
      <c r="AI39">
        <v>96</v>
      </c>
      <c r="AJ39">
        <v>96</v>
      </c>
      <c r="AK39">
        <v>96</v>
      </c>
      <c r="AL39">
        <v>95</v>
      </c>
      <c r="AM39">
        <v>95</v>
      </c>
      <c r="AN39">
        <v>95</v>
      </c>
      <c r="AO39">
        <v>94</v>
      </c>
      <c r="AP39">
        <v>94</v>
      </c>
      <c r="AQ39">
        <v>93</v>
      </c>
      <c r="AR39">
        <v>93</v>
      </c>
      <c r="AS39">
        <v>92</v>
      </c>
      <c r="AT39">
        <v>91</v>
      </c>
      <c r="AU39">
        <v>90</v>
      </c>
      <c r="AV39">
        <v>89</v>
      </c>
      <c r="AW39">
        <v>15</v>
      </c>
    </row>
    <row r="40" spans="1:49" x14ac:dyDescent="0.2">
      <c r="C40">
        <v>20</v>
      </c>
      <c r="D40" s="11">
        <v>87</v>
      </c>
      <c r="E40" s="11">
        <v>96</v>
      </c>
      <c r="F40" s="11">
        <v>98</v>
      </c>
      <c r="G40" s="11">
        <v>96</v>
      </c>
      <c r="H40" s="11">
        <v>88</v>
      </c>
      <c r="I40">
        <v>20</v>
      </c>
      <c r="K40">
        <v>20</v>
      </c>
      <c r="L40">
        <v>87</v>
      </c>
      <c r="M40">
        <v>88</v>
      </c>
      <c r="N40">
        <v>89</v>
      </c>
      <c r="O40">
        <v>90</v>
      </c>
      <c r="P40">
        <v>91</v>
      </c>
      <c r="Q40">
        <v>92</v>
      </c>
      <c r="R40">
        <v>93</v>
      </c>
      <c r="S40">
        <v>94</v>
      </c>
      <c r="T40">
        <v>95</v>
      </c>
      <c r="U40">
        <v>96</v>
      </c>
      <c r="V40">
        <v>96</v>
      </c>
      <c r="W40">
        <v>96</v>
      </c>
      <c r="X40">
        <v>96</v>
      </c>
      <c r="Y40">
        <v>97</v>
      </c>
      <c r="Z40">
        <v>98</v>
      </c>
      <c r="AA40">
        <v>98</v>
      </c>
      <c r="AB40">
        <v>98</v>
      </c>
      <c r="AC40">
        <v>98</v>
      </c>
      <c r="AD40">
        <v>98</v>
      </c>
      <c r="AE40">
        <v>98</v>
      </c>
      <c r="AF40">
        <v>98</v>
      </c>
      <c r="AG40">
        <v>98</v>
      </c>
      <c r="AH40">
        <v>98</v>
      </c>
      <c r="AI40">
        <v>97</v>
      </c>
      <c r="AJ40">
        <v>97</v>
      </c>
      <c r="AK40">
        <v>97</v>
      </c>
      <c r="AL40">
        <v>96</v>
      </c>
      <c r="AM40">
        <v>96</v>
      </c>
      <c r="AN40">
        <v>96</v>
      </c>
      <c r="AO40">
        <v>95</v>
      </c>
      <c r="AP40">
        <v>94</v>
      </c>
      <c r="AQ40">
        <v>93</v>
      </c>
      <c r="AR40">
        <v>92</v>
      </c>
      <c r="AS40">
        <v>91</v>
      </c>
      <c r="AT40">
        <v>90</v>
      </c>
      <c r="AU40">
        <v>89</v>
      </c>
      <c r="AV40">
        <v>88</v>
      </c>
      <c r="AW40">
        <v>20</v>
      </c>
    </row>
    <row r="41" spans="1:49" x14ac:dyDescent="0.2">
      <c r="C41">
        <v>25</v>
      </c>
      <c r="D41" s="11">
        <v>87</v>
      </c>
      <c r="E41" s="11">
        <v>96</v>
      </c>
      <c r="F41" s="11">
        <v>99</v>
      </c>
      <c r="G41" s="11">
        <v>96</v>
      </c>
      <c r="H41" s="11">
        <v>87</v>
      </c>
      <c r="I41">
        <v>25</v>
      </c>
      <c r="K41">
        <v>25</v>
      </c>
      <c r="L41">
        <v>87</v>
      </c>
      <c r="M41">
        <v>88</v>
      </c>
      <c r="N41">
        <v>89</v>
      </c>
      <c r="O41">
        <v>90</v>
      </c>
      <c r="P41">
        <v>91</v>
      </c>
      <c r="Q41">
        <v>92</v>
      </c>
      <c r="R41">
        <v>93</v>
      </c>
      <c r="S41">
        <v>94</v>
      </c>
      <c r="T41">
        <v>95</v>
      </c>
      <c r="U41">
        <v>96</v>
      </c>
      <c r="V41">
        <v>97</v>
      </c>
      <c r="W41">
        <v>98</v>
      </c>
      <c r="X41">
        <v>98</v>
      </c>
      <c r="Y41">
        <v>99</v>
      </c>
      <c r="Z41">
        <v>99</v>
      </c>
      <c r="AA41">
        <v>99</v>
      </c>
      <c r="AB41">
        <v>99</v>
      </c>
      <c r="AC41">
        <v>99</v>
      </c>
      <c r="AD41">
        <v>99</v>
      </c>
      <c r="AE41">
        <v>99</v>
      </c>
      <c r="AF41">
        <v>99</v>
      </c>
      <c r="AG41">
        <v>99</v>
      </c>
      <c r="AH41">
        <v>99</v>
      </c>
      <c r="AI41">
        <v>98</v>
      </c>
      <c r="AJ41">
        <v>97</v>
      </c>
      <c r="AK41">
        <v>97</v>
      </c>
      <c r="AL41">
        <v>97</v>
      </c>
      <c r="AM41">
        <v>96</v>
      </c>
      <c r="AN41">
        <v>96</v>
      </c>
      <c r="AO41">
        <v>95</v>
      </c>
      <c r="AP41">
        <v>94</v>
      </c>
      <c r="AQ41">
        <v>93</v>
      </c>
      <c r="AR41">
        <v>92</v>
      </c>
      <c r="AS41">
        <v>91</v>
      </c>
      <c r="AT41">
        <v>89</v>
      </c>
      <c r="AU41">
        <v>88</v>
      </c>
      <c r="AV41">
        <v>87</v>
      </c>
      <c r="AW41">
        <v>25</v>
      </c>
    </row>
    <row r="42" spans="1:49" x14ac:dyDescent="0.2">
      <c r="C42">
        <v>30</v>
      </c>
      <c r="D42" s="11">
        <v>86</v>
      </c>
      <c r="E42" s="11">
        <v>96</v>
      </c>
      <c r="F42" s="11">
        <v>100</v>
      </c>
      <c r="G42" s="11">
        <v>96</v>
      </c>
      <c r="H42" s="11">
        <v>86</v>
      </c>
      <c r="I42">
        <v>30</v>
      </c>
      <c r="K42">
        <v>30</v>
      </c>
      <c r="L42">
        <v>86</v>
      </c>
      <c r="M42">
        <v>87</v>
      </c>
      <c r="N42">
        <v>88</v>
      </c>
      <c r="O42">
        <v>90</v>
      </c>
      <c r="P42">
        <v>92</v>
      </c>
      <c r="Q42">
        <v>93</v>
      </c>
      <c r="R42">
        <v>93</v>
      </c>
      <c r="S42">
        <v>94</v>
      </c>
      <c r="T42">
        <v>95</v>
      </c>
      <c r="U42">
        <v>96</v>
      </c>
      <c r="V42">
        <v>97</v>
      </c>
      <c r="W42">
        <v>98</v>
      </c>
      <c r="X42">
        <v>98</v>
      </c>
      <c r="Y42">
        <v>98</v>
      </c>
      <c r="Z42">
        <v>99</v>
      </c>
      <c r="AA42">
        <v>99</v>
      </c>
      <c r="AB42">
        <v>99</v>
      </c>
      <c r="AC42">
        <v>100</v>
      </c>
      <c r="AD42">
        <v>100</v>
      </c>
      <c r="AE42">
        <v>100</v>
      </c>
      <c r="AF42">
        <v>100</v>
      </c>
      <c r="AG42">
        <v>100</v>
      </c>
      <c r="AH42">
        <v>100</v>
      </c>
      <c r="AI42">
        <v>99</v>
      </c>
      <c r="AJ42">
        <v>98</v>
      </c>
      <c r="AK42">
        <v>98</v>
      </c>
      <c r="AL42">
        <v>97</v>
      </c>
      <c r="AM42">
        <v>96</v>
      </c>
      <c r="AN42">
        <v>96</v>
      </c>
      <c r="AO42">
        <v>95</v>
      </c>
      <c r="AP42">
        <v>94</v>
      </c>
      <c r="AQ42">
        <v>93</v>
      </c>
      <c r="AR42">
        <v>91</v>
      </c>
      <c r="AS42">
        <v>90</v>
      </c>
      <c r="AT42">
        <v>89</v>
      </c>
      <c r="AU42">
        <v>87</v>
      </c>
      <c r="AV42">
        <v>86</v>
      </c>
      <c r="AW42">
        <v>30</v>
      </c>
    </row>
    <row r="43" spans="1:49" x14ac:dyDescent="0.2">
      <c r="C43">
        <v>35</v>
      </c>
      <c r="D43" s="11">
        <v>84</v>
      </c>
      <c r="E43" s="11">
        <v>96</v>
      </c>
      <c r="F43" s="11">
        <v>100</v>
      </c>
      <c r="G43" s="11">
        <v>96</v>
      </c>
      <c r="H43" s="11">
        <v>85</v>
      </c>
      <c r="I43">
        <v>35</v>
      </c>
      <c r="K43">
        <v>35</v>
      </c>
      <c r="L43">
        <v>84</v>
      </c>
      <c r="M43">
        <v>85</v>
      </c>
      <c r="N43">
        <v>87</v>
      </c>
      <c r="O43">
        <v>88</v>
      </c>
      <c r="P43">
        <v>89</v>
      </c>
      <c r="Q43">
        <v>91</v>
      </c>
      <c r="R43">
        <v>92</v>
      </c>
      <c r="S43">
        <v>93</v>
      </c>
      <c r="T43">
        <v>95</v>
      </c>
      <c r="U43">
        <v>96</v>
      </c>
      <c r="V43">
        <v>97</v>
      </c>
      <c r="W43">
        <v>98</v>
      </c>
      <c r="X43">
        <v>98</v>
      </c>
      <c r="Y43">
        <v>98</v>
      </c>
      <c r="Z43">
        <v>99</v>
      </c>
      <c r="AA43">
        <v>99</v>
      </c>
      <c r="AB43">
        <v>99</v>
      </c>
      <c r="AC43">
        <v>100</v>
      </c>
      <c r="AD43">
        <v>100</v>
      </c>
      <c r="AE43">
        <v>100</v>
      </c>
      <c r="AF43">
        <v>100</v>
      </c>
      <c r="AG43">
        <v>100</v>
      </c>
      <c r="AH43">
        <v>100</v>
      </c>
      <c r="AI43">
        <v>99</v>
      </c>
      <c r="AJ43">
        <v>98</v>
      </c>
      <c r="AK43">
        <v>98</v>
      </c>
      <c r="AL43">
        <v>97</v>
      </c>
      <c r="AM43">
        <v>96</v>
      </c>
      <c r="AN43">
        <v>95</v>
      </c>
      <c r="AO43">
        <v>94</v>
      </c>
      <c r="AP43">
        <v>93</v>
      </c>
      <c r="AQ43">
        <v>92</v>
      </c>
      <c r="AR43">
        <v>90</v>
      </c>
      <c r="AS43">
        <v>89</v>
      </c>
      <c r="AT43">
        <v>88</v>
      </c>
      <c r="AU43">
        <v>86</v>
      </c>
      <c r="AV43">
        <v>85</v>
      </c>
      <c r="AW43">
        <v>35</v>
      </c>
    </row>
    <row r="44" spans="1:49" x14ac:dyDescent="0.2">
      <c r="C44">
        <v>40</v>
      </c>
      <c r="D44" s="11">
        <v>82</v>
      </c>
      <c r="E44" s="11">
        <v>95</v>
      </c>
      <c r="F44" s="11">
        <v>100</v>
      </c>
      <c r="G44" s="11">
        <v>96</v>
      </c>
      <c r="H44" s="11">
        <v>84</v>
      </c>
      <c r="I44">
        <v>40</v>
      </c>
      <c r="K44">
        <v>40</v>
      </c>
      <c r="L44">
        <v>82</v>
      </c>
      <c r="M44">
        <v>83</v>
      </c>
      <c r="N44">
        <v>85</v>
      </c>
      <c r="O44">
        <v>86</v>
      </c>
      <c r="P44">
        <v>87</v>
      </c>
      <c r="Q44">
        <v>89</v>
      </c>
      <c r="R44">
        <v>90</v>
      </c>
      <c r="S44">
        <v>92</v>
      </c>
      <c r="T44">
        <v>94</v>
      </c>
      <c r="U44">
        <v>95</v>
      </c>
      <c r="V44">
        <v>96</v>
      </c>
      <c r="W44">
        <v>97</v>
      </c>
      <c r="X44">
        <v>97</v>
      </c>
      <c r="Y44">
        <v>98</v>
      </c>
      <c r="Z44">
        <v>99</v>
      </c>
      <c r="AA44">
        <v>99</v>
      </c>
      <c r="AB44">
        <v>99</v>
      </c>
      <c r="AC44">
        <v>100</v>
      </c>
      <c r="AD44">
        <v>100</v>
      </c>
      <c r="AE44">
        <v>100</v>
      </c>
      <c r="AF44">
        <v>99</v>
      </c>
      <c r="AG44">
        <v>99</v>
      </c>
      <c r="AH44">
        <v>99</v>
      </c>
      <c r="AI44">
        <v>98</v>
      </c>
      <c r="AJ44">
        <v>98</v>
      </c>
      <c r="AK44">
        <v>98</v>
      </c>
      <c r="AL44">
        <v>97</v>
      </c>
      <c r="AM44">
        <v>96</v>
      </c>
      <c r="AN44">
        <v>95</v>
      </c>
      <c r="AO44">
        <v>93</v>
      </c>
      <c r="AP44">
        <v>92</v>
      </c>
      <c r="AQ44">
        <v>91</v>
      </c>
      <c r="AR44">
        <v>89</v>
      </c>
      <c r="AS44">
        <v>88</v>
      </c>
      <c r="AT44">
        <v>87</v>
      </c>
      <c r="AU44">
        <v>85</v>
      </c>
      <c r="AV44">
        <v>84</v>
      </c>
      <c r="AW44">
        <v>40</v>
      </c>
    </row>
    <row r="45" spans="1:49" x14ac:dyDescent="0.2">
      <c r="C45">
        <v>45</v>
      </c>
      <c r="D45" s="11">
        <v>80</v>
      </c>
      <c r="E45" s="11">
        <v>94</v>
      </c>
      <c r="F45" s="11">
        <v>99</v>
      </c>
      <c r="G45" s="11">
        <v>95</v>
      </c>
      <c r="H45" s="11">
        <v>82</v>
      </c>
      <c r="I45">
        <v>45</v>
      </c>
      <c r="K45">
        <v>45</v>
      </c>
      <c r="L45">
        <v>80</v>
      </c>
      <c r="M45">
        <v>82</v>
      </c>
      <c r="N45">
        <v>84</v>
      </c>
      <c r="O45">
        <v>85</v>
      </c>
      <c r="P45">
        <v>86</v>
      </c>
      <c r="Q45">
        <v>88</v>
      </c>
      <c r="R45">
        <v>89</v>
      </c>
      <c r="S45">
        <v>91</v>
      </c>
      <c r="T45">
        <v>93</v>
      </c>
      <c r="U45">
        <v>94</v>
      </c>
      <c r="V45">
        <v>95</v>
      </c>
      <c r="W45">
        <v>96</v>
      </c>
      <c r="X45">
        <v>96</v>
      </c>
      <c r="Y45">
        <v>97</v>
      </c>
      <c r="Z45">
        <v>98</v>
      </c>
      <c r="AA45">
        <v>98</v>
      </c>
      <c r="AB45">
        <v>98</v>
      </c>
      <c r="AC45">
        <v>99</v>
      </c>
      <c r="AD45">
        <v>99</v>
      </c>
      <c r="AE45">
        <v>99</v>
      </c>
      <c r="AF45">
        <v>98</v>
      </c>
      <c r="AG45">
        <v>98</v>
      </c>
      <c r="AH45">
        <v>98</v>
      </c>
      <c r="AI45">
        <v>97</v>
      </c>
      <c r="AJ45">
        <v>97</v>
      </c>
      <c r="AK45">
        <v>96</v>
      </c>
      <c r="AL45">
        <v>95</v>
      </c>
      <c r="AM45">
        <v>95</v>
      </c>
      <c r="AN45">
        <v>93</v>
      </c>
      <c r="AO45">
        <v>92</v>
      </c>
      <c r="AP45">
        <v>91</v>
      </c>
      <c r="AQ45">
        <v>89</v>
      </c>
      <c r="AR45">
        <v>88</v>
      </c>
      <c r="AS45">
        <v>87</v>
      </c>
      <c r="AT45">
        <v>85</v>
      </c>
      <c r="AU45">
        <v>84</v>
      </c>
      <c r="AV45">
        <v>82</v>
      </c>
      <c r="AW45">
        <v>45</v>
      </c>
    </row>
    <row r="46" spans="1:49" x14ac:dyDescent="0.2">
      <c r="C46">
        <v>50</v>
      </c>
      <c r="D46" s="11">
        <v>78</v>
      </c>
      <c r="E46" s="11">
        <v>92</v>
      </c>
      <c r="F46" s="11">
        <v>97</v>
      </c>
      <c r="G46" s="11">
        <v>93</v>
      </c>
      <c r="H46" s="11">
        <v>80</v>
      </c>
      <c r="I46">
        <v>50</v>
      </c>
      <c r="K46">
        <v>50</v>
      </c>
      <c r="L46">
        <v>78</v>
      </c>
      <c r="M46">
        <v>80</v>
      </c>
      <c r="N46">
        <v>82</v>
      </c>
      <c r="O46">
        <v>84</v>
      </c>
      <c r="P46">
        <v>85</v>
      </c>
      <c r="Q46">
        <v>87</v>
      </c>
      <c r="R46">
        <v>88</v>
      </c>
      <c r="S46">
        <v>89</v>
      </c>
      <c r="T46">
        <v>91</v>
      </c>
      <c r="U46">
        <v>92</v>
      </c>
      <c r="V46">
        <v>93</v>
      </c>
      <c r="W46">
        <v>94</v>
      </c>
      <c r="X46">
        <v>95</v>
      </c>
      <c r="Y46">
        <v>95</v>
      </c>
      <c r="Z46">
        <v>96</v>
      </c>
      <c r="AA46">
        <v>96</v>
      </c>
      <c r="AB46">
        <v>96</v>
      </c>
      <c r="AC46">
        <v>97</v>
      </c>
      <c r="AD46">
        <v>97</v>
      </c>
      <c r="AE46">
        <v>97</v>
      </c>
      <c r="AF46">
        <v>97</v>
      </c>
      <c r="AG46">
        <v>97</v>
      </c>
      <c r="AH46">
        <v>97</v>
      </c>
      <c r="AI46">
        <v>96</v>
      </c>
      <c r="AJ46">
        <v>96</v>
      </c>
      <c r="AK46">
        <v>95</v>
      </c>
      <c r="AL46">
        <v>94</v>
      </c>
      <c r="AM46">
        <v>93</v>
      </c>
      <c r="AN46">
        <v>92</v>
      </c>
      <c r="AO46">
        <v>90</v>
      </c>
      <c r="AP46">
        <v>89</v>
      </c>
      <c r="AQ46">
        <v>88</v>
      </c>
      <c r="AR46">
        <v>86</v>
      </c>
      <c r="AS46">
        <v>85</v>
      </c>
      <c r="AT46">
        <v>84</v>
      </c>
      <c r="AU46">
        <v>82</v>
      </c>
      <c r="AV46">
        <v>80</v>
      </c>
      <c r="AW46">
        <v>50</v>
      </c>
    </row>
    <row r="47" spans="1:49" x14ac:dyDescent="0.2">
      <c r="C47">
        <v>55</v>
      </c>
      <c r="D47" s="11">
        <v>76</v>
      </c>
      <c r="E47" s="11">
        <v>90</v>
      </c>
      <c r="F47" s="11">
        <v>95</v>
      </c>
      <c r="G47" s="11">
        <v>90</v>
      </c>
      <c r="H47" s="11">
        <v>78</v>
      </c>
      <c r="I47">
        <v>55</v>
      </c>
      <c r="K47">
        <v>55</v>
      </c>
      <c r="L47">
        <v>76</v>
      </c>
      <c r="M47">
        <v>78</v>
      </c>
      <c r="N47">
        <v>80</v>
      </c>
      <c r="O47">
        <v>82</v>
      </c>
      <c r="P47">
        <v>83</v>
      </c>
      <c r="Q47">
        <v>85</v>
      </c>
      <c r="R47">
        <v>86</v>
      </c>
      <c r="S47">
        <v>87</v>
      </c>
      <c r="T47">
        <v>89</v>
      </c>
      <c r="U47">
        <v>90</v>
      </c>
      <c r="V47">
        <v>91</v>
      </c>
      <c r="W47">
        <v>92</v>
      </c>
      <c r="X47">
        <v>93</v>
      </c>
      <c r="Y47">
        <v>94</v>
      </c>
      <c r="Z47">
        <v>94</v>
      </c>
      <c r="AA47">
        <v>94</v>
      </c>
      <c r="AB47">
        <v>95</v>
      </c>
      <c r="AC47">
        <v>95</v>
      </c>
      <c r="AD47">
        <v>95</v>
      </c>
      <c r="AE47">
        <v>95</v>
      </c>
      <c r="AF47">
        <v>95</v>
      </c>
      <c r="AG47">
        <v>95</v>
      </c>
      <c r="AH47">
        <v>94</v>
      </c>
      <c r="AI47">
        <v>94</v>
      </c>
      <c r="AJ47">
        <v>93</v>
      </c>
      <c r="AK47">
        <v>92</v>
      </c>
      <c r="AL47">
        <v>91</v>
      </c>
      <c r="AM47">
        <v>90</v>
      </c>
      <c r="AN47">
        <v>89</v>
      </c>
      <c r="AO47">
        <v>88</v>
      </c>
      <c r="AP47">
        <v>86</v>
      </c>
      <c r="AQ47">
        <v>85</v>
      </c>
      <c r="AR47">
        <v>83</v>
      </c>
      <c r="AS47">
        <v>82</v>
      </c>
      <c r="AT47">
        <v>80</v>
      </c>
      <c r="AU47">
        <v>78</v>
      </c>
      <c r="AV47">
        <v>78</v>
      </c>
      <c r="AW47">
        <v>55</v>
      </c>
    </row>
    <row r="48" spans="1:49" x14ac:dyDescent="0.2">
      <c r="C48">
        <v>60</v>
      </c>
      <c r="D48" s="11">
        <v>74</v>
      </c>
      <c r="E48" s="11">
        <v>87</v>
      </c>
      <c r="F48" s="11">
        <v>93</v>
      </c>
      <c r="G48" s="11">
        <v>89</v>
      </c>
      <c r="H48" s="11">
        <v>76</v>
      </c>
      <c r="I48">
        <v>60</v>
      </c>
      <c r="K48">
        <v>60</v>
      </c>
      <c r="L48">
        <v>74</v>
      </c>
      <c r="M48">
        <v>76</v>
      </c>
      <c r="N48">
        <v>78</v>
      </c>
      <c r="O48">
        <v>79</v>
      </c>
      <c r="P48">
        <v>81</v>
      </c>
      <c r="Q48">
        <v>83</v>
      </c>
      <c r="R48">
        <v>84</v>
      </c>
      <c r="S48">
        <v>85</v>
      </c>
      <c r="T48">
        <v>86</v>
      </c>
      <c r="U48">
        <v>87</v>
      </c>
      <c r="V48">
        <v>88</v>
      </c>
      <c r="W48">
        <v>89</v>
      </c>
      <c r="X48">
        <v>90</v>
      </c>
      <c r="Y48">
        <v>90</v>
      </c>
      <c r="Z48">
        <v>91</v>
      </c>
      <c r="AA48">
        <v>91</v>
      </c>
      <c r="AB48">
        <v>92</v>
      </c>
      <c r="AC48">
        <v>93</v>
      </c>
      <c r="AD48">
        <v>93</v>
      </c>
      <c r="AE48">
        <v>93</v>
      </c>
      <c r="AF48">
        <v>93</v>
      </c>
      <c r="AG48">
        <v>93</v>
      </c>
      <c r="AH48">
        <v>93</v>
      </c>
      <c r="AI48">
        <v>92</v>
      </c>
      <c r="AJ48">
        <v>92</v>
      </c>
      <c r="AK48">
        <v>91</v>
      </c>
      <c r="AL48">
        <v>90</v>
      </c>
      <c r="AM48">
        <v>89</v>
      </c>
      <c r="AN48">
        <v>88</v>
      </c>
      <c r="AO48">
        <v>87</v>
      </c>
      <c r="AP48">
        <v>86</v>
      </c>
      <c r="AQ48">
        <v>85</v>
      </c>
      <c r="AR48">
        <v>83</v>
      </c>
      <c r="AS48">
        <v>81</v>
      </c>
      <c r="AT48">
        <v>80</v>
      </c>
      <c r="AU48">
        <v>78</v>
      </c>
      <c r="AV48">
        <v>76</v>
      </c>
      <c r="AW48">
        <v>60</v>
      </c>
    </row>
    <row r="49" spans="3:49" x14ac:dyDescent="0.2">
      <c r="C49">
        <v>65</v>
      </c>
      <c r="D49" s="11">
        <v>72</v>
      </c>
      <c r="E49" s="11">
        <v>85</v>
      </c>
      <c r="F49" s="11">
        <v>90</v>
      </c>
      <c r="G49" s="11">
        <v>87</v>
      </c>
      <c r="H49" s="11">
        <v>73</v>
      </c>
      <c r="I49">
        <v>65</v>
      </c>
      <c r="K49">
        <v>65</v>
      </c>
      <c r="L49">
        <v>72</v>
      </c>
      <c r="M49">
        <v>74</v>
      </c>
      <c r="N49">
        <v>76</v>
      </c>
      <c r="O49">
        <v>77</v>
      </c>
      <c r="P49">
        <v>78</v>
      </c>
      <c r="Q49">
        <v>80</v>
      </c>
      <c r="R49">
        <v>81</v>
      </c>
      <c r="S49">
        <v>82</v>
      </c>
      <c r="T49">
        <v>84</v>
      </c>
      <c r="U49">
        <v>85</v>
      </c>
      <c r="V49">
        <v>86</v>
      </c>
      <c r="W49">
        <v>87</v>
      </c>
      <c r="X49">
        <v>88</v>
      </c>
      <c r="Y49">
        <v>88</v>
      </c>
      <c r="Z49">
        <v>89</v>
      </c>
      <c r="AA49">
        <v>89</v>
      </c>
      <c r="AB49">
        <v>89</v>
      </c>
      <c r="AC49">
        <v>90</v>
      </c>
      <c r="AD49">
        <v>90</v>
      </c>
      <c r="AE49">
        <v>90</v>
      </c>
      <c r="AF49">
        <v>90</v>
      </c>
      <c r="AG49">
        <v>90</v>
      </c>
      <c r="AH49">
        <v>90</v>
      </c>
      <c r="AI49">
        <v>89</v>
      </c>
      <c r="AJ49">
        <v>89</v>
      </c>
      <c r="AK49">
        <v>88</v>
      </c>
      <c r="AL49">
        <v>87</v>
      </c>
      <c r="AM49">
        <v>87</v>
      </c>
      <c r="AN49">
        <v>85</v>
      </c>
      <c r="AO49">
        <v>84</v>
      </c>
      <c r="AP49">
        <v>83</v>
      </c>
      <c r="AQ49">
        <v>82</v>
      </c>
      <c r="AR49">
        <v>80</v>
      </c>
      <c r="AS49">
        <v>79</v>
      </c>
      <c r="AT49">
        <v>77</v>
      </c>
      <c r="AU49">
        <v>75</v>
      </c>
      <c r="AV49">
        <v>73</v>
      </c>
      <c r="AW49">
        <v>65</v>
      </c>
    </row>
    <row r="50" spans="3:49" x14ac:dyDescent="0.2">
      <c r="C50">
        <v>70</v>
      </c>
      <c r="D50" s="11">
        <v>69</v>
      </c>
      <c r="E50" s="11">
        <v>82</v>
      </c>
      <c r="F50" s="11">
        <v>87</v>
      </c>
      <c r="G50" s="11">
        <v>84</v>
      </c>
      <c r="H50" s="11">
        <v>70</v>
      </c>
      <c r="I50">
        <v>70</v>
      </c>
      <c r="K50">
        <v>70</v>
      </c>
      <c r="L50">
        <v>69</v>
      </c>
      <c r="M50">
        <v>71</v>
      </c>
      <c r="N50">
        <v>73</v>
      </c>
      <c r="O50">
        <v>74</v>
      </c>
      <c r="P50">
        <v>75</v>
      </c>
      <c r="Q50">
        <v>77</v>
      </c>
      <c r="R50">
        <v>78</v>
      </c>
      <c r="S50">
        <v>79</v>
      </c>
      <c r="T50">
        <v>81</v>
      </c>
      <c r="U50">
        <v>82</v>
      </c>
      <c r="V50">
        <v>83</v>
      </c>
      <c r="W50">
        <v>84</v>
      </c>
      <c r="X50">
        <v>85</v>
      </c>
      <c r="Y50">
        <v>85</v>
      </c>
      <c r="Z50">
        <v>86</v>
      </c>
      <c r="AA50">
        <v>86</v>
      </c>
      <c r="AB50">
        <v>86</v>
      </c>
      <c r="AC50">
        <v>87</v>
      </c>
      <c r="AD50">
        <v>87</v>
      </c>
      <c r="AE50">
        <v>87</v>
      </c>
      <c r="AF50">
        <v>87</v>
      </c>
      <c r="AG50">
        <v>87</v>
      </c>
      <c r="AH50">
        <v>87</v>
      </c>
      <c r="AI50">
        <v>86</v>
      </c>
      <c r="AJ50">
        <v>86</v>
      </c>
      <c r="AK50">
        <v>86</v>
      </c>
      <c r="AL50">
        <v>85</v>
      </c>
      <c r="AM50">
        <v>84</v>
      </c>
      <c r="AN50">
        <v>83</v>
      </c>
      <c r="AO50">
        <v>81</v>
      </c>
      <c r="AP50">
        <v>80</v>
      </c>
      <c r="AQ50">
        <v>79</v>
      </c>
      <c r="AR50">
        <v>77</v>
      </c>
      <c r="AS50">
        <v>76</v>
      </c>
      <c r="AT50">
        <v>74</v>
      </c>
      <c r="AU50">
        <v>72</v>
      </c>
      <c r="AV50">
        <v>70</v>
      </c>
      <c r="AW50">
        <v>70</v>
      </c>
    </row>
    <row r="51" spans="3:49" x14ac:dyDescent="0.2">
      <c r="C51">
        <v>75</v>
      </c>
      <c r="D51" s="11">
        <v>66</v>
      </c>
      <c r="E51" s="11">
        <v>79</v>
      </c>
      <c r="F51" s="11">
        <v>84</v>
      </c>
      <c r="G51" s="11">
        <v>81</v>
      </c>
      <c r="H51" s="11">
        <v>68</v>
      </c>
      <c r="I51">
        <v>75</v>
      </c>
      <c r="K51">
        <v>75</v>
      </c>
      <c r="L51">
        <v>66</v>
      </c>
      <c r="M51">
        <v>68</v>
      </c>
      <c r="N51">
        <v>70</v>
      </c>
      <c r="O51">
        <v>71</v>
      </c>
      <c r="P51">
        <v>72</v>
      </c>
      <c r="Q51">
        <v>74</v>
      </c>
      <c r="R51">
        <v>75</v>
      </c>
      <c r="S51">
        <v>76</v>
      </c>
      <c r="T51">
        <v>78</v>
      </c>
      <c r="U51">
        <v>79</v>
      </c>
      <c r="V51">
        <v>80</v>
      </c>
      <c r="W51">
        <v>81</v>
      </c>
      <c r="X51">
        <v>81</v>
      </c>
      <c r="Y51">
        <v>82</v>
      </c>
      <c r="Z51">
        <v>83</v>
      </c>
      <c r="AA51">
        <v>83</v>
      </c>
      <c r="AB51">
        <v>83</v>
      </c>
      <c r="AC51">
        <v>84</v>
      </c>
      <c r="AD51">
        <v>84</v>
      </c>
      <c r="AE51">
        <v>84</v>
      </c>
      <c r="AF51">
        <v>84</v>
      </c>
      <c r="AG51">
        <v>84</v>
      </c>
      <c r="AH51">
        <v>84</v>
      </c>
      <c r="AI51">
        <v>83</v>
      </c>
      <c r="AJ51">
        <v>83</v>
      </c>
      <c r="AK51">
        <v>82</v>
      </c>
      <c r="AL51">
        <v>81</v>
      </c>
      <c r="AM51">
        <v>81</v>
      </c>
      <c r="AN51">
        <v>79</v>
      </c>
      <c r="AO51">
        <v>78</v>
      </c>
      <c r="AP51">
        <v>77</v>
      </c>
      <c r="AQ51">
        <v>76</v>
      </c>
      <c r="AR51">
        <v>74</v>
      </c>
      <c r="AS51">
        <v>73</v>
      </c>
      <c r="AT51">
        <v>71</v>
      </c>
      <c r="AU51">
        <v>69</v>
      </c>
      <c r="AV51">
        <v>68</v>
      </c>
      <c r="AW51">
        <v>75</v>
      </c>
    </row>
    <row r="52" spans="3:49" x14ac:dyDescent="0.2">
      <c r="C52">
        <v>80</v>
      </c>
      <c r="D52" s="11">
        <v>63</v>
      </c>
      <c r="E52" s="11">
        <v>75</v>
      </c>
      <c r="F52" s="11">
        <v>80</v>
      </c>
      <c r="G52" s="11">
        <v>77</v>
      </c>
      <c r="H52" s="11">
        <v>65</v>
      </c>
      <c r="I52">
        <v>80</v>
      </c>
      <c r="K52">
        <v>80</v>
      </c>
      <c r="L52">
        <v>63</v>
      </c>
      <c r="M52">
        <v>65</v>
      </c>
      <c r="N52">
        <v>67</v>
      </c>
      <c r="O52">
        <v>68</v>
      </c>
      <c r="P52">
        <v>69</v>
      </c>
      <c r="Q52">
        <v>71</v>
      </c>
      <c r="R52">
        <v>72</v>
      </c>
      <c r="S52">
        <v>73</v>
      </c>
      <c r="T52">
        <v>74</v>
      </c>
      <c r="U52">
        <v>75</v>
      </c>
      <c r="V52">
        <v>76</v>
      </c>
      <c r="W52">
        <v>77</v>
      </c>
      <c r="X52">
        <v>77</v>
      </c>
      <c r="Y52">
        <v>78</v>
      </c>
      <c r="Z52">
        <v>79</v>
      </c>
      <c r="AA52">
        <v>79</v>
      </c>
      <c r="AB52">
        <v>79</v>
      </c>
      <c r="AC52">
        <v>80</v>
      </c>
      <c r="AD52">
        <v>80</v>
      </c>
      <c r="AE52">
        <v>80</v>
      </c>
      <c r="AF52">
        <v>80</v>
      </c>
      <c r="AG52">
        <v>80</v>
      </c>
      <c r="AH52">
        <v>79</v>
      </c>
      <c r="AI52">
        <v>79</v>
      </c>
      <c r="AJ52">
        <v>79</v>
      </c>
      <c r="AK52">
        <v>79</v>
      </c>
      <c r="AL52">
        <v>78</v>
      </c>
      <c r="AM52">
        <v>77</v>
      </c>
      <c r="AN52">
        <v>76</v>
      </c>
      <c r="AO52">
        <v>75</v>
      </c>
      <c r="AP52">
        <v>74</v>
      </c>
      <c r="AQ52">
        <v>73</v>
      </c>
      <c r="AR52">
        <v>71</v>
      </c>
      <c r="AS52">
        <v>69</v>
      </c>
      <c r="AT52">
        <v>68</v>
      </c>
      <c r="AU52">
        <v>66</v>
      </c>
      <c r="AV52">
        <v>65</v>
      </c>
      <c r="AW52">
        <v>80</v>
      </c>
    </row>
    <row r="53" spans="3:49" x14ac:dyDescent="0.2">
      <c r="C53">
        <v>85</v>
      </c>
      <c r="D53" s="11">
        <v>60</v>
      </c>
      <c r="E53" s="11">
        <v>71</v>
      </c>
      <c r="F53" s="11">
        <v>76</v>
      </c>
      <c r="G53" s="11">
        <v>73</v>
      </c>
      <c r="H53" s="11">
        <v>62</v>
      </c>
      <c r="I53">
        <v>85</v>
      </c>
      <c r="K53">
        <v>85</v>
      </c>
      <c r="L53">
        <v>60</v>
      </c>
      <c r="M53">
        <v>61</v>
      </c>
      <c r="N53">
        <v>63</v>
      </c>
      <c r="O53">
        <v>64</v>
      </c>
      <c r="P53">
        <v>65</v>
      </c>
      <c r="Q53">
        <v>67</v>
      </c>
      <c r="R53">
        <v>68</v>
      </c>
      <c r="S53">
        <v>69</v>
      </c>
      <c r="T53">
        <v>70</v>
      </c>
      <c r="U53">
        <v>71</v>
      </c>
      <c r="V53">
        <v>72</v>
      </c>
      <c r="W53">
        <v>73</v>
      </c>
      <c r="X53">
        <v>73</v>
      </c>
      <c r="Y53">
        <v>74</v>
      </c>
      <c r="Z53">
        <v>75</v>
      </c>
      <c r="AA53">
        <v>75</v>
      </c>
      <c r="AB53">
        <v>75</v>
      </c>
      <c r="AC53">
        <v>76</v>
      </c>
      <c r="AD53">
        <v>76</v>
      </c>
      <c r="AE53">
        <v>76</v>
      </c>
      <c r="AF53">
        <v>76</v>
      </c>
      <c r="AG53">
        <v>76</v>
      </c>
      <c r="AH53">
        <v>76</v>
      </c>
      <c r="AI53">
        <v>75</v>
      </c>
      <c r="AJ53">
        <v>75</v>
      </c>
      <c r="AK53">
        <v>75</v>
      </c>
      <c r="AL53">
        <v>74</v>
      </c>
      <c r="AM53">
        <v>73</v>
      </c>
      <c r="AN53">
        <v>72</v>
      </c>
      <c r="AO53">
        <v>71</v>
      </c>
      <c r="AP53">
        <v>70</v>
      </c>
      <c r="AQ53">
        <v>68</v>
      </c>
      <c r="AR53">
        <v>67</v>
      </c>
      <c r="AS53">
        <v>66</v>
      </c>
      <c r="AT53">
        <v>64</v>
      </c>
      <c r="AU53">
        <v>63</v>
      </c>
      <c r="AV53">
        <v>62</v>
      </c>
      <c r="AW53">
        <v>85</v>
      </c>
    </row>
    <row r="54" spans="3:49" x14ac:dyDescent="0.2">
      <c r="C54">
        <v>90</v>
      </c>
      <c r="D54" s="11">
        <v>56</v>
      </c>
      <c r="E54" s="11">
        <v>67</v>
      </c>
      <c r="F54" s="11">
        <v>71</v>
      </c>
      <c r="G54" s="11">
        <v>69</v>
      </c>
      <c r="H54" s="11">
        <v>58</v>
      </c>
      <c r="I54">
        <v>90</v>
      </c>
      <c r="K54">
        <v>90</v>
      </c>
      <c r="L54">
        <v>56</v>
      </c>
      <c r="M54">
        <v>57</v>
      </c>
      <c r="N54">
        <v>59</v>
      </c>
      <c r="O54">
        <v>60</v>
      </c>
      <c r="P54">
        <v>61</v>
      </c>
      <c r="Q54">
        <v>63</v>
      </c>
      <c r="R54">
        <v>64</v>
      </c>
      <c r="S54">
        <v>65</v>
      </c>
      <c r="T54">
        <v>66</v>
      </c>
      <c r="U54">
        <v>67</v>
      </c>
      <c r="V54">
        <v>68</v>
      </c>
      <c r="W54">
        <v>69</v>
      </c>
      <c r="X54">
        <v>69</v>
      </c>
      <c r="Y54">
        <v>70</v>
      </c>
      <c r="Z54">
        <v>71</v>
      </c>
      <c r="AA54">
        <v>71</v>
      </c>
      <c r="AB54">
        <v>71</v>
      </c>
      <c r="AC54">
        <v>71</v>
      </c>
      <c r="AD54">
        <v>71</v>
      </c>
      <c r="AE54">
        <v>71</v>
      </c>
      <c r="AF54">
        <v>71</v>
      </c>
      <c r="AG54">
        <v>71</v>
      </c>
      <c r="AH54">
        <v>71</v>
      </c>
      <c r="AI54">
        <v>71</v>
      </c>
      <c r="AJ54">
        <v>71</v>
      </c>
      <c r="AK54">
        <v>71</v>
      </c>
      <c r="AL54">
        <v>70</v>
      </c>
      <c r="AM54">
        <v>69</v>
      </c>
      <c r="AN54">
        <v>68</v>
      </c>
      <c r="AO54">
        <v>66</v>
      </c>
      <c r="AP54">
        <v>65</v>
      </c>
      <c r="AQ54">
        <v>64</v>
      </c>
      <c r="AR54">
        <v>63</v>
      </c>
      <c r="AS54">
        <v>62</v>
      </c>
      <c r="AT54">
        <v>61</v>
      </c>
      <c r="AU54">
        <v>59</v>
      </c>
      <c r="AV54">
        <v>58</v>
      </c>
      <c r="AW54">
        <v>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selection activeCell="E15" sqref="E15"/>
    </sheetView>
  </sheetViews>
  <sheetFormatPr defaultRowHeight="12.75" x14ac:dyDescent="0.2"/>
  <cols>
    <col min="1" max="1" width="42.85546875" style="50" customWidth="1"/>
    <col min="2" max="2" width="23.85546875" style="50" customWidth="1"/>
    <col min="3" max="3" width="15.42578125" style="50" customWidth="1"/>
    <col min="4" max="4" width="16.28515625" style="50" customWidth="1"/>
    <col min="5" max="5" width="42.7109375" style="50" customWidth="1"/>
    <col min="6" max="16384" width="9.140625" style="50"/>
  </cols>
  <sheetData>
    <row r="1" spans="1:4" ht="18" x14ac:dyDescent="0.25">
      <c r="A1" s="429" t="s">
        <v>1065</v>
      </c>
    </row>
    <row r="2" spans="1:4" ht="12" customHeight="1" x14ac:dyDescent="0.25">
      <c r="A2" s="69"/>
    </row>
    <row r="3" spans="1:4" ht="12.75" customHeight="1" x14ac:dyDescent="0.2">
      <c r="A3" s="183" t="s">
        <v>1066</v>
      </c>
    </row>
    <row r="4" spans="1:4" x14ac:dyDescent="0.2">
      <c r="A4" s="183" t="s">
        <v>1067</v>
      </c>
    </row>
    <row r="5" spans="1:4" x14ac:dyDescent="0.2">
      <c r="A5" s="183" t="s">
        <v>1069</v>
      </c>
    </row>
    <row r="6" spans="1:4" x14ac:dyDescent="0.2">
      <c r="A6" s="183" t="s">
        <v>1068</v>
      </c>
    </row>
    <row r="7" spans="1:4" x14ac:dyDescent="0.2">
      <c r="A7" s="183" t="s">
        <v>1070</v>
      </c>
    </row>
    <row r="8" spans="1:4" x14ac:dyDescent="0.2">
      <c r="A8" s="183" t="s">
        <v>1071</v>
      </c>
    </row>
    <row r="9" spans="1:4" ht="12" customHeight="1" x14ac:dyDescent="0.25">
      <c r="A9" s="69"/>
    </row>
    <row r="10" spans="1:4" x14ac:dyDescent="0.2">
      <c r="A10" s="65"/>
      <c r="B10" s="420" t="s">
        <v>1057</v>
      </c>
      <c r="C10" s="420" t="s">
        <v>1058</v>
      </c>
      <c r="D10" s="420" t="s">
        <v>1078</v>
      </c>
    </row>
    <row r="11" spans="1:4" x14ac:dyDescent="0.2">
      <c r="A11" s="418" t="s">
        <v>1075</v>
      </c>
      <c r="B11" s="416">
        <f>'Invoer energieverbruik'!B9</f>
        <v>0</v>
      </c>
      <c r="C11" s="271">
        <f>'Kosten en Baten maatregelen'!G9</f>
        <v>0</v>
      </c>
      <c r="D11" s="421">
        <f>IF(OR(B11=0,C11=0),0,(C11-B11)/B11)</f>
        <v>0</v>
      </c>
    </row>
    <row r="12" spans="1:4" x14ac:dyDescent="0.2">
      <c r="A12" s="418" t="s">
        <v>1076</v>
      </c>
      <c r="B12" s="416">
        <f>'Invoer energieverbruik'!B7</f>
        <v>25000</v>
      </c>
      <c r="C12" s="549">
        <f>'Kosten en Baten maatregelen'!G11</f>
        <v>0</v>
      </c>
      <c r="D12" s="421">
        <f>IF(OR(B12=0,C12=0),0,(C12+B13-B12)/B12)</f>
        <v>0</v>
      </c>
    </row>
    <row r="13" spans="1:4" x14ac:dyDescent="0.2">
      <c r="A13" s="418" t="s">
        <v>1288</v>
      </c>
      <c r="B13" s="416">
        <f>'Invoer eigenopwekking'!B14</f>
        <v>0</v>
      </c>
      <c r="C13" s="550"/>
      <c r="D13" s="421"/>
    </row>
    <row r="14" spans="1:4" x14ac:dyDescent="0.2">
      <c r="A14" s="418" t="s">
        <v>1077</v>
      </c>
      <c r="B14" s="416">
        <f>'Invoer energieverbruik'!B10</f>
        <v>0</v>
      </c>
      <c r="C14" s="271">
        <f>'Kosten en Baten maatregelen'!G10</f>
        <v>0</v>
      </c>
      <c r="D14" s="421">
        <f>IF(OR(B14=0,C14=0),0,(C14-B14)/B14)</f>
        <v>0</v>
      </c>
    </row>
    <row r="17" spans="1:7" x14ac:dyDescent="0.2">
      <c r="A17" s="419" t="s">
        <v>1059</v>
      </c>
      <c r="B17" s="420" t="s">
        <v>1081</v>
      </c>
      <c r="C17" s="420" t="s">
        <v>1060</v>
      </c>
      <c r="D17" s="552" t="s">
        <v>1066</v>
      </c>
      <c r="E17" s="552"/>
    </row>
    <row r="18" spans="1:7" x14ac:dyDescent="0.2">
      <c r="A18" s="417" t="s">
        <v>1072</v>
      </c>
      <c r="B18" s="271">
        <v>1</v>
      </c>
      <c r="C18" s="431">
        <v>5</v>
      </c>
      <c r="D18" s="551" t="s">
        <v>1062</v>
      </c>
      <c r="E18" s="551"/>
    </row>
    <row r="19" spans="1:7" x14ac:dyDescent="0.2">
      <c r="A19" s="417" t="s">
        <v>1073</v>
      </c>
      <c r="B19" s="271">
        <v>10</v>
      </c>
      <c r="C19" s="431">
        <v>15</v>
      </c>
      <c r="D19" s="551" t="s">
        <v>1063</v>
      </c>
      <c r="E19" s="551"/>
    </row>
    <row r="20" spans="1:7" x14ac:dyDescent="0.2">
      <c r="A20" s="415" t="s">
        <v>1061</v>
      </c>
      <c r="B20" s="271">
        <v>4.5999999999999996</v>
      </c>
      <c r="C20" s="431">
        <v>1.5</v>
      </c>
      <c r="D20" s="551" t="s">
        <v>1064</v>
      </c>
      <c r="E20" s="551"/>
    </row>
    <row r="21" spans="1:7" ht="14.25" customHeight="1" x14ac:dyDescent="0.2">
      <c r="A21" s="417" t="s">
        <v>1123</v>
      </c>
      <c r="B21" s="271">
        <v>1</v>
      </c>
      <c r="C21" s="431">
        <v>1</v>
      </c>
      <c r="D21" s="551" t="s">
        <v>1079</v>
      </c>
      <c r="E21" s="551"/>
    </row>
    <row r="22" spans="1:7" x14ac:dyDescent="0.2">
      <c r="A22" s="415" t="s">
        <v>1074</v>
      </c>
      <c r="B22" s="271">
        <v>1</v>
      </c>
      <c r="C22" s="431">
        <v>1</v>
      </c>
      <c r="D22" s="415" t="s">
        <v>1080</v>
      </c>
      <c r="E22" s="65"/>
    </row>
    <row r="25" spans="1:7" x14ac:dyDescent="0.2">
      <c r="A25" s="242" t="s">
        <v>1124</v>
      </c>
    </row>
    <row r="30" spans="1:7" x14ac:dyDescent="0.2">
      <c r="F30" s="66"/>
      <c r="G30" s="242" t="s">
        <v>675</v>
      </c>
    </row>
    <row r="31" spans="1:7" x14ac:dyDescent="0.2">
      <c r="F31" s="65"/>
      <c r="G31" s="242" t="s">
        <v>676</v>
      </c>
    </row>
    <row r="32" spans="1:7" x14ac:dyDescent="0.2">
      <c r="F32" s="291"/>
      <c r="G32" s="242" t="s">
        <v>677</v>
      </c>
    </row>
  </sheetData>
  <mergeCells count="6">
    <mergeCell ref="C12:C13"/>
    <mergeCell ref="D21:E21"/>
    <mergeCell ref="D17:E17"/>
    <mergeCell ref="D18:E18"/>
    <mergeCell ref="D19:E19"/>
    <mergeCell ref="D20:E20"/>
  </mergeCells>
  <phoneticPr fontId="53"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8"/>
  <sheetViews>
    <sheetView zoomScaleNormal="100" workbookViewId="0">
      <selection activeCell="L1" sqref="L1:Q1"/>
    </sheetView>
  </sheetViews>
  <sheetFormatPr defaultRowHeight="12.75" x14ac:dyDescent="0.2"/>
  <cols>
    <col min="1" max="1" width="8.28515625" customWidth="1"/>
    <col min="2" max="2" width="10.28515625" customWidth="1"/>
    <col min="3" max="3" width="12" customWidth="1"/>
    <col min="4" max="4" width="10.7109375" customWidth="1"/>
    <col min="5" max="5" width="27.42578125" customWidth="1"/>
    <col min="7" max="7" width="15.5703125" customWidth="1"/>
    <col min="8" max="8" width="7.7109375" customWidth="1"/>
    <col min="9" max="9" width="43.85546875" customWidth="1"/>
    <col min="10" max="10" width="18" customWidth="1"/>
    <col min="11" max="11" width="7.28515625" customWidth="1"/>
    <col min="12" max="12" width="42.140625" customWidth="1"/>
    <col min="13" max="13" width="9" customWidth="1"/>
    <col min="14" max="14" width="42.42578125" customWidth="1"/>
    <col min="15" max="15" width="8.85546875" customWidth="1"/>
    <col min="16" max="16" width="18.140625" customWidth="1"/>
    <col min="17" max="17" width="12.7109375" customWidth="1"/>
  </cols>
  <sheetData>
    <row r="1" spans="1:17" ht="18" x14ac:dyDescent="0.25">
      <c r="A1" s="429" t="s">
        <v>304</v>
      </c>
      <c r="B1" s="50"/>
      <c r="C1" s="50"/>
      <c r="D1" s="50"/>
      <c r="E1" s="50"/>
      <c r="F1" s="50"/>
      <c r="G1" s="50"/>
      <c r="H1" s="50"/>
      <c r="I1" s="50"/>
      <c r="J1" s="50"/>
      <c r="K1" s="50"/>
      <c r="L1" s="553" t="s">
        <v>31</v>
      </c>
      <c r="M1" s="554"/>
      <c r="N1" s="554"/>
      <c r="O1" s="554"/>
      <c r="P1" s="554"/>
      <c r="Q1" s="555"/>
    </row>
    <row r="2" spans="1:17" ht="33.75" customHeight="1" x14ac:dyDescent="0.2">
      <c r="A2" s="71" t="s">
        <v>218</v>
      </c>
      <c r="B2" s="72" t="s">
        <v>170</v>
      </c>
      <c r="C2" s="289" t="s">
        <v>656</v>
      </c>
      <c r="D2" s="287" t="s">
        <v>986</v>
      </c>
      <c r="E2" s="122" t="s">
        <v>657</v>
      </c>
      <c r="F2" s="122" t="s">
        <v>444</v>
      </c>
      <c r="G2" s="290" t="s">
        <v>658</v>
      </c>
      <c r="H2" s="287" t="s">
        <v>659</v>
      </c>
      <c r="I2" s="122" t="s">
        <v>660</v>
      </c>
      <c r="J2" s="120" t="s">
        <v>661</v>
      </c>
      <c r="K2" s="73"/>
      <c r="L2" s="122" t="s">
        <v>38</v>
      </c>
      <c r="M2" s="122" t="s">
        <v>444</v>
      </c>
      <c r="N2" s="122" t="s">
        <v>660</v>
      </c>
      <c r="O2" s="122" t="s">
        <v>603</v>
      </c>
      <c r="P2" s="59" t="s">
        <v>282</v>
      </c>
      <c r="Q2" s="59" t="s">
        <v>349</v>
      </c>
    </row>
    <row r="3" spans="1:17" ht="17.100000000000001" customHeight="1" x14ac:dyDescent="0.2">
      <c r="A3" s="50"/>
      <c r="B3" s="50"/>
      <c r="C3" s="50"/>
      <c r="D3" s="391"/>
      <c r="E3" s="50"/>
      <c r="F3" s="431">
        <f>'Verwerking Bouwdelen'!K3</f>
        <v>0</v>
      </c>
      <c r="G3" s="50"/>
      <c r="H3" s="391"/>
      <c r="I3" s="50"/>
      <c r="J3" s="50"/>
      <c r="K3" s="50"/>
      <c r="L3" s="50"/>
      <c r="M3" s="431">
        <f>'Verwerking Bouwdelen'!DC3</f>
        <v>0</v>
      </c>
      <c r="N3" s="50"/>
      <c r="O3" s="431">
        <f>'Verwerking Bouwdelen'!DY3</f>
        <v>0</v>
      </c>
      <c r="P3" s="50"/>
      <c r="Q3" s="391"/>
    </row>
    <row r="4" spans="1:17" ht="17.100000000000001" customHeight="1" x14ac:dyDescent="0.2">
      <c r="A4" s="50"/>
      <c r="B4" s="50"/>
      <c r="C4" s="50"/>
      <c r="D4" s="391"/>
      <c r="E4" s="50"/>
      <c r="F4" s="431">
        <f>'Verwerking Bouwdelen'!K4</f>
        <v>0</v>
      </c>
      <c r="G4" s="50"/>
      <c r="H4" s="391"/>
      <c r="I4" s="50"/>
      <c r="J4" s="50"/>
      <c r="K4" s="50"/>
      <c r="L4" s="50"/>
      <c r="M4" s="431">
        <f>'Verwerking Bouwdelen'!DC4</f>
        <v>0</v>
      </c>
      <c r="N4" s="50"/>
      <c r="O4" s="431">
        <f>'Verwerking Bouwdelen'!DY4</f>
        <v>0</v>
      </c>
      <c r="P4" s="50"/>
      <c r="Q4" s="391"/>
    </row>
    <row r="5" spans="1:17" ht="17.100000000000001" customHeight="1" x14ac:dyDescent="0.2">
      <c r="A5" s="50"/>
      <c r="B5" s="50"/>
      <c r="C5" s="50"/>
      <c r="D5" s="391"/>
      <c r="E5" s="50"/>
      <c r="F5" s="431">
        <f>'Verwerking Bouwdelen'!K5</f>
        <v>0</v>
      </c>
      <c r="G5" s="50"/>
      <c r="H5" s="391"/>
      <c r="I5" s="50"/>
      <c r="J5" s="50"/>
      <c r="K5" s="50"/>
      <c r="L5" s="50"/>
      <c r="M5" s="431">
        <f>'Verwerking Bouwdelen'!DC5</f>
        <v>0</v>
      </c>
      <c r="N5" s="50"/>
      <c r="O5" s="431">
        <f>'Verwerking Bouwdelen'!DY5</f>
        <v>0</v>
      </c>
      <c r="P5" s="50"/>
      <c r="Q5" s="391"/>
    </row>
    <row r="6" spans="1:17" ht="17.100000000000001" customHeight="1" x14ac:dyDescent="0.2">
      <c r="A6" s="50"/>
      <c r="B6" s="50"/>
      <c r="C6" s="50"/>
      <c r="D6" s="391"/>
      <c r="E6" s="50"/>
      <c r="F6" s="431">
        <f>'Verwerking Bouwdelen'!K6</f>
        <v>0</v>
      </c>
      <c r="G6" s="50"/>
      <c r="H6" s="391"/>
      <c r="I6" s="50"/>
      <c r="J6" s="50"/>
      <c r="K6" s="50"/>
      <c r="L6" s="50"/>
      <c r="M6" s="431">
        <f>'Verwerking Bouwdelen'!DC6</f>
        <v>0</v>
      </c>
      <c r="N6" s="50"/>
      <c r="O6" s="431">
        <f>'Verwerking Bouwdelen'!DY6</f>
        <v>0</v>
      </c>
      <c r="P6" s="50"/>
      <c r="Q6" s="391"/>
    </row>
    <row r="7" spans="1:17" ht="17.100000000000001" customHeight="1" x14ac:dyDescent="0.2">
      <c r="A7" s="50"/>
      <c r="B7" s="50"/>
      <c r="C7" s="50"/>
      <c r="D7" s="391"/>
      <c r="E7" s="50"/>
      <c r="F7" s="431">
        <f>'Verwerking Bouwdelen'!K7</f>
        <v>0</v>
      </c>
      <c r="G7" s="50"/>
      <c r="H7" s="391"/>
      <c r="I7" s="50"/>
      <c r="J7" s="50"/>
      <c r="K7" s="50"/>
      <c r="L7" s="50"/>
      <c r="M7" s="431">
        <f>'Verwerking Bouwdelen'!DC7</f>
        <v>0</v>
      </c>
      <c r="N7" s="50"/>
      <c r="O7" s="431">
        <f>'Verwerking Bouwdelen'!DY7</f>
        <v>0</v>
      </c>
      <c r="P7" s="50"/>
      <c r="Q7" s="391"/>
    </row>
    <row r="8" spans="1:17" ht="17.100000000000001" customHeight="1" x14ac:dyDescent="0.2">
      <c r="A8" s="50"/>
      <c r="B8" s="50"/>
      <c r="C8" s="50"/>
      <c r="D8" s="391"/>
      <c r="E8" s="50"/>
      <c r="F8" s="431">
        <f>'Verwerking Bouwdelen'!K8</f>
        <v>0</v>
      </c>
      <c r="G8" s="50"/>
      <c r="H8" s="391"/>
      <c r="I8" s="50"/>
      <c r="J8" s="50"/>
      <c r="K8" s="50"/>
      <c r="L8" s="50"/>
      <c r="M8" s="431">
        <f>'Verwerking Bouwdelen'!DC8</f>
        <v>0</v>
      </c>
      <c r="N8" s="50"/>
      <c r="O8" s="431">
        <f>'Verwerking Bouwdelen'!DY8</f>
        <v>0</v>
      </c>
      <c r="P8" s="50"/>
      <c r="Q8" s="391"/>
    </row>
    <row r="9" spans="1:17" ht="17.100000000000001" customHeight="1" x14ac:dyDescent="0.2">
      <c r="A9" s="50"/>
      <c r="B9" s="50"/>
      <c r="C9" s="50"/>
      <c r="D9" s="391"/>
      <c r="E9" s="50"/>
      <c r="F9" s="431">
        <f>'Verwerking Bouwdelen'!K9</f>
        <v>0</v>
      </c>
      <c r="G9" s="50"/>
      <c r="H9" s="391"/>
      <c r="I9" s="50"/>
      <c r="J9" s="50"/>
      <c r="K9" s="50"/>
      <c r="L9" s="50"/>
      <c r="M9" s="431">
        <f>'Verwerking Bouwdelen'!DC9</f>
        <v>0</v>
      </c>
      <c r="N9" s="50"/>
      <c r="O9" s="431">
        <f>'Verwerking Bouwdelen'!DY9</f>
        <v>0</v>
      </c>
      <c r="P9" s="50"/>
      <c r="Q9" s="391"/>
    </row>
    <row r="10" spans="1:17" ht="17.100000000000001" customHeight="1" x14ac:dyDescent="0.2">
      <c r="A10" s="50"/>
      <c r="B10" s="50"/>
      <c r="C10" s="50"/>
      <c r="D10" s="391"/>
      <c r="E10" s="50"/>
      <c r="F10" s="431">
        <f>'Verwerking Bouwdelen'!K10</f>
        <v>0</v>
      </c>
      <c r="G10" s="50"/>
      <c r="H10" s="391"/>
      <c r="I10" s="50"/>
      <c r="J10" s="50"/>
      <c r="K10" s="50"/>
      <c r="L10" s="50"/>
      <c r="M10" s="431">
        <f>'Verwerking Bouwdelen'!DC10</f>
        <v>0</v>
      </c>
      <c r="N10" s="50"/>
      <c r="O10" s="431">
        <f>'Verwerking Bouwdelen'!DY10</f>
        <v>0</v>
      </c>
      <c r="P10" s="50"/>
      <c r="Q10" s="391"/>
    </row>
    <row r="11" spans="1:17" ht="17.100000000000001" customHeight="1" x14ac:dyDescent="0.2">
      <c r="A11" s="50"/>
      <c r="B11" s="50"/>
      <c r="C11" s="50"/>
      <c r="D11" s="391"/>
      <c r="E11" s="50"/>
      <c r="F11" s="431">
        <f>'Verwerking Bouwdelen'!K11</f>
        <v>0</v>
      </c>
      <c r="G11" s="50"/>
      <c r="H11" s="391"/>
      <c r="I11" s="50"/>
      <c r="J11" s="50"/>
      <c r="K11" s="50"/>
      <c r="L11" s="50"/>
      <c r="M11" s="431">
        <f>'Verwerking Bouwdelen'!DC11</f>
        <v>0</v>
      </c>
      <c r="N11" s="50"/>
      <c r="O11" s="431">
        <f>'Verwerking Bouwdelen'!DY11</f>
        <v>0</v>
      </c>
      <c r="P11" s="50"/>
      <c r="Q11" s="391"/>
    </row>
    <row r="12" spans="1:17" ht="17.100000000000001" customHeight="1" x14ac:dyDescent="0.2">
      <c r="A12" s="50"/>
      <c r="B12" s="50"/>
      <c r="C12" s="50"/>
      <c r="D12" s="391"/>
      <c r="E12" s="50"/>
      <c r="F12" s="431">
        <f>'Verwerking Bouwdelen'!K12</f>
        <v>0</v>
      </c>
      <c r="G12" s="50"/>
      <c r="H12" s="391"/>
      <c r="I12" s="50"/>
      <c r="J12" s="50"/>
      <c r="K12" s="50"/>
      <c r="L12" s="50"/>
      <c r="M12" s="431">
        <f>'Verwerking Bouwdelen'!DC12</f>
        <v>0</v>
      </c>
      <c r="N12" s="50"/>
      <c r="O12" s="431">
        <f>'Verwerking Bouwdelen'!DY12</f>
        <v>0</v>
      </c>
      <c r="P12" s="50"/>
      <c r="Q12" s="391"/>
    </row>
    <row r="13" spans="1:17" ht="17.100000000000001" customHeight="1" x14ac:dyDescent="0.2">
      <c r="A13" s="50"/>
      <c r="B13" s="50"/>
      <c r="C13" s="50"/>
      <c r="D13" s="391"/>
      <c r="E13" s="50"/>
      <c r="F13" s="431">
        <f>'Verwerking Bouwdelen'!K13</f>
        <v>0</v>
      </c>
      <c r="G13" s="50"/>
      <c r="H13" s="391"/>
      <c r="I13" s="50"/>
      <c r="J13" s="50"/>
      <c r="K13" s="50"/>
      <c r="L13" s="50"/>
      <c r="M13" s="431">
        <f>'Verwerking Bouwdelen'!DC13</f>
        <v>0</v>
      </c>
      <c r="N13" s="50"/>
      <c r="O13" s="431">
        <f>'Verwerking Bouwdelen'!DY13</f>
        <v>0</v>
      </c>
      <c r="P13" s="50"/>
      <c r="Q13" s="391"/>
    </row>
    <row r="14" spans="1:17" ht="17.100000000000001" customHeight="1" x14ac:dyDescent="0.2">
      <c r="A14" s="50"/>
      <c r="B14" s="50"/>
      <c r="C14" s="50"/>
      <c r="D14" s="391"/>
      <c r="E14" s="50"/>
      <c r="F14" s="431">
        <f>'Verwerking Bouwdelen'!K14</f>
        <v>0</v>
      </c>
      <c r="G14" s="50"/>
      <c r="H14" s="391"/>
      <c r="I14" s="50"/>
      <c r="J14" s="50"/>
      <c r="K14" s="50"/>
      <c r="L14" s="50"/>
      <c r="M14" s="431">
        <f>'Verwerking Bouwdelen'!DC14</f>
        <v>0</v>
      </c>
      <c r="N14" s="50"/>
      <c r="O14" s="431">
        <f>'Verwerking Bouwdelen'!DY14</f>
        <v>0</v>
      </c>
      <c r="P14" s="50"/>
      <c r="Q14" s="391"/>
    </row>
    <row r="15" spans="1:17" ht="17.100000000000001" customHeight="1" x14ac:dyDescent="0.2">
      <c r="A15" s="50"/>
      <c r="B15" s="50"/>
      <c r="C15" s="50"/>
      <c r="D15" s="391"/>
      <c r="E15" s="50"/>
      <c r="F15" s="431">
        <f>'Verwerking Bouwdelen'!K15</f>
        <v>0</v>
      </c>
      <c r="G15" s="50"/>
      <c r="H15" s="391"/>
      <c r="I15" s="50"/>
      <c r="J15" s="50"/>
      <c r="K15" s="50"/>
      <c r="L15" s="50"/>
      <c r="M15" s="431">
        <f>'Verwerking Bouwdelen'!DC15</f>
        <v>0</v>
      </c>
      <c r="N15" s="50"/>
      <c r="O15" s="431">
        <f>'Verwerking Bouwdelen'!DY15</f>
        <v>0</v>
      </c>
      <c r="P15" s="50"/>
      <c r="Q15" s="391"/>
    </row>
    <row r="16" spans="1:17" ht="17.100000000000001" customHeight="1" x14ac:dyDescent="0.2">
      <c r="A16" s="50"/>
      <c r="B16" s="50"/>
      <c r="C16" s="50"/>
      <c r="D16" s="391"/>
      <c r="E16" s="50"/>
      <c r="F16" s="431">
        <f>'Verwerking Bouwdelen'!K16</f>
        <v>0</v>
      </c>
      <c r="G16" s="50"/>
      <c r="H16" s="391"/>
      <c r="I16" s="50"/>
      <c r="J16" s="50"/>
      <c r="K16" s="50"/>
      <c r="L16" s="50"/>
      <c r="M16" s="431">
        <f>'Verwerking Bouwdelen'!DC16</f>
        <v>0</v>
      </c>
      <c r="N16" s="50"/>
      <c r="O16" s="431">
        <f>'Verwerking Bouwdelen'!DY16</f>
        <v>0</v>
      </c>
      <c r="P16" s="50"/>
      <c r="Q16" s="391"/>
    </row>
    <row r="17" spans="1:17" ht="17.100000000000001" customHeight="1" x14ac:dyDescent="0.2">
      <c r="A17" s="50"/>
      <c r="B17" s="50"/>
      <c r="C17" s="50"/>
      <c r="D17" s="391"/>
      <c r="E17" s="50"/>
      <c r="F17" s="431">
        <f>'Verwerking Bouwdelen'!K17</f>
        <v>0</v>
      </c>
      <c r="G17" s="50"/>
      <c r="H17" s="391"/>
      <c r="I17" s="50"/>
      <c r="J17" s="50"/>
      <c r="K17" s="50"/>
      <c r="L17" s="50"/>
      <c r="M17" s="431">
        <f>'Verwerking Bouwdelen'!DC17</f>
        <v>0</v>
      </c>
      <c r="N17" s="50"/>
      <c r="O17" s="431">
        <f>'Verwerking Bouwdelen'!DY17</f>
        <v>0</v>
      </c>
      <c r="P17" s="50"/>
      <c r="Q17" s="391"/>
    </row>
    <row r="18" spans="1:17" ht="17.100000000000001" customHeight="1" x14ac:dyDescent="0.2">
      <c r="A18" s="50"/>
      <c r="B18" s="50"/>
      <c r="C18" s="50"/>
      <c r="D18" s="391"/>
      <c r="E18" s="50"/>
      <c r="F18" s="431">
        <f>'Verwerking Bouwdelen'!K18</f>
        <v>0</v>
      </c>
      <c r="G18" s="50"/>
      <c r="H18" s="391"/>
      <c r="I18" s="50"/>
      <c r="J18" s="50"/>
      <c r="K18" s="50"/>
      <c r="L18" s="50"/>
      <c r="M18" s="431">
        <f>'Verwerking Bouwdelen'!DC18</f>
        <v>0</v>
      </c>
      <c r="N18" s="50"/>
      <c r="O18" s="431">
        <f>'Verwerking Bouwdelen'!DY18</f>
        <v>0</v>
      </c>
      <c r="P18" s="50"/>
      <c r="Q18" s="391"/>
    </row>
    <row r="19" spans="1:17" ht="17.100000000000001" customHeight="1" x14ac:dyDescent="0.2">
      <c r="A19" s="50"/>
      <c r="B19" s="50"/>
      <c r="C19" s="50"/>
      <c r="D19" s="391"/>
      <c r="E19" s="50"/>
      <c r="F19" s="431">
        <f>'Verwerking Bouwdelen'!K19</f>
        <v>0</v>
      </c>
      <c r="G19" s="50"/>
      <c r="H19" s="391"/>
      <c r="I19" s="50"/>
      <c r="J19" s="50"/>
      <c r="K19" s="50"/>
      <c r="L19" s="50"/>
      <c r="M19" s="431">
        <f>'Verwerking Bouwdelen'!DC19</f>
        <v>0</v>
      </c>
      <c r="N19" s="50"/>
      <c r="O19" s="431">
        <f>'Verwerking Bouwdelen'!DY19</f>
        <v>0</v>
      </c>
      <c r="P19" s="50"/>
      <c r="Q19" s="391"/>
    </row>
    <row r="20" spans="1:17" ht="17.100000000000001" customHeight="1" x14ac:dyDescent="0.2">
      <c r="A20" s="50"/>
      <c r="B20" s="50"/>
      <c r="C20" s="50"/>
      <c r="D20" s="391"/>
      <c r="E20" s="50"/>
      <c r="F20" s="431">
        <f>'Verwerking Bouwdelen'!K20</f>
        <v>0</v>
      </c>
      <c r="G20" s="50"/>
      <c r="H20" s="391"/>
      <c r="I20" s="50"/>
      <c r="J20" s="50"/>
      <c r="K20" s="50"/>
      <c r="L20" s="50"/>
      <c r="M20" s="431">
        <f>'Verwerking Bouwdelen'!DC20</f>
        <v>0</v>
      </c>
      <c r="N20" s="50"/>
      <c r="O20" s="431">
        <f>'Verwerking Bouwdelen'!DY20</f>
        <v>0</v>
      </c>
      <c r="P20" s="50"/>
      <c r="Q20" s="391"/>
    </row>
    <row r="21" spans="1:17" ht="17.100000000000001" customHeight="1" x14ac:dyDescent="0.2">
      <c r="A21" s="50"/>
      <c r="B21" s="50"/>
      <c r="C21" s="50"/>
      <c r="D21" s="391"/>
      <c r="E21" s="50"/>
      <c r="F21" s="431">
        <f>'Verwerking Bouwdelen'!K21</f>
        <v>0</v>
      </c>
      <c r="G21" s="50"/>
      <c r="H21" s="391"/>
      <c r="I21" s="50"/>
      <c r="J21" s="50"/>
      <c r="K21" s="50"/>
      <c r="L21" s="50"/>
      <c r="M21" s="431">
        <f>'Verwerking Bouwdelen'!DC21</f>
        <v>0</v>
      </c>
      <c r="N21" s="50"/>
      <c r="O21" s="431">
        <f>'Verwerking Bouwdelen'!DY21</f>
        <v>0</v>
      </c>
      <c r="P21" s="50"/>
      <c r="Q21" s="391"/>
    </row>
    <row r="22" spans="1:17" ht="17.100000000000001" customHeight="1" x14ac:dyDescent="0.2">
      <c r="A22" s="50"/>
      <c r="B22" s="50"/>
      <c r="C22" s="50"/>
      <c r="D22" s="391"/>
      <c r="E22" s="50"/>
      <c r="F22" s="431">
        <f>'Verwerking Bouwdelen'!K22</f>
        <v>0</v>
      </c>
      <c r="G22" s="50"/>
      <c r="H22" s="391"/>
      <c r="I22" s="50"/>
      <c r="J22" s="50"/>
      <c r="K22" s="50"/>
      <c r="L22" s="50"/>
      <c r="M22" s="431">
        <f>'Verwerking Bouwdelen'!DC22</f>
        <v>0</v>
      </c>
      <c r="N22" s="50"/>
      <c r="O22" s="431">
        <f>'Verwerking Bouwdelen'!DY22</f>
        <v>0</v>
      </c>
      <c r="P22" s="50"/>
      <c r="Q22" s="391"/>
    </row>
    <row r="23" spans="1:17" ht="17.100000000000001" customHeight="1" x14ac:dyDescent="0.2">
      <c r="A23" s="50"/>
      <c r="B23" s="50"/>
      <c r="C23" s="50"/>
      <c r="D23" s="391"/>
      <c r="E23" s="50"/>
      <c r="F23" s="431">
        <f>'Verwerking Bouwdelen'!K23</f>
        <v>0</v>
      </c>
      <c r="G23" s="50"/>
      <c r="H23" s="391"/>
      <c r="I23" s="50"/>
      <c r="J23" s="50"/>
      <c r="K23" s="50"/>
      <c r="L23" s="50"/>
      <c r="M23" s="431">
        <f>'Verwerking Bouwdelen'!DC23</f>
        <v>0</v>
      </c>
      <c r="N23" s="50"/>
      <c r="O23" s="431">
        <f>'Verwerking Bouwdelen'!DY23</f>
        <v>0</v>
      </c>
      <c r="P23" s="50"/>
      <c r="Q23" s="391"/>
    </row>
    <row r="24" spans="1:17" ht="17.100000000000001" customHeight="1" x14ac:dyDescent="0.2">
      <c r="A24" s="50"/>
      <c r="B24" s="50"/>
      <c r="C24" s="50"/>
      <c r="D24" s="391"/>
      <c r="E24" s="50"/>
      <c r="F24" s="431">
        <f>'Verwerking Bouwdelen'!K24</f>
        <v>0</v>
      </c>
      <c r="G24" s="50"/>
      <c r="H24" s="391"/>
      <c r="I24" s="50"/>
      <c r="J24" s="50"/>
      <c r="K24" s="50"/>
      <c r="L24" s="50"/>
      <c r="M24" s="431">
        <f>'Verwerking Bouwdelen'!DC24</f>
        <v>0</v>
      </c>
      <c r="N24" s="50"/>
      <c r="O24" s="431">
        <f>'Verwerking Bouwdelen'!DY24</f>
        <v>0</v>
      </c>
      <c r="P24" s="50"/>
      <c r="Q24" s="391"/>
    </row>
    <row r="25" spans="1:17" ht="17.100000000000001" customHeight="1" x14ac:dyDescent="0.2">
      <c r="A25" s="50"/>
      <c r="B25" s="50"/>
      <c r="C25" s="50"/>
      <c r="D25" s="391"/>
      <c r="E25" s="50"/>
      <c r="F25" s="431">
        <f>'Verwerking Bouwdelen'!K25</f>
        <v>0</v>
      </c>
      <c r="G25" s="50"/>
      <c r="H25" s="391"/>
      <c r="I25" s="50"/>
      <c r="J25" s="50"/>
      <c r="K25" s="50"/>
      <c r="L25" s="50"/>
      <c r="M25" s="431">
        <f>'Verwerking Bouwdelen'!DC25</f>
        <v>0</v>
      </c>
      <c r="N25" s="50"/>
      <c r="O25" s="431">
        <f>'Verwerking Bouwdelen'!DY25</f>
        <v>0</v>
      </c>
      <c r="P25" s="50"/>
      <c r="Q25" s="391"/>
    </row>
    <row r="26" spans="1:17" ht="17.100000000000001" customHeight="1" x14ac:dyDescent="0.2">
      <c r="A26" s="50"/>
      <c r="B26" s="50"/>
      <c r="C26" s="50"/>
      <c r="D26" s="391"/>
      <c r="E26" s="50"/>
      <c r="F26" s="431">
        <f>'Verwerking Bouwdelen'!K26</f>
        <v>0</v>
      </c>
      <c r="G26" s="50"/>
      <c r="H26" s="391"/>
      <c r="I26" s="50"/>
      <c r="J26" s="50"/>
      <c r="K26" s="50"/>
      <c r="L26" s="50"/>
      <c r="M26" s="431">
        <f>'Verwerking Bouwdelen'!DC26</f>
        <v>0</v>
      </c>
      <c r="N26" s="50"/>
      <c r="O26" s="431">
        <f>'Verwerking Bouwdelen'!DY26</f>
        <v>0</v>
      </c>
      <c r="P26" s="50"/>
      <c r="Q26" s="391"/>
    </row>
    <row r="27" spans="1:17" ht="17.100000000000001" customHeight="1" x14ac:dyDescent="0.2">
      <c r="A27" s="50"/>
      <c r="B27" s="50"/>
      <c r="C27" s="50"/>
      <c r="D27" s="391"/>
      <c r="E27" s="50"/>
      <c r="F27" s="431">
        <f>'Verwerking Bouwdelen'!K27</f>
        <v>0</v>
      </c>
      <c r="G27" s="50"/>
      <c r="H27" s="391"/>
      <c r="I27" s="50"/>
      <c r="J27" s="50"/>
      <c r="K27" s="50"/>
      <c r="L27" s="50"/>
      <c r="M27" s="431">
        <f>'Verwerking Bouwdelen'!DC27</f>
        <v>0</v>
      </c>
      <c r="N27" s="50"/>
      <c r="O27" s="431">
        <f>'Verwerking Bouwdelen'!DY27</f>
        <v>0</v>
      </c>
      <c r="P27" s="50"/>
      <c r="Q27" s="391"/>
    </row>
    <row r="28" spans="1:17" ht="17.100000000000001" customHeight="1" x14ac:dyDescent="0.2">
      <c r="A28" s="50"/>
      <c r="B28" s="50"/>
      <c r="C28" s="50"/>
      <c r="D28" s="391"/>
      <c r="E28" s="50"/>
      <c r="F28" s="431">
        <f>'Verwerking Bouwdelen'!K28</f>
        <v>0</v>
      </c>
      <c r="G28" s="50"/>
      <c r="H28" s="391"/>
      <c r="I28" s="50"/>
      <c r="J28" s="50"/>
      <c r="K28" s="50"/>
      <c r="L28" s="50"/>
      <c r="M28" s="431">
        <f>'Verwerking Bouwdelen'!DC28</f>
        <v>0</v>
      </c>
      <c r="N28" s="50"/>
      <c r="O28" s="431">
        <f>'Verwerking Bouwdelen'!DY28</f>
        <v>0</v>
      </c>
      <c r="P28" s="50"/>
      <c r="Q28" s="391"/>
    </row>
    <row r="29" spans="1:17" ht="17.100000000000001" customHeight="1" x14ac:dyDescent="0.2">
      <c r="A29" s="50"/>
      <c r="B29" s="50"/>
      <c r="C29" s="50"/>
      <c r="D29" s="391"/>
      <c r="E29" s="50"/>
      <c r="F29" s="431">
        <f>'Verwerking Bouwdelen'!K29</f>
        <v>0</v>
      </c>
      <c r="G29" s="50"/>
      <c r="H29" s="391"/>
      <c r="I29" s="50"/>
      <c r="J29" s="50"/>
      <c r="K29" s="50"/>
      <c r="L29" s="50"/>
      <c r="M29" s="431">
        <f>'Verwerking Bouwdelen'!DC29</f>
        <v>0</v>
      </c>
      <c r="N29" s="50"/>
      <c r="O29" s="431">
        <f>'Verwerking Bouwdelen'!DY29</f>
        <v>0</v>
      </c>
      <c r="P29" s="50"/>
      <c r="Q29" s="391"/>
    </row>
    <row r="30" spans="1:17" ht="17.100000000000001" customHeight="1" x14ac:dyDescent="0.2">
      <c r="A30" s="50"/>
      <c r="B30" s="50"/>
      <c r="C30" s="50"/>
      <c r="D30" s="391"/>
      <c r="E30" s="50"/>
      <c r="F30" s="431">
        <f>'Verwerking Bouwdelen'!K30</f>
        <v>0</v>
      </c>
      <c r="G30" s="50"/>
      <c r="H30" s="391"/>
      <c r="I30" s="50"/>
      <c r="J30" s="50"/>
      <c r="K30" s="50"/>
      <c r="L30" s="50"/>
      <c r="M30" s="431">
        <f>'Verwerking Bouwdelen'!DC30</f>
        <v>0</v>
      </c>
      <c r="N30" s="50"/>
      <c r="O30" s="431">
        <f>'Verwerking Bouwdelen'!DY30</f>
        <v>0</v>
      </c>
      <c r="P30" s="50"/>
      <c r="Q30" s="391"/>
    </row>
    <row r="31" spans="1:17" ht="17.100000000000001" customHeight="1" x14ac:dyDescent="0.2">
      <c r="A31" s="50"/>
      <c r="B31" s="50"/>
      <c r="C31" s="50"/>
      <c r="D31" s="391"/>
      <c r="E31" s="50"/>
      <c r="F31" s="431">
        <f>'Verwerking Bouwdelen'!K31</f>
        <v>0</v>
      </c>
      <c r="G31" s="50"/>
      <c r="H31" s="391"/>
      <c r="I31" s="50"/>
      <c r="J31" s="50"/>
      <c r="K31" s="50"/>
      <c r="L31" s="50"/>
      <c r="M31" s="431">
        <f>'Verwerking Bouwdelen'!DC31</f>
        <v>0</v>
      </c>
      <c r="N31" s="50"/>
      <c r="O31" s="431">
        <f>'Verwerking Bouwdelen'!DY31</f>
        <v>0</v>
      </c>
      <c r="P31" s="50"/>
      <c r="Q31" s="391"/>
    </row>
    <row r="32" spans="1:17" ht="17.100000000000001" customHeight="1" x14ac:dyDescent="0.2">
      <c r="A32" s="50"/>
      <c r="B32" s="50"/>
      <c r="C32" s="50"/>
      <c r="D32" s="391"/>
      <c r="E32" s="50"/>
      <c r="F32" s="431">
        <f>'Verwerking Bouwdelen'!K32</f>
        <v>0</v>
      </c>
      <c r="G32" s="50"/>
      <c r="H32" s="391"/>
      <c r="I32" s="50"/>
      <c r="J32" s="50"/>
      <c r="K32" s="50"/>
      <c r="L32" s="50"/>
      <c r="M32" s="431">
        <f>'Verwerking Bouwdelen'!DC32</f>
        <v>0</v>
      </c>
      <c r="N32" s="50"/>
      <c r="O32" s="431">
        <f>'Verwerking Bouwdelen'!DY32</f>
        <v>0</v>
      </c>
      <c r="P32" s="50"/>
      <c r="Q32" s="391"/>
    </row>
    <row r="33" spans="1:17" ht="17.100000000000001" customHeight="1" x14ac:dyDescent="0.2">
      <c r="A33" s="50"/>
      <c r="B33" s="50"/>
      <c r="C33" s="50"/>
      <c r="D33" s="391"/>
      <c r="E33" s="50"/>
      <c r="F33" s="431">
        <f>'Verwerking Bouwdelen'!K33</f>
        <v>0</v>
      </c>
      <c r="G33" s="50"/>
      <c r="H33" s="391"/>
      <c r="I33" s="50"/>
      <c r="J33" s="50"/>
      <c r="K33" s="50"/>
      <c r="L33" s="50"/>
      <c r="M33" s="431">
        <f>'Verwerking Bouwdelen'!DC33</f>
        <v>0</v>
      </c>
      <c r="N33" s="50"/>
      <c r="O33" s="431">
        <f>'Verwerking Bouwdelen'!DY33</f>
        <v>0</v>
      </c>
      <c r="P33" s="50"/>
      <c r="Q33" s="391"/>
    </row>
    <row r="34" spans="1:17" ht="17.100000000000001" customHeight="1" x14ac:dyDescent="0.2">
      <c r="A34" s="50"/>
      <c r="B34" s="50"/>
      <c r="C34" s="50"/>
      <c r="D34" s="391"/>
      <c r="E34" s="50"/>
      <c r="F34" s="431">
        <f>'Verwerking Bouwdelen'!K34</f>
        <v>0</v>
      </c>
      <c r="G34" s="50"/>
      <c r="H34" s="391"/>
      <c r="I34" s="50"/>
      <c r="J34" s="50"/>
      <c r="K34" s="50"/>
      <c r="L34" s="50"/>
      <c r="M34" s="431">
        <f>'Verwerking Bouwdelen'!DC34</f>
        <v>0</v>
      </c>
      <c r="N34" s="50"/>
      <c r="O34" s="431">
        <f>'Verwerking Bouwdelen'!DY34</f>
        <v>0</v>
      </c>
      <c r="P34" s="50"/>
      <c r="Q34" s="391"/>
    </row>
    <row r="35" spans="1:17" ht="17.100000000000001" customHeight="1" x14ac:dyDescent="0.2">
      <c r="A35" s="50"/>
      <c r="B35" s="50"/>
      <c r="C35" s="50"/>
      <c r="D35" s="391"/>
      <c r="E35" s="50"/>
      <c r="F35" s="431">
        <f>'Verwerking Bouwdelen'!K35</f>
        <v>0</v>
      </c>
      <c r="G35" s="50"/>
      <c r="H35" s="391"/>
      <c r="I35" s="50"/>
      <c r="J35" s="50"/>
      <c r="K35" s="50"/>
      <c r="L35" s="50"/>
      <c r="M35" s="431">
        <f>'Verwerking Bouwdelen'!DC35</f>
        <v>0</v>
      </c>
      <c r="N35" s="50"/>
      <c r="O35" s="431">
        <f>'Verwerking Bouwdelen'!DY35</f>
        <v>0</v>
      </c>
      <c r="P35" s="50"/>
      <c r="Q35" s="391"/>
    </row>
    <row r="36" spans="1:17" ht="17.100000000000001" customHeight="1" x14ac:dyDescent="0.2">
      <c r="A36" s="50"/>
      <c r="B36" s="50"/>
      <c r="C36" s="50"/>
      <c r="D36" s="391"/>
      <c r="E36" s="50"/>
      <c r="F36" s="431">
        <f>'Verwerking Bouwdelen'!K36</f>
        <v>0</v>
      </c>
      <c r="G36" s="50"/>
      <c r="H36" s="391"/>
      <c r="I36" s="50"/>
      <c r="J36" s="50"/>
      <c r="K36" s="50"/>
      <c r="L36" s="50"/>
      <c r="M36" s="431">
        <f>'Verwerking Bouwdelen'!DC36</f>
        <v>0</v>
      </c>
      <c r="N36" s="50"/>
      <c r="O36" s="431">
        <f>'Verwerking Bouwdelen'!DY36</f>
        <v>0</v>
      </c>
      <c r="P36" s="50"/>
      <c r="Q36" s="391"/>
    </row>
    <row r="37" spans="1:17" ht="17.100000000000001" customHeight="1" x14ac:dyDescent="0.2">
      <c r="A37" s="50"/>
      <c r="B37" s="50"/>
      <c r="C37" s="50"/>
      <c r="D37" s="391"/>
      <c r="E37" s="50"/>
      <c r="F37" s="431">
        <f>'Verwerking Bouwdelen'!K37</f>
        <v>0</v>
      </c>
      <c r="G37" s="50"/>
      <c r="H37" s="391"/>
      <c r="I37" s="50"/>
      <c r="J37" s="50"/>
      <c r="K37" s="50"/>
      <c r="L37" s="50"/>
      <c r="M37" s="431">
        <f>'Verwerking Bouwdelen'!DC37</f>
        <v>0</v>
      </c>
      <c r="N37" s="50"/>
      <c r="O37" s="431">
        <f>'Verwerking Bouwdelen'!DY37</f>
        <v>0</v>
      </c>
      <c r="P37" s="50"/>
      <c r="Q37" s="391"/>
    </row>
    <row r="38" spans="1:17" ht="17.100000000000001" customHeight="1" x14ac:dyDescent="0.2">
      <c r="A38" s="50"/>
      <c r="B38" s="50"/>
      <c r="C38" s="50"/>
      <c r="D38" s="391"/>
      <c r="E38" s="50"/>
      <c r="F38" s="431">
        <f>'Verwerking Bouwdelen'!K38</f>
        <v>0</v>
      </c>
      <c r="G38" s="50"/>
      <c r="H38" s="391"/>
      <c r="I38" s="50"/>
      <c r="J38" s="50"/>
      <c r="K38" s="50"/>
      <c r="L38" s="50"/>
      <c r="M38" s="431">
        <f>'Verwerking Bouwdelen'!DC38</f>
        <v>0</v>
      </c>
      <c r="N38" s="50"/>
      <c r="O38" s="431">
        <f>'Verwerking Bouwdelen'!DY38</f>
        <v>0</v>
      </c>
      <c r="P38" s="50"/>
      <c r="Q38" s="391"/>
    </row>
    <row r="39" spans="1:17" ht="17.100000000000001" customHeight="1" x14ac:dyDescent="0.2">
      <c r="A39" s="50"/>
      <c r="B39" s="50"/>
      <c r="C39" s="50"/>
      <c r="D39" s="391"/>
      <c r="E39" s="50"/>
      <c r="F39" s="431">
        <f>'Verwerking Bouwdelen'!K39</f>
        <v>0</v>
      </c>
      <c r="G39" s="50"/>
      <c r="H39" s="391"/>
      <c r="I39" s="50"/>
      <c r="J39" s="50"/>
      <c r="K39" s="50"/>
      <c r="L39" s="50"/>
      <c r="M39" s="431">
        <f>'Verwerking Bouwdelen'!DC39</f>
        <v>0</v>
      </c>
      <c r="N39" s="50"/>
      <c r="O39" s="431">
        <f>'Verwerking Bouwdelen'!DY39</f>
        <v>0</v>
      </c>
      <c r="P39" s="50"/>
      <c r="Q39" s="391"/>
    </row>
    <row r="40" spans="1:17" ht="17.100000000000001" customHeight="1" x14ac:dyDescent="0.2">
      <c r="A40" s="50"/>
      <c r="B40" s="50"/>
      <c r="C40" s="50"/>
      <c r="D40" s="391"/>
      <c r="E40" s="50"/>
      <c r="F40" s="431">
        <f>'Verwerking Bouwdelen'!K40</f>
        <v>0</v>
      </c>
      <c r="G40" s="50"/>
      <c r="H40" s="391"/>
      <c r="I40" s="50"/>
      <c r="J40" s="50"/>
      <c r="K40" s="50"/>
      <c r="L40" s="50"/>
      <c r="M40" s="431">
        <f>'Verwerking Bouwdelen'!DC40</f>
        <v>0</v>
      </c>
      <c r="N40" s="50"/>
      <c r="O40" s="431">
        <f>'Verwerking Bouwdelen'!DY40</f>
        <v>0</v>
      </c>
      <c r="P40" s="50"/>
      <c r="Q40" s="391"/>
    </row>
    <row r="41" spans="1:17" ht="17.100000000000001" customHeight="1" x14ac:dyDescent="0.2">
      <c r="A41" s="50"/>
      <c r="B41" s="50"/>
      <c r="C41" s="50"/>
      <c r="D41" s="391"/>
      <c r="E41" s="50"/>
      <c r="F41" s="431">
        <f>'Verwerking Bouwdelen'!K41</f>
        <v>0</v>
      </c>
      <c r="G41" s="50"/>
      <c r="H41" s="391"/>
      <c r="I41" s="50"/>
      <c r="J41" s="50"/>
      <c r="K41" s="50"/>
      <c r="L41" s="50"/>
      <c r="M41" s="431">
        <f>'Verwerking Bouwdelen'!DC41</f>
        <v>0</v>
      </c>
      <c r="N41" s="50"/>
      <c r="O41" s="431">
        <f>'Verwerking Bouwdelen'!DY41</f>
        <v>0</v>
      </c>
      <c r="P41" s="50"/>
      <c r="Q41" s="391"/>
    </row>
    <row r="42" spans="1:17" ht="17.100000000000001" customHeight="1" x14ac:dyDescent="0.2">
      <c r="A42" s="50"/>
      <c r="B42" s="50"/>
      <c r="C42" s="50"/>
      <c r="D42" s="391"/>
      <c r="E42" s="50"/>
      <c r="F42" s="431">
        <f>'Verwerking Bouwdelen'!K42</f>
        <v>0</v>
      </c>
      <c r="G42" s="50"/>
      <c r="H42" s="391"/>
      <c r="I42" s="50"/>
      <c r="J42" s="50"/>
      <c r="K42" s="50"/>
      <c r="L42" s="50"/>
      <c r="M42" s="431">
        <f>'Verwerking Bouwdelen'!DC42</f>
        <v>0</v>
      </c>
      <c r="N42" s="50"/>
      <c r="O42" s="431">
        <f>'Verwerking Bouwdelen'!DY42</f>
        <v>0</v>
      </c>
      <c r="P42" s="50"/>
      <c r="Q42" s="391"/>
    </row>
    <row r="43" spans="1:17" ht="17.100000000000001" customHeight="1" x14ac:dyDescent="0.2">
      <c r="A43" s="50"/>
      <c r="B43" s="50"/>
      <c r="C43" s="50"/>
      <c r="D43" s="391"/>
      <c r="E43" s="50"/>
      <c r="F43" s="431">
        <f>'Verwerking Bouwdelen'!K43</f>
        <v>0</v>
      </c>
      <c r="G43" s="50"/>
      <c r="H43" s="391"/>
      <c r="I43" s="50"/>
      <c r="J43" s="50"/>
      <c r="K43" s="50"/>
      <c r="L43" s="50"/>
      <c r="M43" s="431">
        <f>'Verwerking Bouwdelen'!DC43</f>
        <v>0</v>
      </c>
      <c r="N43" s="50"/>
      <c r="O43" s="431">
        <f>'Verwerking Bouwdelen'!DY43</f>
        <v>0</v>
      </c>
      <c r="P43" s="50"/>
      <c r="Q43" s="391"/>
    </row>
    <row r="44" spans="1:17" ht="17.100000000000001" customHeight="1" x14ac:dyDescent="0.2">
      <c r="A44" s="50"/>
      <c r="B44" s="50"/>
      <c r="C44" s="50"/>
      <c r="D44" s="391"/>
      <c r="E44" s="50"/>
      <c r="F44" s="431">
        <f>'Verwerking Bouwdelen'!K44</f>
        <v>0</v>
      </c>
      <c r="G44" s="50"/>
      <c r="H44" s="391"/>
      <c r="I44" s="50"/>
      <c r="J44" s="50"/>
      <c r="K44" s="50"/>
      <c r="L44" s="50"/>
      <c r="M44" s="431">
        <f>'Verwerking Bouwdelen'!DC44</f>
        <v>0</v>
      </c>
      <c r="N44" s="50"/>
      <c r="O44" s="431">
        <f>'Verwerking Bouwdelen'!DY44</f>
        <v>0</v>
      </c>
      <c r="P44" s="50"/>
      <c r="Q44" s="391"/>
    </row>
    <row r="45" spans="1:17" ht="17.100000000000001" customHeight="1" x14ac:dyDescent="0.2">
      <c r="A45" s="50"/>
      <c r="B45" s="50"/>
      <c r="C45" s="50"/>
      <c r="D45" s="50"/>
      <c r="E45" s="50"/>
      <c r="F45" s="50"/>
      <c r="G45" s="50"/>
      <c r="H45" s="50"/>
      <c r="I45" s="50"/>
      <c r="J45" s="50"/>
      <c r="K45" s="50"/>
      <c r="L45" s="50"/>
      <c r="M45" s="50"/>
      <c r="N45" s="50"/>
      <c r="O45" s="50"/>
      <c r="P45" s="50"/>
      <c r="Q45" s="50"/>
    </row>
    <row r="46" spans="1:17" x14ac:dyDescent="0.2">
      <c r="A46" s="50"/>
      <c r="B46" s="50"/>
      <c r="C46" s="50"/>
      <c r="D46" s="50"/>
      <c r="E46" s="50"/>
      <c r="F46" s="50"/>
      <c r="G46" s="50"/>
      <c r="H46" s="50"/>
      <c r="I46" s="50"/>
      <c r="J46" s="50"/>
      <c r="K46" s="50"/>
      <c r="L46" s="50"/>
      <c r="M46" s="50"/>
      <c r="N46" s="50"/>
      <c r="O46" s="66"/>
      <c r="P46" s="242" t="s">
        <v>675</v>
      </c>
      <c r="Q46" s="50"/>
    </row>
    <row r="47" spans="1:17" x14ac:dyDescent="0.2">
      <c r="A47" s="50"/>
      <c r="B47" s="50"/>
      <c r="C47" s="50"/>
      <c r="D47" s="50"/>
      <c r="E47" s="50"/>
      <c r="F47" s="50"/>
      <c r="G47" s="50"/>
      <c r="H47" s="50"/>
      <c r="I47" s="50"/>
      <c r="J47" s="50"/>
      <c r="K47" s="50"/>
      <c r="L47" s="50"/>
      <c r="M47" s="50"/>
      <c r="N47" s="50"/>
      <c r="O47" s="65"/>
      <c r="P47" s="242" t="s">
        <v>676</v>
      </c>
      <c r="Q47" s="50"/>
    </row>
    <row r="48" spans="1:17" x14ac:dyDescent="0.2">
      <c r="A48" s="50"/>
      <c r="B48" s="50"/>
      <c r="C48" s="50"/>
      <c r="D48" s="50"/>
      <c r="E48" s="50"/>
      <c r="F48" s="50"/>
      <c r="G48" s="50"/>
      <c r="H48" s="50"/>
      <c r="I48" s="50"/>
      <c r="J48" s="50"/>
      <c r="K48" s="50"/>
      <c r="L48" s="50"/>
      <c r="M48" s="50"/>
      <c r="N48" s="50"/>
      <c r="O48" s="291"/>
      <c r="P48" s="242" t="s">
        <v>677</v>
      </c>
      <c r="Q48" s="50"/>
    </row>
  </sheetData>
  <mergeCells count="1">
    <mergeCell ref="L1:Q1"/>
  </mergeCells>
  <phoneticPr fontId="0" type="noConversion"/>
  <pageMargins left="0.7" right="0.7" top="0.75" bottom="0.75" header="0.3" footer="0.3"/>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3313" r:id="rId3" name="Drop Down 1">
              <controlPr defaultSize="0" autoLine="0" autoPict="0">
                <anchor moveWithCells="1">
                  <from>
                    <xdr:col>0</xdr:col>
                    <xdr:colOff>0</xdr:colOff>
                    <xdr:row>2</xdr:row>
                    <xdr:rowOff>9525</xdr:rowOff>
                  </from>
                  <to>
                    <xdr:col>1</xdr:col>
                    <xdr:colOff>0</xdr:colOff>
                    <xdr:row>3</xdr:row>
                    <xdr:rowOff>0</xdr:rowOff>
                  </to>
                </anchor>
              </controlPr>
            </control>
          </mc:Choice>
        </mc:AlternateContent>
        <mc:AlternateContent xmlns:mc="http://schemas.openxmlformats.org/markup-compatibility/2006">
          <mc:Choice Requires="x14">
            <control shapeId="13314" r:id="rId4" name="Drop Down 2">
              <controlPr defaultSize="0" autoLine="0" autoPict="0">
                <anchor moveWithCells="1">
                  <from>
                    <xdr:col>1</xdr:col>
                    <xdr:colOff>0</xdr:colOff>
                    <xdr:row>2</xdr:row>
                    <xdr:rowOff>9525</xdr:rowOff>
                  </from>
                  <to>
                    <xdr:col>2</xdr:col>
                    <xdr:colOff>9525</xdr:colOff>
                    <xdr:row>3</xdr:row>
                    <xdr:rowOff>9525</xdr:rowOff>
                  </to>
                </anchor>
              </controlPr>
            </control>
          </mc:Choice>
        </mc:AlternateContent>
        <mc:AlternateContent xmlns:mc="http://schemas.openxmlformats.org/markup-compatibility/2006">
          <mc:Choice Requires="x14">
            <control shapeId="13315" r:id="rId5" name="Drop Down 3">
              <controlPr defaultSize="0" autoLine="0" autoPict="0">
                <anchor moveWithCells="1">
                  <from>
                    <xdr:col>4</xdr:col>
                    <xdr:colOff>0</xdr:colOff>
                    <xdr:row>2</xdr:row>
                    <xdr:rowOff>9525</xdr:rowOff>
                  </from>
                  <to>
                    <xdr:col>4</xdr:col>
                    <xdr:colOff>1800225</xdr:colOff>
                    <xdr:row>3</xdr:row>
                    <xdr:rowOff>0</xdr:rowOff>
                  </to>
                </anchor>
              </controlPr>
            </control>
          </mc:Choice>
        </mc:AlternateContent>
        <mc:AlternateContent xmlns:mc="http://schemas.openxmlformats.org/markup-compatibility/2006">
          <mc:Choice Requires="x14">
            <control shapeId="13316" r:id="rId6" name="Drop Down 4">
              <controlPr defaultSize="0" autoLine="0" autoPict="0">
                <anchor moveWithCells="1">
                  <from>
                    <xdr:col>2</xdr:col>
                    <xdr:colOff>0</xdr:colOff>
                    <xdr:row>2</xdr:row>
                    <xdr:rowOff>9525</xdr:rowOff>
                  </from>
                  <to>
                    <xdr:col>3</xdr:col>
                    <xdr:colOff>9525</xdr:colOff>
                    <xdr:row>3</xdr:row>
                    <xdr:rowOff>0</xdr:rowOff>
                  </to>
                </anchor>
              </controlPr>
            </control>
          </mc:Choice>
        </mc:AlternateContent>
        <mc:AlternateContent xmlns:mc="http://schemas.openxmlformats.org/markup-compatibility/2006">
          <mc:Choice Requires="x14">
            <control shapeId="13317" r:id="rId7" name="Drop Down 5">
              <controlPr defaultSize="0" autoLine="0" autoPict="0">
                <anchor moveWithCells="1">
                  <from>
                    <xdr:col>0</xdr:col>
                    <xdr:colOff>0</xdr:colOff>
                    <xdr:row>3</xdr:row>
                    <xdr:rowOff>9525</xdr:rowOff>
                  </from>
                  <to>
                    <xdr:col>1</xdr:col>
                    <xdr:colOff>0</xdr:colOff>
                    <xdr:row>4</xdr:row>
                    <xdr:rowOff>0</xdr:rowOff>
                  </to>
                </anchor>
              </controlPr>
            </control>
          </mc:Choice>
        </mc:AlternateContent>
        <mc:AlternateContent xmlns:mc="http://schemas.openxmlformats.org/markup-compatibility/2006">
          <mc:Choice Requires="x14">
            <control shapeId="13318" r:id="rId8" name="Drop Down 6">
              <controlPr defaultSize="0" autoLine="0" autoPict="0">
                <anchor moveWithCells="1">
                  <from>
                    <xdr:col>0</xdr:col>
                    <xdr:colOff>0</xdr:colOff>
                    <xdr:row>4</xdr:row>
                    <xdr:rowOff>9525</xdr:rowOff>
                  </from>
                  <to>
                    <xdr:col>1</xdr:col>
                    <xdr:colOff>0</xdr:colOff>
                    <xdr:row>5</xdr:row>
                    <xdr:rowOff>0</xdr:rowOff>
                  </to>
                </anchor>
              </controlPr>
            </control>
          </mc:Choice>
        </mc:AlternateContent>
        <mc:AlternateContent xmlns:mc="http://schemas.openxmlformats.org/markup-compatibility/2006">
          <mc:Choice Requires="x14">
            <control shapeId="13319" r:id="rId9" name="Drop Down 7">
              <controlPr defaultSize="0" autoLine="0" autoPict="0">
                <anchor moveWithCells="1">
                  <from>
                    <xdr:col>0</xdr:col>
                    <xdr:colOff>0</xdr:colOff>
                    <xdr:row>5</xdr:row>
                    <xdr:rowOff>9525</xdr:rowOff>
                  </from>
                  <to>
                    <xdr:col>1</xdr:col>
                    <xdr:colOff>0</xdr:colOff>
                    <xdr:row>6</xdr:row>
                    <xdr:rowOff>0</xdr:rowOff>
                  </to>
                </anchor>
              </controlPr>
            </control>
          </mc:Choice>
        </mc:AlternateContent>
        <mc:AlternateContent xmlns:mc="http://schemas.openxmlformats.org/markup-compatibility/2006">
          <mc:Choice Requires="x14">
            <control shapeId="13320" r:id="rId10" name="Drop Down 8">
              <controlPr defaultSize="0" autoLine="0" autoPict="0">
                <anchor moveWithCells="1">
                  <from>
                    <xdr:col>0</xdr:col>
                    <xdr:colOff>0</xdr:colOff>
                    <xdr:row>6</xdr:row>
                    <xdr:rowOff>9525</xdr:rowOff>
                  </from>
                  <to>
                    <xdr:col>1</xdr:col>
                    <xdr:colOff>0</xdr:colOff>
                    <xdr:row>7</xdr:row>
                    <xdr:rowOff>0</xdr:rowOff>
                  </to>
                </anchor>
              </controlPr>
            </control>
          </mc:Choice>
        </mc:AlternateContent>
        <mc:AlternateContent xmlns:mc="http://schemas.openxmlformats.org/markup-compatibility/2006">
          <mc:Choice Requires="x14">
            <control shapeId="13321" r:id="rId11" name="Drop Down 9">
              <controlPr defaultSize="0" autoLine="0" autoPict="0">
                <anchor moveWithCells="1">
                  <from>
                    <xdr:col>0</xdr:col>
                    <xdr:colOff>0</xdr:colOff>
                    <xdr:row>7</xdr:row>
                    <xdr:rowOff>9525</xdr:rowOff>
                  </from>
                  <to>
                    <xdr:col>1</xdr:col>
                    <xdr:colOff>0</xdr:colOff>
                    <xdr:row>8</xdr:row>
                    <xdr:rowOff>0</xdr:rowOff>
                  </to>
                </anchor>
              </controlPr>
            </control>
          </mc:Choice>
        </mc:AlternateContent>
        <mc:AlternateContent xmlns:mc="http://schemas.openxmlformats.org/markup-compatibility/2006">
          <mc:Choice Requires="x14">
            <control shapeId="13322" r:id="rId12" name="Drop Down 10">
              <controlPr defaultSize="0" autoLine="0" autoPict="0">
                <anchor moveWithCells="1">
                  <from>
                    <xdr:col>0</xdr:col>
                    <xdr:colOff>0</xdr:colOff>
                    <xdr:row>8</xdr:row>
                    <xdr:rowOff>9525</xdr:rowOff>
                  </from>
                  <to>
                    <xdr:col>1</xdr:col>
                    <xdr:colOff>0</xdr:colOff>
                    <xdr:row>9</xdr:row>
                    <xdr:rowOff>0</xdr:rowOff>
                  </to>
                </anchor>
              </controlPr>
            </control>
          </mc:Choice>
        </mc:AlternateContent>
        <mc:AlternateContent xmlns:mc="http://schemas.openxmlformats.org/markup-compatibility/2006">
          <mc:Choice Requires="x14">
            <control shapeId="13323" r:id="rId13" name="Drop Down 11">
              <controlPr defaultSize="0" autoLine="0" autoPict="0">
                <anchor moveWithCells="1">
                  <from>
                    <xdr:col>0</xdr:col>
                    <xdr:colOff>0</xdr:colOff>
                    <xdr:row>9</xdr:row>
                    <xdr:rowOff>9525</xdr:rowOff>
                  </from>
                  <to>
                    <xdr:col>1</xdr:col>
                    <xdr:colOff>0</xdr:colOff>
                    <xdr:row>10</xdr:row>
                    <xdr:rowOff>0</xdr:rowOff>
                  </to>
                </anchor>
              </controlPr>
            </control>
          </mc:Choice>
        </mc:AlternateContent>
        <mc:AlternateContent xmlns:mc="http://schemas.openxmlformats.org/markup-compatibility/2006">
          <mc:Choice Requires="x14">
            <control shapeId="13324" r:id="rId14" name="Drop Down 12">
              <controlPr defaultSize="0" autoLine="0" autoPict="0">
                <anchor moveWithCells="1">
                  <from>
                    <xdr:col>0</xdr:col>
                    <xdr:colOff>0</xdr:colOff>
                    <xdr:row>10</xdr:row>
                    <xdr:rowOff>9525</xdr:rowOff>
                  </from>
                  <to>
                    <xdr:col>1</xdr:col>
                    <xdr:colOff>0</xdr:colOff>
                    <xdr:row>11</xdr:row>
                    <xdr:rowOff>0</xdr:rowOff>
                  </to>
                </anchor>
              </controlPr>
            </control>
          </mc:Choice>
        </mc:AlternateContent>
        <mc:AlternateContent xmlns:mc="http://schemas.openxmlformats.org/markup-compatibility/2006">
          <mc:Choice Requires="x14">
            <control shapeId="13325" r:id="rId15" name="Drop Down 13">
              <controlPr defaultSize="0" autoLine="0" autoPict="0">
                <anchor moveWithCells="1">
                  <from>
                    <xdr:col>0</xdr:col>
                    <xdr:colOff>0</xdr:colOff>
                    <xdr:row>11</xdr:row>
                    <xdr:rowOff>9525</xdr:rowOff>
                  </from>
                  <to>
                    <xdr:col>1</xdr:col>
                    <xdr:colOff>0</xdr:colOff>
                    <xdr:row>12</xdr:row>
                    <xdr:rowOff>0</xdr:rowOff>
                  </to>
                </anchor>
              </controlPr>
            </control>
          </mc:Choice>
        </mc:AlternateContent>
        <mc:AlternateContent xmlns:mc="http://schemas.openxmlformats.org/markup-compatibility/2006">
          <mc:Choice Requires="x14">
            <control shapeId="13326" r:id="rId16" name="Drop Down 14">
              <controlPr defaultSize="0" autoLine="0" autoPict="0">
                <anchor moveWithCells="1">
                  <from>
                    <xdr:col>0</xdr:col>
                    <xdr:colOff>0</xdr:colOff>
                    <xdr:row>12</xdr:row>
                    <xdr:rowOff>9525</xdr:rowOff>
                  </from>
                  <to>
                    <xdr:col>1</xdr:col>
                    <xdr:colOff>0</xdr:colOff>
                    <xdr:row>13</xdr:row>
                    <xdr:rowOff>0</xdr:rowOff>
                  </to>
                </anchor>
              </controlPr>
            </control>
          </mc:Choice>
        </mc:AlternateContent>
        <mc:AlternateContent xmlns:mc="http://schemas.openxmlformats.org/markup-compatibility/2006">
          <mc:Choice Requires="x14">
            <control shapeId="13327" r:id="rId17" name="Drop Down 15">
              <controlPr defaultSize="0" autoLine="0" autoPict="0">
                <anchor moveWithCells="1">
                  <from>
                    <xdr:col>0</xdr:col>
                    <xdr:colOff>0</xdr:colOff>
                    <xdr:row>13</xdr:row>
                    <xdr:rowOff>9525</xdr:rowOff>
                  </from>
                  <to>
                    <xdr:col>1</xdr:col>
                    <xdr:colOff>0</xdr:colOff>
                    <xdr:row>14</xdr:row>
                    <xdr:rowOff>0</xdr:rowOff>
                  </to>
                </anchor>
              </controlPr>
            </control>
          </mc:Choice>
        </mc:AlternateContent>
        <mc:AlternateContent xmlns:mc="http://schemas.openxmlformats.org/markup-compatibility/2006">
          <mc:Choice Requires="x14">
            <control shapeId="13328" r:id="rId18" name="Drop Down 16">
              <controlPr defaultSize="0" autoLine="0" autoPict="0">
                <anchor moveWithCells="1">
                  <from>
                    <xdr:col>0</xdr:col>
                    <xdr:colOff>0</xdr:colOff>
                    <xdr:row>14</xdr:row>
                    <xdr:rowOff>9525</xdr:rowOff>
                  </from>
                  <to>
                    <xdr:col>1</xdr:col>
                    <xdr:colOff>0</xdr:colOff>
                    <xdr:row>15</xdr:row>
                    <xdr:rowOff>0</xdr:rowOff>
                  </to>
                </anchor>
              </controlPr>
            </control>
          </mc:Choice>
        </mc:AlternateContent>
        <mc:AlternateContent xmlns:mc="http://schemas.openxmlformats.org/markup-compatibility/2006">
          <mc:Choice Requires="x14">
            <control shapeId="13329" r:id="rId19" name="Drop Down 17">
              <controlPr defaultSize="0" autoLine="0" autoPict="0">
                <anchor moveWithCells="1">
                  <from>
                    <xdr:col>0</xdr:col>
                    <xdr:colOff>0</xdr:colOff>
                    <xdr:row>15</xdr:row>
                    <xdr:rowOff>9525</xdr:rowOff>
                  </from>
                  <to>
                    <xdr:col>1</xdr:col>
                    <xdr:colOff>0</xdr:colOff>
                    <xdr:row>16</xdr:row>
                    <xdr:rowOff>0</xdr:rowOff>
                  </to>
                </anchor>
              </controlPr>
            </control>
          </mc:Choice>
        </mc:AlternateContent>
        <mc:AlternateContent xmlns:mc="http://schemas.openxmlformats.org/markup-compatibility/2006">
          <mc:Choice Requires="x14">
            <control shapeId="13330" r:id="rId20" name="Drop Down 18">
              <controlPr defaultSize="0" autoLine="0" autoPict="0">
                <anchor moveWithCells="1">
                  <from>
                    <xdr:col>0</xdr:col>
                    <xdr:colOff>0</xdr:colOff>
                    <xdr:row>16</xdr:row>
                    <xdr:rowOff>9525</xdr:rowOff>
                  </from>
                  <to>
                    <xdr:col>1</xdr:col>
                    <xdr:colOff>0</xdr:colOff>
                    <xdr:row>17</xdr:row>
                    <xdr:rowOff>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0</xdr:col>
                    <xdr:colOff>0</xdr:colOff>
                    <xdr:row>17</xdr:row>
                    <xdr:rowOff>9525</xdr:rowOff>
                  </from>
                  <to>
                    <xdr:col>1</xdr:col>
                    <xdr:colOff>0</xdr:colOff>
                    <xdr:row>18</xdr:row>
                    <xdr:rowOff>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0</xdr:col>
                    <xdr:colOff>0</xdr:colOff>
                    <xdr:row>18</xdr:row>
                    <xdr:rowOff>9525</xdr:rowOff>
                  </from>
                  <to>
                    <xdr:col>1</xdr:col>
                    <xdr:colOff>0</xdr:colOff>
                    <xdr:row>19</xdr:row>
                    <xdr:rowOff>0</xdr:rowOff>
                  </to>
                </anchor>
              </controlPr>
            </control>
          </mc:Choice>
        </mc:AlternateContent>
        <mc:AlternateContent xmlns:mc="http://schemas.openxmlformats.org/markup-compatibility/2006">
          <mc:Choice Requires="x14">
            <control shapeId="13333" r:id="rId23" name="Drop Down 21">
              <controlPr defaultSize="0" autoLine="0" autoPict="0">
                <anchor moveWithCells="1">
                  <from>
                    <xdr:col>0</xdr:col>
                    <xdr:colOff>0</xdr:colOff>
                    <xdr:row>19</xdr:row>
                    <xdr:rowOff>9525</xdr:rowOff>
                  </from>
                  <to>
                    <xdr:col>1</xdr:col>
                    <xdr:colOff>0</xdr:colOff>
                    <xdr:row>20</xdr:row>
                    <xdr:rowOff>0</xdr:rowOff>
                  </to>
                </anchor>
              </controlPr>
            </control>
          </mc:Choice>
        </mc:AlternateContent>
        <mc:AlternateContent xmlns:mc="http://schemas.openxmlformats.org/markup-compatibility/2006">
          <mc:Choice Requires="x14">
            <control shapeId="13334" r:id="rId24" name="Drop Down 22">
              <controlPr defaultSize="0" autoLine="0" autoPict="0">
                <anchor moveWithCells="1">
                  <from>
                    <xdr:col>0</xdr:col>
                    <xdr:colOff>0</xdr:colOff>
                    <xdr:row>20</xdr:row>
                    <xdr:rowOff>9525</xdr:rowOff>
                  </from>
                  <to>
                    <xdr:col>1</xdr:col>
                    <xdr:colOff>0</xdr:colOff>
                    <xdr:row>21</xdr:row>
                    <xdr:rowOff>0</xdr:rowOff>
                  </to>
                </anchor>
              </controlPr>
            </control>
          </mc:Choice>
        </mc:AlternateContent>
        <mc:AlternateContent xmlns:mc="http://schemas.openxmlformats.org/markup-compatibility/2006">
          <mc:Choice Requires="x14">
            <control shapeId="13335" r:id="rId25" name="Drop Down 23">
              <controlPr defaultSize="0" autoLine="0" autoPict="0">
                <anchor moveWithCells="1">
                  <from>
                    <xdr:col>0</xdr:col>
                    <xdr:colOff>0</xdr:colOff>
                    <xdr:row>21</xdr:row>
                    <xdr:rowOff>9525</xdr:rowOff>
                  </from>
                  <to>
                    <xdr:col>1</xdr:col>
                    <xdr:colOff>0</xdr:colOff>
                    <xdr:row>22</xdr:row>
                    <xdr:rowOff>0</xdr:rowOff>
                  </to>
                </anchor>
              </controlPr>
            </control>
          </mc:Choice>
        </mc:AlternateContent>
        <mc:AlternateContent xmlns:mc="http://schemas.openxmlformats.org/markup-compatibility/2006">
          <mc:Choice Requires="x14">
            <control shapeId="13336" r:id="rId26" name="Drop Down 24">
              <controlPr defaultSize="0" autoLine="0" autoPict="0">
                <anchor moveWithCells="1">
                  <from>
                    <xdr:col>0</xdr:col>
                    <xdr:colOff>0</xdr:colOff>
                    <xdr:row>22</xdr:row>
                    <xdr:rowOff>9525</xdr:rowOff>
                  </from>
                  <to>
                    <xdr:col>1</xdr:col>
                    <xdr:colOff>0</xdr:colOff>
                    <xdr:row>23</xdr:row>
                    <xdr:rowOff>0</xdr:rowOff>
                  </to>
                </anchor>
              </controlPr>
            </control>
          </mc:Choice>
        </mc:AlternateContent>
        <mc:AlternateContent xmlns:mc="http://schemas.openxmlformats.org/markup-compatibility/2006">
          <mc:Choice Requires="x14">
            <control shapeId="13337" r:id="rId27" name="Drop Down 25">
              <controlPr defaultSize="0" autoLine="0" autoPict="0">
                <anchor moveWithCells="1">
                  <from>
                    <xdr:col>0</xdr:col>
                    <xdr:colOff>0</xdr:colOff>
                    <xdr:row>43</xdr:row>
                    <xdr:rowOff>9525</xdr:rowOff>
                  </from>
                  <to>
                    <xdr:col>1</xdr:col>
                    <xdr:colOff>0</xdr:colOff>
                    <xdr:row>44</xdr:row>
                    <xdr:rowOff>0</xdr:rowOff>
                  </to>
                </anchor>
              </controlPr>
            </control>
          </mc:Choice>
        </mc:AlternateContent>
        <mc:AlternateContent xmlns:mc="http://schemas.openxmlformats.org/markup-compatibility/2006">
          <mc:Choice Requires="x14">
            <control shapeId="13363" r:id="rId28" name="Drop Down 51">
              <controlPr defaultSize="0" autoLine="0" autoPict="0">
                <anchor moveWithCells="1">
                  <from>
                    <xdr:col>2</xdr:col>
                    <xdr:colOff>0</xdr:colOff>
                    <xdr:row>3</xdr:row>
                    <xdr:rowOff>9525</xdr:rowOff>
                  </from>
                  <to>
                    <xdr:col>3</xdr:col>
                    <xdr:colOff>9525</xdr:colOff>
                    <xdr:row>4</xdr:row>
                    <xdr:rowOff>0</xdr:rowOff>
                  </to>
                </anchor>
              </controlPr>
            </control>
          </mc:Choice>
        </mc:AlternateContent>
        <mc:AlternateContent xmlns:mc="http://schemas.openxmlformats.org/markup-compatibility/2006">
          <mc:Choice Requires="x14">
            <control shapeId="13364" r:id="rId29" name="Drop Down 52">
              <controlPr defaultSize="0" autoLine="0" autoPict="0">
                <anchor moveWithCells="1">
                  <from>
                    <xdr:col>2</xdr:col>
                    <xdr:colOff>0</xdr:colOff>
                    <xdr:row>4</xdr:row>
                    <xdr:rowOff>9525</xdr:rowOff>
                  </from>
                  <to>
                    <xdr:col>3</xdr:col>
                    <xdr:colOff>9525</xdr:colOff>
                    <xdr:row>5</xdr:row>
                    <xdr:rowOff>0</xdr:rowOff>
                  </to>
                </anchor>
              </controlPr>
            </control>
          </mc:Choice>
        </mc:AlternateContent>
        <mc:AlternateContent xmlns:mc="http://schemas.openxmlformats.org/markup-compatibility/2006">
          <mc:Choice Requires="x14">
            <control shapeId="13365" r:id="rId30" name="Drop Down 53">
              <controlPr defaultSize="0" autoLine="0" autoPict="0">
                <anchor moveWithCells="1">
                  <from>
                    <xdr:col>2</xdr:col>
                    <xdr:colOff>0</xdr:colOff>
                    <xdr:row>5</xdr:row>
                    <xdr:rowOff>9525</xdr:rowOff>
                  </from>
                  <to>
                    <xdr:col>3</xdr:col>
                    <xdr:colOff>9525</xdr:colOff>
                    <xdr:row>6</xdr:row>
                    <xdr:rowOff>0</xdr:rowOff>
                  </to>
                </anchor>
              </controlPr>
            </control>
          </mc:Choice>
        </mc:AlternateContent>
        <mc:AlternateContent xmlns:mc="http://schemas.openxmlformats.org/markup-compatibility/2006">
          <mc:Choice Requires="x14">
            <control shapeId="13366" r:id="rId31" name="Drop Down 54">
              <controlPr defaultSize="0" autoLine="0" autoPict="0">
                <anchor moveWithCells="1">
                  <from>
                    <xdr:col>2</xdr:col>
                    <xdr:colOff>0</xdr:colOff>
                    <xdr:row>6</xdr:row>
                    <xdr:rowOff>9525</xdr:rowOff>
                  </from>
                  <to>
                    <xdr:col>3</xdr:col>
                    <xdr:colOff>9525</xdr:colOff>
                    <xdr:row>7</xdr:row>
                    <xdr:rowOff>0</xdr:rowOff>
                  </to>
                </anchor>
              </controlPr>
            </control>
          </mc:Choice>
        </mc:AlternateContent>
        <mc:AlternateContent xmlns:mc="http://schemas.openxmlformats.org/markup-compatibility/2006">
          <mc:Choice Requires="x14">
            <control shapeId="13367" r:id="rId32" name="Drop Down 55">
              <controlPr defaultSize="0" autoLine="0" autoPict="0">
                <anchor moveWithCells="1">
                  <from>
                    <xdr:col>1</xdr:col>
                    <xdr:colOff>676275</xdr:colOff>
                    <xdr:row>7</xdr:row>
                    <xdr:rowOff>9525</xdr:rowOff>
                  </from>
                  <to>
                    <xdr:col>3</xdr:col>
                    <xdr:colOff>0</xdr:colOff>
                    <xdr:row>8</xdr:row>
                    <xdr:rowOff>0</xdr:rowOff>
                  </to>
                </anchor>
              </controlPr>
            </control>
          </mc:Choice>
        </mc:AlternateContent>
        <mc:AlternateContent xmlns:mc="http://schemas.openxmlformats.org/markup-compatibility/2006">
          <mc:Choice Requires="x14">
            <control shapeId="13368" r:id="rId33" name="Drop Down 56">
              <controlPr defaultSize="0" autoLine="0" autoPict="0">
                <anchor moveWithCells="1">
                  <from>
                    <xdr:col>2</xdr:col>
                    <xdr:colOff>9525</xdr:colOff>
                    <xdr:row>8</xdr:row>
                    <xdr:rowOff>9525</xdr:rowOff>
                  </from>
                  <to>
                    <xdr:col>3</xdr:col>
                    <xdr:colOff>19050</xdr:colOff>
                    <xdr:row>9</xdr:row>
                    <xdr:rowOff>0</xdr:rowOff>
                  </to>
                </anchor>
              </controlPr>
            </control>
          </mc:Choice>
        </mc:AlternateContent>
        <mc:AlternateContent xmlns:mc="http://schemas.openxmlformats.org/markup-compatibility/2006">
          <mc:Choice Requires="x14">
            <control shapeId="13369" r:id="rId34" name="Drop Down 57">
              <controlPr defaultSize="0" autoLine="0" autoPict="0">
                <anchor moveWithCells="1">
                  <from>
                    <xdr:col>2</xdr:col>
                    <xdr:colOff>9525</xdr:colOff>
                    <xdr:row>9</xdr:row>
                    <xdr:rowOff>9525</xdr:rowOff>
                  </from>
                  <to>
                    <xdr:col>3</xdr:col>
                    <xdr:colOff>19050</xdr:colOff>
                    <xdr:row>10</xdr:row>
                    <xdr:rowOff>0</xdr:rowOff>
                  </to>
                </anchor>
              </controlPr>
            </control>
          </mc:Choice>
        </mc:AlternateContent>
        <mc:AlternateContent xmlns:mc="http://schemas.openxmlformats.org/markup-compatibility/2006">
          <mc:Choice Requires="x14">
            <control shapeId="13370" r:id="rId35" name="Drop Down 58">
              <controlPr defaultSize="0" autoLine="0" autoPict="0">
                <anchor moveWithCells="1">
                  <from>
                    <xdr:col>2</xdr:col>
                    <xdr:colOff>9525</xdr:colOff>
                    <xdr:row>10</xdr:row>
                    <xdr:rowOff>9525</xdr:rowOff>
                  </from>
                  <to>
                    <xdr:col>3</xdr:col>
                    <xdr:colOff>19050</xdr:colOff>
                    <xdr:row>11</xdr:row>
                    <xdr:rowOff>0</xdr:rowOff>
                  </to>
                </anchor>
              </controlPr>
            </control>
          </mc:Choice>
        </mc:AlternateContent>
        <mc:AlternateContent xmlns:mc="http://schemas.openxmlformats.org/markup-compatibility/2006">
          <mc:Choice Requires="x14">
            <control shapeId="13371" r:id="rId36" name="Drop Down 59">
              <controlPr defaultSize="0" autoLine="0" autoPict="0">
                <anchor moveWithCells="1">
                  <from>
                    <xdr:col>2</xdr:col>
                    <xdr:colOff>0</xdr:colOff>
                    <xdr:row>11</xdr:row>
                    <xdr:rowOff>0</xdr:rowOff>
                  </from>
                  <to>
                    <xdr:col>3</xdr:col>
                    <xdr:colOff>9525</xdr:colOff>
                    <xdr:row>11</xdr:row>
                    <xdr:rowOff>200025</xdr:rowOff>
                  </to>
                </anchor>
              </controlPr>
            </control>
          </mc:Choice>
        </mc:AlternateContent>
        <mc:AlternateContent xmlns:mc="http://schemas.openxmlformats.org/markup-compatibility/2006">
          <mc:Choice Requires="x14">
            <control shapeId="13372" r:id="rId37" name="Drop Down 60">
              <controlPr defaultSize="0" autoLine="0" autoPict="0">
                <anchor moveWithCells="1">
                  <from>
                    <xdr:col>2</xdr:col>
                    <xdr:colOff>9525</xdr:colOff>
                    <xdr:row>12</xdr:row>
                    <xdr:rowOff>9525</xdr:rowOff>
                  </from>
                  <to>
                    <xdr:col>3</xdr:col>
                    <xdr:colOff>19050</xdr:colOff>
                    <xdr:row>13</xdr:row>
                    <xdr:rowOff>0</xdr:rowOff>
                  </to>
                </anchor>
              </controlPr>
            </control>
          </mc:Choice>
        </mc:AlternateContent>
        <mc:AlternateContent xmlns:mc="http://schemas.openxmlformats.org/markup-compatibility/2006">
          <mc:Choice Requires="x14">
            <control shapeId="13373" r:id="rId38" name="Drop Down 61">
              <controlPr defaultSize="0" autoLine="0" autoPict="0">
                <anchor moveWithCells="1">
                  <from>
                    <xdr:col>2</xdr:col>
                    <xdr:colOff>9525</xdr:colOff>
                    <xdr:row>13</xdr:row>
                    <xdr:rowOff>9525</xdr:rowOff>
                  </from>
                  <to>
                    <xdr:col>3</xdr:col>
                    <xdr:colOff>19050</xdr:colOff>
                    <xdr:row>14</xdr:row>
                    <xdr:rowOff>0</xdr:rowOff>
                  </to>
                </anchor>
              </controlPr>
            </control>
          </mc:Choice>
        </mc:AlternateContent>
        <mc:AlternateContent xmlns:mc="http://schemas.openxmlformats.org/markup-compatibility/2006">
          <mc:Choice Requires="x14">
            <control shapeId="13374" r:id="rId39" name="Drop Down 62">
              <controlPr defaultSize="0" autoLine="0" autoPict="0">
                <anchor moveWithCells="1">
                  <from>
                    <xdr:col>2</xdr:col>
                    <xdr:colOff>9525</xdr:colOff>
                    <xdr:row>14</xdr:row>
                    <xdr:rowOff>0</xdr:rowOff>
                  </from>
                  <to>
                    <xdr:col>3</xdr:col>
                    <xdr:colOff>19050</xdr:colOff>
                    <xdr:row>14</xdr:row>
                    <xdr:rowOff>200025</xdr:rowOff>
                  </to>
                </anchor>
              </controlPr>
            </control>
          </mc:Choice>
        </mc:AlternateContent>
        <mc:AlternateContent xmlns:mc="http://schemas.openxmlformats.org/markup-compatibility/2006">
          <mc:Choice Requires="x14">
            <control shapeId="13375" r:id="rId40" name="Drop Down 63">
              <controlPr defaultSize="0" autoLine="0" autoPict="0">
                <anchor moveWithCells="1">
                  <from>
                    <xdr:col>2</xdr:col>
                    <xdr:colOff>19050</xdr:colOff>
                    <xdr:row>15</xdr:row>
                    <xdr:rowOff>9525</xdr:rowOff>
                  </from>
                  <to>
                    <xdr:col>3</xdr:col>
                    <xdr:colOff>28575</xdr:colOff>
                    <xdr:row>16</xdr:row>
                    <xdr:rowOff>0</xdr:rowOff>
                  </to>
                </anchor>
              </controlPr>
            </control>
          </mc:Choice>
        </mc:AlternateContent>
        <mc:AlternateContent xmlns:mc="http://schemas.openxmlformats.org/markup-compatibility/2006">
          <mc:Choice Requires="x14">
            <control shapeId="13376" r:id="rId41" name="Drop Down 64">
              <controlPr defaultSize="0" autoLine="0" autoPict="0">
                <anchor moveWithCells="1">
                  <from>
                    <xdr:col>2</xdr:col>
                    <xdr:colOff>19050</xdr:colOff>
                    <xdr:row>16</xdr:row>
                    <xdr:rowOff>9525</xdr:rowOff>
                  </from>
                  <to>
                    <xdr:col>3</xdr:col>
                    <xdr:colOff>28575</xdr:colOff>
                    <xdr:row>17</xdr:row>
                    <xdr:rowOff>0</xdr:rowOff>
                  </to>
                </anchor>
              </controlPr>
            </control>
          </mc:Choice>
        </mc:AlternateContent>
        <mc:AlternateContent xmlns:mc="http://schemas.openxmlformats.org/markup-compatibility/2006">
          <mc:Choice Requires="x14">
            <control shapeId="13377" r:id="rId42" name="Drop Down 65">
              <controlPr defaultSize="0" autoLine="0" autoPict="0">
                <anchor moveWithCells="1">
                  <from>
                    <xdr:col>2</xdr:col>
                    <xdr:colOff>0</xdr:colOff>
                    <xdr:row>17</xdr:row>
                    <xdr:rowOff>9525</xdr:rowOff>
                  </from>
                  <to>
                    <xdr:col>3</xdr:col>
                    <xdr:colOff>9525</xdr:colOff>
                    <xdr:row>18</xdr:row>
                    <xdr:rowOff>0</xdr:rowOff>
                  </to>
                </anchor>
              </controlPr>
            </control>
          </mc:Choice>
        </mc:AlternateContent>
        <mc:AlternateContent xmlns:mc="http://schemas.openxmlformats.org/markup-compatibility/2006">
          <mc:Choice Requires="x14">
            <control shapeId="13378" r:id="rId43" name="Drop Down 66">
              <controlPr defaultSize="0" autoLine="0" autoPict="0">
                <anchor moveWithCells="1">
                  <from>
                    <xdr:col>2</xdr:col>
                    <xdr:colOff>9525</xdr:colOff>
                    <xdr:row>18</xdr:row>
                    <xdr:rowOff>9525</xdr:rowOff>
                  </from>
                  <to>
                    <xdr:col>3</xdr:col>
                    <xdr:colOff>19050</xdr:colOff>
                    <xdr:row>19</xdr:row>
                    <xdr:rowOff>0</xdr:rowOff>
                  </to>
                </anchor>
              </controlPr>
            </control>
          </mc:Choice>
        </mc:AlternateContent>
        <mc:AlternateContent xmlns:mc="http://schemas.openxmlformats.org/markup-compatibility/2006">
          <mc:Choice Requires="x14">
            <control shapeId="13379" r:id="rId44" name="Drop Down 67">
              <controlPr defaultSize="0" autoLine="0" autoPict="0">
                <anchor moveWithCells="1">
                  <from>
                    <xdr:col>2</xdr:col>
                    <xdr:colOff>0</xdr:colOff>
                    <xdr:row>19</xdr:row>
                    <xdr:rowOff>9525</xdr:rowOff>
                  </from>
                  <to>
                    <xdr:col>3</xdr:col>
                    <xdr:colOff>9525</xdr:colOff>
                    <xdr:row>20</xdr:row>
                    <xdr:rowOff>0</xdr:rowOff>
                  </to>
                </anchor>
              </controlPr>
            </control>
          </mc:Choice>
        </mc:AlternateContent>
        <mc:AlternateContent xmlns:mc="http://schemas.openxmlformats.org/markup-compatibility/2006">
          <mc:Choice Requires="x14">
            <control shapeId="13380" r:id="rId45" name="Drop Down 68">
              <controlPr defaultSize="0" autoLine="0" autoPict="0">
                <anchor moveWithCells="1">
                  <from>
                    <xdr:col>2</xdr:col>
                    <xdr:colOff>0</xdr:colOff>
                    <xdr:row>20</xdr:row>
                    <xdr:rowOff>9525</xdr:rowOff>
                  </from>
                  <to>
                    <xdr:col>3</xdr:col>
                    <xdr:colOff>9525</xdr:colOff>
                    <xdr:row>21</xdr:row>
                    <xdr:rowOff>0</xdr:rowOff>
                  </to>
                </anchor>
              </controlPr>
            </control>
          </mc:Choice>
        </mc:AlternateContent>
        <mc:AlternateContent xmlns:mc="http://schemas.openxmlformats.org/markup-compatibility/2006">
          <mc:Choice Requires="x14">
            <control shapeId="13381" r:id="rId46" name="Drop Down 69">
              <controlPr defaultSize="0" autoLine="0" autoPict="0">
                <anchor moveWithCells="1">
                  <from>
                    <xdr:col>2</xdr:col>
                    <xdr:colOff>19050</xdr:colOff>
                    <xdr:row>21</xdr:row>
                    <xdr:rowOff>9525</xdr:rowOff>
                  </from>
                  <to>
                    <xdr:col>3</xdr:col>
                    <xdr:colOff>28575</xdr:colOff>
                    <xdr:row>22</xdr:row>
                    <xdr:rowOff>0</xdr:rowOff>
                  </to>
                </anchor>
              </controlPr>
            </control>
          </mc:Choice>
        </mc:AlternateContent>
        <mc:AlternateContent xmlns:mc="http://schemas.openxmlformats.org/markup-compatibility/2006">
          <mc:Choice Requires="x14">
            <control shapeId="13382" r:id="rId47" name="Drop Down 70">
              <controlPr defaultSize="0" autoLine="0" autoPict="0">
                <anchor moveWithCells="1">
                  <from>
                    <xdr:col>2</xdr:col>
                    <xdr:colOff>9525</xdr:colOff>
                    <xdr:row>22</xdr:row>
                    <xdr:rowOff>9525</xdr:rowOff>
                  </from>
                  <to>
                    <xdr:col>3</xdr:col>
                    <xdr:colOff>19050</xdr:colOff>
                    <xdr:row>23</xdr:row>
                    <xdr:rowOff>0</xdr:rowOff>
                  </to>
                </anchor>
              </controlPr>
            </control>
          </mc:Choice>
        </mc:AlternateContent>
        <mc:AlternateContent xmlns:mc="http://schemas.openxmlformats.org/markup-compatibility/2006">
          <mc:Choice Requires="x14">
            <control shapeId="13383" r:id="rId48" name="Drop Down 71">
              <controlPr defaultSize="0" autoLine="0" autoPict="0">
                <anchor moveWithCells="1">
                  <from>
                    <xdr:col>2</xdr:col>
                    <xdr:colOff>9525</xdr:colOff>
                    <xdr:row>43</xdr:row>
                    <xdr:rowOff>9525</xdr:rowOff>
                  </from>
                  <to>
                    <xdr:col>3</xdr:col>
                    <xdr:colOff>19050</xdr:colOff>
                    <xdr:row>44</xdr:row>
                    <xdr:rowOff>0</xdr:rowOff>
                  </to>
                </anchor>
              </controlPr>
            </control>
          </mc:Choice>
        </mc:AlternateContent>
        <mc:AlternateContent xmlns:mc="http://schemas.openxmlformats.org/markup-compatibility/2006">
          <mc:Choice Requires="x14">
            <control shapeId="13384" r:id="rId49" name="Drop Down 72">
              <controlPr defaultSize="0" autoLine="0" autoPict="0">
                <anchor moveWithCells="1">
                  <from>
                    <xdr:col>6</xdr:col>
                    <xdr:colOff>0</xdr:colOff>
                    <xdr:row>2</xdr:row>
                    <xdr:rowOff>9525</xdr:rowOff>
                  </from>
                  <to>
                    <xdr:col>6</xdr:col>
                    <xdr:colOff>1028700</xdr:colOff>
                    <xdr:row>3</xdr:row>
                    <xdr:rowOff>0</xdr:rowOff>
                  </to>
                </anchor>
              </controlPr>
            </control>
          </mc:Choice>
        </mc:AlternateContent>
        <mc:AlternateContent xmlns:mc="http://schemas.openxmlformats.org/markup-compatibility/2006">
          <mc:Choice Requires="x14">
            <control shapeId="13385" r:id="rId50" name="Drop Down 73">
              <controlPr defaultSize="0" autoLine="0" autoPict="0">
                <anchor moveWithCells="1">
                  <from>
                    <xdr:col>8</xdr:col>
                    <xdr:colOff>0</xdr:colOff>
                    <xdr:row>2</xdr:row>
                    <xdr:rowOff>9525</xdr:rowOff>
                  </from>
                  <to>
                    <xdr:col>8</xdr:col>
                    <xdr:colOff>2914650</xdr:colOff>
                    <xdr:row>3</xdr:row>
                    <xdr:rowOff>0</xdr:rowOff>
                  </to>
                </anchor>
              </controlPr>
            </control>
          </mc:Choice>
        </mc:AlternateContent>
        <mc:AlternateContent xmlns:mc="http://schemas.openxmlformats.org/markup-compatibility/2006">
          <mc:Choice Requires="x14">
            <control shapeId="13386" r:id="rId51" name="Drop Down 74">
              <controlPr defaultSize="0" autoLine="0" autoPict="0">
                <anchor moveWithCells="1">
                  <from>
                    <xdr:col>9</xdr:col>
                    <xdr:colOff>0</xdr:colOff>
                    <xdr:row>2</xdr:row>
                    <xdr:rowOff>9525</xdr:rowOff>
                  </from>
                  <to>
                    <xdr:col>10</xdr:col>
                    <xdr:colOff>19050</xdr:colOff>
                    <xdr:row>3</xdr:row>
                    <xdr:rowOff>9525</xdr:rowOff>
                  </to>
                </anchor>
              </controlPr>
            </control>
          </mc:Choice>
        </mc:AlternateContent>
        <mc:AlternateContent xmlns:mc="http://schemas.openxmlformats.org/markup-compatibility/2006">
          <mc:Choice Requires="x14">
            <control shapeId="13387" r:id="rId52" name="Drop Down 75">
              <controlPr defaultSize="0" autoLine="0" autoPict="0">
                <anchor moveWithCells="1">
                  <from>
                    <xdr:col>1</xdr:col>
                    <xdr:colOff>0</xdr:colOff>
                    <xdr:row>3</xdr:row>
                    <xdr:rowOff>9525</xdr:rowOff>
                  </from>
                  <to>
                    <xdr:col>2</xdr:col>
                    <xdr:colOff>9525</xdr:colOff>
                    <xdr:row>4</xdr:row>
                    <xdr:rowOff>9525</xdr:rowOff>
                  </to>
                </anchor>
              </controlPr>
            </control>
          </mc:Choice>
        </mc:AlternateContent>
        <mc:AlternateContent xmlns:mc="http://schemas.openxmlformats.org/markup-compatibility/2006">
          <mc:Choice Requires="x14">
            <control shapeId="13388" r:id="rId53" name="Drop Down 76">
              <controlPr defaultSize="0" autoLine="0" autoPict="0">
                <anchor moveWithCells="1">
                  <from>
                    <xdr:col>1</xdr:col>
                    <xdr:colOff>0</xdr:colOff>
                    <xdr:row>4</xdr:row>
                    <xdr:rowOff>9525</xdr:rowOff>
                  </from>
                  <to>
                    <xdr:col>2</xdr:col>
                    <xdr:colOff>9525</xdr:colOff>
                    <xdr:row>5</xdr:row>
                    <xdr:rowOff>9525</xdr:rowOff>
                  </to>
                </anchor>
              </controlPr>
            </control>
          </mc:Choice>
        </mc:AlternateContent>
        <mc:AlternateContent xmlns:mc="http://schemas.openxmlformats.org/markup-compatibility/2006">
          <mc:Choice Requires="x14">
            <control shapeId="13389" r:id="rId54" name="Drop Down 77">
              <controlPr defaultSize="0" autoLine="0" autoPict="0">
                <anchor moveWithCells="1">
                  <from>
                    <xdr:col>1</xdr:col>
                    <xdr:colOff>0</xdr:colOff>
                    <xdr:row>5</xdr:row>
                    <xdr:rowOff>9525</xdr:rowOff>
                  </from>
                  <to>
                    <xdr:col>2</xdr:col>
                    <xdr:colOff>9525</xdr:colOff>
                    <xdr:row>6</xdr:row>
                    <xdr:rowOff>9525</xdr:rowOff>
                  </to>
                </anchor>
              </controlPr>
            </control>
          </mc:Choice>
        </mc:AlternateContent>
        <mc:AlternateContent xmlns:mc="http://schemas.openxmlformats.org/markup-compatibility/2006">
          <mc:Choice Requires="x14">
            <control shapeId="13390" r:id="rId55" name="Drop Down 78">
              <controlPr defaultSize="0" autoLine="0" autoPict="0">
                <anchor moveWithCells="1">
                  <from>
                    <xdr:col>1</xdr:col>
                    <xdr:colOff>0</xdr:colOff>
                    <xdr:row>6</xdr:row>
                    <xdr:rowOff>9525</xdr:rowOff>
                  </from>
                  <to>
                    <xdr:col>2</xdr:col>
                    <xdr:colOff>9525</xdr:colOff>
                    <xdr:row>7</xdr:row>
                    <xdr:rowOff>9525</xdr:rowOff>
                  </to>
                </anchor>
              </controlPr>
            </control>
          </mc:Choice>
        </mc:AlternateContent>
        <mc:AlternateContent xmlns:mc="http://schemas.openxmlformats.org/markup-compatibility/2006">
          <mc:Choice Requires="x14">
            <control shapeId="13391" r:id="rId56" name="Drop Down 79">
              <controlPr defaultSize="0" autoLine="0" autoPict="0">
                <anchor moveWithCells="1">
                  <from>
                    <xdr:col>1</xdr:col>
                    <xdr:colOff>0</xdr:colOff>
                    <xdr:row>7</xdr:row>
                    <xdr:rowOff>9525</xdr:rowOff>
                  </from>
                  <to>
                    <xdr:col>2</xdr:col>
                    <xdr:colOff>9525</xdr:colOff>
                    <xdr:row>8</xdr:row>
                    <xdr:rowOff>9525</xdr:rowOff>
                  </to>
                </anchor>
              </controlPr>
            </control>
          </mc:Choice>
        </mc:AlternateContent>
        <mc:AlternateContent xmlns:mc="http://schemas.openxmlformats.org/markup-compatibility/2006">
          <mc:Choice Requires="x14">
            <control shapeId="13392" r:id="rId57" name="Drop Down 80">
              <controlPr defaultSize="0" autoLine="0" autoPict="0">
                <anchor moveWithCells="1">
                  <from>
                    <xdr:col>1</xdr:col>
                    <xdr:colOff>0</xdr:colOff>
                    <xdr:row>8</xdr:row>
                    <xdr:rowOff>9525</xdr:rowOff>
                  </from>
                  <to>
                    <xdr:col>2</xdr:col>
                    <xdr:colOff>9525</xdr:colOff>
                    <xdr:row>9</xdr:row>
                    <xdr:rowOff>9525</xdr:rowOff>
                  </to>
                </anchor>
              </controlPr>
            </control>
          </mc:Choice>
        </mc:AlternateContent>
        <mc:AlternateContent xmlns:mc="http://schemas.openxmlformats.org/markup-compatibility/2006">
          <mc:Choice Requires="x14">
            <control shapeId="13393" r:id="rId58" name="Drop Down 81">
              <controlPr defaultSize="0" autoLine="0" autoPict="0">
                <anchor moveWithCells="1">
                  <from>
                    <xdr:col>1</xdr:col>
                    <xdr:colOff>0</xdr:colOff>
                    <xdr:row>9</xdr:row>
                    <xdr:rowOff>9525</xdr:rowOff>
                  </from>
                  <to>
                    <xdr:col>2</xdr:col>
                    <xdr:colOff>9525</xdr:colOff>
                    <xdr:row>10</xdr:row>
                    <xdr:rowOff>9525</xdr:rowOff>
                  </to>
                </anchor>
              </controlPr>
            </control>
          </mc:Choice>
        </mc:AlternateContent>
        <mc:AlternateContent xmlns:mc="http://schemas.openxmlformats.org/markup-compatibility/2006">
          <mc:Choice Requires="x14">
            <control shapeId="13394" r:id="rId59" name="Drop Down 82">
              <controlPr defaultSize="0" autoLine="0" autoPict="0">
                <anchor moveWithCells="1">
                  <from>
                    <xdr:col>1</xdr:col>
                    <xdr:colOff>0</xdr:colOff>
                    <xdr:row>10</xdr:row>
                    <xdr:rowOff>9525</xdr:rowOff>
                  </from>
                  <to>
                    <xdr:col>2</xdr:col>
                    <xdr:colOff>9525</xdr:colOff>
                    <xdr:row>11</xdr:row>
                    <xdr:rowOff>9525</xdr:rowOff>
                  </to>
                </anchor>
              </controlPr>
            </control>
          </mc:Choice>
        </mc:AlternateContent>
        <mc:AlternateContent xmlns:mc="http://schemas.openxmlformats.org/markup-compatibility/2006">
          <mc:Choice Requires="x14">
            <control shapeId="13395" r:id="rId60" name="Drop Down 83">
              <controlPr defaultSize="0" autoLine="0" autoPict="0">
                <anchor moveWithCells="1">
                  <from>
                    <xdr:col>1</xdr:col>
                    <xdr:colOff>0</xdr:colOff>
                    <xdr:row>11</xdr:row>
                    <xdr:rowOff>9525</xdr:rowOff>
                  </from>
                  <to>
                    <xdr:col>2</xdr:col>
                    <xdr:colOff>9525</xdr:colOff>
                    <xdr:row>12</xdr:row>
                    <xdr:rowOff>9525</xdr:rowOff>
                  </to>
                </anchor>
              </controlPr>
            </control>
          </mc:Choice>
        </mc:AlternateContent>
        <mc:AlternateContent xmlns:mc="http://schemas.openxmlformats.org/markup-compatibility/2006">
          <mc:Choice Requires="x14">
            <control shapeId="13396" r:id="rId61" name="Drop Down 84">
              <controlPr defaultSize="0" autoLine="0" autoPict="0">
                <anchor moveWithCells="1">
                  <from>
                    <xdr:col>1</xdr:col>
                    <xdr:colOff>0</xdr:colOff>
                    <xdr:row>12</xdr:row>
                    <xdr:rowOff>9525</xdr:rowOff>
                  </from>
                  <to>
                    <xdr:col>2</xdr:col>
                    <xdr:colOff>9525</xdr:colOff>
                    <xdr:row>13</xdr:row>
                    <xdr:rowOff>9525</xdr:rowOff>
                  </to>
                </anchor>
              </controlPr>
            </control>
          </mc:Choice>
        </mc:AlternateContent>
        <mc:AlternateContent xmlns:mc="http://schemas.openxmlformats.org/markup-compatibility/2006">
          <mc:Choice Requires="x14">
            <control shapeId="13397" r:id="rId62" name="Drop Down 85">
              <controlPr defaultSize="0" autoLine="0" autoPict="0">
                <anchor moveWithCells="1">
                  <from>
                    <xdr:col>1</xdr:col>
                    <xdr:colOff>0</xdr:colOff>
                    <xdr:row>13</xdr:row>
                    <xdr:rowOff>9525</xdr:rowOff>
                  </from>
                  <to>
                    <xdr:col>2</xdr:col>
                    <xdr:colOff>9525</xdr:colOff>
                    <xdr:row>14</xdr:row>
                    <xdr:rowOff>9525</xdr:rowOff>
                  </to>
                </anchor>
              </controlPr>
            </control>
          </mc:Choice>
        </mc:AlternateContent>
        <mc:AlternateContent xmlns:mc="http://schemas.openxmlformats.org/markup-compatibility/2006">
          <mc:Choice Requires="x14">
            <control shapeId="13398" r:id="rId63" name="Drop Down 86">
              <controlPr defaultSize="0" autoLine="0" autoPict="0">
                <anchor moveWithCells="1">
                  <from>
                    <xdr:col>1</xdr:col>
                    <xdr:colOff>0</xdr:colOff>
                    <xdr:row>14</xdr:row>
                    <xdr:rowOff>9525</xdr:rowOff>
                  </from>
                  <to>
                    <xdr:col>2</xdr:col>
                    <xdr:colOff>9525</xdr:colOff>
                    <xdr:row>15</xdr:row>
                    <xdr:rowOff>9525</xdr:rowOff>
                  </to>
                </anchor>
              </controlPr>
            </control>
          </mc:Choice>
        </mc:AlternateContent>
        <mc:AlternateContent xmlns:mc="http://schemas.openxmlformats.org/markup-compatibility/2006">
          <mc:Choice Requires="x14">
            <control shapeId="13399" r:id="rId64" name="Drop Down 87">
              <controlPr defaultSize="0" autoLine="0" autoPict="0">
                <anchor moveWithCells="1">
                  <from>
                    <xdr:col>1</xdr:col>
                    <xdr:colOff>0</xdr:colOff>
                    <xdr:row>15</xdr:row>
                    <xdr:rowOff>9525</xdr:rowOff>
                  </from>
                  <to>
                    <xdr:col>2</xdr:col>
                    <xdr:colOff>9525</xdr:colOff>
                    <xdr:row>16</xdr:row>
                    <xdr:rowOff>9525</xdr:rowOff>
                  </to>
                </anchor>
              </controlPr>
            </control>
          </mc:Choice>
        </mc:AlternateContent>
        <mc:AlternateContent xmlns:mc="http://schemas.openxmlformats.org/markup-compatibility/2006">
          <mc:Choice Requires="x14">
            <control shapeId="13400" r:id="rId65" name="Drop Down 88">
              <controlPr defaultSize="0" autoLine="0" autoPict="0">
                <anchor moveWithCells="1">
                  <from>
                    <xdr:col>1</xdr:col>
                    <xdr:colOff>0</xdr:colOff>
                    <xdr:row>16</xdr:row>
                    <xdr:rowOff>9525</xdr:rowOff>
                  </from>
                  <to>
                    <xdr:col>2</xdr:col>
                    <xdr:colOff>9525</xdr:colOff>
                    <xdr:row>17</xdr:row>
                    <xdr:rowOff>9525</xdr:rowOff>
                  </to>
                </anchor>
              </controlPr>
            </control>
          </mc:Choice>
        </mc:AlternateContent>
        <mc:AlternateContent xmlns:mc="http://schemas.openxmlformats.org/markup-compatibility/2006">
          <mc:Choice Requires="x14">
            <control shapeId="13401" r:id="rId66" name="Drop Down 89">
              <controlPr defaultSize="0" autoLine="0" autoPict="0">
                <anchor moveWithCells="1">
                  <from>
                    <xdr:col>1</xdr:col>
                    <xdr:colOff>0</xdr:colOff>
                    <xdr:row>17</xdr:row>
                    <xdr:rowOff>9525</xdr:rowOff>
                  </from>
                  <to>
                    <xdr:col>2</xdr:col>
                    <xdr:colOff>9525</xdr:colOff>
                    <xdr:row>18</xdr:row>
                    <xdr:rowOff>9525</xdr:rowOff>
                  </to>
                </anchor>
              </controlPr>
            </control>
          </mc:Choice>
        </mc:AlternateContent>
        <mc:AlternateContent xmlns:mc="http://schemas.openxmlformats.org/markup-compatibility/2006">
          <mc:Choice Requires="x14">
            <control shapeId="13402" r:id="rId67" name="Drop Down 90">
              <controlPr defaultSize="0" autoLine="0" autoPict="0">
                <anchor moveWithCells="1">
                  <from>
                    <xdr:col>1</xdr:col>
                    <xdr:colOff>0</xdr:colOff>
                    <xdr:row>18</xdr:row>
                    <xdr:rowOff>9525</xdr:rowOff>
                  </from>
                  <to>
                    <xdr:col>2</xdr:col>
                    <xdr:colOff>9525</xdr:colOff>
                    <xdr:row>19</xdr:row>
                    <xdr:rowOff>9525</xdr:rowOff>
                  </to>
                </anchor>
              </controlPr>
            </control>
          </mc:Choice>
        </mc:AlternateContent>
        <mc:AlternateContent xmlns:mc="http://schemas.openxmlformats.org/markup-compatibility/2006">
          <mc:Choice Requires="x14">
            <control shapeId="13403" r:id="rId68" name="Drop Down 91">
              <controlPr defaultSize="0" autoLine="0" autoPict="0">
                <anchor moveWithCells="1">
                  <from>
                    <xdr:col>1</xdr:col>
                    <xdr:colOff>0</xdr:colOff>
                    <xdr:row>19</xdr:row>
                    <xdr:rowOff>9525</xdr:rowOff>
                  </from>
                  <to>
                    <xdr:col>2</xdr:col>
                    <xdr:colOff>9525</xdr:colOff>
                    <xdr:row>20</xdr:row>
                    <xdr:rowOff>9525</xdr:rowOff>
                  </to>
                </anchor>
              </controlPr>
            </control>
          </mc:Choice>
        </mc:AlternateContent>
        <mc:AlternateContent xmlns:mc="http://schemas.openxmlformats.org/markup-compatibility/2006">
          <mc:Choice Requires="x14">
            <control shapeId="13404" r:id="rId69" name="Drop Down 92">
              <controlPr defaultSize="0" autoLine="0" autoPict="0">
                <anchor moveWithCells="1">
                  <from>
                    <xdr:col>1</xdr:col>
                    <xdr:colOff>0</xdr:colOff>
                    <xdr:row>20</xdr:row>
                    <xdr:rowOff>9525</xdr:rowOff>
                  </from>
                  <to>
                    <xdr:col>2</xdr:col>
                    <xdr:colOff>9525</xdr:colOff>
                    <xdr:row>21</xdr:row>
                    <xdr:rowOff>9525</xdr:rowOff>
                  </to>
                </anchor>
              </controlPr>
            </control>
          </mc:Choice>
        </mc:AlternateContent>
        <mc:AlternateContent xmlns:mc="http://schemas.openxmlformats.org/markup-compatibility/2006">
          <mc:Choice Requires="x14">
            <control shapeId="13405" r:id="rId70" name="Drop Down 93">
              <controlPr defaultSize="0" autoLine="0" autoPict="0">
                <anchor moveWithCells="1">
                  <from>
                    <xdr:col>1</xdr:col>
                    <xdr:colOff>0</xdr:colOff>
                    <xdr:row>21</xdr:row>
                    <xdr:rowOff>9525</xdr:rowOff>
                  </from>
                  <to>
                    <xdr:col>2</xdr:col>
                    <xdr:colOff>9525</xdr:colOff>
                    <xdr:row>22</xdr:row>
                    <xdr:rowOff>9525</xdr:rowOff>
                  </to>
                </anchor>
              </controlPr>
            </control>
          </mc:Choice>
        </mc:AlternateContent>
        <mc:AlternateContent xmlns:mc="http://schemas.openxmlformats.org/markup-compatibility/2006">
          <mc:Choice Requires="x14">
            <control shapeId="13406" r:id="rId71" name="Drop Down 94">
              <controlPr defaultSize="0" autoLine="0" autoPict="0">
                <anchor moveWithCells="1">
                  <from>
                    <xdr:col>1</xdr:col>
                    <xdr:colOff>0</xdr:colOff>
                    <xdr:row>22</xdr:row>
                    <xdr:rowOff>9525</xdr:rowOff>
                  </from>
                  <to>
                    <xdr:col>2</xdr:col>
                    <xdr:colOff>9525</xdr:colOff>
                    <xdr:row>23</xdr:row>
                    <xdr:rowOff>9525</xdr:rowOff>
                  </to>
                </anchor>
              </controlPr>
            </control>
          </mc:Choice>
        </mc:AlternateContent>
        <mc:AlternateContent xmlns:mc="http://schemas.openxmlformats.org/markup-compatibility/2006">
          <mc:Choice Requires="x14">
            <control shapeId="13407" r:id="rId72" name="Drop Down 95">
              <controlPr defaultSize="0" autoLine="0" autoPict="0">
                <anchor moveWithCells="1">
                  <from>
                    <xdr:col>1</xdr:col>
                    <xdr:colOff>0</xdr:colOff>
                    <xdr:row>43</xdr:row>
                    <xdr:rowOff>9525</xdr:rowOff>
                  </from>
                  <to>
                    <xdr:col>2</xdr:col>
                    <xdr:colOff>9525</xdr:colOff>
                    <xdr:row>44</xdr:row>
                    <xdr:rowOff>9525</xdr:rowOff>
                  </to>
                </anchor>
              </controlPr>
            </control>
          </mc:Choice>
        </mc:AlternateContent>
        <mc:AlternateContent xmlns:mc="http://schemas.openxmlformats.org/markup-compatibility/2006">
          <mc:Choice Requires="x14">
            <control shapeId="13408" r:id="rId73" name="Drop Down 96">
              <controlPr defaultSize="0" autoLine="0" autoPict="0">
                <anchor moveWithCells="1">
                  <from>
                    <xdr:col>11</xdr:col>
                    <xdr:colOff>0</xdr:colOff>
                    <xdr:row>2</xdr:row>
                    <xdr:rowOff>9525</xdr:rowOff>
                  </from>
                  <to>
                    <xdr:col>12</xdr:col>
                    <xdr:colOff>0</xdr:colOff>
                    <xdr:row>3</xdr:row>
                    <xdr:rowOff>28575</xdr:rowOff>
                  </to>
                </anchor>
              </controlPr>
            </control>
          </mc:Choice>
        </mc:AlternateContent>
        <mc:AlternateContent xmlns:mc="http://schemas.openxmlformats.org/markup-compatibility/2006">
          <mc:Choice Requires="x14">
            <control shapeId="13409" r:id="rId74" name="Drop Down 97">
              <controlPr defaultSize="0" autoLine="0" autoPict="0">
                <anchor moveWithCells="1">
                  <from>
                    <xdr:col>13</xdr:col>
                    <xdr:colOff>0</xdr:colOff>
                    <xdr:row>2</xdr:row>
                    <xdr:rowOff>9525</xdr:rowOff>
                  </from>
                  <to>
                    <xdr:col>13</xdr:col>
                    <xdr:colOff>2809875</xdr:colOff>
                    <xdr:row>3</xdr:row>
                    <xdr:rowOff>9525</xdr:rowOff>
                  </to>
                </anchor>
              </controlPr>
            </control>
          </mc:Choice>
        </mc:AlternateContent>
        <mc:AlternateContent xmlns:mc="http://schemas.openxmlformats.org/markup-compatibility/2006">
          <mc:Choice Requires="x14">
            <control shapeId="13410" r:id="rId75" name="Drop Down 98">
              <controlPr defaultSize="0" autoLine="0" autoPict="0">
                <anchor moveWithCells="1">
                  <from>
                    <xdr:col>15</xdr:col>
                    <xdr:colOff>0</xdr:colOff>
                    <xdr:row>2</xdr:row>
                    <xdr:rowOff>9525</xdr:rowOff>
                  </from>
                  <to>
                    <xdr:col>16</xdr:col>
                    <xdr:colOff>9525</xdr:colOff>
                    <xdr:row>3</xdr:row>
                    <xdr:rowOff>9525</xdr:rowOff>
                  </to>
                </anchor>
              </controlPr>
            </control>
          </mc:Choice>
        </mc:AlternateContent>
        <mc:AlternateContent xmlns:mc="http://schemas.openxmlformats.org/markup-compatibility/2006">
          <mc:Choice Requires="x14">
            <control shapeId="13411" r:id="rId76" name="Drop Down 99">
              <controlPr defaultSize="0" autoLine="0" autoPict="0">
                <anchor moveWithCells="1">
                  <from>
                    <xdr:col>4</xdr:col>
                    <xdr:colOff>0</xdr:colOff>
                    <xdr:row>3</xdr:row>
                    <xdr:rowOff>9525</xdr:rowOff>
                  </from>
                  <to>
                    <xdr:col>4</xdr:col>
                    <xdr:colOff>1800225</xdr:colOff>
                    <xdr:row>4</xdr:row>
                    <xdr:rowOff>0</xdr:rowOff>
                  </to>
                </anchor>
              </controlPr>
            </control>
          </mc:Choice>
        </mc:AlternateContent>
        <mc:AlternateContent xmlns:mc="http://schemas.openxmlformats.org/markup-compatibility/2006">
          <mc:Choice Requires="x14">
            <control shapeId="13412" r:id="rId77" name="Drop Down 100">
              <controlPr defaultSize="0" autoLine="0" autoPict="0">
                <anchor moveWithCells="1">
                  <from>
                    <xdr:col>4</xdr:col>
                    <xdr:colOff>0</xdr:colOff>
                    <xdr:row>4</xdr:row>
                    <xdr:rowOff>9525</xdr:rowOff>
                  </from>
                  <to>
                    <xdr:col>4</xdr:col>
                    <xdr:colOff>1800225</xdr:colOff>
                    <xdr:row>5</xdr:row>
                    <xdr:rowOff>0</xdr:rowOff>
                  </to>
                </anchor>
              </controlPr>
            </control>
          </mc:Choice>
        </mc:AlternateContent>
        <mc:AlternateContent xmlns:mc="http://schemas.openxmlformats.org/markup-compatibility/2006">
          <mc:Choice Requires="x14">
            <control shapeId="13413" r:id="rId78" name="Drop Down 101">
              <controlPr defaultSize="0" autoLine="0" autoPict="0">
                <anchor moveWithCells="1">
                  <from>
                    <xdr:col>4</xdr:col>
                    <xdr:colOff>0</xdr:colOff>
                    <xdr:row>5</xdr:row>
                    <xdr:rowOff>9525</xdr:rowOff>
                  </from>
                  <to>
                    <xdr:col>4</xdr:col>
                    <xdr:colOff>1800225</xdr:colOff>
                    <xdr:row>6</xdr:row>
                    <xdr:rowOff>0</xdr:rowOff>
                  </to>
                </anchor>
              </controlPr>
            </control>
          </mc:Choice>
        </mc:AlternateContent>
        <mc:AlternateContent xmlns:mc="http://schemas.openxmlformats.org/markup-compatibility/2006">
          <mc:Choice Requires="x14">
            <control shapeId="13414" r:id="rId79" name="Drop Down 102">
              <controlPr defaultSize="0" autoLine="0" autoPict="0">
                <anchor moveWithCells="1">
                  <from>
                    <xdr:col>4</xdr:col>
                    <xdr:colOff>0</xdr:colOff>
                    <xdr:row>6</xdr:row>
                    <xdr:rowOff>9525</xdr:rowOff>
                  </from>
                  <to>
                    <xdr:col>4</xdr:col>
                    <xdr:colOff>1800225</xdr:colOff>
                    <xdr:row>7</xdr:row>
                    <xdr:rowOff>0</xdr:rowOff>
                  </to>
                </anchor>
              </controlPr>
            </control>
          </mc:Choice>
        </mc:AlternateContent>
        <mc:AlternateContent xmlns:mc="http://schemas.openxmlformats.org/markup-compatibility/2006">
          <mc:Choice Requires="x14">
            <control shapeId="13415" r:id="rId80" name="Drop Down 103">
              <controlPr defaultSize="0" autoLine="0" autoPict="0">
                <anchor moveWithCells="1">
                  <from>
                    <xdr:col>4</xdr:col>
                    <xdr:colOff>0</xdr:colOff>
                    <xdr:row>7</xdr:row>
                    <xdr:rowOff>9525</xdr:rowOff>
                  </from>
                  <to>
                    <xdr:col>4</xdr:col>
                    <xdr:colOff>1800225</xdr:colOff>
                    <xdr:row>8</xdr:row>
                    <xdr:rowOff>0</xdr:rowOff>
                  </to>
                </anchor>
              </controlPr>
            </control>
          </mc:Choice>
        </mc:AlternateContent>
        <mc:AlternateContent xmlns:mc="http://schemas.openxmlformats.org/markup-compatibility/2006">
          <mc:Choice Requires="x14">
            <control shapeId="13416" r:id="rId81" name="Drop Down 104">
              <controlPr defaultSize="0" autoLine="0" autoPict="0">
                <anchor moveWithCells="1">
                  <from>
                    <xdr:col>4</xdr:col>
                    <xdr:colOff>0</xdr:colOff>
                    <xdr:row>8</xdr:row>
                    <xdr:rowOff>9525</xdr:rowOff>
                  </from>
                  <to>
                    <xdr:col>4</xdr:col>
                    <xdr:colOff>1800225</xdr:colOff>
                    <xdr:row>9</xdr:row>
                    <xdr:rowOff>0</xdr:rowOff>
                  </to>
                </anchor>
              </controlPr>
            </control>
          </mc:Choice>
        </mc:AlternateContent>
        <mc:AlternateContent xmlns:mc="http://schemas.openxmlformats.org/markup-compatibility/2006">
          <mc:Choice Requires="x14">
            <control shapeId="13417" r:id="rId82" name="Drop Down 105">
              <controlPr defaultSize="0" autoLine="0" autoPict="0">
                <anchor moveWithCells="1">
                  <from>
                    <xdr:col>4</xdr:col>
                    <xdr:colOff>0</xdr:colOff>
                    <xdr:row>9</xdr:row>
                    <xdr:rowOff>9525</xdr:rowOff>
                  </from>
                  <to>
                    <xdr:col>4</xdr:col>
                    <xdr:colOff>1800225</xdr:colOff>
                    <xdr:row>10</xdr:row>
                    <xdr:rowOff>0</xdr:rowOff>
                  </to>
                </anchor>
              </controlPr>
            </control>
          </mc:Choice>
        </mc:AlternateContent>
        <mc:AlternateContent xmlns:mc="http://schemas.openxmlformats.org/markup-compatibility/2006">
          <mc:Choice Requires="x14">
            <control shapeId="13418" r:id="rId83" name="Drop Down 106">
              <controlPr defaultSize="0" autoLine="0" autoPict="0">
                <anchor moveWithCells="1">
                  <from>
                    <xdr:col>4</xdr:col>
                    <xdr:colOff>0</xdr:colOff>
                    <xdr:row>10</xdr:row>
                    <xdr:rowOff>9525</xdr:rowOff>
                  </from>
                  <to>
                    <xdr:col>4</xdr:col>
                    <xdr:colOff>1800225</xdr:colOff>
                    <xdr:row>11</xdr:row>
                    <xdr:rowOff>0</xdr:rowOff>
                  </to>
                </anchor>
              </controlPr>
            </control>
          </mc:Choice>
        </mc:AlternateContent>
        <mc:AlternateContent xmlns:mc="http://schemas.openxmlformats.org/markup-compatibility/2006">
          <mc:Choice Requires="x14">
            <control shapeId="13419" r:id="rId84" name="Drop Down 107">
              <controlPr defaultSize="0" autoLine="0" autoPict="0">
                <anchor moveWithCells="1">
                  <from>
                    <xdr:col>4</xdr:col>
                    <xdr:colOff>0</xdr:colOff>
                    <xdr:row>11</xdr:row>
                    <xdr:rowOff>9525</xdr:rowOff>
                  </from>
                  <to>
                    <xdr:col>4</xdr:col>
                    <xdr:colOff>1800225</xdr:colOff>
                    <xdr:row>12</xdr:row>
                    <xdr:rowOff>0</xdr:rowOff>
                  </to>
                </anchor>
              </controlPr>
            </control>
          </mc:Choice>
        </mc:AlternateContent>
        <mc:AlternateContent xmlns:mc="http://schemas.openxmlformats.org/markup-compatibility/2006">
          <mc:Choice Requires="x14">
            <control shapeId="13420" r:id="rId85" name="Drop Down 108">
              <controlPr defaultSize="0" autoLine="0" autoPict="0">
                <anchor moveWithCells="1">
                  <from>
                    <xdr:col>4</xdr:col>
                    <xdr:colOff>0</xdr:colOff>
                    <xdr:row>12</xdr:row>
                    <xdr:rowOff>9525</xdr:rowOff>
                  </from>
                  <to>
                    <xdr:col>4</xdr:col>
                    <xdr:colOff>1800225</xdr:colOff>
                    <xdr:row>13</xdr:row>
                    <xdr:rowOff>0</xdr:rowOff>
                  </to>
                </anchor>
              </controlPr>
            </control>
          </mc:Choice>
        </mc:AlternateContent>
        <mc:AlternateContent xmlns:mc="http://schemas.openxmlformats.org/markup-compatibility/2006">
          <mc:Choice Requires="x14">
            <control shapeId="13421" r:id="rId86" name="Drop Down 109">
              <controlPr defaultSize="0" autoLine="0" autoPict="0">
                <anchor moveWithCells="1">
                  <from>
                    <xdr:col>4</xdr:col>
                    <xdr:colOff>0</xdr:colOff>
                    <xdr:row>13</xdr:row>
                    <xdr:rowOff>9525</xdr:rowOff>
                  </from>
                  <to>
                    <xdr:col>4</xdr:col>
                    <xdr:colOff>1800225</xdr:colOff>
                    <xdr:row>14</xdr:row>
                    <xdr:rowOff>0</xdr:rowOff>
                  </to>
                </anchor>
              </controlPr>
            </control>
          </mc:Choice>
        </mc:AlternateContent>
        <mc:AlternateContent xmlns:mc="http://schemas.openxmlformats.org/markup-compatibility/2006">
          <mc:Choice Requires="x14">
            <control shapeId="13422" r:id="rId87" name="Drop Down 110">
              <controlPr defaultSize="0" autoLine="0" autoPict="0">
                <anchor moveWithCells="1">
                  <from>
                    <xdr:col>4</xdr:col>
                    <xdr:colOff>0</xdr:colOff>
                    <xdr:row>14</xdr:row>
                    <xdr:rowOff>9525</xdr:rowOff>
                  </from>
                  <to>
                    <xdr:col>4</xdr:col>
                    <xdr:colOff>1800225</xdr:colOff>
                    <xdr:row>15</xdr:row>
                    <xdr:rowOff>0</xdr:rowOff>
                  </to>
                </anchor>
              </controlPr>
            </control>
          </mc:Choice>
        </mc:AlternateContent>
        <mc:AlternateContent xmlns:mc="http://schemas.openxmlformats.org/markup-compatibility/2006">
          <mc:Choice Requires="x14">
            <control shapeId="13423" r:id="rId88" name="Drop Down 111">
              <controlPr defaultSize="0" autoLine="0" autoPict="0">
                <anchor moveWithCells="1">
                  <from>
                    <xdr:col>4</xdr:col>
                    <xdr:colOff>0</xdr:colOff>
                    <xdr:row>15</xdr:row>
                    <xdr:rowOff>9525</xdr:rowOff>
                  </from>
                  <to>
                    <xdr:col>4</xdr:col>
                    <xdr:colOff>1800225</xdr:colOff>
                    <xdr:row>16</xdr:row>
                    <xdr:rowOff>0</xdr:rowOff>
                  </to>
                </anchor>
              </controlPr>
            </control>
          </mc:Choice>
        </mc:AlternateContent>
        <mc:AlternateContent xmlns:mc="http://schemas.openxmlformats.org/markup-compatibility/2006">
          <mc:Choice Requires="x14">
            <control shapeId="13424" r:id="rId89" name="Drop Down 112">
              <controlPr defaultSize="0" autoLine="0" autoPict="0">
                <anchor moveWithCells="1">
                  <from>
                    <xdr:col>4</xdr:col>
                    <xdr:colOff>0</xdr:colOff>
                    <xdr:row>16</xdr:row>
                    <xdr:rowOff>9525</xdr:rowOff>
                  </from>
                  <to>
                    <xdr:col>4</xdr:col>
                    <xdr:colOff>1800225</xdr:colOff>
                    <xdr:row>17</xdr:row>
                    <xdr:rowOff>0</xdr:rowOff>
                  </to>
                </anchor>
              </controlPr>
            </control>
          </mc:Choice>
        </mc:AlternateContent>
        <mc:AlternateContent xmlns:mc="http://schemas.openxmlformats.org/markup-compatibility/2006">
          <mc:Choice Requires="x14">
            <control shapeId="13425" r:id="rId90" name="Drop Down 113">
              <controlPr defaultSize="0" autoLine="0" autoPict="0">
                <anchor moveWithCells="1">
                  <from>
                    <xdr:col>4</xdr:col>
                    <xdr:colOff>0</xdr:colOff>
                    <xdr:row>17</xdr:row>
                    <xdr:rowOff>9525</xdr:rowOff>
                  </from>
                  <to>
                    <xdr:col>4</xdr:col>
                    <xdr:colOff>1800225</xdr:colOff>
                    <xdr:row>18</xdr:row>
                    <xdr:rowOff>0</xdr:rowOff>
                  </to>
                </anchor>
              </controlPr>
            </control>
          </mc:Choice>
        </mc:AlternateContent>
        <mc:AlternateContent xmlns:mc="http://schemas.openxmlformats.org/markup-compatibility/2006">
          <mc:Choice Requires="x14">
            <control shapeId="13426" r:id="rId91" name="Drop Down 114">
              <controlPr defaultSize="0" autoLine="0" autoPict="0">
                <anchor moveWithCells="1">
                  <from>
                    <xdr:col>4</xdr:col>
                    <xdr:colOff>0</xdr:colOff>
                    <xdr:row>18</xdr:row>
                    <xdr:rowOff>9525</xdr:rowOff>
                  </from>
                  <to>
                    <xdr:col>4</xdr:col>
                    <xdr:colOff>1800225</xdr:colOff>
                    <xdr:row>19</xdr:row>
                    <xdr:rowOff>0</xdr:rowOff>
                  </to>
                </anchor>
              </controlPr>
            </control>
          </mc:Choice>
        </mc:AlternateContent>
        <mc:AlternateContent xmlns:mc="http://schemas.openxmlformats.org/markup-compatibility/2006">
          <mc:Choice Requires="x14">
            <control shapeId="13427" r:id="rId92" name="Drop Down 115">
              <controlPr defaultSize="0" autoLine="0" autoPict="0">
                <anchor moveWithCells="1">
                  <from>
                    <xdr:col>4</xdr:col>
                    <xdr:colOff>0</xdr:colOff>
                    <xdr:row>19</xdr:row>
                    <xdr:rowOff>9525</xdr:rowOff>
                  </from>
                  <to>
                    <xdr:col>4</xdr:col>
                    <xdr:colOff>1800225</xdr:colOff>
                    <xdr:row>20</xdr:row>
                    <xdr:rowOff>0</xdr:rowOff>
                  </to>
                </anchor>
              </controlPr>
            </control>
          </mc:Choice>
        </mc:AlternateContent>
        <mc:AlternateContent xmlns:mc="http://schemas.openxmlformats.org/markup-compatibility/2006">
          <mc:Choice Requires="x14">
            <control shapeId="13428" r:id="rId93" name="Drop Down 116">
              <controlPr defaultSize="0" autoLine="0" autoPict="0">
                <anchor moveWithCells="1">
                  <from>
                    <xdr:col>4</xdr:col>
                    <xdr:colOff>0</xdr:colOff>
                    <xdr:row>20</xdr:row>
                    <xdr:rowOff>9525</xdr:rowOff>
                  </from>
                  <to>
                    <xdr:col>4</xdr:col>
                    <xdr:colOff>1800225</xdr:colOff>
                    <xdr:row>21</xdr:row>
                    <xdr:rowOff>0</xdr:rowOff>
                  </to>
                </anchor>
              </controlPr>
            </control>
          </mc:Choice>
        </mc:AlternateContent>
        <mc:AlternateContent xmlns:mc="http://schemas.openxmlformats.org/markup-compatibility/2006">
          <mc:Choice Requires="x14">
            <control shapeId="13429" r:id="rId94" name="Drop Down 117">
              <controlPr defaultSize="0" autoLine="0" autoPict="0">
                <anchor moveWithCells="1">
                  <from>
                    <xdr:col>4</xdr:col>
                    <xdr:colOff>0</xdr:colOff>
                    <xdr:row>21</xdr:row>
                    <xdr:rowOff>9525</xdr:rowOff>
                  </from>
                  <to>
                    <xdr:col>4</xdr:col>
                    <xdr:colOff>1800225</xdr:colOff>
                    <xdr:row>22</xdr:row>
                    <xdr:rowOff>0</xdr:rowOff>
                  </to>
                </anchor>
              </controlPr>
            </control>
          </mc:Choice>
        </mc:AlternateContent>
        <mc:AlternateContent xmlns:mc="http://schemas.openxmlformats.org/markup-compatibility/2006">
          <mc:Choice Requires="x14">
            <control shapeId="13430" r:id="rId95" name="Drop Down 118">
              <controlPr defaultSize="0" autoLine="0" autoPict="0">
                <anchor moveWithCells="1">
                  <from>
                    <xdr:col>4</xdr:col>
                    <xdr:colOff>0</xdr:colOff>
                    <xdr:row>22</xdr:row>
                    <xdr:rowOff>9525</xdr:rowOff>
                  </from>
                  <to>
                    <xdr:col>4</xdr:col>
                    <xdr:colOff>1800225</xdr:colOff>
                    <xdr:row>23</xdr:row>
                    <xdr:rowOff>0</xdr:rowOff>
                  </to>
                </anchor>
              </controlPr>
            </control>
          </mc:Choice>
        </mc:AlternateContent>
        <mc:AlternateContent xmlns:mc="http://schemas.openxmlformats.org/markup-compatibility/2006">
          <mc:Choice Requires="x14">
            <control shapeId="13431" r:id="rId96" name="Drop Down 119">
              <controlPr defaultSize="0" autoLine="0" autoPict="0">
                <anchor moveWithCells="1">
                  <from>
                    <xdr:col>4</xdr:col>
                    <xdr:colOff>0</xdr:colOff>
                    <xdr:row>43</xdr:row>
                    <xdr:rowOff>9525</xdr:rowOff>
                  </from>
                  <to>
                    <xdr:col>4</xdr:col>
                    <xdr:colOff>1800225</xdr:colOff>
                    <xdr:row>44</xdr:row>
                    <xdr:rowOff>0</xdr:rowOff>
                  </to>
                </anchor>
              </controlPr>
            </control>
          </mc:Choice>
        </mc:AlternateContent>
        <mc:AlternateContent xmlns:mc="http://schemas.openxmlformats.org/markup-compatibility/2006">
          <mc:Choice Requires="x14">
            <control shapeId="13432" r:id="rId97" name="Drop Down 120">
              <controlPr defaultSize="0" autoLine="0" autoPict="0">
                <anchor moveWithCells="1">
                  <from>
                    <xdr:col>6</xdr:col>
                    <xdr:colOff>0</xdr:colOff>
                    <xdr:row>3</xdr:row>
                    <xdr:rowOff>9525</xdr:rowOff>
                  </from>
                  <to>
                    <xdr:col>6</xdr:col>
                    <xdr:colOff>1028700</xdr:colOff>
                    <xdr:row>4</xdr:row>
                    <xdr:rowOff>0</xdr:rowOff>
                  </to>
                </anchor>
              </controlPr>
            </control>
          </mc:Choice>
        </mc:AlternateContent>
        <mc:AlternateContent xmlns:mc="http://schemas.openxmlformats.org/markup-compatibility/2006">
          <mc:Choice Requires="x14">
            <control shapeId="13433" r:id="rId98" name="Drop Down 121">
              <controlPr defaultSize="0" autoLine="0" autoPict="0">
                <anchor moveWithCells="1">
                  <from>
                    <xdr:col>6</xdr:col>
                    <xdr:colOff>0</xdr:colOff>
                    <xdr:row>4</xdr:row>
                    <xdr:rowOff>9525</xdr:rowOff>
                  </from>
                  <to>
                    <xdr:col>6</xdr:col>
                    <xdr:colOff>1028700</xdr:colOff>
                    <xdr:row>5</xdr:row>
                    <xdr:rowOff>0</xdr:rowOff>
                  </to>
                </anchor>
              </controlPr>
            </control>
          </mc:Choice>
        </mc:AlternateContent>
        <mc:AlternateContent xmlns:mc="http://schemas.openxmlformats.org/markup-compatibility/2006">
          <mc:Choice Requires="x14">
            <control shapeId="13434" r:id="rId99" name="Drop Down 122">
              <controlPr defaultSize="0" autoLine="0" autoPict="0">
                <anchor moveWithCells="1">
                  <from>
                    <xdr:col>6</xdr:col>
                    <xdr:colOff>0</xdr:colOff>
                    <xdr:row>5</xdr:row>
                    <xdr:rowOff>9525</xdr:rowOff>
                  </from>
                  <to>
                    <xdr:col>7</xdr:col>
                    <xdr:colOff>0</xdr:colOff>
                    <xdr:row>6</xdr:row>
                    <xdr:rowOff>0</xdr:rowOff>
                  </to>
                </anchor>
              </controlPr>
            </control>
          </mc:Choice>
        </mc:AlternateContent>
        <mc:AlternateContent xmlns:mc="http://schemas.openxmlformats.org/markup-compatibility/2006">
          <mc:Choice Requires="x14">
            <control shapeId="13435" r:id="rId100" name="Drop Down 123">
              <controlPr defaultSize="0" autoLine="0" autoPict="0">
                <anchor moveWithCells="1">
                  <from>
                    <xdr:col>6</xdr:col>
                    <xdr:colOff>0</xdr:colOff>
                    <xdr:row>6</xdr:row>
                    <xdr:rowOff>9525</xdr:rowOff>
                  </from>
                  <to>
                    <xdr:col>7</xdr:col>
                    <xdr:colOff>0</xdr:colOff>
                    <xdr:row>7</xdr:row>
                    <xdr:rowOff>0</xdr:rowOff>
                  </to>
                </anchor>
              </controlPr>
            </control>
          </mc:Choice>
        </mc:AlternateContent>
        <mc:AlternateContent xmlns:mc="http://schemas.openxmlformats.org/markup-compatibility/2006">
          <mc:Choice Requires="x14">
            <control shapeId="13436" r:id="rId101" name="Drop Down 124">
              <controlPr defaultSize="0" autoLine="0" autoPict="0">
                <anchor moveWithCells="1">
                  <from>
                    <xdr:col>6</xdr:col>
                    <xdr:colOff>0</xdr:colOff>
                    <xdr:row>7</xdr:row>
                    <xdr:rowOff>9525</xdr:rowOff>
                  </from>
                  <to>
                    <xdr:col>7</xdr:col>
                    <xdr:colOff>0</xdr:colOff>
                    <xdr:row>8</xdr:row>
                    <xdr:rowOff>0</xdr:rowOff>
                  </to>
                </anchor>
              </controlPr>
            </control>
          </mc:Choice>
        </mc:AlternateContent>
        <mc:AlternateContent xmlns:mc="http://schemas.openxmlformats.org/markup-compatibility/2006">
          <mc:Choice Requires="x14">
            <control shapeId="13437" r:id="rId102" name="Drop Down 125">
              <controlPr defaultSize="0" autoLine="0" autoPict="0">
                <anchor moveWithCells="1">
                  <from>
                    <xdr:col>6</xdr:col>
                    <xdr:colOff>0</xdr:colOff>
                    <xdr:row>8</xdr:row>
                    <xdr:rowOff>9525</xdr:rowOff>
                  </from>
                  <to>
                    <xdr:col>7</xdr:col>
                    <xdr:colOff>0</xdr:colOff>
                    <xdr:row>9</xdr:row>
                    <xdr:rowOff>0</xdr:rowOff>
                  </to>
                </anchor>
              </controlPr>
            </control>
          </mc:Choice>
        </mc:AlternateContent>
        <mc:AlternateContent xmlns:mc="http://schemas.openxmlformats.org/markup-compatibility/2006">
          <mc:Choice Requires="x14">
            <control shapeId="13438" r:id="rId103" name="Drop Down 126">
              <controlPr defaultSize="0" autoLine="0" autoPict="0">
                <anchor moveWithCells="1">
                  <from>
                    <xdr:col>6</xdr:col>
                    <xdr:colOff>0</xdr:colOff>
                    <xdr:row>9</xdr:row>
                    <xdr:rowOff>9525</xdr:rowOff>
                  </from>
                  <to>
                    <xdr:col>7</xdr:col>
                    <xdr:colOff>0</xdr:colOff>
                    <xdr:row>10</xdr:row>
                    <xdr:rowOff>0</xdr:rowOff>
                  </to>
                </anchor>
              </controlPr>
            </control>
          </mc:Choice>
        </mc:AlternateContent>
        <mc:AlternateContent xmlns:mc="http://schemas.openxmlformats.org/markup-compatibility/2006">
          <mc:Choice Requires="x14">
            <control shapeId="13439" r:id="rId104" name="Drop Down 127">
              <controlPr defaultSize="0" autoLine="0" autoPict="0">
                <anchor moveWithCells="1">
                  <from>
                    <xdr:col>6</xdr:col>
                    <xdr:colOff>0</xdr:colOff>
                    <xdr:row>10</xdr:row>
                    <xdr:rowOff>9525</xdr:rowOff>
                  </from>
                  <to>
                    <xdr:col>7</xdr:col>
                    <xdr:colOff>0</xdr:colOff>
                    <xdr:row>11</xdr:row>
                    <xdr:rowOff>0</xdr:rowOff>
                  </to>
                </anchor>
              </controlPr>
            </control>
          </mc:Choice>
        </mc:AlternateContent>
        <mc:AlternateContent xmlns:mc="http://schemas.openxmlformats.org/markup-compatibility/2006">
          <mc:Choice Requires="x14">
            <control shapeId="13440" r:id="rId105" name="Drop Down 128">
              <controlPr defaultSize="0" autoLine="0" autoPict="0">
                <anchor moveWithCells="1">
                  <from>
                    <xdr:col>6</xdr:col>
                    <xdr:colOff>0</xdr:colOff>
                    <xdr:row>11</xdr:row>
                    <xdr:rowOff>9525</xdr:rowOff>
                  </from>
                  <to>
                    <xdr:col>7</xdr:col>
                    <xdr:colOff>0</xdr:colOff>
                    <xdr:row>12</xdr:row>
                    <xdr:rowOff>0</xdr:rowOff>
                  </to>
                </anchor>
              </controlPr>
            </control>
          </mc:Choice>
        </mc:AlternateContent>
        <mc:AlternateContent xmlns:mc="http://schemas.openxmlformats.org/markup-compatibility/2006">
          <mc:Choice Requires="x14">
            <control shapeId="13441" r:id="rId106" name="Drop Down 129">
              <controlPr defaultSize="0" autoLine="0" autoPict="0">
                <anchor moveWithCells="1">
                  <from>
                    <xdr:col>6</xdr:col>
                    <xdr:colOff>0</xdr:colOff>
                    <xdr:row>12</xdr:row>
                    <xdr:rowOff>9525</xdr:rowOff>
                  </from>
                  <to>
                    <xdr:col>7</xdr:col>
                    <xdr:colOff>0</xdr:colOff>
                    <xdr:row>13</xdr:row>
                    <xdr:rowOff>0</xdr:rowOff>
                  </to>
                </anchor>
              </controlPr>
            </control>
          </mc:Choice>
        </mc:AlternateContent>
        <mc:AlternateContent xmlns:mc="http://schemas.openxmlformats.org/markup-compatibility/2006">
          <mc:Choice Requires="x14">
            <control shapeId="13442" r:id="rId107" name="Drop Down 130">
              <controlPr defaultSize="0" autoLine="0" autoPict="0">
                <anchor moveWithCells="1">
                  <from>
                    <xdr:col>6</xdr:col>
                    <xdr:colOff>0</xdr:colOff>
                    <xdr:row>13</xdr:row>
                    <xdr:rowOff>9525</xdr:rowOff>
                  </from>
                  <to>
                    <xdr:col>7</xdr:col>
                    <xdr:colOff>0</xdr:colOff>
                    <xdr:row>14</xdr:row>
                    <xdr:rowOff>0</xdr:rowOff>
                  </to>
                </anchor>
              </controlPr>
            </control>
          </mc:Choice>
        </mc:AlternateContent>
        <mc:AlternateContent xmlns:mc="http://schemas.openxmlformats.org/markup-compatibility/2006">
          <mc:Choice Requires="x14">
            <control shapeId="13443" r:id="rId108" name="Drop Down 131">
              <controlPr defaultSize="0" autoLine="0" autoPict="0">
                <anchor moveWithCells="1">
                  <from>
                    <xdr:col>6</xdr:col>
                    <xdr:colOff>0</xdr:colOff>
                    <xdr:row>14</xdr:row>
                    <xdr:rowOff>9525</xdr:rowOff>
                  </from>
                  <to>
                    <xdr:col>7</xdr:col>
                    <xdr:colOff>0</xdr:colOff>
                    <xdr:row>15</xdr:row>
                    <xdr:rowOff>9525</xdr:rowOff>
                  </to>
                </anchor>
              </controlPr>
            </control>
          </mc:Choice>
        </mc:AlternateContent>
        <mc:AlternateContent xmlns:mc="http://schemas.openxmlformats.org/markup-compatibility/2006">
          <mc:Choice Requires="x14">
            <control shapeId="13444" r:id="rId109" name="Drop Down 132">
              <controlPr defaultSize="0" autoLine="0" autoPict="0">
                <anchor moveWithCells="1">
                  <from>
                    <xdr:col>6</xdr:col>
                    <xdr:colOff>0</xdr:colOff>
                    <xdr:row>15</xdr:row>
                    <xdr:rowOff>9525</xdr:rowOff>
                  </from>
                  <to>
                    <xdr:col>7</xdr:col>
                    <xdr:colOff>0</xdr:colOff>
                    <xdr:row>16</xdr:row>
                    <xdr:rowOff>0</xdr:rowOff>
                  </to>
                </anchor>
              </controlPr>
            </control>
          </mc:Choice>
        </mc:AlternateContent>
        <mc:AlternateContent xmlns:mc="http://schemas.openxmlformats.org/markup-compatibility/2006">
          <mc:Choice Requires="x14">
            <control shapeId="13445" r:id="rId110" name="Drop Down 133">
              <controlPr defaultSize="0" autoLine="0" autoPict="0">
                <anchor moveWithCells="1">
                  <from>
                    <xdr:col>6</xdr:col>
                    <xdr:colOff>0</xdr:colOff>
                    <xdr:row>16</xdr:row>
                    <xdr:rowOff>9525</xdr:rowOff>
                  </from>
                  <to>
                    <xdr:col>7</xdr:col>
                    <xdr:colOff>0</xdr:colOff>
                    <xdr:row>17</xdr:row>
                    <xdr:rowOff>0</xdr:rowOff>
                  </to>
                </anchor>
              </controlPr>
            </control>
          </mc:Choice>
        </mc:AlternateContent>
        <mc:AlternateContent xmlns:mc="http://schemas.openxmlformats.org/markup-compatibility/2006">
          <mc:Choice Requires="x14">
            <control shapeId="13446" r:id="rId111" name="Drop Down 134">
              <controlPr defaultSize="0" autoLine="0" autoPict="0">
                <anchor moveWithCells="1">
                  <from>
                    <xdr:col>6</xdr:col>
                    <xdr:colOff>0</xdr:colOff>
                    <xdr:row>17</xdr:row>
                    <xdr:rowOff>9525</xdr:rowOff>
                  </from>
                  <to>
                    <xdr:col>7</xdr:col>
                    <xdr:colOff>0</xdr:colOff>
                    <xdr:row>18</xdr:row>
                    <xdr:rowOff>0</xdr:rowOff>
                  </to>
                </anchor>
              </controlPr>
            </control>
          </mc:Choice>
        </mc:AlternateContent>
        <mc:AlternateContent xmlns:mc="http://schemas.openxmlformats.org/markup-compatibility/2006">
          <mc:Choice Requires="x14">
            <control shapeId="13447" r:id="rId112" name="Drop Down 135">
              <controlPr defaultSize="0" autoLine="0" autoPict="0">
                <anchor moveWithCells="1">
                  <from>
                    <xdr:col>6</xdr:col>
                    <xdr:colOff>0</xdr:colOff>
                    <xdr:row>18</xdr:row>
                    <xdr:rowOff>9525</xdr:rowOff>
                  </from>
                  <to>
                    <xdr:col>7</xdr:col>
                    <xdr:colOff>0</xdr:colOff>
                    <xdr:row>19</xdr:row>
                    <xdr:rowOff>0</xdr:rowOff>
                  </to>
                </anchor>
              </controlPr>
            </control>
          </mc:Choice>
        </mc:AlternateContent>
        <mc:AlternateContent xmlns:mc="http://schemas.openxmlformats.org/markup-compatibility/2006">
          <mc:Choice Requires="x14">
            <control shapeId="13448" r:id="rId113" name="Drop Down 136">
              <controlPr defaultSize="0" autoLine="0" autoPict="0">
                <anchor moveWithCells="1">
                  <from>
                    <xdr:col>6</xdr:col>
                    <xdr:colOff>0</xdr:colOff>
                    <xdr:row>19</xdr:row>
                    <xdr:rowOff>9525</xdr:rowOff>
                  </from>
                  <to>
                    <xdr:col>7</xdr:col>
                    <xdr:colOff>0</xdr:colOff>
                    <xdr:row>20</xdr:row>
                    <xdr:rowOff>19050</xdr:rowOff>
                  </to>
                </anchor>
              </controlPr>
            </control>
          </mc:Choice>
        </mc:AlternateContent>
        <mc:AlternateContent xmlns:mc="http://schemas.openxmlformats.org/markup-compatibility/2006">
          <mc:Choice Requires="x14">
            <control shapeId="13449" r:id="rId114" name="Drop Down 137">
              <controlPr defaultSize="0" autoLine="0" autoPict="0">
                <anchor moveWithCells="1">
                  <from>
                    <xdr:col>6</xdr:col>
                    <xdr:colOff>0</xdr:colOff>
                    <xdr:row>20</xdr:row>
                    <xdr:rowOff>9525</xdr:rowOff>
                  </from>
                  <to>
                    <xdr:col>7</xdr:col>
                    <xdr:colOff>0</xdr:colOff>
                    <xdr:row>21</xdr:row>
                    <xdr:rowOff>0</xdr:rowOff>
                  </to>
                </anchor>
              </controlPr>
            </control>
          </mc:Choice>
        </mc:AlternateContent>
        <mc:AlternateContent xmlns:mc="http://schemas.openxmlformats.org/markup-compatibility/2006">
          <mc:Choice Requires="x14">
            <control shapeId="13450" r:id="rId115" name="Drop Down 138">
              <controlPr defaultSize="0" autoLine="0" autoPict="0">
                <anchor moveWithCells="1">
                  <from>
                    <xdr:col>6</xdr:col>
                    <xdr:colOff>0</xdr:colOff>
                    <xdr:row>21</xdr:row>
                    <xdr:rowOff>9525</xdr:rowOff>
                  </from>
                  <to>
                    <xdr:col>7</xdr:col>
                    <xdr:colOff>0</xdr:colOff>
                    <xdr:row>22</xdr:row>
                    <xdr:rowOff>0</xdr:rowOff>
                  </to>
                </anchor>
              </controlPr>
            </control>
          </mc:Choice>
        </mc:AlternateContent>
        <mc:AlternateContent xmlns:mc="http://schemas.openxmlformats.org/markup-compatibility/2006">
          <mc:Choice Requires="x14">
            <control shapeId="13451" r:id="rId116" name="Drop Down 139">
              <controlPr defaultSize="0" autoLine="0" autoPict="0">
                <anchor moveWithCells="1">
                  <from>
                    <xdr:col>6</xdr:col>
                    <xdr:colOff>0</xdr:colOff>
                    <xdr:row>22</xdr:row>
                    <xdr:rowOff>9525</xdr:rowOff>
                  </from>
                  <to>
                    <xdr:col>7</xdr:col>
                    <xdr:colOff>0</xdr:colOff>
                    <xdr:row>23</xdr:row>
                    <xdr:rowOff>9525</xdr:rowOff>
                  </to>
                </anchor>
              </controlPr>
            </control>
          </mc:Choice>
        </mc:AlternateContent>
        <mc:AlternateContent xmlns:mc="http://schemas.openxmlformats.org/markup-compatibility/2006">
          <mc:Choice Requires="x14">
            <control shapeId="13452" r:id="rId117" name="Drop Down 140">
              <controlPr defaultSize="0" autoLine="0" autoPict="0">
                <anchor moveWithCells="1">
                  <from>
                    <xdr:col>6</xdr:col>
                    <xdr:colOff>0</xdr:colOff>
                    <xdr:row>43</xdr:row>
                    <xdr:rowOff>9525</xdr:rowOff>
                  </from>
                  <to>
                    <xdr:col>7</xdr:col>
                    <xdr:colOff>0</xdr:colOff>
                    <xdr:row>44</xdr:row>
                    <xdr:rowOff>0</xdr:rowOff>
                  </to>
                </anchor>
              </controlPr>
            </control>
          </mc:Choice>
        </mc:AlternateContent>
        <mc:AlternateContent xmlns:mc="http://schemas.openxmlformats.org/markup-compatibility/2006">
          <mc:Choice Requires="x14">
            <control shapeId="13453" r:id="rId118" name="Drop Down 141">
              <controlPr defaultSize="0" autoLine="0" autoPict="0">
                <anchor moveWithCells="1">
                  <from>
                    <xdr:col>8</xdr:col>
                    <xdr:colOff>0</xdr:colOff>
                    <xdr:row>3</xdr:row>
                    <xdr:rowOff>9525</xdr:rowOff>
                  </from>
                  <to>
                    <xdr:col>8</xdr:col>
                    <xdr:colOff>2914650</xdr:colOff>
                    <xdr:row>4</xdr:row>
                    <xdr:rowOff>0</xdr:rowOff>
                  </to>
                </anchor>
              </controlPr>
            </control>
          </mc:Choice>
        </mc:AlternateContent>
        <mc:AlternateContent xmlns:mc="http://schemas.openxmlformats.org/markup-compatibility/2006">
          <mc:Choice Requires="x14">
            <control shapeId="13454" r:id="rId119" name="Drop Down 142">
              <controlPr defaultSize="0" autoLine="0" autoPict="0">
                <anchor moveWithCells="1">
                  <from>
                    <xdr:col>8</xdr:col>
                    <xdr:colOff>0</xdr:colOff>
                    <xdr:row>4</xdr:row>
                    <xdr:rowOff>9525</xdr:rowOff>
                  </from>
                  <to>
                    <xdr:col>8</xdr:col>
                    <xdr:colOff>2914650</xdr:colOff>
                    <xdr:row>5</xdr:row>
                    <xdr:rowOff>0</xdr:rowOff>
                  </to>
                </anchor>
              </controlPr>
            </control>
          </mc:Choice>
        </mc:AlternateContent>
        <mc:AlternateContent xmlns:mc="http://schemas.openxmlformats.org/markup-compatibility/2006">
          <mc:Choice Requires="x14">
            <control shapeId="13455" r:id="rId120" name="Drop Down 143">
              <controlPr defaultSize="0" autoLine="0" autoPict="0">
                <anchor moveWithCells="1">
                  <from>
                    <xdr:col>8</xdr:col>
                    <xdr:colOff>0</xdr:colOff>
                    <xdr:row>5</xdr:row>
                    <xdr:rowOff>9525</xdr:rowOff>
                  </from>
                  <to>
                    <xdr:col>8</xdr:col>
                    <xdr:colOff>2914650</xdr:colOff>
                    <xdr:row>6</xdr:row>
                    <xdr:rowOff>0</xdr:rowOff>
                  </to>
                </anchor>
              </controlPr>
            </control>
          </mc:Choice>
        </mc:AlternateContent>
        <mc:AlternateContent xmlns:mc="http://schemas.openxmlformats.org/markup-compatibility/2006">
          <mc:Choice Requires="x14">
            <control shapeId="13456" r:id="rId121" name="Drop Down 144">
              <controlPr defaultSize="0" autoLine="0" autoPict="0">
                <anchor moveWithCells="1">
                  <from>
                    <xdr:col>8</xdr:col>
                    <xdr:colOff>0</xdr:colOff>
                    <xdr:row>6</xdr:row>
                    <xdr:rowOff>9525</xdr:rowOff>
                  </from>
                  <to>
                    <xdr:col>8</xdr:col>
                    <xdr:colOff>2914650</xdr:colOff>
                    <xdr:row>7</xdr:row>
                    <xdr:rowOff>0</xdr:rowOff>
                  </to>
                </anchor>
              </controlPr>
            </control>
          </mc:Choice>
        </mc:AlternateContent>
        <mc:AlternateContent xmlns:mc="http://schemas.openxmlformats.org/markup-compatibility/2006">
          <mc:Choice Requires="x14">
            <control shapeId="13457" r:id="rId122" name="Drop Down 145">
              <controlPr defaultSize="0" autoLine="0" autoPict="0">
                <anchor moveWithCells="1">
                  <from>
                    <xdr:col>8</xdr:col>
                    <xdr:colOff>0</xdr:colOff>
                    <xdr:row>7</xdr:row>
                    <xdr:rowOff>9525</xdr:rowOff>
                  </from>
                  <to>
                    <xdr:col>8</xdr:col>
                    <xdr:colOff>2914650</xdr:colOff>
                    <xdr:row>8</xdr:row>
                    <xdr:rowOff>0</xdr:rowOff>
                  </to>
                </anchor>
              </controlPr>
            </control>
          </mc:Choice>
        </mc:AlternateContent>
        <mc:AlternateContent xmlns:mc="http://schemas.openxmlformats.org/markup-compatibility/2006">
          <mc:Choice Requires="x14">
            <control shapeId="13458" r:id="rId123" name="Drop Down 146">
              <controlPr defaultSize="0" autoLine="0" autoPict="0">
                <anchor moveWithCells="1">
                  <from>
                    <xdr:col>8</xdr:col>
                    <xdr:colOff>0</xdr:colOff>
                    <xdr:row>8</xdr:row>
                    <xdr:rowOff>9525</xdr:rowOff>
                  </from>
                  <to>
                    <xdr:col>8</xdr:col>
                    <xdr:colOff>2914650</xdr:colOff>
                    <xdr:row>9</xdr:row>
                    <xdr:rowOff>0</xdr:rowOff>
                  </to>
                </anchor>
              </controlPr>
            </control>
          </mc:Choice>
        </mc:AlternateContent>
        <mc:AlternateContent xmlns:mc="http://schemas.openxmlformats.org/markup-compatibility/2006">
          <mc:Choice Requires="x14">
            <control shapeId="13459" r:id="rId124" name="Drop Down 147">
              <controlPr defaultSize="0" autoLine="0" autoPict="0">
                <anchor moveWithCells="1">
                  <from>
                    <xdr:col>8</xdr:col>
                    <xdr:colOff>0</xdr:colOff>
                    <xdr:row>9</xdr:row>
                    <xdr:rowOff>9525</xdr:rowOff>
                  </from>
                  <to>
                    <xdr:col>8</xdr:col>
                    <xdr:colOff>2914650</xdr:colOff>
                    <xdr:row>10</xdr:row>
                    <xdr:rowOff>0</xdr:rowOff>
                  </to>
                </anchor>
              </controlPr>
            </control>
          </mc:Choice>
        </mc:AlternateContent>
        <mc:AlternateContent xmlns:mc="http://schemas.openxmlformats.org/markup-compatibility/2006">
          <mc:Choice Requires="x14">
            <control shapeId="13460" r:id="rId125" name="Drop Down 148">
              <controlPr defaultSize="0" autoLine="0" autoPict="0">
                <anchor moveWithCells="1">
                  <from>
                    <xdr:col>8</xdr:col>
                    <xdr:colOff>0</xdr:colOff>
                    <xdr:row>10</xdr:row>
                    <xdr:rowOff>9525</xdr:rowOff>
                  </from>
                  <to>
                    <xdr:col>8</xdr:col>
                    <xdr:colOff>2914650</xdr:colOff>
                    <xdr:row>11</xdr:row>
                    <xdr:rowOff>0</xdr:rowOff>
                  </to>
                </anchor>
              </controlPr>
            </control>
          </mc:Choice>
        </mc:AlternateContent>
        <mc:AlternateContent xmlns:mc="http://schemas.openxmlformats.org/markup-compatibility/2006">
          <mc:Choice Requires="x14">
            <control shapeId="13461" r:id="rId126" name="Drop Down 149">
              <controlPr defaultSize="0" autoLine="0" autoPict="0">
                <anchor moveWithCells="1">
                  <from>
                    <xdr:col>8</xdr:col>
                    <xdr:colOff>0</xdr:colOff>
                    <xdr:row>11</xdr:row>
                    <xdr:rowOff>9525</xdr:rowOff>
                  </from>
                  <to>
                    <xdr:col>8</xdr:col>
                    <xdr:colOff>2914650</xdr:colOff>
                    <xdr:row>12</xdr:row>
                    <xdr:rowOff>0</xdr:rowOff>
                  </to>
                </anchor>
              </controlPr>
            </control>
          </mc:Choice>
        </mc:AlternateContent>
        <mc:AlternateContent xmlns:mc="http://schemas.openxmlformats.org/markup-compatibility/2006">
          <mc:Choice Requires="x14">
            <control shapeId="13462" r:id="rId127" name="Drop Down 150">
              <controlPr defaultSize="0" autoLine="0" autoPict="0">
                <anchor moveWithCells="1">
                  <from>
                    <xdr:col>8</xdr:col>
                    <xdr:colOff>0</xdr:colOff>
                    <xdr:row>12</xdr:row>
                    <xdr:rowOff>9525</xdr:rowOff>
                  </from>
                  <to>
                    <xdr:col>8</xdr:col>
                    <xdr:colOff>2914650</xdr:colOff>
                    <xdr:row>13</xdr:row>
                    <xdr:rowOff>0</xdr:rowOff>
                  </to>
                </anchor>
              </controlPr>
            </control>
          </mc:Choice>
        </mc:AlternateContent>
        <mc:AlternateContent xmlns:mc="http://schemas.openxmlformats.org/markup-compatibility/2006">
          <mc:Choice Requires="x14">
            <control shapeId="13463" r:id="rId128" name="Drop Down 151">
              <controlPr defaultSize="0" autoLine="0" autoPict="0">
                <anchor moveWithCells="1">
                  <from>
                    <xdr:col>8</xdr:col>
                    <xdr:colOff>0</xdr:colOff>
                    <xdr:row>13</xdr:row>
                    <xdr:rowOff>9525</xdr:rowOff>
                  </from>
                  <to>
                    <xdr:col>8</xdr:col>
                    <xdr:colOff>2914650</xdr:colOff>
                    <xdr:row>14</xdr:row>
                    <xdr:rowOff>0</xdr:rowOff>
                  </to>
                </anchor>
              </controlPr>
            </control>
          </mc:Choice>
        </mc:AlternateContent>
        <mc:AlternateContent xmlns:mc="http://schemas.openxmlformats.org/markup-compatibility/2006">
          <mc:Choice Requires="x14">
            <control shapeId="13464" r:id="rId129" name="Drop Down 152">
              <controlPr defaultSize="0" autoLine="0" autoPict="0">
                <anchor moveWithCells="1">
                  <from>
                    <xdr:col>8</xdr:col>
                    <xdr:colOff>0</xdr:colOff>
                    <xdr:row>14</xdr:row>
                    <xdr:rowOff>9525</xdr:rowOff>
                  </from>
                  <to>
                    <xdr:col>8</xdr:col>
                    <xdr:colOff>2914650</xdr:colOff>
                    <xdr:row>15</xdr:row>
                    <xdr:rowOff>0</xdr:rowOff>
                  </to>
                </anchor>
              </controlPr>
            </control>
          </mc:Choice>
        </mc:AlternateContent>
        <mc:AlternateContent xmlns:mc="http://schemas.openxmlformats.org/markup-compatibility/2006">
          <mc:Choice Requires="x14">
            <control shapeId="13465" r:id="rId130" name="Drop Down 153">
              <controlPr defaultSize="0" autoLine="0" autoPict="0">
                <anchor moveWithCells="1">
                  <from>
                    <xdr:col>8</xdr:col>
                    <xdr:colOff>0</xdr:colOff>
                    <xdr:row>15</xdr:row>
                    <xdr:rowOff>9525</xdr:rowOff>
                  </from>
                  <to>
                    <xdr:col>8</xdr:col>
                    <xdr:colOff>2914650</xdr:colOff>
                    <xdr:row>16</xdr:row>
                    <xdr:rowOff>0</xdr:rowOff>
                  </to>
                </anchor>
              </controlPr>
            </control>
          </mc:Choice>
        </mc:AlternateContent>
        <mc:AlternateContent xmlns:mc="http://schemas.openxmlformats.org/markup-compatibility/2006">
          <mc:Choice Requires="x14">
            <control shapeId="13466" r:id="rId131" name="Drop Down 154">
              <controlPr defaultSize="0" autoLine="0" autoPict="0">
                <anchor moveWithCells="1">
                  <from>
                    <xdr:col>8</xdr:col>
                    <xdr:colOff>0</xdr:colOff>
                    <xdr:row>16</xdr:row>
                    <xdr:rowOff>9525</xdr:rowOff>
                  </from>
                  <to>
                    <xdr:col>8</xdr:col>
                    <xdr:colOff>2914650</xdr:colOff>
                    <xdr:row>17</xdr:row>
                    <xdr:rowOff>0</xdr:rowOff>
                  </to>
                </anchor>
              </controlPr>
            </control>
          </mc:Choice>
        </mc:AlternateContent>
        <mc:AlternateContent xmlns:mc="http://schemas.openxmlformats.org/markup-compatibility/2006">
          <mc:Choice Requires="x14">
            <control shapeId="13467" r:id="rId132" name="Drop Down 155">
              <controlPr defaultSize="0" autoLine="0" autoPict="0">
                <anchor moveWithCells="1">
                  <from>
                    <xdr:col>8</xdr:col>
                    <xdr:colOff>0</xdr:colOff>
                    <xdr:row>17</xdr:row>
                    <xdr:rowOff>9525</xdr:rowOff>
                  </from>
                  <to>
                    <xdr:col>8</xdr:col>
                    <xdr:colOff>2914650</xdr:colOff>
                    <xdr:row>18</xdr:row>
                    <xdr:rowOff>0</xdr:rowOff>
                  </to>
                </anchor>
              </controlPr>
            </control>
          </mc:Choice>
        </mc:AlternateContent>
        <mc:AlternateContent xmlns:mc="http://schemas.openxmlformats.org/markup-compatibility/2006">
          <mc:Choice Requires="x14">
            <control shapeId="13468" r:id="rId133" name="Drop Down 156">
              <controlPr defaultSize="0" autoLine="0" autoPict="0">
                <anchor moveWithCells="1">
                  <from>
                    <xdr:col>8</xdr:col>
                    <xdr:colOff>0</xdr:colOff>
                    <xdr:row>18</xdr:row>
                    <xdr:rowOff>9525</xdr:rowOff>
                  </from>
                  <to>
                    <xdr:col>8</xdr:col>
                    <xdr:colOff>2914650</xdr:colOff>
                    <xdr:row>19</xdr:row>
                    <xdr:rowOff>0</xdr:rowOff>
                  </to>
                </anchor>
              </controlPr>
            </control>
          </mc:Choice>
        </mc:AlternateContent>
        <mc:AlternateContent xmlns:mc="http://schemas.openxmlformats.org/markup-compatibility/2006">
          <mc:Choice Requires="x14">
            <control shapeId="13469" r:id="rId134" name="Drop Down 157">
              <controlPr defaultSize="0" autoLine="0" autoPict="0">
                <anchor moveWithCells="1">
                  <from>
                    <xdr:col>8</xdr:col>
                    <xdr:colOff>0</xdr:colOff>
                    <xdr:row>19</xdr:row>
                    <xdr:rowOff>9525</xdr:rowOff>
                  </from>
                  <to>
                    <xdr:col>8</xdr:col>
                    <xdr:colOff>2914650</xdr:colOff>
                    <xdr:row>20</xdr:row>
                    <xdr:rowOff>0</xdr:rowOff>
                  </to>
                </anchor>
              </controlPr>
            </control>
          </mc:Choice>
        </mc:AlternateContent>
        <mc:AlternateContent xmlns:mc="http://schemas.openxmlformats.org/markup-compatibility/2006">
          <mc:Choice Requires="x14">
            <control shapeId="13470" r:id="rId135" name="Drop Down 158">
              <controlPr defaultSize="0" autoLine="0" autoPict="0">
                <anchor moveWithCells="1">
                  <from>
                    <xdr:col>8</xdr:col>
                    <xdr:colOff>0</xdr:colOff>
                    <xdr:row>20</xdr:row>
                    <xdr:rowOff>9525</xdr:rowOff>
                  </from>
                  <to>
                    <xdr:col>8</xdr:col>
                    <xdr:colOff>2914650</xdr:colOff>
                    <xdr:row>21</xdr:row>
                    <xdr:rowOff>0</xdr:rowOff>
                  </to>
                </anchor>
              </controlPr>
            </control>
          </mc:Choice>
        </mc:AlternateContent>
        <mc:AlternateContent xmlns:mc="http://schemas.openxmlformats.org/markup-compatibility/2006">
          <mc:Choice Requires="x14">
            <control shapeId="13471" r:id="rId136" name="Drop Down 159">
              <controlPr defaultSize="0" autoLine="0" autoPict="0">
                <anchor moveWithCells="1">
                  <from>
                    <xdr:col>8</xdr:col>
                    <xdr:colOff>0</xdr:colOff>
                    <xdr:row>21</xdr:row>
                    <xdr:rowOff>9525</xdr:rowOff>
                  </from>
                  <to>
                    <xdr:col>8</xdr:col>
                    <xdr:colOff>2914650</xdr:colOff>
                    <xdr:row>22</xdr:row>
                    <xdr:rowOff>0</xdr:rowOff>
                  </to>
                </anchor>
              </controlPr>
            </control>
          </mc:Choice>
        </mc:AlternateContent>
        <mc:AlternateContent xmlns:mc="http://schemas.openxmlformats.org/markup-compatibility/2006">
          <mc:Choice Requires="x14">
            <control shapeId="13472" r:id="rId137" name="Drop Down 160">
              <controlPr defaultSize="0" autoLine="0" autoPict="0">
                <anchor moveWithCells="1">
                  <from>
                    <xdr:col>8</xdr:col>
                    <xdr:colOff>0</xdr:colOff>
                    <xdr:row>22</xdr:row>
                    <xdr:rowOff>9525</xdr:rowOff>
                  </from>
                  <to>
                    <xdr:col>8</xdr:col>
                    <xdr:colOff>2914650</xdr:colOff>
                    <xdr:row>23</xdr:row>
                    <xdr:rowOff>0</xdr:rowOff>
                  </to>
                </anchor>
              </controlPr>
            </control>
          </mc:Choice>
        </mc:AlternateContent>
        <mc:AlternateContent xmlns:mc="http://schemas.openxmlformats.org/markup-compatibility/2006">
          <mc:Choice Requires="x14">
            <control shapeId="13473" r:id="rId138" name="Drop Down 161">
              <controlPr defaultSize="0" autoLine="0" autoPict="0">
                <anchor moveWithCells="1">
                  <from>
                    <xdr:col>8</xdr:col>
                    <xdr:colOff>0</xdr:colOff>
                    <xdr:row>43</xdr:row>
                    <xdr:rowOff>9525</xdr:rowOff>
                  </from>
                  <to>
                    <xdr:col>8</xdr:col>
                    <xdr:colOff>2914650</xdr:colOff>
                    <xdr:row>44</xdr:row>
                    <xdr:rowOff>0</xdr:rowOff>
                  </to>
                </anchor>
              </controlPr>
            </control>
          </mc:Choice>
        </mc:AlternateContent>
        <mc:AlternateContent xmlns:mc="http://schemas.openxmlformats.org/markup-compatibility/2006">
          <mc:Choice Requires="x14">
            <control shapeId="13474" r:id="rId139" name="Drop Down 162">
              <controlPr defaultSize="0" autoLine="0" autoPict="0">
                <anchor moveWithCells="1">
                  <from>
                    <xdr:col>9</xdr:col>
                    <xdr:colOff>0</xdr:colOff>
                    <xdr:row>3</xdr:row>
                    <xdr:rowOff>9525</xdr:rowOff>
                  </from>
                  <to>
                    <xdr:col>10</xdr:col>
                    <xdr:colOff>19050</xdr:colOff>
                    <xdr:row>4</xdr:row>
                    <xdr:rowOff>9525</xdr:rowOff>
                  </to>
                </anchor>
              </controlPr>
            </control>
          </mc:Choice>
        </mc:AlternateContent>
        <mc:AlternateContent xmlns:mc="http://schemas.openxmlformats.org/markup-compatibility/2006">
          <mc:Choice Requires="x14">
            <control shapeId="13475" r:id="rId140" name="Drop Down 163">
              <controlPr defaultSize="0" autoLine="0" autoPict="0">
                <anchor moveWithCells="1">
                  <from>
                    <xdr:col>9</xdr:col>
                    <xdr:colOff>0</xdr:colOff>
                    <xdr:row>4</xdr:row>
                    <xdr:rowOff>9525</xdr:rowOff>
                  </from>
                  <to>
                    <xdr:col>10</xdr:col>
                    <xdr:colOff>19050</xdr:colOff>
                    <xdr:row>5</xdr:row>
                    <xdr:rowOff>9525</xdr:rowOff>
                  </to>
                </anchor>
              </controlPr>
            </control>
          </mc:Choice>
        </mc:AlternateContent>
        <mc:AlternateContent xmlns:mc="http://schemas.openxmlformats.org/markup-compatibility/2006">
          <mc:Choice Requires="x14">
            <control shapeId="13476" r:id="rId141" name="Drop Down 164">
              <controlPr defaultSize="0" autoLine="0" autoPict="0">
                <anchor moveWithCells="1">
                  <from>
                    <xdr:col>9</xdr:col>
                    <xdr:colOff>0</xdr:colOff>
                    <xdr:row>5</xdr:row>
                    <xdr:rowOff>9525</xdr:rowOff>
                  </from>
                  <to>
                    <xdr:col>10</xdr:col>
                    <xdr:colOff>19050</xdr:colOff>
                    <xdr:row>6</xdr:row>
                    <xdr:rowOff>9525</xdr:rowOff>
                  </to>
                </anchor>
              </controlPr>
            </control>
          </mc:Choice>
        </mc:AlternateContent>
        <mc:AlternateContent xmlns:mc="http://schemas.openxmlformats.org/markup-compatibility/2006">
          <mc:Choice Requires="x14">
            <control shapeId="13477" r:id="rId142" name="Drop Down 165">
              <controlPr defaultSize="0" autoLine="0" autoPict="0">
                <anchor moveWithCells="1">
                  <from>
                    <xdr:col>9</xdr:col>
                    <xdr:colOff>0</xdr:colOff>
                    <xdr:row>6</xdr:row>
                    <xdr:rowOff>9525</xdr:rowOff>
                  </from>
                  <to>
                    <xdr:col>10</xdr:col>
                    <xdr:colOff>19050</xdr:colOff>
                    <xdr:row>7</xdr:row>
                    <xdr:rowOff>9525</xdr:rowOff>
                  </to>
                </anchor>
              </controlPr>
            </control>
          </mc:Choice>
        </mc:AlternateContent>
        <mc:AlternateContent xmlns:mc="http://schemas.openxmlformats.org/markup-compatibility/2006">
          <mc:Choice Requires="x14">
            <control shapeId="13478" r:id="rId143" name="Drop Down 166">
              <controlPr defaultSize="0" autoLine="0" autoPict="0">
                <anchor moveWithCells="1">
                  <from>
                    <xdr:col>9</xdr:col>
                    <xdr:colOff>0</xdr:colOff>
                    <xdr:row>7</xdr:row>
                    <xdr:rowOff>9525</xdr:rowOff>
                  </from>
                  <to>
                    <xdr:col>10</xdr:col>
                    <xdr:colOff>19050</xdr:colOff>
                    <xdr:row>8</xdr:row>
                    <xdr:rowOff>9525</xdr:rowOff>
                  </to>
                </anchor>
              </controlPr>
            </control>
          </mc:Choice>
        </mc:AlternateContent>
        <mc:AlternateContent xmlns:mc="http://schemas.openxmlformats.org/markup-compatibility/2006">
          <mc:Choice Requires="x14">
            <control shapeId="13479" r:id="rId144" name="Drop Down 167">
              <controlPr defaultSize="0" autoLine="0" autoPict="0">
                <anchor moveWithCells="1">
                  <from>
                    <xdr:col>9</xdr:col>
                    <xdr:colOff>0</xdr:colOff>
                    <xdr:row>8</xdr:row>
                    <xdr:rowOff>9525</xdr:rowOff>
                  </from>
                  <to>
                    <xdr:col>10</xdr:col>
                    <xdr:colOff>19050</xdr:colOff>
                    <xdr:row>9</xdr:row>
                    <xdr:rowOff>9525</xdr:rowOff>
                  </to>
                </anchor>
              </controlPr>
            </control>
          </mc:Choice>
        </mc:AlternateContent>
        <mc:AlternateContent xmlns:mc="http://schemas.openxmlformats.org/markup-compatibility/2006">
          <mc:Choice Requires="x14">
            <control shapeId="13480" r:id="rId145" name="Drop Down 168">
              <controlPr defaultSize="0" autoLine="0" autoPict="0">
                <anchor moveWithCells="1">
                  <from>
                    <xdr:col>9</xdr:col>
                    <xdr:colOff>0</xdr:colOff>
                    <xdr:row>9</xdr:row>
                    <xdr:rowOff>9525</xdr:rowOff>
                  </from>
                  <to>
                    <xdr:col>10</xdr:col>
                    <xdr:colOff>19050</xdr:colOff>
                    <xdr:row>10</xdr:row>
                    <xdr:rowOff>9525</xdr:rowOff>
                  </to>
                </anchor>
              </controlPr>
            </control>
          </mc:Choice>
        </mc:AlternateContent>
        <mc:AlternateContent xmlns:mc="http://schemas.openxmlformats.org/markup-compatibility/2006">
          <mc:Choice Requires="x14">
            <control shapeId="13481" r:id="rId146" name="Drop Down 169">
              <controlPr defaultSize="0" autoLine="0" autoPict="0">
                <anchor moveWithCells="1">
                  <from>
                    <xdr:col>9</xdr:col>
                    <xdr:colOff>0</xdr:colOff>
                    <xdr:row>10</xdr:row>
                    <xdr:rowOff>9525</xdr:rowOff>
                  </from>
                  <to>
                    <xdr:col>10</xdr:col>
                    <xdr:colOff>19050</xdr:colOff>
                    <xdr:row>11</xdr:row>
                    <xdr:rowOff>9525</xdr:rowOff>
                  </to>
                </anchor>
              </controlPr>
            </control>
          </mc:Choice>
        </mc:AlternateContent>
        <mc:AlternateContent xmlns:mc="http://schemas.openxmlformats.org/markup-compatibility/2006">
          <mc:Choice Requires="x14">
            <control shapeId="13482" r:id="rId147" name="Drop Down 170">
              <controlPr defaultSize="0" autoLine="0" autoPict="0">
                <anchor moveWithCells="1">
                  <from>
                    <xdr:col>9</xdr:col>
                    <xdr:colOff>0</xdr:colOff>
                    <xdr:row>11</xdr:row>
                    <xdr:rowOff>9525</xdr:rowOff>
                  </from>
                  <to>
                    <xdr:col>10</xdr:col>
                    <xdr:colOff>19050</xdr:colOff>
                    <xdr:row>12</xdr:row>
                    <xdr:rowOff>9525</xdr:rowOff>
                  </to>
                </anchor>
              </controlPr>
            </control>
          </mc:Choice>
        </mc:AlternateContent>
        <mc:AlternateContent xmlns:mc="http://schemas.openxmlformats.org/markup-compatibility/2006">
          <mc:Choice Requires="x14">
            <control shapeId="13483" r:id="rId148" name="Drop Down 171">
              <controlPr defaultSize="0" autoLine="0" autoPict="0">
                <anchor moveWithCells="1">
                  <from>
                    <xdr:col>9</xdr:col>
                    <xdr:colOff>0</xdr:colOff>
                    <xdr:row>12</xdr:row>
                    <xdr:rowOff>9525</xdr:rowOff>
                  </from>
                  <to>
                    <xdr:col>10</xdr:col>
                    <xdr:colOff>19050</xdr:colOff>
                    <xdr:row>13</xdr:row>
                    <xdr:rowOff>9525</xdr:rowOff>
                  </to>
                </anchor>
              </controlPr>
            </control>
          </mc:Choice>
        </mc:AlternateContent>
        <mc:AlternateContent xmlns:mc="http://schemas.openxmlformats.org/markup-compatibility/2006">
          <mc:Choice Requires="x14">
            <control shapeId="13484" r:id="rId149" name="Drop Down 172">
              <controlPr defaultSize="0" autoLine="0" autoPict="0">
                <anchor moveWithCells="1">
                  <from>
                    <xdr:col>9</xdr:col>
                    <xdr:colOff>0</xdr:colOff>
                    <xdr:row>13</xdr:row>
                    <xdr:rowOff>9525</xdr:rowOff>
                  </from>
                  <to>
                    <xdr:col>10</xdr:col>
                    <xdr:colOff>19050</xdr:colOff>
                    <xdr:row>14</xdr:row>
                    <xdr:rowOff>9525</xdr:rowOff>
                  </to>
                </anchor>
              </controlPr>
            </control>
          </mc:Choice>
        </mc:AlternateContent>
        <mc:AlternateContent xmlns:mc="http://schemas.openxmlformats.org/markup-compatibility/2006">
          <mc:Choice Requires="x14">
            <control shapeId="13485" r:id="rId150" name="Drop Down 173">
              <controlPr defaultSize="0" autoLine="0" autoPict="0">
                <anchor moveWithCells="1">
                  <from>
                    <xdr:col>9</xdr:col>
                    <xdr:colOff>0</xdr:colOff>
                    <xdr:row>14</xdr:row>
                    <xdr:rowOff>9525</xdr:rowOff>
                  </from>
                  <to>
                    <xdr:col>10</xdr:col>
                    <xdr:colOff>19050</xdr:colOff>
                    <xdr:row>15</xdr:row>
                    <xdr:rowOff>9525</xdr:rowOff>
                  </to>
                </anchor>
              </controlPr>
            </control>
          </mc:Choice>
        </mc:AlternateContent>
        <mc:AlternateContent xmlns:mc="http://schemas.openxmlformats.org/markup-compatibility/2006">
          <mc:Choice Requires="x14">
            <control shapeId="13486" r:id="rId151" name="Drop Down 174">
              <controlPr defaultSize="0" autoLine="0" autoPict="0">
                <anchor moveWithCells="1">
                  <from>
                    <xdr:col>9</xdr:col>
                    <xdr:colOff>0</xdr:colOff>
                    <xdr:row>15</xdr:row>
                    <xdr:rowOff>9525</xdr:rowOff>
                  </from>
                  <to>
                    <xdr:col>10</xdr:col>
                    <xdr:colOff>19050</xdr:colOff>
                    <xdr:row>16</xdr:row>
                    <xdr:rowOff>9525</xdr:rowOff>
                  </to>
                </anchor>
              </controlPr>
            </control>
          </mc:Choice>
        </mc:AlternateContent>
        <mc:AlternateContent xmlns:mc="http://schemas.openxmlformats.org/markup-compatibility/2006">
          <mc:Choice Requires="x14">
            <control shapeId="13487" r:id="rId152" name="Drop Down 175">
              <controlPr defaultSize="0" autoLine="0" autoPict="0">
                <anchor moveWithCells="1">
                  <from>
                    <xdr:col>9</xdr:col>
                    <xdr:colOff>0</xdr:colOff>
                    <xdr:row>16</xdr:row>
                    <xdr:rowOff>9525</xdr:rowOff>
                  </from>
                  <to>
                    <xdr:col>10</xdr:col>
                    <xdr:colOff>19050</xdr:colOff>
                    <xdr:row>17</xdr:row>
                    <xdr:rowOff>9525</xdr:rowOff>
                  </to>
                </anchor>
              </controlPr>
            </control>
          </mc:Choice>
        </mc:AlternateContent>
        <mc:AlternateContent xmlns:mc="http://schemas.openxmlformats.org/markup-compatibility/2006">
          <mc:Choice Requires="x14">
            <control shapeId="13488" r:id="rId153" name="Drop Down 176">
              <controlPr defaultSize="0" autoLine="0" autoPict="0">
                <anchor moveWithCells="1">
                  <from>
                    <xdr:col>9</xdr:col>
                    <xdr:colOff>0</xdr:colOff>
                    <xdr:row>17</xdr:row>
                    <xdr:rowOff>9525</xdr:rowOff>
                  </from>
                  <to>
                    <xdr:col>10</xdr:col>
                    <xdr:colOff>19050</xdr:colOff>
                    <xdr:row>18</xdr:row>
                    <xdr:rowOff>9525</xdr:rowOff>
                  </to>
                </anchor>
              </controlPr>
            </control>
          </mc:Choice>
        </mc:AlternateContent>
        <mc:AlternateContent xmlns:mc="http://schemas.openxmlformats.org/markup-compatibility/2006">
          <mc:Choice Requires="x14">
            <control shapeId="13489" r:id="rId154" name="Drop Down 177">
              <controlPr defaultSize="0" autoLine="0" autoPict="0">
                <anchor moveWithCells="1">
                  <from>
                    <xdr:col>9</xdr:col>
                    <xdr:colOff>0</xdr:colOff>
                    <xdr:row>18</xdr:row>
                    <xdr:rowOff>9525</xdr:rowOff>
                  </from>
                  <to>
                    <xdr:col>10</xdr:col>
                    <xdr:colOff>19050</xdr:colOff>
                    <xdr:row>19</xdr:row>
                    <xdr:rowOff>9525</xdr:rowOff>
                  </to>
                </anchor>
              </controlPr>
            </control>
          </mc:Choice>
        </mc:AlternateContent>
        <mc:AlternateContent xmlns:mc="http://schemas.openxmlformats.org/markup-compatibility/2006">
          <mc:Choice Requires="x14">
            <control shapeId="13490" r:id="rId155" name="Drop Down 178">
              <controlPr defaultSize="0" autoLine="0" autoPict="0">
                <anchor moveWithCells="1">
                  <from>
                    <xdr:col>9</xdr:col>
                    <xdr:colOff>0</xdr:colOff>
                    <xdr:row>19</xdr:row>
                    <xdr:rowOff>9525</xdr:rowOff>
                  </from>
                  <to>
                    <xdr:col>10</xdr:col>
                    <xdr:colOff>19050</xdr:colOff>
                    <xdr:row>20</xdr:row>
                    <xdr:rowOff>9525</xdr:rowOff>
                  </to>
                </anchor>
              </controlPr>
            </control>
          </mc:Choice>
        </mc:AlternateContent>
        <mc:AlternateContent xmlns:mc="http://schemas.openxmlformats.org/markup-compatibility/2006">
          <mc:Choice Requires="x14">
            <control shapeId="13491" r:id="rId156" name="Drop Down 179">
              <controlPr defaultSize="0" autoLine="0" autoPict="0">
                <anchor moveWithCells="1">
                  <from>
                    <xdr:col>9</xdr:col>
                    <xdr:colOff>0</xdr:colOff>
                    <xdr:row>20</xdr:row>
                    <xdr:rowOff>9525</xdr:rowOff>
                  </from>
                  <to>
                    <xdr:col>10</xdr:col>
                    <xdr:colOff>19050</xdr:colOff>
                    <xdr:row>21</xdr:row>
                    <xdr:rowOff>9525</xdr:rowOff>
                  </to>
                </anchor>
              </controlPr>
            </control>
          </mc:Choice>
        </mc:AlternateContent>
        <mc:AlternateContent xmlns:mc="http://schemas.openxmlformats.org/markup-compatibility/2006">
          <mc:Choice Requires="x14">
            <control shapeId="13492" r:id="rId157" name="Drop Down 180">
              <controlPr defaultSize="0" autoLine="0" autoPict="0">
                <anchor moveWithCells="1">
                  <from>
                    <xdr:col>9</xdr:col>
                    <xdr:colOff>0</xdr:colOff>
                    <xdr:row>21</xdr:row>
                    <xdr:rowOff>9525</xdr:rowOff>
                  </from>
                  <to>
                    <xdr:col>10</xdr:col>
                    <xdr:colOff>19050</xdr:colOff>
                    <xdr:row>22</xdr:row>
                    <xdr:rowOff>9525</xdr:rowOff>
                  </to>
                </anchor>
              </controlPr>
            </control>
          </mc:Choice>
        </mc:AlternateContent>
        <mc:AlternateContent xmlns:mc="http://schemas.openxmlformats.org/markup-compatibility/2006">
          <mc:Choice Requires="x14">
            <control shapeId="13493" r:id="rId158" name="Drop Down 181">
              <controlPr defaultSize="0" autoLine="0" autoPict="0">
                <anchor moveWithCells="1">
                  <from>
                    <xdr:col>9</xdr:col>
                    <xdr:colOff>0</xdr:colOff>
                    <xdr:row>22</xdr:row>
                    <xdr:rowOff>9525</xdr:rowOff>
                  </from>
                  <to>
                    <xdr:col>10</xdr:col>
                    <xdr:colOff>19050</xdr:colOff>
                    <xdr:row>23</xdr:row>
                    <xdr:rowOff>9525</xdr:rowOff>
                  </to>
                </anchor>
              </controlPr>
            </control>
          </mc:Choice>
        </mc:AlternateContent>
        <mc:AlternateContent xmlns:mc="http://schemas.openxmlformats.org/markup-compatibility/2006">
          <mc:Choice Requires="x14">
            <control shapeId="13494" r:id="rId159" name="Drop Down 182">
              <controlPr defaultSize="0" autoLine="0" autoPict="0">
                <anchor moveWithCells="1">
                  <from>
                    <xdr:col>9</xdr:col>
                    <xdr:colOff>0</xdr:colOff>
                    <xdr:row>43</xdr:row>
                    <xdr:rowOff>9525</xdr:rowOff>
                  </from>
                  <to>
                    <xdr:col>10</xdr:col>
                    <xdr:colOff>19050</xdr:colOff>
                    <xdr:row>44</xdr:row>
                    <xdr:rowOff>9525</xdr:rowOff>
                  </to>
                </anchor>
              </controlPr>
            </control>
          </mc:Choice>
        </mc:AlternateContent>
        <mc:AlternateContent xmlns:mc="http://schemas.openxmlformats.org/markup-compatibility/2006">
          <mc:Choice Requires="x14">
            <control shapeId="13516" r:id="rId160" name="Drop Down 204">
              <controlPr defaultSize="0" autoLine="0" autoPict="0">
                <anchor moveWithCells="1">
                  <from>
                    <xdr:col>13</xdr:col>
                    <xdr:colOff>0</xdr:colOff>
                    <xdr:row>3</xdr:row>
                    <xdr:rowOff>9525</xdr:rowOff>
                  </from>
                  <to>
                    <xdr:col>13</xdr:col>
                    <xdr:colOff>2809875</xdr:colOff>
                    <xdr:row>4</xdr:row>
                    <xdr:rowOff>9525</xdr:rowOff>
                  </to>
                </anchor>
              </controlPr>
            </control>
          </mc:Choice>
        </mc:AlternateContent>
        <mc:AlternateContent xmlns:mc="http://schemas.openxmlformats.org/markup-compatibility/2006">
          <mc:Choice Requires="x14">
            <control shapeId="13517" r:id="rId161" name="Drop Down 205">
              <controlPr defaultSize="0" autoLine="0" autoPict="0">
                <anchor moveWithCells="1">
                  <from>
                    <xdr:col>13</xdr:col>
                    <xdr:colOff>0</xdr:colOff>
                    <xdr:row>4</xdr:row>
                    <xdr:rowOff>9525</xdr:rowOff>
                  </from>
                  <to>
                    <xdr:col>13</xdr:col>
                    <xdr:colOff>2809875</xdr:colOff>
                    <xdr:row>5</xdr:row>
                    <xdr:rowOff>9525</xdr:rowOff>
                  </to>
                </anchor>
              </controlPr>
            </control>
          </mc:Choice>
        </mc:AlternateContent>
        <mc:AlternateContent xmlns:mc="http://schemas.openxmlformats.org/markup-compatibility/2006">
          <mc:Choice Requires="x14">
            <control shapeId="13518" r:id="rId162" name="Drop Down 206">
              <controlPr defaultSize="0" autoLine="0" autoPict="0">
                <anchor moveWithCells="1">
                  <from>
                    <xdr:col>13</xdr:col>
                    <xdr:colOff>0</xdr:colOff>
                    <xdr:row>5</xdr:row>
                    <xdr:rowOff>9525</xdr:rowOff>
                  </from>
                  <to>
                    <xdr:col>13</xdr:col>
                    <xdr:colOff>2809875</xdr:colOff>
                    <xdr:row>6</xdr:row>
                    <xdr:rowOff>9525</xdr:rowOff>
                  </to>
                </anchor>
              </controlPr>
            </control>
          </mc:Choice>
        </mc:AlternateContent>
        <mc:AlternateContent xmlns:mc="http://schemas.openxmlformats.org/markup-compatibility/2006">
          <mc:Choice Requires="x14">
            <control shapeId="13519" r:id="rId163" name="Drop Down 207">
              <controlPr defaultSize="0" autoLine="0" autoPict="0">
                <anchor moveWithCells="1">
                  <from>
                    <xdr:col>13</xdr:col>
                    <xdr:colOff>0</xdr:colOff>
                    <xdr:row>6</xdr:row>
                    <xdr:rowOff>9525</xdr:rowOff>
                  </from>
                  <to>
                    <xdr:col>13</xdr:col>
                    <xdr:colOff>2809875</xdr:colOff>
                    <xdr:row>7</xdr:row>
                    <xdr:rowOff>9525</xdr:rowOff>
                  </to>
                </anchor>
              </controlPr>
            </control>
          </mc:Choice>
        </mc:AlternateContent>
        <mc:AlternateContent xmlns:mc="http://schemas.openxmlformats.org/markup-compatibility/2006">
          <mc:Choice Requires="x14">
            <control shapeId="13520" r:id="rId164" name="Drop Down 208">
              <controlPr defaultSize="0" autoLine="0" autoPict="0">
                <anchor moveWithCells="1">
                  <from>
                    <xdr:col>13</xdr:col>
                    <xdr:colOff>0</xdr:colOff>
                    <xdr:row>7</xdr:row>
                    <xdr:rowOff>9525</xdr:rowOff>
                  </from>
                  <to>
                    <xdr:col>13</xdr:col>
                    <xdr:colOff>2809875</xdr:colOff>
                    <xdr:row>8</xdr:row>
                    <xdr:rowOff>9525</xdr:rowOff>
                  </to>
                </anchor>
              </controlPr>
            </control>
          </mc:Choice>
        </mc:AlternateContent>
        <mc:AlternateContent xmlns:mc="http://schemas.openxmlformats.org/markup-compatibility/2006">
          <mc:Choice Requires="x14">
            <control shapeId="13521" r:id="rId165" name="Drop Down 209">
              <controlPr defaultSize="0" autoLine="0" autoPict="0">
                <anchor moveWithCells="1">
                  <from>
                    <xdr:col>13</xdr:col>
                    <xdr:colOff>0</xdr:colOff>
                    <xdr:row>8</xdr:row>
                    <xdr:rowOff>9525</xdr:rowOff>
                  </from>
                  <to>
                    <xdr:col>13</xdr:col>
                    <xdr:colOff>2809875</xdr:colOff>
                    <xdr:row>9</xdr:row>
                    <xdr:rowOff>9525</xdr:rowOff>
                  </to>
                </anchor>
              </controlPr>
            </control>
          </mc:Choice>
        </mc:AlternateContent>
        <mc:AlternateContent xmlns:mc="http://schemas.openxmlformats.org/markup-compatibility/2006">
          <mc:Choice Requires="x14">
            <control shapeId="13522" r:id="rId166" name="Drop Down 210">
              <controlPr defaultSize="0" autoLine="0" autoPict="0">
                <anchor moveWithCells="1">
                  <from>
                    <xdr:col>13</xdr:col>
                    <xdr:colOff>0</xdr:colOff>
                    <xdr:row>9</xdr:row>
                    <xdr:rowOff>9525</xdr:rowOff>
                  </from>
                  <to>
                    <xdr:col>13</xdr:col>
                    <xdr:colOff>2809875</xdr:colOff>
                    <xdr:row>10</xdr:row>
                    <xdr:rowOff>9525</xdr:rowOff>
                  </to>
                </anchor>
              </controlPr>
            </control>
          </mc:Choice>
        </mc:AlternateContent>
        <mc:AlternateContent xmlns:mc="http://schemas.openxmlformats.org/markup-compatibility/2006">
          <mc:Choice Requires="x14">
            <control shapeId="13523" r:id="rId167" name="Drop Down 211">
              <controlPr defaultSize="0" autoLine="0" autoPict="0">
                <anchor moveWithCells="1">
                  <from>
                    <xdr:col>13</xdr:col>
                    <xdr:colOff>0</xdr:colOff>
                    <xdr:row>10</xdr:row>
                    <xdr:rowOff>9525</xdr:rowOff>
                  </from>
                  <to>
                    <xdr:col>13</xdr:col>
                    <xdr:colOff>2809875</xdr:colOff>
                    <xdr:row>11</xdr:row>
                    <xdr:rowOff>9525</xdr:rowOff>
                  </to>
                </anchor>
              </controlPr>
            </control>
          </mc:Choice>
        </mc:AlternateContent>
        <mc:AlternateContent xmlns:mc="http://schemas.openxmlformats.org/markup-compatibility/2006">
          <mc:Choice Requires="x14">
            <control shapeId="13524" r:id="rId168" name="Drop Down 212">
              <controlPr defaultSize="0" autoLine="0" autoPict="0">
                <anchor moveWithCells="1">
                  <from>
                    <xdr:col>13</xdr:col>
                    <xdr:colOff>0</xdr:colOff>
                    <xdr:row>11</xdr:row>
                    <xdr:rowOff>9525</xdr:rowOff>
                  </from>
                  <to>
                    <xdr:col>13</xdr:col>
                    <xdr:colOff>2809875</xdr:colOff>
                    <xdr:row>12</xdr:row>
                    <xdr:rowOff>9525</xdr:rowOff>
                  </to>
                </anchor>
              </controlPr>
            </control>
          </mc:Choice>
        </mc:AlternateContent>
        <mc:AlternateContent xmlns:mc="http://schemas.openxmlformats.org/markup-compatibility/2006">
          <mc:Choice Requires="x14">
            <control shapeId="13525" r:id="rId169" name="Drop Down 213">
              <controlPr defaultSize="0" autoLine="0" autoPict="0">
                <anchor moveWithCells="1">
                  <from>
                    <xdr:col>13</xdr:col>
                    <xdr:colOff>0</xdr:colOff>
                    <xdr:row>12</xdr:row>
                    <xdr:rowOff>9525</xdr:rowOff>
                  </from>
                  <to>
                    <xdr:col>13</xdr:col>
                    <xdr:colOff>2809875</xdr:colOff>
                    <xdr:row>13</xdr:row>
                    <xdr:rowOff>9525</xdr:rowOff>
                  </to>
                </anchor>
              </controlPr>
            </control>
          </mc:Choice>
        </mc:AlternateContent>
        <mc:AlternateContent xmlns:mc="http://schemas.openxmlformats.org/markup-compatibility/2006">
          <mc:Choice Requires="x14">
            <control shapeId="13526" r:id="rId170" name="Drop Down 214">
              <controlPr defaultSize="0" autoLine="0" autoPict="0">
                <anchor moveWithCells="1">
                  <from>
                    <xdr:col>13</xdr:col>
                    <xdr:colOff>0</xdr:colOff>
                    <xdr:row>13</xdr:row>
                    <xdr:rowOff>9525</xdr:rowOff>
                  </from>
                  <to>
                    <xdr:col>13</xdr:col>
                    <xdr:colOff>2809875</xdr:colOff>
                    <xdr:row>14</xdr:row>
                    <xdr:rowOff>9525</xdr:rowOff>
                  </to>
                </anchor>
              </controlPr>
            </control>
          </mc:Choice>
        </mc:AlternateContent>
        <mc:AlternateContent xmlns:mc="http://schemas.openxmlformats.org/markup-compatibility/2006">
          <mc:Choice Requires="x14">
            <control shapeId="13527" r:id="rId171" name="Drop Down 215">
              <controlPr defaultSize="0" autoLine="0" autoPict="0">
                <anchor moveWithCells="1">
                  <from>
                    <xdr:col>13</xdr:col>
                    <xdr:colOff>0</xdr:colOff>
                    <xdr:row>14</xdr:row>
                    <xdr:rowOff>9525</xdr:rowOff>
                  </from>
                  <to>
                    <xdr:col>13</xdr:col>
                    <xdr:colOff>2809875</xdr:colOff>
                    <xdr:row>15</xdr:row>
                    <xdr:rowOff>9525</xdr:rowOff>
                  </to>
                </anchor>
              </controlPr>
            </control>
          </mc:Choice>
        </mc:AlternateContent>
        <mc:AlternateContent xmlns:mc="http://schemas.openxmlformats.org/markup-compatibility/2006">
          <mc:Choice Requires="x14">
            <control shapeId="13528" r:id="rId172" name="Drop Down 216">
              <controlPr defaultSize="0" autoLine="0" autoPict="0">
                <anchor moveWithCells="1">
                  <from>
                    <xdr:col>13</xdr:col>
                    <xdr:colOff>0</xdr:colOff>
                    <xdr:row>15</xdr:row>
                    <xdr:rowOff>9525</xdr:rowOff>
                  </from>
                  <to>
                    <xdr:col>13</xdr:col>
                    <xdr:colOff>2809875</xdr:colOff>
                    <xdr:row>16</xdr:row>
                    <xdr:rowOff>9525</xdr:rowOff>
                  </to>
                </anchor>
              </controlPr>
            </control>
          </mc:Choice>
        </mc:AlternateContent>
        <mc:AlternateContent xmlns:mc="http://schemas.openxmlformats.org/markup-compatibility/2006">
          <mc:Choice Requires="x14">
            <control shapeId="13529" r:id="rId173" name="Drop Down 217">
              <controlPr defaultSize="0" autoLine="0" autoPict="0">
                <anchor moveWithCells="1">
                  <from>
                    <xdr:col>13</xdr:col>
                    <xdr:colOff>0</xdr:colOff>
                    <xdr:row>16</xdr:row>
                    <xdr:rowOff>9525</xdr:rowOff>
                  </from>
                  <to>
                    <xdr:col>13</xdr:col>
                    <xdr:colOff>2809875</xdr:colOff>
                    <xdr:row>17</xdr:row>
                    <xdr:rowOff>9525</xdr:rowOff>
                  </to>
                </anchor>
              </controlPr>
            </control>
          </mc:Choice>
        </mc:AlternateContent>
        <mc:AlternateContent xmlns:mc="http://schemas.openxmlformats.org/markup-compatibility/2006">
          <mc:Choice Requires="x14">
            <control shapeId="13530" r:id="rId174" name="Drop Down 218">
              <controlPr defaultSize="0" autoLine="0" autoPict="0">
                <anchor moveWithCells="1">
                  <from>
                    <xdr:col>13</xdr:col>
                    <xdr:colOff>0</xdr:colOff>
                    <xdr:row>17</xdr:row>
                    <xdr:rowOff>9525</xdr:rowOff>
                  </from>
                  <to>
                    <xdr:col>13</xdr:col>
                    <xdr:colOff>2809875</xdr:colOff>
                    <xdr:row>18</xdr:row>
                    <xdr:rowOff>9525</xdr:rowOff>
                  </to>
                </anchor>
              </controlPr>
            </control>
          </mc:Choice>
        </mc:AlternateContent>
        <mc:AlternateContent xmlns:mc="http://schemas.openxmlformats.org/markup-compatibility/2006">
          <mc:Choice Requires="x14">
            <control shapeId="13531" r:id="rId175" name="Drop Down 219">
              <controlPr defaultSize="0" autoLine="0" autoPict="0">
                <anchor moveWithCells="1">
                  <from>
                    <xdr:col>13</xdr:col>
                    <xdr:colOff>0</xdr:colOff>
                    <xdr:row>18</xdr:row>
                    <xdr:rowOff>9525</xdr:rowOff>
                  </from>
                  <to>
                    <xdr:col>13</xdr:col>
                    <xdr:colOff>2809875</xdr:colOff>
                    <xdr:row>19</xdr:row>
                    <xdr:rowOff>9525</xdr:rowOff>
                  </to>
                </anchor>
              </controlPr>
            </control>
          </mc:Choice>
        </mc:AlternateContent>
        <mc:AlternateContent xmlns:mc="http://schemas.openxmlformats.org/markup-compatibility/2006">
          <mc:Choice Requires="x14">
            <control shapeId="13532" r:id="rId176" name="Drop Down 220">
              <controlPr defaultSize="0" autoLine="0" autoPict="0">
                <anchor moveWithCells="1">
                  <from>
                    <xdr:col>13</xdr:col>
                    <xdr:colOff>0</xdr:colOff>
                    <xdr:row>19</xdr:row>
                    <xdr:rowOff>9525</xdr:rowOff>
                  </from>
                  <to>
                    <xdr:col>13</xdr:col>
                    <xdr:colOff>2809875</xdr:colOff>
                    <xdr:row>20</xdr:row>
                    <xdr:rowOff>9525</xdr:rowOff>
                  </to>
                </anchor>
              </controlPr>
            </control>
          </mc:Choice>
        </mc:AlternateContent>
        <mc:AlternateContent xmlns:mc="http://schemas.openxmlformats.org/markup-compatibility/2006">
          <mc:Choice Requires="x14">
            <control shapeId="13533" r:id="rId177" name="Drop Down 221">
              <controlPr defaultSize="0" autoLine="0" autoPict="0">
                <anchor moveWithCells="1">
                  <from>
                    <xdr:col>13</xdr:col>
                    <xdr:colOff>0</xdr:colOff>
                    <xdr:row>20</xdr:row>
                    <xdr:rowOff>9525</xdr:rowOff>
                  </from>
                  <to>
                    <xdr:col>13</xdr:col>
                    <xdr:colOff>2809875</xdr:colOff>
                    <xdr:row>21</xdr:row>
                    <xdr:rowOff>9525</xdr:rowOff>
                  </to>
                </anchor>
              </controlPr>
            </control>
          </mc:Choice>
        </mc:AlternateContent>
        <mc:AlternateContent xmlns:mc="http://schemas.openxmlformats.org/markup-compatibility/2006">
          <mc:Choice Requires="x14">
            <control shapeId="13534" r:id="rId178" name="Drop Down 222">
              <controlPr defaultSize="0" autoLine="0" autoPict="0">
                <anchor moveWithCells="1">
                  <from>
                    <xdr:col>13</xdr:col>
                    <xdr:colOff>0</xdr:colOff>
                    <xdr:row>21</xdr:row>
                    <xdr:rowOff>9525</xdr:rowOff>
                  </from>
                  <to>
                    <xdr:col>13</xdr:col>
                    <xdr:colOff>2809875</xdr:colOff>
                    <xdr:row>22</xdr:row>
                    <xdr:rowOff>9525</xdr:rowOff>
                  </to>
                </anchor>
              </controlPr>
            </control>
          </mc:Choice>
        </mc:AlternateContent>
        <mc:AlternateContent xmlns:mc="http://schemas.openxmlformats.org/markup-compatibility/2006">
          <mc:Choice Requires="x14">
            <control shapeId="13535" r:id="rId179" name="Drop Down 223">
              <controlPr defaultSize="0" autoLine="0" autoPict="0">
                <anchor moveWithCells="1">
                  <from>
                    <xdr:col>13</xdr:col>
                    <xdr:colOff>0</xdr:colOff>
                    <xdr:row>22</xdr:row>
                    <xdr:rowOff>9525</xdr:rowOff>
                  </from>
                  <to>
                    <xdr:col>13</xdr:col>
                    <xdr:colOff>2809875</xdr:colOff>
                    <xdr:row>23</xdr:row>
                    <xdr:rowOff>9525</xdr:rowOff>
                  </to>
                </anchor>
              </controlPr>
            </control>
          </mc:Choice>
        </mc:AlternateContent>
        <mc:AlternateContent xmlns:mc="http://schemas.openxmlformats.org/markup-compatibility/2006">
          <mc:Choice Requires="x14">
            <control shapeId="13536" r:id="rId180" name="Drop Down 224">
              <controlPr defaultSize="0" autoLine="0" autoPict="0">
                <anchor moveWithCells="1">
                  <from>
                    <xdr:col>13</xdr:col>
                    <xdr:colOff>0</xdr:colOff>
                    <xdr:row>43</xdr:row>
                    <xdr:rowOff>9525</xdr:rowOff>
                  </from>
                  <to>
                    <xdr:col>13</xdr:col>
                    <xdr:colOff>2809875</xdr:colOff>
                    <xdr:row>44</xdr:row>
                    <xdr:rowOff>9525</xdr:rowOff>
                  </to>
                </anchor>
              </controlPr>
            </control>
          </mc:Choice>
        </mc:AlternateContent>
        <mc:AlternateContent xmlns:mc="http://schemas.openxmlformats.org/markup-compatibility/2006">
          <mc:Choice Requires="x14">
            <control shapeId="13537" r:id="rId181" name="Drop Down 225">
              <controlPr defaultSize="0" autoLine="0" autoPict="0">
                <anchor moveWithCells="1">
                  <from>
                    <xdr:col>15</xdr:col>
                    <xdr:colOff>0</xdr:colOff>
                    <xdr:row>3</xdr:row>
                    <xdr:rowOff>9525</xdr:rowOff>
                  </from>
                  <to>
                    <xdr:col>16</xdr:col>
                    <xdr:colOff>9525</xdr:colOff>
                    <xdr:row>4</xdr:row>
                    <xdr:rowOff>9525</xdr:rowOff>
                  </to>
                </anchor>
              </controlPr>
            </control>
          </mc:Choice>
        </mc:AlternateContent>
        <mc:AlternateContent xmlns:mc="http://schemas.openxmlformats.org/markup-compatibility/2006">
          <mc:Choice Requires="x14">
            <control shapeId="13538" r:id="rId182" name="Drop Down 226">
              <controlPr defaultSize="0" autoLine="0" autoPict="0">
                <anchor moveWithCells="1">
                  <from>
                    <xdr:col>15</xdr:col>
                    <xdr:colOff>0</xdr:colOff>
                    <xdr:row>4</xdr:row>
                    <xdr:rowOff>9525</xdr:rowOff>
                  </from>
                  <to>
                    <xdr:col>16</xdr:col>
                    <xdr:colOff>9525</xdr:colOff>
                    <xdr:row>5</xdr:row>
                    <xdr:rowOff>9525</xdr:rowOff>
                  </to>
                </anchor>
              </controlPr>
            </control>
          </mc:Choice>
        </mc:AlternateContent>
        <mc:AlternateContent xmlns:mc="http://schemas.openxmlformats.org/markup-compatibility/2006">
          <mc:Choice Requires="x14">
            <control shapeId="13539" r:id="rId183" name="Drop Down 227">
              <controlPr defaultSize="0" autoLine="0" autoPict="0">
                <anchor moveWithCells="1">
                  <from>
                    <xdr:col>15</xdr:col>
                    <xdr:colOff>0</xdr:colOff>
                    <xdr:row>5</xdr:row>
                    <xdr:rowOff>9525</xdr:rowOff>
                  </from>
                  <to>
                    <xdr:col>16</xdr:col>
                    <xdr:colOff>9525</xdr:colOff>
                    <xdr:row>6</xdr:row>
                    <xdr:rowOff>9525</xdr:rowOff>
                  </to>
                </anchor>
              </controlPr>
            </control>
          </mc:Choice>
        </mc:AlternateContent>
        <mc:AlternateContent xmlns:mc="http://schemas.openxmlformats.org/markup-compatibility/2006">
          <mc:Choice Requires="x14">
            <control shapeId="13540" r:id="rId184" name="Drop Down 228">
              <controlPr defaultSize="0" autoLine="0" autoPict="0">
                <anchor moveWithCells="1">
                  <from>
                    <xdr:col>15</xdr:col>
                    <xdr:colOff>0</xdr:colOff>
                    <xdr:row>6</xdr:row>
                    <xdr:rowOff>9525</xdr:rowOff>
                  </from>
                  <to>
                    <xdr:col>16</xdr:col>
                    <xdr:colOff>9525</xdr:colOff>
                    <xdr:row>7</xdr:row>
                    <xdr:rowOff>9525</xdr:rowOff>
                  </to>
                </anchor>
              </controlPr>
            </control>
          </mc:Choice>
        </mc:AlternateContent>
        <mc:AlternateContent xmlns:mc="http://schemas.openxmlformats.org/markup-compatibility/2006">
          <mc:Choice Requires="x14">
            <control shapeId="13541" r:id="rId185" name="Drop Down 229">
              <controlPr defaultSize="0" autoLine="0" autoPict="0">
                <anchor moveWithCells="1">
                  <from>
                    <xdr:col>15</xdr:col>
                    <xdr:colOff>0</xdr:colOff>
                    <xdr:row>7</xdr:row>
                    <xdr:rowOff>9525</xdr:rowOff>
                  </from>
                  <to>
                    <xdr:col>16</xdr:col>
                    <xdr:colOff>9525</xdr:colOff>
                    <xdr:row>8</xdr:row>
                    <xdr:rowOff>9525</xdr:rowOff>
                  </to>
                </anchor>
              </controlPr>
            </control>
          </mc:Choice>
        </mc:AlternateContent>
        <mc:AlternateContent xmlns:mc="http://schemas.openxmlformats.org/markup-compatibility/2006">
          <mc:Choice Requires="x14">
            <control shapeId="13542" r:id="rId186" name="Drop Down 230">
              <controlPr defaultSize="0" autoLine="0" autoPict="0">
                <anchor moveWithCells="1">
                  <from>
                    <xdr:col>15</xdr:col>
                    <xdr:colOff>0</xdr:colOff>
                    <xdr:row>8</xdr:row>
                    <xdr:rowOff>9525</xdr:rowOff>
                  </from>
                  <to>
                    <xdr:col>16</xdr:col>
                    <xdr:colOff>9525</xdr:colOff>
                    <xdr:row>9</xdr:row>
                    <xdr:rowOff>9525</xdr:rowOff>
                  </to>
                </anchor>
              </controlPr>
            </control>
          </mc:Choice>
        </mc:AlternateContent>
        <mc:AlternateContent xmlns:mc="http://schemas.openxmlformats.org/markup-compatibility/2006">
          <mc:Choice Requires="x14">
            <control shapeId="13543" r:id="rId187" name="Drop Down 231">
              <controlPr defaultSize="0" autoLine="0" autoPict="0">
                <anchor moveWithCells="1">
                  <from>
                    <xdr:col>15</xdr:col>
                    <xdr:colOff>0</xdr:colOff>
                    <xdr:row>9</xdr:row>
                    <xdr:rowOff>9525</xdr:rowOff>
                  </from>
                  <to>
                    <xdr:col>16</xdr:col>
                    <xdr:colOff>9525</xdr:colOff>
                    <xdr:row>10</xdr:row>
                    <xdr:rowOff>9525</xdr:rowOff>
                  </to>
                </anchor>
              </controlPr>
            </control>
          </mc:Choice>
        </mc:AlternateContent>
        <mc:AlternateContent xmlns:mc="http://schemas.openxmlformats.org/markup-compatibility/2006">
          <mc:Choice Requires="x14">
            <control shapeId="13544" r:id="rId188" name="Drop Down 232">
              <controlPr defaultSize="0" autoLine="0" autoPict="0">
                <anchor moveWithCells="1">
                  <from>
                    <xdr:col>15</xdr:col>
                    <xdr:colOff>0</xdr:colOff>
                    <xdr:row>10</xdr:row>
                    <xdr:rowOff>9525</xdr:rowOff>
                  </from>
                  <to>
                    <xdr:col>16</xdr:col>
                    <xdr:colOff>9525</xdr:colOff>
                    <xdr:row>11</xdr:row>
                    <xdr:rowOff>9525</xdr:rowOff>
                  </to>
                </anchor>
              </controlPr>
            </control>
          </mc:Choice>
        </mc:AlternateContent>
        <mc:AlternateContent xmlns:mc="http://schemas.openxmlformats.org/markup-compatibility/2006">
          <mc:Choice Requires="x14">
            <control shapeId="13545" r:id="rId189" name="Drop Down 233">
              <controlPr defaultSize="0" autoLine="0" autoPict="0">
                <anchor moveWithCells="1">
                  <from>
                    <xdr:col>15</xdr:col>
                    <xdr:colOff>0</xdr:colOff>
                    <xdr:row>11</xdr:row>
                    <xdr:rowOff>9525</xdr:rowOff>
                  </from>
                  <to>
                    <xdr:col>16</xdr:col>
                    <xdr:colOff>9525</xdr:colOff>
                    <xdr:row>12</xdr:row>
                    <xdr:rowOff>9525</xdr:rowOff>
                  </to>
                </anchor>
              </controlPr>
            </control>
          </mc:Choice>
        </mc:AlternateContent>
        <mc:AlternateContent xmlns:mc="http://schemas.openxmlformats.org/markup-compatibility/2006">
          <mc:Choice Requires="x14">
            <control shapeId="13546" r:id="rId190" name="Drop Down 234">
              <controlPr defaultSize="0" autoLine="0" autoPict="0">
                <anchor moveWithCells="1">
                  <from>
                    <xdr:col>15</xdr:col>
                    <xdr:colOff>0</xdr:colOff>
                    <xdr:row>12</xdr:row>
                    <xdr:rowOff>9525</xdr:rowOff>
                  </from>
                  <to>
                    <xdr:col>16</xdr:col>
                    <xdr:colOff>9525</xdr:colOff>
                    <xdr:row>13</xdr:row>
                    <xdr:rowOff>9525</xdr:rowOff>
                  </to>
                </anchor>
              </controlPr>
            </control>
          </mc:Choice>
        </mc:AlternateContent>
        <mc:AlternateContent xmlns:mc="http://schemas.openxmlformats.org/markup-compatibility/2006">
          <mc:Choice Requires="x14">
            <control shapeId="13547" r:id="rId191" name="Drop Down 235">
              <controlPr defaultSize="0" autoLine="0" autoPict="0">
                <anchor moveWithCells="1">
                  <from>
                    <xdr:col>15</xdr:col>
                    <xdr:colOff>0</xdr:colOff>
                    <xdr:row>13</xdr:row>
                    <xdr:rowOff>9525</xdr:rowOff>
                  </from>
                  <to>
                    <xdr:col>16</xdr:col>
                    <xdr:colOff>9525</xdr:colOff>
                    <xdr:row>14</xdr:row>
                    <xdr:rowOff>9525</xdr:rowOff>
                  </to>
                </anchor>
              </controlPr>
            </control>
          </mc:Choice>
        </mc:AlternateContent>
        <mc:AlternateContent xmlns:mc="http://schemas.openxmlformats.org/markup-compatibility/2006">
          <mc:Choice Requires="x14">
            <control shapeId="13548" r:id="rId192" name="Drop Down 236">
              <controlPr defaultSize="0" autoLine="0" autoPict="0">
                <anchor moveWithCells="1">
                  <from>
                    <xdr:col>15</xdr:col>
                    <xdr:colOff>0</xdr:colOff>
                    <xdr:row>14</xdr:row>
                    <xdr:rowOff>9525</xdr:rowOff>
                  </from>
                  <to>
                    <xdr:col>16</xdr:col>
                    <xdr:colOff>9525</xdr:colOff>
                    <xdr:row>15</xdr:row>
                    <xdr:rowOff>9525</xdr:rowOff>
                  </to>
                </anchor>
              </controlPr>
            </control>
          </mc:Choice>
        </mc:AlternateContent>
        <mc:AlternateContent xmlns:mc="http://schemas.openxmlformats.org/markup-compatibility/2006">
          <mc:Choice Requires="x14">
            <control shapeId="13549" r:id="rId193" name="Drop Down 237">
              <controlPr defaultSize="0" autoLine="0" autoPict="0">
                <anchor moveWithCells="1">
                  <from>
                    <xdr:col>15</xdr:col>
                    <xdr:colOff>0</xdr:colOff>
                    <xdr:row>15</xdr:row>
                    <xdr:rowOff>9525</xdr:rowOff>
                  </from>
                  <to>
                    <xdr:col>16</xdr:col>
                    <xdr:colOff>9525</xdr:colOff>
                    <xdr:row>16</xdr:row>
                    <xdr:rowOff>9525</xdr:rowOff>
                  </to>
                </anchor>
              </controlPr>
            </control>
          </mc:Choice>
        </mc:AlternateContent>
        <mc:AlternateContent xmlns:mc="http://schemas.openxmlformats.org/markup-compatibility/2006">
          <mc:Choice Requires="x14">
            <control shapeId="13550" r:id="rId194" name="Drop Down 238">
              <controlPr defaultSize="0" autoLine="0" autoPict="0">
                <anchor moveWithCells="1">
                  <from>
                    <xdr:col>15</xdr:col>
                    <xdr:colOff>0</xdr:colOff>
                    <xdr:row>16</xdr:row>
                    <xdr:rowOff>9525</xdr:rowOff>
                  </from>
                  <to>
                    <xdr:col>16</xdr:col>
                    <xdr:colOff>9525</xdr:colOff>
                    <xdr:row>17</xdr:row>
                    <xdr:rowOff>9525</xdr:rowOff>
                  </to>
                </anchor>
              </controlPr>
            </control>
          </mc:Choice>
        </mc:AlternateContent>
        <mc:AlternateContent xmlns:mc="http://schemas.openxmlformats.org/markup-compatibility/2006">
          <mc:Choice Requires="x14">
            <control shapeId="13551" r:id="rId195" name="Drop Down 239">
              <controlPr defaultSize="0" autoLine="0" autoPict="0">
                <anchor moveWithCells="1">
                  <from>
                    <xdr:col>15</xdr:col>
                    <xdr:colOff>0</xdr:colOff>
                    <xdr:row>17</xdr:row>
                    <xdr:rowOff>9525</xdr:rowOff>
                  </from>
                  <to>
                    <xdr:col>16</xdr:col>
                    <xdr:colOff>9525</xdr:colOff>
                    <xdr:row>18</xdr:row>
                    <xdr:rowOff>9525</xdr:rowOff>
                  </to>
                </anchor>
              </controlPr>
            </control>
          </mc:Choice>
        </mc:AlternateContent>
        <mc:AlternateContent xmlns:mc="http://schemas.openxmlformats.org/markup-compatibility/2006">
          <mc:Choice Requires="x14">
            <control shapeId="13552" r:id="rId196" name="Drop Down 240">
              <controlPr defaultSize="0" autoLine="0" autoPict="0">
                <anchor moveWithCells="1">
                  <from>
                    <xdr:col>15</xdr:col>
                    <xdr:colOff>0</xdr:colOff>
                    <xdr:row>18</xdr:row>
                    <xdr:rowOff>9525</xdr:rowOff>
                  </from>
                  <to>
                    <xdr:col>16</xdr:col>
                    <xdr:colOff>9525</xdr:colOff>
                    <xdr:row>19</xdr:row>
                    <xdr:rowOff>9525</xdr:rowOff>
                  </to>
                </anchor>
              </controlPr>
            </control>
          </mc:Choice>
        </mc:AlternateContent>
        <mc:AlternateContent xmlns:mc="http://schemas.openxmlformats.org/markup-compatibility/2006">
          <mc:Choice Requires="x14">
            <control shapeId="13553" r:id="rId197" name="Drop Down 241">
              <controlPr defaultSize="0" autoLine="0" autoPict="0">
                <anchor moveWithCells="1">
                  <from>
                    <xdr:col>15</xdr:col>
                    <xdr:colOff>0</xdr:colOff>
                    <xdr:row>19</xdr:row>
                    <xdr:rowOff>9525</xdr:rowOff>
                  </from>
                  <to>
                    <xdr:col>16</xdr:col>
                    <xdr:colOff>9525</xdr:colOff>
                    <xdr:row>20</xdr:row>
                    <xdr:rowOff>9525</xdr:rowOff>
                  </to>
                </anchor>
              </controlPr>
            </control>
          </mc:Choice>
        </mc:AlternateContent>
        <mc:AlternateContent xmlns:mc="http://schemas.openxmlformats.org/markup-compatibility/2006">
          <mc:Choice Requires="x14">
            <control shapeId="13554" r:id="rId198" name="Drop Down 242">
              <controlPr defaultSize="0" autoLine="0" autoPict="0">
                <anchor moveWithCells="1">
                  <from>
                    <xdr:col>15</xdr:col>
                    <xdr:colOff>0</xdr:colOff>
                    <xdr:row>20</xdr:row>
                    <xdr:rowOff>9525</xdr:rowOff>
                  </from>
                  <to>
                    <xdr:col>16</xdr:col>
                    <xdr:colOff>9525</xdr:colOff>
                    <xdr:row>21</xdr:row>
                    <xdr:rowOff>9525</xdr:rowOff>
                  </to>
                </anchor>
              </controlPr>
            </control>
          </mc:Choice>
        </mc:AlternateContent>
        <mc:AlternateContent xmlns:mc="http://schemas.openxmlformats.org/markup-compatibility/2006">
          <mc:Choice Requires="x14">
            <control shapeId="13555" r:id="rId199" name="Drop Down 243">
              <controlPr defaultSize="0" autoLine="0" autoPict="0">
                <anchor moveWithCells="1">
                  <from>
                    <xdr:col>15</xdr:col>
                    <xdr:colOff>0</xdr:colOff>
                    <xdr:row>21</xdr:row>
                    <xdr:rowOff>9525</xdr:rowOff>
                  </from>
                  <to>
                    <xdr:col>16</xdr:col>
                    <xdr:colOff>9525</xdr:colOff>
                    <xdr:row>22</xdr:row>
                    <xdr:rowOff>9525</xdr:rowOff>
                  </to>
                </anchor>
              </controlPr>
            </control>
          </mc:Choice>
        </mc:AlternateContent>
        <mc:AlternateContent xmlns:mc="http://schemas.openxmlformats.org/markup-compatibility/2006">
          <mc:Choice Requires="x14">
            <control shapeId="13556" r:id="rId200" name="Drop Down 244">
              <controlPr defaultSize="0" autoLine="0" autoPict="0">
                <anchor moveWithCells="1">
                  <from>
                    <xdr:col>15</xdr:col>
                    <xdr:colOff>0</xdr:colOff>
                    <xdr:row>22</xdr:row>
                    <xdr:rowOff>9525</xdr:rowOff>
                  </from>
                  <to>
                    <xdr:col>16</xdr:col>
                    <xdr:colOff>9525</xdr:colOff>
                    <xdr:row>23</xdr:row>
                    <xdr:rowOff>9525</xdr:rowOff>
                  </to>
                </anchor>
              </controlPr>
            </control>
          </mc:Choice>
        </mc:AlternateContent>
        <mc:AlternateContent xmlns:mc="http://schemas.openxmlformats.org/markup-compatibility/2006">
          <mc:Choice Requires="x14">
            <control shapeId="13557" r:id="rId201" name="Drop Down 245">
              <controlPr defaultSize="0" autoLine="0" autoPict="0">
                <anchor moveWithCells="1">
                  <from>
                    <xdr:col>15</xdr:col>
                    <xdr:colOff>0</xdr:colOff>
                    <xdr:row>43</xdr:row>
                    <xdr:rowOff>9525</xdr:rowOff>
                  </from>
                  <to>
                    <xdr:col>16</xdr:col>
                    <xdr:colOff>9525</xdr:colOff>
                    <xdr:row>44</xdr:row>
                    <xdr:rowOff>9525</xdr:rowOff>
                  </to>
                </anchor>
              </controlPr>
            </control>
          </mc:Choice>
        </mc:AlternateContent>
        <mc:AlternateContent xmlns:mc="http://schemas.openxmlformats.org/markup-compatibility/2006">
          <mc:Choice Requires="x14">
            <control shapeId="13558" r:id="rId202" name="Drop Down 246">
              <controlPr defaultSize="0" autoLine="0" autoPict="0">
                <anchor moveWithCells="1">
                  <from>
                    <xdr:col>4</xdr:col>
                    <xdr:colOff>0</xdr:colOff>
                    <xdr:row>3</xdr:row>
                    <xdr:rowOff>9525</xdr:rowOff>
                  </from>
                  <to>
                    <xdr:col>4</xdr:col>
                    <xdr:colOff>1800225</xdr:colOff>
                    <xdr:row>4</xdr:row>
                    <xdr:rowOff>0</xdr:rowOff>
                  </to>
                </anchor>
              </controlPr>
            </control>
          </mc:Choice>
        </mc:AlternateContent>
        <mc:AlternateContent xmlns:mc="http://schemas.openxmlformats.org/markup-compatibility/2006">
          <mc:Choice Requires="x14">
            <control shapeId="13559" r:id="rId203" name="Drop Down 247">
              <controlPr defaultSize="0" autoLine="0" autoPict="0">
                <anchor moveWithCells="1">
                  <from>
                    <xdr:col>4</xdr:col>
                    <xdr:colOff>0</xdr:colOff>
                    <xdr:row>4</xdr:row>
                    <xdr:rowOff>9525</xdr:rowOff>
                  </from>
                  <to>
                    <xdr:col>4</xdr:col>
                    <xdr:colOff>1800225</xdr:colOff>
                    <xdr:row>5</xdr:row>
                    <xdr:rowOff>0</xdr:rowOff>
                  </to>
                </anchor>
              </controlPr>
            </control>
          </mc:Choice>
        </mc:AlternateContent>
        <mc:AlternateContent xmlns:mc="http://schemas.openxmlformats.org/markup-compatibility/2006">
          <mc:Choice Requires="x14">
            <control shapeId="13560" r:id="rId204" name="Drop Down 248">
              <controlPr defaultSize="0" autoLine="0" autoPict="0">
                <anchor moveWithCells="1">
                  <from>
                    <xdr:col>4</xdr:col>
                    <xdr:colOff>0</xdr:colOff>
                    <xdr:row>5</xdr:row>
                    <xdr:rowOff>9525</xdr:rowOff>
                  </from>
                  <to>
                    <xdr:col>4</xdr:col>
                    <xdr:colOff>1800225</xdr:colOff>
                    <xdr:row>6</xdr:row>
                    <xdr:rowOff>0</xdr:rowOff>
                  </to>
                </anchor>
              </controlPr>
            </control>
          </mc:Choice>
        </mc:AlternateContent>
        <mc:AlternateContent xmlns:mc="http://schemas.openxmlformats.org/markup-compatibility/2006">
          <mc:Choice Requires="x14">
            <control shapeId="13561" r:id="rId205" name="Drop Down 249">
              <controlPr defaultSize="0" autoLine="0" autoPict="0">
                <anchor moveWithCells="1">
                  <from>
                    <xdr:col>4</xdr:col>
                    <xdr:colOff>0</xdr:colOff>
                    <xdr:row>6</xdr:row>
                    <xdr:rowOff>9525</xdr:rowOff>
                  </from>
                  <to>
                    <xdr:col>4</xdr:col>
                    <xdr:colOff>1800225</xdr:colOff>
                    <xdr:row>7</xdr:row>
                    <xdr:rowOff>0</xdr:rowOff>
                  </to>
                </anchor>
              </controlPr>
            </control>
          </mc:Choice>
        </mc:AlternateContent>
        <mc:AlternateContent xmlns:mc="http://schemas.openxmlformats.org/markup-compatibility/2006">
          <mc:Choice Requires="x14">
            <control shapeId="13562" r:id="rId206" name="Drop Down 250">
              <controlPr defaultSize="0" autoLine="0" autoPict="0">
                <anchor moveWithCells="1">
                  <from>
                    <xdr:col>4</xdr:col>
                    <xdr:colOff>0</xdr:colOff>
                    <xdr:row>7</xdr:row>
                    <xdr:rowOff>9525</xdr:rowOff>
                  </from>
                  <to>
                    <xdr:col>4</xdr:col>
                    <xdr:colOff>1800225</xdr:colOff>
                    <xdr:row>8</xdr:row>
                    <xdr:rowOff>0</xdr:rowOff>
                  </to>
                </anchor>
              </controlPr>
            </control>
          </mc:Choice>
        </mc:AlternateContent>
        <mc:AlternateContent xmlns:mc="http://schemas.openxmlformats.org/markup-compatibility/2006">
          <mc:Choice Requires="x14">
            <control shapeId="13563" r:id="rId207" name="Drop Down 251">
              <controlPr defaultSize="0" autoLine="0" autoPict="0">
                <anchor moveWithCells="1">
                  <from>
                    <xdr:col>4</xdr:col>
                    <xdr:colOff>0</xdr:colOff>
                    <xdr:row>8</xdr:row>
                    <xdr:rowOff>9525</xdr:rowOff>
                  </from>
                  <to>
                    <xdr:col>4</xdr:col>
                    <xdr:colOff>1800225</xdr:colOff>
                    <xdr:row>9</xdr:row>
                    <xdr:rowOff>0</xdr:rowOff>
                  </to>
                </anchor>
              </controlPr>
            </control>
          </mc:Choice>
        </mc:AlternateContent>
        <mc:AlternateContent xmlns:mc="http://schemas.openxmlformats.org/markup-compatibility/2006">
          <mc:Choice Requires="x14">
            <control shapeId="13564" r:id="rId208" name="Drop Down 252">
              <controlPr defaultSize="0" autoLine="0" autoPict="0">
                <anchor moveWithCells="1">
                  <from>
                    <xdr:col>4</xdr:col>
                    <xdr:colOff>0</xdr:colOff>
                    <xdr:row>9</xdr:row>
                    <xdr:rowOff>9525</xdr:rowOff>
                  </from>
                  <to>
                    <xdr:col>4</xdr:col>
                    <xdr:colOff>1800225</xdr:colOff>
                    <xdr:row>10</xdr:row>
                    <xdr:rowOff>0</xdr:rowOff>
                  </to>
                </anchor>
              </controlPr>
            </control>
          </mc:Choice>
        </mc:AlternateContent>
        <mc:AlternateContent xmlns:mc="http://schemas.openxmlformats.org/markup-compatibility/2006">
          <mc:Choice Requires="x14">
            <control shapeId="13565" r:id="rId209" name="Drop Down 253">
              <controlPr defaultSize="0" autoLine="0" autoPict="0">
                <anchor moveWithCells="1">
                  <from>
                    <xdr:col>4</xdr:col>
                    <xdr:colOff>0</xdr:colOff>
                    <xdr:row>10</xdr:row>
                    <xdr:rowOff>9525</xdr:rowOff>
                  </from>
                  <to>
                    <xdr:col>4</xdr:col>
                    <xdr:colOff>1800225</xdr:colOff>
                    <xdr:row>11</xdr:row>
                    <xdr:rowOff>0</xdr:rowOff>
                  </to>
                </anchor>
              </controlPr>
            </control>
          </mc:Choice>
        </mc:AlternateContent>
        <mc:AlternateContent xmlns:mc="http://schemas.openxmlformats.org/markup-compatibility/2006">
          <mc:Choice Requires="x14">
            <control shapeId="13566" r:id="rId210" name="Drop Down 254">
              <controlPr defaultSize="0" autoLine="0" autoPict="0">
                <anchor moveWithCells="1">
                  <from>
                    <xdr:col>4</xdr:col>
                    <xdr:colOff>0</xdr:colOff>
                    <xdr:row>11</xdr:row>
                    <xdr:rowOff>9525</xdr:rowOff>
                  </from>
                  <to>
                    <xdr:col>4</xdr:col>
                    <xdr:colOff>1800225</xdr:colOff>
                    <xdr:row>12</xdr:row>
                    <xdr:rowOff>0</xdr:rowOff>
                  </to>
                </anchor>
              </controlPr>
            </control>
          </mc:Choice>
        </mc:AlternateContent>
        <mc:AlternateContent xmlns:mc="http://schemas.openxmlformats.org/markup-compatibility/2006">
          <mc:Choice Requires="x14">
            <control shapeId="13567" r:id="rId211" name="Drop Down 255">
              <controlPr defaultSize="0" autoLine="0" autoPict="0">
                <anchor moveWithCells="1">
                  <from>
                    <xdr:col>4</xdr:col>
                    <xdr:colOff>0</xdr:colOff>
                    <xdr:row>12</xdr:row>
                    <xdr:rowOff>9525</xdr:rowOff>
                  </from>
                  <to>
                    <xdr:col>4</xdr:col>
                    <xdr:colOff>1800225</xdr:colOff>
                    <xdr:row>13</xdr:row>
                    <xdr:rowOff>0</xdr:rowOff>
                  </to>
                </anchor>
              </controlPr>
            </control>
          </mc:Choice>
        </mc:AlternateContent>
        <mc:AlternateContent xmlns:mc="http://schemas.openxmlformats.org/markup-compatibility/2006">
          <mc:Choice Requires="x14">
            <control shapeId="13568" r:id="rId212" name="Drop Down 256">
              <controlPr defaultSize="0" autoLine="0" autoPict="0">
                <anchor moveWithCells="1">
                  <from>
                    <xdr:col>4</xdr:col>
                    <xdr:colOff>0</xdr:colOff>
                    <xdr:row>13</xdr:row>
                    <xdr:rowOff>9525</xdr:rowOff>
                  </from>
                  <to>
                    <xdr:col>4</xdr:col>
                    <xdr:colOff>1800225</xdr:colOff>
                    <xdr:row>14</xdr:row>
                    <xdr:rowOff>0</xdr:rowOff>
                  </to>
                </anchor>
              </controlPr>
            </control>
          </mc:Choice>
        </mc:AlternateContent>
        <mc:AlternateContent xmlns:mc="http://schemas.openxmlformats.org/markup-compatibility/2006">
          <mc:Choice Requires="x14">
            <control shapeId="13569" r:id="rId213" name="Drop Down 257">
              <controlPr defaultSize="0" autoLine="0" autoPict="0">
                <anchor moveWithCells="1">
                  <from>
                    <xdr:col>4</xdr:col>
                    <xdr:colOff>0</xdr:colOff>
                    <xdr:row>14</xdr:row>
                    <xdr:rowOff>9525</xdr:rowOff>
                  </from>
                  <to>
                    <xdr:col>4</xdr:col>
                    <xdr:colOff>1800225</xdr:colOff>
                    <xdr:row>15</xdr:row>
                    <xdr:rowOff>0</xdr:rowOff>
                  </to>
                </anchor>
              </controlPr>
            </control>
          </mc:Choice>
        </mc:AlternateContent>
        <mc:AlternateContent xmlns:mc="http://schemas.openxmlformats.org/markup-compatibility/2006">
          <mc:Choice Requires="x14">
            <control shapeId="13570" r:id="rId214" name="Drop Down 258">
              <controlPr defaultSize="0" autoLine="0" autoPict="0">
                <anchor moveWithCells="1">
                  <from>
                    <xdr:col>4</xdr:col>
                    <xdr:colOff>0</xdr:colOff>
                    <xdr:row>15</xdr:row>
                    <xdr:rowOff>9525</xdr:rowOff>
                  </from>
                  <to>
                    <xdr:col>4</xdr:col>
                    <xdr:colOff>1800225</xdr:colOff>
                    <xdr:row>16</xdr:row>
                    <xdr:rowOff>0</xdr:rowOff>
                  </to>
                </anchor>
              </controlPr>
            </control>
          </mc:Choice>
        </mc:AlternateContent>
        <mc:AlternateContent xmlns:mc="http://schemas.openxmlformats.org/markup-compatibility/2006">
          <mc:Choice Requires="x14">
            <control shapeId="13571" r:id="rId215" name="Drop Down 259">
              <controlPr defaultSize="0" autoLine="0" autoPict="0">
                <anchor moveWithCells="1">
                  <from>
                    <xdr:col>4</xdr:col>
                    <xdr:colOff>0</xdr:colOff>
                    <xdr:row>16</xdr:row>
                    <xdr:rowOff>9525</xdr:rowOff>
                  </from>
                  <to>
                    <xdr:col>4</xdr:col>
                    <xdr:colOff>1800225</xdr:colOff>
                    <xdr:row>17</xdr:row>
                    <xdr:rowOff>0</xdr:rowOff>
                  </to>
                </anchor>
              </controlPr>
            </control>
          </mc:Choice>
        </mc:AlternateContent>
        <mc:AlternateContent xmlns:mc="http://schemas.openxmlformats.org/markup-compatibility/2006">
          <mc:Choice Requires="x14">
            <control shapeId="13572" r:id="rId216" name="Drop Down 260">
              <controlPr defaultSize="0" autoLine="0" autoPict="0">
                <anchor moveWithCells="1">
                  <from>
                    <xdr:col>4</xdr:col>
                    <xdr:colOff>0</xdr:colOff>
                    <xdr:row>17</xdr:row>
                    <xdr:rowOff>9525</xdr:rowOff>
                  </from>
                  <to>
                    <xdr:col>4</xdr:col>
                    <xdr:colOff>1800225</xdr:colOff>
                    <xdr:row>18</xdr:row>
                    <xdr:rowOff>0</xdr:rowOff>
                  </to>
                </anchor>
              </controlPr>
            </control>
          </mc:Choice>
        </mc:AlternateContent>
        <mc:AlternateContent xmlns:mc="http://schemas.openxmlformats.org/markup-compatibility/2006">
          <mc:Choice Requires="x14">
            <control shapeId="13573" r:id="rId217" name="Drop Down 261">
              <controlPr defaultSize="0" autoLine="0" autoPict="0">
                <anchor moveWithCells="1">
                  <from>
                    <xdr:col>4</xdr:col>
                    <xdr:colOff>0</xdr:colOff>
                    <xdr:row>18</xdr:row>
                    <xdr:rowOff>9525</xdr:rowOff>
                  </from>
                  <to>
                    <xdr:col>4</xdr:col>
                    <xdr:colOff>1800225</xdr:colOff>
                    <xdr:row>19</xdr:row>
                    <xdr:rowOff>0</xdr:rowOff>
                  </to>
                </anchor>
              </controlPr>
            </control>
          </mc:Choice>
        </mc:AlternateContent>
        <mc:AlternateContent xmlns:mc="http://schemas.openxmlformats.org/markup-compatibility/2006">
          <mc:Choice Requires="x14">
            <control shapeId="13574" r:id="rId218" name="Drop Down 262">
              <controlPr defaultSize="0" autoLine="0" autoPict="0">
                <anchor moveWithCells="1">
                  <from>
                    <xdr:col>4</xdr:col>
                    <xdr:colOff>0</xdr:colOff>
                    <xdr:row>19</xdr:row>
                    <xdr:rowOff>9525</xdr:rowOff>
                  </from>
                  <to>
                    <xdr:col>4</xdr:col>
                    <xdr:colOff>1800225</xdr:colOff>
                    <xdr:row>20</xdr:row>
                    <xdr:rowOff>0</xdr:rowOff>
                  </to>
                </anchor>
              </controlPr>
            </control>
          </mc:Choice>
        </mc:AlternateContent>
        <mc:AlternateContent xmlns:mc="http://schemas.openxmlformats.org/markup-compatibility/2006">
          <mc:Choice Requires="x14">
            <control shapeId="13575" r:id="rId219" name="Drop Down 263">
              <controlPr defaultSize="0" autoLine="0" autoPict="0">
                <anchor moveWithCells="1">
                  <from>
                    <xdr:col>4</xdr:col>
                    <xdr:colOff>0</xdr:colOff>
                    <xdr:row>20</xdr:row>
                    <xdr:rowOff>9525</xdr:rowOff>
                  </from>
                  <to>
                    <xdr:col>4</xdr:col>
                    <xdr:colOff>1800225</xdr:colOff>
                    <xdr:row>21</xdr:row>
                    <xdr:rowOff>0</xdr:rowOff>
                  </to>
                </anchor>
              </controlPr>
            </control>
          </mc:Choice>
        </mc:AlternateContent>
        <mc:AlternateContent xmlns:mc="http://schemas.openxmlformats.org/markup-compatibility/2006">
          <mc:Choice Requires="x14">
            <control shapeId="13576" r:id="rId220" name="Drop Down 264">
              <controlPr defaultSize="0" autoLine="0" autoPict="0">
                <anchor moveWithCells="1">
                  <from>
                    <xdr:col>4</xdr:col>
                    <xdr:colOff>0</xdr:colOff>
                    <xdr:row>21</xdr:row>
                    <xdr:rowOff>9525</xdr:rowOff>
                  </from>
                  <to>
                    <xdr:col>4</xdr:col>
                    <xdr:colOff>1800225</xdr:colOff>
                    <xdr:row>22</xdr:row>
                    <xdr:rowOff>0</xdr:rowOff>
                  </to>
                </anchor>
              </controlPr>
            </control>
          </mc:Choice>
        </mc:AlternateContent>
        <mc:AlternateContent xmlns:mc="http://schemas.openxmlformats.org/markup-compatibility/2006">
          <mc:Choice Requires="x14">
            <control shapeId="13577" r:id="rId221" name="Drop Down 265">
              <controlPr defaultSize="0" autoLine="0" autoPict="0">
                <anchor moveWithCells="1">
                  <from>
                    <xdr:col>4</xdr:col>
                    <xdr:colOff>0</xdr:colOff>
                    <xdr:row>22</xdr:row>
                    <xdr:rowOff>9525</xdr:rowOff>
                  </from>
                  <to>
                    <xdr:col>4</xdr:col>
                    <xdr:colOff>1800225</xdr:colOff>
                    <xdr:row>23</xdr:row>
                    <xdr:rowOff>0</xdr:rowOff>
                  </to>
                </anchor>
              </controlPr>
            </control>
          </mc:Choice>
        </mc:AlternateContent>
        <mc:AlternateContent xmlns:mc="http://schemas.openxmlformats.org/markup-compatibility/2006">
          <mc:Choice Requires="x14">
            <control shapeId="13578" r:id="rId222" name="Drop Down 266">
              <controlPr defaultSize="0" autoLine="0" autoPict="0">
                <anchor moveWithCells="1">
                  <from>
                    <xdr:col>4</xdr:col>
                    <xdr:colOff>0</xdr:colOff>
                    <xdr:row>43</xdr:row>
                    <xdr:rowOff>9525</xdr:rowOff>
                  </from>
                  <to>
                    <xdr:col>4</xdr:col>
                    <xdr:colOff>1800225</xdr:colOff>
                    <xdr:row>44</xdr:row>
                    <xdr:rowOff>0</xdr:rowOff>
                  </to>
                </anchor>
              </controlPr>
            </control>
          </mc:Choice>
        </mc:AlternateContent>
        <mc:AlternateContent xmlns:mc="http://schemas.openxmlformats.org/markup-compatibility/2006">
          <mc:Choice Requires="x14">
            <control shapeId="13601" r:id="rId223" name="Drop Down 289">
              <controlPr defaultSize="0" autoLine="0" autoPict="0">
                <anchor moveWithCells="1">
                  <from>
                    <xdr:col>11</xdr:col>
                    <xdr:colOff>0</xdr:colOff>
                    <xdr:row>3</xdr:row>
                    <xdr:rowOff>9525</xdr:rowOff>
                  </from>
                  <to>
                    <xdr:col>12</xdr:col>
                    <xdr:colOff>0</xdr:colOff>
                    <xdr:row>4</xdr:row>
                    <xdr:rowOff>28575</xdr:rowOff>
                  </to>
                </anchor>
              </controlPr>
            </control>
          </mc:Choice>
        </mc:AlternateContent>
        <mc:AlternateContent xmlns:mc="http://schemas.openxmlformats.org/markup-compatibility/2006">
          <mc:Choice Requires="x14">
            <control shapeId="13602" r:id="rId224" name="Drop Down 290">
              <controlPr defaultSize="0" autoLine="0" autoPict="0">
                <anchor moveWithCells="1">
                  <from>
                    <xdr:col>11</xdr:col>
                    <xdr:colOff>0</xdr:colOff>
                    <xdr:row>4</xdr:row>
                    <xdr:rowOff>9525</xdr:rowOff>
                  </from>
                  <to>
                    <xdr:col>12</xdr:col>
                    <xdr:colOff>0</xdr:colOff>
                    <xdr:row>5</xdr:row>
                    <xdr:rowOff>28575</xdr:rowOff>
                  </to>
                </anchor>
              </controlPr>
            </control>
          </mc:Choice>
        </mc:AlternateContent>
        <mc:AlternateContent xmlns:mc="http://schemas.openxmlformats.org/markup-compatibility/2006">
          <mc:Choice Requires="x14">
            <control shapeId="13603" r:id="rId225" name="Drop Down 291">
              <controlPr defaultSize="0" autoLine="0" autoPict="0">
                <anchor moveWithCells="1">
                  <from>
                    <xdr:col>11</xdr:col>
                    <xdr:colOff>0</xdr:colOff>
                    <xdr:row>5</xdr:row>
                    <xdr:rowOff>9525</xdr:rowOff>
                  </from>
                  <to>
                    <xdr:col>12</xdr:col>
                    <xdr:colOff>0</xdr:colOff>
                    <xdr:row>6</xdr:row>
                    <xdr:rowOff>28575</xdr:rowOff>
                  </to>
                </anchor>
              </controlPr>
            </control>
          </mc:Choice>
        </mc:AlternateContent>
        <mc:AlternateContent xmlns:mc="http://schemas.openxmlformats.org/markup-compatibility/2006">
          <mc:Choice Requires="x14">
            <control shapeId="13604" r:id="rId226" name="Drop Down 292">
              <controlPr defaultSize="0" autoLine="0" autoPict="0">
                <anchor moveWithCells="1">
                  <from>
                    <xdr:col>11</xdr:col>
                    <xdr:colOff>0</xdr:colOff>
                    <xdr:row>6</xdr:row>
                    <xdr:rowOff>9525</xdr:rowOff>
                  </from>
                  <to>
                    <xdr:col>12</xdr:col>
                    <xdr:colOff>0</xdr:colOff>
                    <xdr:row>7</xdr:row>
                    <xdr:rowOff>28575</xdr:rowOff>
                  </to>
                </anchor>
              </controlPr>
            </control>
          </mc:Choice>
        </mc:AlternateContent>
        <mc:AlternateContent xmlns:mc="http://schemas.openxmlformats.org/markup-compatibility/2006">
          <mc:Choice Requires="x14">
            <control shapeId="13605" r:id="rId227" name="Drop Down 293">
              <controlPr defaultSize="0" autoLine="0" autoPict="0">
                <anchor moveWithCells="1">
                  <from>
                    <xdr:col>11</xdr:col>
                    <xdr:colOff>0</xdr:colOff>
                    <xdr:row>7</xdr:row>
                    <xdr:rowOff>9525</xdr:rowOff>
                  </from>
                  <to>
                    <xdr:col>12</xdr:col>
                    <xdr:colOff>0</xdr:colOff>
                    <xdr:row>8</xdr:row>
                    <xdr:rowOff>28575</xdr:rowOff>
                  </to>
                </anchor>
              </controlPr>
            </control>
          </mc:Choice>
        </mc:AlternateContent>
        <mc:AlternateContent xmlns:mc="http://schemas.openxmlformats.org/markup-compatibility/2006">
          <mc:Choice Requires="x14">
            <control shapeId="13606" r:id="rId228" name="Drop Down 294">
              <controlPr defaultSize="0" autoLine="0" autoPict="0">
                <anchor moveWithCells="1">
                  <from>
                    <xdr:col>11</xdr:col>
                    <xdr:colOff>0</xdr:colOff>
                    <xdr:row>8</xdr:row>
                    <xdr:rowOff>9525</xdr:rowOff>
                  </from>
                  <to>
                    <xdr:col>12</xdr:col>
                    <xdr:colOff>0</xdr:colOff>
                    <xdr:row>9</xdr:row>
                    <xdr:rowOff>28575</xdr:rowOff>
                  </to>
                </anchor>
              </controlPr>
            </control>
          </mc:Choice>
        </mc:AlternateContent>
        <mc:AlternateContent xmlns:mc="http://schemas.openxmlformats.org/markup-compatibility/2006">
          <mc:Choice Requires="x14">
            <control shapeId="13607" r:id="rId229" name="Drop Down 295">
              <controlPr defaultSize="0" autoLine="0" autoPict="0">
                <anchor moveWithCells="1">
                  <from>
                    <xdr:col>11</xdr:col>
                    <xdr:colOff>0</xdr:colOff>
                    <xdr:row>9</xdr:row>
                    <xdr:rowOff>9525</xdr:rowOff>
                  </from>
                  <to>
                    <xdr:col>12</xdr:col>
                    <xdr:colOff>0</xdr:colOff>
                    <xdr:row>10</xdr:row>
                    <xdr:rowOff>28575</xdr:rowOff>
                  </to>
                </anchor>
              </controlPr>
            </control>
          </mc:Choice>
        </mc:AlternateContent>
        <mc:AlternateContent xmlns:mc="http://schemas.openxmlformats.org/markup-compatibility/2006">
          <mc:Choice Requires="x14">
            <control shapeId="13608" r:id="rId230" name="Drop Down 296">
              <controlPr defaultSize="0" autoLine="0" autoPict="0">
                <anchor moveWithCells="1">
                  <from>
                    <xdr:col>11</xdr:col>
                    <xdr:colOff>0</xdr:colOff>
                    <xdr:row>10</xdr:row>
                    <xdr:rowOff>9525</xdr:rowOff>
                  </from>
                  <to>
                    <xdr:col>12</xdr:col>
                    <xdr:colOff>0</xdr:colOff>
                    <xdr:row>11</xdr:row>
                    <xdr:rowOff>28575</xdr:rowOff>
                  </to>
                </anchor>
              </controlPr>
            </control>
          </mc:Choice>
        </mc:AlternateContent>
        <mc:AlternateContent xmlns:mc="http://schemas.openxmlformats.org/markup-compatibility/2006">
          <mc:Choice Requires="x14">
            <control shapeId="13609" r:id="rId231" name="Drop Down 297">
              <controlPr defaultSize="0" autoLine="0" autoPict="0">
                <anchor moveWithCells="1">
                  <from>
                    <xdr:col>11</xdr:col>
                    <xdr:colOff>0</xdr:colOff>
                    <xdr:row>11</xdr:row>
                    <xdr:rowOff>9525</xdr:rowOff>
                  </from>
                  <to>
                    <xdr:col>12</xdr:col>
                    <xdr:colOff>0</xdr:colOff>
                    <xdr:row>12</xdr:row>
                    <xdr:rowOff>28575</xdr:rowOff>
                  </to>
                </anchor>
              </controlPr>
            </control>
          </mc:Choice>
        </mc:AlternateContent>
        <mc:AlternateContent xmlns:mc="http://schemas.openxmlformats.org/markup-compatibility/2006">
          <mc:Choice Requires="x14">
            <control shapeId="13610" r:id="rId232" name="Drop Down 298">
              <controlPr defaultSize="0" autoLine="0" autoPict="0">
                <anchor moveWithCells="1">
                  <from>
                    <xdr:col>11</xdr:col>
                    <xdr:colOff>0</xdr:colOff>
                    <xdr:row>12</xdr:row>
                    <xdr:rowOff>9525</xdr:rowOff>
                  </from>
                  <to>
                    <xdr:col>12</xdr:col>
                    <xdr:colOff>0</xdr:colOff>
                    <xdr:row>13</xdr:row>
                    <xdr:rowOff>28575</xdr:rowOff>
                  </to>
                </anchor>
              </controlPr>
            </control>
          </mc:Choice>
        </mc:AlternateContent>
        <mc:AlternateContent xmlns:mc="http://schemas.openxmlformats.org/markup-compatibility/2006">
          <mc:Choice Requires="x14">
            <control shapeId="13611" r:id="rId233" name="Drop Down 299">
              <controlPr defaultSize="0" autoLine="0" autoPict="0">
                <anchor moveWithCells="1">
                  <from>
                    <xdr:col>11</xdr:col>
                    <xdr:colOff>0</xdr:colOff>
                    <xdr:row>13</xdr:row>
                    <xdr:rowOff>9525</xdr:rowOff>
                  </from>
                  <to>
                    <xdr:col>12</xdr:col>
                    <xdr:colOff>0</xdr:colOff>
                    <xdr:row>14</xdr:row>
                    <xdr:rowOff>28575</xdr:rowOff>
                  </to>
                </anchor>
              </controlPr>
            </control>
          </mc:Choice>
        </mc:AlternateContent>
        <mc:AlternateContent xmlns:mc="http://schemas.openxmlformats.org/markup-compatibility/2006">
          <mc:Choice Requires="x14">
            <control shapeId="13612" r:id="rId234" name="Drop Down 300">
              <controlPr defaultSize="0" autoLine="0" autoPict="0">
                <anchor moveWithCells="1">
                  <from>
                    <xdr:col>11</xdr:col>
                    <xdr:colOff>0</xdr:colOff>
                    <xdr:row>14</xdr:row>
                    <xdr:rowOff>9525</xdr:rowOff>
                  </from>
                  <to>
                    <xdr:col>12</xdr:col>
                    <xdr:colOff>0</xdr:colOff>
                    <xdr:row>15</xdr:row>
                    <xdr:rowOff>28575</xdr:rowOff>
                  </to>
                </anchor>
              </controlPr>
            </control>
          </mc:Choice>
        </mc:AlternateContent>
        <mc:AlternateContent xmlns:mc="http://schemas.openxmlformats.org/markup-compatibility/2006">
          <mc:Choice Requires="x14">
            <control shapeId="13613" r:id="rId235" name="Drop Down 301">
              <controlPr defaultSize="0" autoLine="0" autoPict="0">
                <anchor moveWithCells="1">
                  <from>
                    <xdr:col>11</xdr:col>
                    <xdr:colOff>0</xdr:colOff>
                    <xdr:row>15</xdr:row>
                    <xdr:rowOff>9525</xdr:rowOff>
                  </from>
                  <to>
                    <xdr:col>12</xdr:col>
                    <xdr:colOff>0</xdr:colOff>
                    <xdr:row>16</xdr:row>
                    <xdr:rowOff>28575</xdr:rowOff>
                  </to>
                </anchor>
              </controlPr>
            </control>
          </mc:Choice>
        </mc:AlternateContent>
        <mc:AlternateContent xmlns:mc="http://schemas.openxmlformats.org/markup-compatibility/2006">
          <mc:Choice Requires="x14">
            <control shapeId="13614" r:id="rId236" name="Drop Down 302">
              <controlPr defaultSize="0" autoLine="0" autoPict="0">
                <anchor moveWithCells="1">
                  <from>
                    <xdr:col>11</xdr:col>
                    <xdr:colOff>0</xdr:colOff>
                    <xdr:row>16</xdr:row>
                    <xdr:rowOff>9525</xdr:rowOff>
                  </from>
                  <to>
                    <xdr:col>12</xdr:col>
                    <xdr:colOff>0</xdr:colOff>
                    <xdr:row>17</xdr:row>
                    <xdr:rowOff>28575</xdr:rowOff>
                  </to>
                </anchor>
              </controlPr>
            </control>
          </mc:Choice>
        </mc:AlternateContent>
        <mc:AlternateContent xmlns:mc="http://schemas.openxmlformats.org/markup-compatibility/2006">
          <mc:Choice Requires="x14">
            <control shapeId="13615" r:id="rId237" name="Drop Down 303">
              <controlPr defaultSize="0" autoLine="0" autoPict="0">
                <anchor moveWithCells="1">
                  <from>
                    <xdr:col>11</xdr:col>
                    <xdr:colOff>0</xdr:colOff>
                    <xdr:row>17</xdr:row>
                    <xdr:rowOff>9525</xdr:rowOff>
                  </from>
                  <to>
                    <xdr:col>12</xdr:col>
                    <xdr:colOff>0</xdr:colOff>
                    <xdr:row>18</xdr:row>
                    <xdr:rowOff>28575</xdr:rowOff>
                  </to>
                </anchor>
              </controlPr>
            </control>
          </mc:Choice>
        </mc:AlternateContent>
        <mc:AlternateContent xmlns:mc="http://schemas.openxmlformats.org/markup-compatibility/2006">
          <mc:Choice Requires="x14">
            <control shapeId="13616" r:id="rId238" name="Drop Down 304">
              <controlPr defaultSize="0" autoLine="0" autoPict="0">
                <anchor moveWithCells="1">
                  <from>
                    <xdr:col>11</xdr:col>
                    <xdr:colOff>0</xdr:colOff>
                    <xdr:row>18</xdr:row>
                    <xdr:rowOff>9525</xdr:rowOff>
                  </from>
                  <to>
                    <xdr:col>12</xdr:col>
                    <xdr:colOff>0</xdr:colOff>
                    <xdr:row>19</xdr:row>
                    <xdr:rowOff>28575</xdr:rowOff>
                  </to>
                </anchor>
              </controlPr>
            </control>
          </mc:Choice>
        </mc:AlternateContent>
        <mc:AlternateContent xmlns:mc="http://schemas.openxmlformats.org/markup-compatibility/2006">
          <mc:Choice Requires="x14">
            <control shapeId="13617" r:id="rId239" name="Drop Down 305">
              <controlPr defaultSize="0" autoLine="0" autoPict="0">
                <anchor moveWithCells="1">
                  <from>
                    <xdr:col>11</xdr:col>
                    <xdr:colOff>0</xdr:colOff>
                    <xdr:row>19</xdr:row>
                    <xdr:rowOff>9525</xdr:rowOff>
                  </from>
                  <to>
                    <xdr:col>12</xdr:col>
                    <xdr:colOff>0</xdr:colOff>
                    <xdr:row>20</xdr:row>
                    <xdr:rowOff>28575</xdr:rowOff>
                  </to>
                </anchor>
              </controlPr>
            </control>
          </mc:Choice>
        </mc:AlternateContent>
        <mc:AlternateContent xmlns:mc="http://schemas.openxmlformats.org/markup-compatibility/2006">
          <mc:Choice Requires="x14">
            <control shapeId="13618" r:id="rId240" name="Drop Down 306">
              <controlPr defaultSize="0" autoLine="0" autoPict="0">
                <anchor moveWithCells="1">
                  <from>
                    <xdr:col>11</xdr:col>
                    <xdr:colOff>0</xdr:colOff>
                    <xdr:row>20</xdr:row>
                    <xdr:rowOff>9525</xdr:rowOff>
                  </from>
                  <to>
                    <xdr:col>12</xdr:col>
                    <xdr:colOff>0</xdr:colOff>
                    <xdr:row>21</xdr:row>
                    <xdr:rowOff>28575</xdr:rowOff>
                  </to>
                </anchor>
              </controlPr>
            </control>
          </mc:Choice>
        </mc:AlternateContent>
        <mc:AlternateContent xmlns:mc="http://schemas.openxmlformats.org/markup-compatibility/2006">
          <mc:Choice Requires="x14">
            <control shapeId="13619" r:id="rId241" name="Drop Down 307">
              <controlPr defaultSize="0" autoLine="0" autoPict="0">
                <anchor moveWithCells="1">
                  <from>
                    <xdr:col>11</xdr:col>
                    <xdr:colOff>0</xdr:colOff>
                    <xdr:row>21</xdr:row>
                    <xdr:rowOff>9525</xdr:rowOff>
                  </from>
                  <to>
                    <xdr:col>12</xdr:col>
                    <xdr:colOff>0</xdr:colOff>
                    <xdr:row>22</xdr:row>
                    <xdr:rowOff>28575</xdr:rowOff>
                  </to>
                </anchor>
              </controlPr>
            </control>
          </mc:Choice>
        </mc:AlternateContent>
        <mc:AlternateContent xmlns:mc="http://schemas.openxmlformats.org/markup-compatibility/2006">
          <mc:Choice Requires="x14">
            <control shapeId="13620" r:id="rId242" name="Drop Down 308">
              <controlPr defaultSize="0" autoLine="0" autoPict="0">
                <anchor moveWithCells="1">
                  <from>
                    <xdr:col>11</xdr:col>
                    <xdr:colOff>0</xdr:colOff>
                    <xdr:row>22</xdr:row>
                    <xdr:rowOff>9525</xdr:rowOff>
                  </from>
                  <to>
                    <xdr:col>12</xdr:col>
                    <xdr:colOff>0</xdr:colOff>
                    <xdr:row>23</xdr:row>
                    <xdr:rowOff>28575</xdr:rowOff>
                  </to>
                </anchor>
              </controlPr>
            </control>
          </mc:Choice>
        </mc:AlternateContent>
        <mc:AlternateContent xmlns:mc="http://schemas.openxmlformats.org/markup-compatibility/2006">
          <mc:Choice Requires="x14">
            <control shapeId="13621" r:id="rId243" name="Drop Down 309">
              <controlPr defaultSize="0" autoLine="0" autoPict="0">
                <anchor moveWithCells="1">
                  <from>
                    <xdr:col>11</xdr:col>
                    <xdr:colOff>0</xdr:colOff>
                    <xdr:row>43</xdr:row>
                    <xdr:rowOff>9525</xdr:rowOff>
                  </from>
                  <to>
                    <xdr:col>12</xdr:col>
                    <xdr:colOff>0</xdr:colOff>
                    <xdr:row>44</xdr:row>
                    <xdr:rowOff>28575</xdr:rowOff>
                  </to>
                </anchor>
              </controlPr>
            </control>
          </mc:Choice>
        </mc:AlternateContent>
        <mc:AlternateContent xmlns:mc="http://schemas.openxmlformats.org/markup-compatibility/2006">
          <mc:Choice Requires="x14">
            <control shapeId="13634" r:id="rId244" name="Drop Down 322">
              <controlPr defaultSize="0" autoLine="0" autoPict="0">
                <anchor moveWithCells="1">
                  <from>
                    <xdr:col>0</xdr:col>
                    <xdr:colOff>0</xdr:colOff>
                    <xdr:row>23</xdr:row>
                    <xdr:rowOff>9525</xdr:rowOff>
                  </from>
                  <to>
                    <xdr:col>1</xdr:col>
                    <xdr:colOff>0</xdr:colOff>
                    <xdr:row>24</xdr:row>
                    <xdr:rowOff>0</xdr:rowOff>
                  </to>
                </anchor>
              </controlPr>
            </control>
          </mc:Choice>
        </mc:AlternateContent>
        <mc:AlternateContent xmlns:mc="http://schemas.openxmlformats.org/markup-compatibility/2006">
          <mc:Choice Requires="x14">
            <control shapeId="13635" r:id="rId245" name="Drop Down 323">
              <controlPr defaultSize="0" autoLine="0" autoPict="0">
                <anchor moveWithCells="1">
                  <from>
                    <xdr:col>0</xdr:col>
                    <xdr:colOff>0</xdr:colOff>
                    <xdr:row>24</xdr:row>
                    <xdr:rowOff>9525</xdr:rowOff>
                  </from>
                  <to>
                    <xdr:col>1</xdr:col>
                    <xdr:colOff>0</xdr:colOff>
                    <xdr:row>25</xdr:row>
                    <xdr:rowOff>0</xdr:rowOff>
                  </to>
                </anchor>
              </controlPr>
            </control>
          </mc:Choice>
        </mc:AlternateContent>
        <mc:AlternateContent xmlns:mc="http://schemas.openxmlformats.org/markup-compatibility/2006">
          <mc:Choice Requires="x14">
            <control shapeId="13636" r:id="rId246" name="Drop Down 324">
              <controlPr defaultSize="0" autoLine="0" autoPict="0">
                <anchor moveWithCells="1">
                  <from>
                    <xdr:col>0</xdr:col>
                    <xdr:colOff>0</xdr:colOff>
                    <xdr:row>25</xdr:row>
                    <xdr:rowOff>9525</xdr:rowOff>
                  </from>
                  <to>
                    <xdr:col>1</xdr:col>
                    <xdr:colOff>0</xdr:colOff>
                    <xdr:row>26</xdr:row>
                    <xdr:rowOff>0</xdr:rowOff>
                  </to>
                </anchor>
              </controlPr>
            </control>
          </mc:Choice>
        </mc:AlternateContent>
        <mc:AlternateContent xmlns:mc="http://schemas.openxmlformats.org/markup-compatibility/2006">
          <mc:Choice Requires="x14">
            <control shapeId="13637" r:id="rId247" name="Drop Down 325">
              <controlPr defaultSize="0" autoLine="0" autoPict="0">
                <anchor moveWithCells="1">
                  <from>
                    <xdr:col>0</xdr:col>
                    <xdr:colOff>0</xdr:colOff>
                    <xdr:row>26</xdr:row>
                    <xdr:rowOff>9525</xdr:rowOff>
                  </from>
                  <to>
                    <xdr:col>1</xdr:col>
                    <xdr:colOff>0</xdr:colOff>
                    <xdr:row>27</xdr:row>
                    <xdr:rowOff>0</xdr:rowOff>
                  </to>
                </anchor>
              </controlPr>
            </control>
          </mc:Choice>
        </mc:AlternateContent>
        <mc:AlternateContent xmlns:mc="http://schemas.openxmlformats.org/markup-compatibility/2006">
          <mc:Choice Requires="x14">
            <control shapeId="13638" r:id="rId248" name="Drop Down 326">
              <controlPr defaultSize="0" autoLine="0" autoPict="0">
                <anchor moveWithCells="1">
                  <from>
                    <xdr:col>0</xdr:col>
                    <xdr:colOff>0</xdr:colOff>
                    <xdr:row>27</xdr:row>
                    <xdr:rowOff>9525</xdr:rowOff>
                  </from>
                  <to>
                    <xdr:col>1</xdr:col>
                    <xdr:colOff>0</xdr:colOff>
                    <xdr:row>28</xdr:row>
                    <xdr:rowOff>0</xdr:rowOff>
                  </to>
                </anchor>
              </controlPr>
            </control>
          </mc:Choice>
        </mc:AlternateContent>
        <mc:AlternateContent xmlns:mc="http://schemas.openxmlformats.org/markup-compatibility/2006">
          <mc:Choice Requires="x14">
            <control shapeId="13639" r:id="rId249" name="Drop Down 327">
              <controlPr defaultSize="0" autoLine="0" autoPict="0">
                <anchor moveWithCells="1">
                  <from>
                    <xdr:col>0</xdr:col>
                    <xdr:colOff>0</xdr:colOff>
                    <xdr:row>28</xdr:row>
                    <xdr:rowOff>9525</xdr:rowOff>
                  </from>
                  <to>
                    <xdr:col>1</xdr:col>
                    <xdr:colOff>0</xdr:colOff>
                    <xdr:row>29</xdr:row>
                    <xdr:rowOff>0</xdr:rowOff>
                  </to>
                </anchor>
              </controlPr>
            </control>
          </mc:Choice>
        </mc:AlternateContent>
        <mc:AlternateContent xmlns:mc="http://schemas.openxmlformats.org/markup-compatibility/2006">
          <mc:Choice Requires="x14">
            <control shapeId="13640" r:id="rId250" name="Drop Down 328">
              <controlPr defaultSize="0" autoLine="0" autoPict="0">
                <anchor moveWithCells="1">
                  <from>
                    <xdr:col>0</xdr:col>
                    <xdr:colOff>0</xdr:colOff>
                    <xdr:row>29</xdr:row>
                    <xdr:rowOff>9525</xdr:rowOff>
                  </from>
                  <to>
                    <xdr:col>1</xdr:col>
                    <xdr:colOff>0</xdr:colOff>
                    <xdr:row>30</xdr:row>
                    <xdr:rowOff>0</xdr:rowOff>
                  </to>
                </anchor>
              </controlPr>
            </control>
          </mc:Choice>
        </mc:AlternateContent>
        <mc:AlternateContent xmlns:mc="http://schemas.openxmlformats.org/markup-compatibility/2006">
          <mc:Choice Requires="x14">
            <control shapeId="13641" r:id="rId251" name="Drop Down 329">
              <controlPr defaultSize="0" autoLine="0" autoPict="0">
                <anchor moveWithCells="1">
                  <from>
                    <xdr:col>0</xdr:col>
                    <xdr:colOff>0</xdr:colOff>
                    <xdr:row>30</xdr:row>
                    <xdr:rowOff>9525</xdr:rowOff>
                  </from>
                  <to>
                    <xdr:col>1</xdr:col>
                    <xdr:colOff>0</xdr:colOff>
                    <xdr:row>31</xdr:row>
                    <xdr:rowOff>0</xdr:rowOff>
                  </to>
                </anchor>
              </controlPr>
            </control>
          </mc:Choice>
        </mc:AlternateContent>
        <mc:AlternateContent xmlns:mc="http://schemas.openxmlformats.org/markup-compatibility/2006">
          <mc:Choice Requires="x14">
            <control shapeId="13642" r:id="rId252" name="Drop Down 330">
              <controlPr defaultSize="0" autoLine="0" autoPict="0">
                <anchor moveWithCells="1">
                  <from>
                    <xdr:col>0</xdr:col>
                    <xdr:colOff>0</xdr:colOff>
                    <xdr:row>31</xdr:row>
                    <xdr:rowOff>9525</xdr:rowOff>
                  </from>
                  <to>
                    <xdr:col>1</xdr:col>
                    <xdr:colOff>0</xdr:colOff>
                    <xdr:row>32</xdr:row>
                    <xdr:rowOff>0</xdr:rowOff>
                  </to>
                </anchor>
              </controlPr>
            </control>
          </mc:Choice>
        </mc:AlternateContent>
        <mc:AlternateContent xmlns:mc="http://schemas.openxmlformats.org/markup-compatibility/2006">
          <mc:Choice Requires="x14">
            <control shapeId="13643" r:id="rId253" name="Drop Down 331">
              <controlPr defaultSize="0" autoLine="0" autoPict="0">
                <anchor moveWithCells="1">
                  <from>
                    <xdr:col>0</xdr:col>
                    <xdr:colOff>0</xdr:colOff>
                    <xdr:row>32</xdr:row>
                    <xdr:rowOff>9525</xdr:rowOff>
                  </from>
                  <to>
                    <xdr:col>1</xdr:col>
                    <xdr:colOff>0</xdr:colOff>
                    <xdr:row>33</xdr:row>
                    <xdr:rowOff>0</xdr:rowOff>
                  </to>
                </anchor>
              </controlPr>
            </control>
          </mc:Choice>
        </mc:AlternateContent>
        <mc:AlternateContent xmlns:mc="http://schemas.openxmlformats.org/markup-compatibility/2006">
          <mc:Choice Requires="x14">
            <control shapeId="13644" r:id="rId254" name="Drop Down 332">
              <controlPr defaultSize="0" autoLine="0" autoPict="0">
                <anchor moveWithCells="1">
                  <from>
                    <xdr:col>0</xdr:col>
                    <xdr:colOff>0</xdr:colOff>
                    <xdr:row>33</xdr:row>
                    <xdr:rowOff>9525</xdr:rowOff>
                  </from>
                  <to>
                    <xdr:col>1</xdr:col>
                    <xdr:colOff>0</xdr:colOff>
                    <xdr:row>34</xdr:row>
                    <xdr:rowOff>0</xdr:rowOff>
                  </to>
                </anchor>
              </controlPr>
            </control>
          </mc:Choice>
        </mc:AlternateContent>
        <mc:AlternateContent xmlns:mc="http://schemas.openxmlformats.org/markup-compatibility/2006">
          <mc:Choice Requires="x14">
            <control shapeId="13645" r:id="rId255" name="Drop Down 333">
              <controlPr defaultSize="0" autoLine="0" autoPict="0">
                <anchor moveWithCells="1">
                  <from>
                    <xdr:col>0</xdr:col>
                    <xdr:colOff>0</xdr:colOff>
                    <xdr:row>34</xdr:row>
                    <xdr:rowOff>9525</xdr:rowOff>
                  </from>
                  <to>
                    <xdr:col>1</xdr:col>
                    <xdr:colOff>0</xdr:colOff>
                    <xdr:row>35</xdr:row>
                    <xdr:rowOff>0</xdr:rowOff>
                  </to>
                </anchor>
              </controlPr>
            </control>
          </mc:Choice>
        </mc:AlternateContent>
        <mc:AlternateContent xmlns:mc="http://schemas.openxmlformats.org/markup-compatibility/2006">
          <mc:Choice Requires="x14">
            <control shapeId="13646" r:id="rId256" name="Drop Down 334">
              <controlPr defaultSize="0" autoLine="0" autoPict="0">
                <anchor moveWithCells="1">
                  <from>
                    <xdr:col>0</xdr:col>
                    <xdr:colOff>0</xdr:colOff>
                    <xdr:row>35</xdr:row>
                    <xdr:rowOff>9525</xdr:rowOff>
                  </from>
                  <to>
                    <xdr:col>1</xdr:col>
                    <xdr:colOff>0</xdr:colOff>
                    <xdr:row>36</xdr:row>
                    <xdr:rowOff>0</xdr:rowOff>
                  </to>
                </anchor>
              </controlPr>
            </control>
          </mc:Choice>
        </mc:AlternateContent>
        <mc:AlternateContent xmlns:mc="http://schemas.openxmlformats.org/markup-compatibility/2006">
          <mc:Choice Requires="x14">
            <control shapeId="13647" r:id="rId257" name="Drop Down 335">
              <controlPr defaultSize="0" autoLine="0" autoPict="0">
                <anchor moveWithCells="1">
                  <from>
                    <xdr:col>0</xdr:col>
                    <xdr:colOff>0</xdr:colOff>
                    <xdr:row>36</xdr:row>
                    <xdr:rowOff>9525</xdr:rowOff>
                  </from>
                  <to>
                    <xdr:col>1</xdr:col>
                    <xdr:colOff>0</xdr:colOff>
                    <xdr:row>37</xdr:row>
                    <xdr:rowOff>0</xdr:rowOff>
                  </to>
                </anchor>
              </controlPr>
            </control>
          </mc:Choice>
        </mc:AlternateContent>
        <mc:AlternateContent xmlns:mc="http://schemas.openxmlformats.org/markup-compatibility/2006">
          <mc:Choice Requires="x14">
            <control shapeId="13648" r:id="rId258" name="Drop Down 336">
              <controlPr defaultSize="0" autoLine="0" autoPict="0">
                <anchor moveWithCells="1">
                  <from>
                    <xdr:col>0</xdr:col>
                    <xdr:colOff>0</xdr:colOff>
                    <xdr:row>37</xdr:row>
                    <xdr:rowOff>9525</xdr:rowOff>
                  </from>
                  <to>
                    <xdr:col>1</xdr:col>
                    <xdr:colOff>0</xdr:colOff>
                    <xdr:row>38</xdr:row>
                    <xdr:rowOff>0</xdr:rowOff>
                  </to>
                </anchor>
              </controlPr>
            </control>
          </mc:Choice>
        </mc:AlternateContent>
        <mc:AlternateContent xmlns:mc="http://schemas.openxmlformats.org/markup-compatibility/2006">
          <mc:Choice Requires="x14">
            <control shapeId="13649" r:id="rId259" name="Drop Down 337">
              <controlPr defaultSize="0" autoLine="0" autoPict="0">
                <anchor moveWithCells="1">
                  <from>
                    <xdr:col>0</xdr:col>
                    <xdr:colOff>0</xdr:colOff>
                    <xdr:row>38</xdr:row>
                    <xdr:rowOff>9525</xdr:rowOff>
                  </from>
                  <to>
                    <xdr:col>1</xdr:col>
                    <xdr:colOff>0</xdr:colOff>
                    <xdr:row>39</xdr:row>
                    <xdr:rowOff>0</xdr:rowOff>
                  </to>
                </anchor>
              </controlPr>
            </control>
          </mc:Choice>
        </mc:AlternateContent>
        <mc:AlternateContent xmlns:mc="http://schemas.openxmlformats.org/markup-compatibility/2006">
          <mc:Choice Requires="x14">
            <control shapeId="13650" r:id="rId260" name="Drop Down 338">
              <controlPr defaultSize="0" autoLine="0" autoPict="0">
                <anchor moveWithCells="1">
                  <from>
                    <xdr:col>0</xdr:col>
                    <xdr:colOff>0</xdr:colOff>
                    <xdr:row>39</xdr:row>
                    <xdr:rowOff>9525</xdr:rowOff>
                  </from>
                  <to>
                    <xdr:col>1</xdr:col>
                    <xdr:colOff>0</xdr:colOff>
                    <xdr:row>40</xdr:row>
                    <xdr:rowOff>0</xdr:rowOff>
                  </to>
                </anchor>
              </controlPr>
            </control>
          </mc:Choice>
        </mc:AlternateContent>
        <mc:AlternateContent xmlns:mc="http://schemas.openxmlformats.org/markup-compatibility/2006">
          <mc:Choice Requires="x14">
            <control shapeId="13651" r:id="rId261" name="Drop Down 339">
              <controlPr defaultSize="0" autoLine="0" autoPict="0">
                <anchor moveWithCells="1">
                  <from>
                    <xdr:col>0</xdr:col>
                    <xdr:colOff>0</xdr:colOff>
                    <xdr:row>40</xdr:row>
                    <xdr:rowOff>9525</xdr:rowOff>
                  </from>
                  <to>
                    <xdr:col>1</xdr:col>
                    <xdr:colOff>0</xdr:colOff>
                    <xdr:row>41</xdr:row>
                    <xdr:rowOff>0</xdr:rowOff>
                  </to>
                </anchor>
              </controlPr>
            </control>
          </mc:Choice>
        </mc:AlternateContent>
        <mc:AlternateContent xmlns:mc="http://schemas.openxmlformats.org/markup-compatibility/2006">
          <mc:Choice Requires="x14">
            <control shapeId="13652" r:id="rId262" name="Drop Down 340">
              <controlPr defaultSize="0" autoLine="0" autoPict="0">
                <anchor moveWithCells="1">
                  <from>
                    <xdr:col>0</xdr:col>
                    <xdr:colOff>0</xdr:colOff>
                    <xdr:row>41</xdr:row>
                    <xdr:rowOff>9525</xdr:rowOff>
                  </from>
                  <to>
                    <xdr:col>1</xdr:col>
                    <xdr:colOff>0</xdr:colOff>
                    <xdr:row>42</xdr:row>
                    <xdr:rowOff>0</xdr:rowOff>
                  </to>
                </anchor>
              </controlPr>
            </control>
          </mc:Choice>
        </mc:AlternateContent>
        <mc:AlternateContent xmlns:mc="http://schemas.openxmlformats.org/markup-compatibility/2006">
          <mc:Choice Requires="x14">
            <control shapeId="13653" r:id="rId263" name="Drop Down 341">
              <controlPr defaultSize="0" autoLine="0" autoPict="0">
                <anchor moveWithCells="1">
                  <from>
                    <xdr:col>0</xdr:col>
                    <xdr:colOff>0</xdr:colOff>
                    <xdr:row>42</xdr:row>
                    <xdr:rowOff>9525</xdr:rowOff>
                  </from>
                  <to>
                    <xdr:col>1</xdr:col>
                    <xdr:colOff>0</xdr:colOff>
                    <xdr:row>43</xdr:row>
                    <xdr:rowOff>0</xdr:rowOff>
                  </to>
                </anchor>
              </controlPr>
            </control>
          </mc:Choice>
        </mc:AlternateContent>
        <mc:AlternateContent xmlns:mc="http://schemas.openxmlformats.org/markup-compatibility/2006">
          <mc:Choice Requires="x14">
            <control shapeId="13654" r:id="rId264" name="Drop Down 342">
              <controlPr defaultSize="0" autoLine="0" autoPict="0">
                <anchor moveWithCells="1">
                  <from>
                    <xdr:col>1</xdr:col>
                    <xdr:colOff>0</xdr:colOff>
                    <xdr:row>23</xdr:row>
                    <xdr:rowOff>9525</xdr:rowOff>
                  </from>
                  <to>
                    <xdr:col>2</xdr:col>
                    <xdr:colOff>9525</xdr:colOff>
                    <xdr:row>24</xdr:row>
                    <xdr:rowOff>9525</xdr:rowOff>
                  </to>
                </anchor>
              </controlPr>
            </control>
          </mc:Choice>
        </mc:AlternateContent>
        <mc:AlternateContent xmlns:mc="http://schemas.openxmlformats.org/markup-compatibility/2006">
          <mc:Choice Requires="x14">
            <control shapeId="13655" r:id="rId265" name="Drop Down 343">
              <controlPr defaultSize="0" autoLine="0" autoPict="0">
                <anchor moveWithCells="1">
                  <from>
                    <xdr:col>1</xdr:col>
                    <xdr:colOff>0</xdr:colOff>
                    <xdr:row>24</xdr:row>
                    <xdr:rowOff>9525</xdr:rowOff>
                  </from>
                  <to>
                    <xdr:col>2</xdr:col>
                    <xdr:colOff>9525</xdr:colOff>
                    <xdr:row>25</xdr:row>
                    <xdr:rowOff>9525</xdr:rowOff>
                  </to>
                </anchor>
              </controlPr>
            </control>
          </mc:Choice>
        </mc:AlternateContent>
        <mc:AlternateContent xmlns:mc="http://schemas.openxmlformats.org/markup-compatibility/2006">
          <mc:Choice Requires="x14">
            <control shapeId="13656" r:id="rId266" name="Drop Down 344">
              <controlPr defaultSize="0" autoLine="0" autoPict="0">
                <anchor moveWithCells="1">
                  <from>
                    <xdr:col>1</xdr:col>
                    <xdr:colOff>0</xdr:colOff>
                    <xdr:row>25</xdr:row>
                    <xdr:rowOff>9525</xdr:rowOff>
                  </from>
                  <to>
                    <xdr:col>2</xdr:col>
                    <xdr:colOff>9525</xdr:colOff>
                    <xdr:row>26</xdr:row>
                    <xdr:rowOff>9525</xdr:rowOff>
                  </to>
                </anchor>
              </controlPr>
            </control>
          </mc:Choice>
        </mc:AlternateContent>
        <mc:AlternateContent xmlns:mc="http://schemas.openxmlformats.org/markup-compatibility/2006">
          <mc:Choice Requires="x14">
            <control shapeId="13657" r:id="rId267" name="Drop Down 345">
              <controlPr defaultSize="0" autoLine="0" autoPict="0">
                <anchor moveWithCells="1">
                  <from>
                    <xdr:col>1</xdr:col>
                    <xdr:colOff>0</xdr:colOff>
                    <xdr:row>26</xdr:row>
                    <xdr:rowOff>9525</xdr:rowOff>
                  </from>
                  <to>
                    <xdr:col>2</xdr:col>
                    <xdr:colOff>9525</xdr:colOff>
                    <xdr:row>27</xdr:row>
                    <xdr:rowOff>9525</xdr:rowOff>
                  </to>
                </anchor>
              </controlPr>
            </control>
          </mc:Choice>
        </mc:AlternateContent>
        <mc:AlternateContent xmlns:mc="http://schemas.openxmlformats.org/markup-compatibility/2006">
          <mc:Choice Requires="x14">
            <control shapeId="13658" r:id="rId268" name="Drop Down 346">
              <controlPr defaultSize="0" autoLine="0" autoPict="0">
                <anchor moveWithCells="1">
                  <from>
                    <xdr:col>1</xdr:col>
                    <xdr:colOff>0</xdr:colOff>
                    <xdr:row>27</xdr:row>
                    <xdr:rowOff>9525</xdr:rowOff>
                  </from>
                  <to>
                    <xdr:col>2</xdr:col>
                    <xdr:colOff>9525</xdr:colOff>
                    <xdr:row>28</xdr:row>
                    <xdr:rowOff>9525</xdr:rowOff>
                  </to>
                </anchor>
              </controlPr>
            </control>
          </mc:Choice>
        </mc:AlternateContent>
        <mc:AlternateContent xmlns:mc="http://schemas.openxmlformats.org/markup-compatibility/2006">
          <mc:Choice Requires="x14">
            <control shapeId="13659" r:id="rId269" name="Drop Down 347">
              <controlPr defaultSize="0" autoLine="0" autoPict="0">
                <anchor moveWithCells="1">
                  <from>
                    <xdr:col>1</xdr:col>
                    <xdr:colOff>0</xdr:colOff>
                    <xdr:row>28</xdr:row>
                    <xdr:rowOff>9525</xdr:rowOff>
                  </from>
                  <to>
                    <xdr:col>2</xdr:col>
                    <xdr:colOff>9525</xdr:colOff>
                    <xdr:row>29</xdr:row>
                    <xdr:rowOff>9525</xdr:rowOff>
                  </to>
                </anchor>
              </controlPr>
            </control>
          </mc:Choice>
        </mc:AlternateContent>
        <mc:AlternateContent xmlns:mc="http://schemas.openxmlformats.org/markup-compatibility/2006">
          <mc:Choice Requires="x14">
            <control shapeId="13660" r:id="rId270" name="Drop Down 348">
              <controlPr defaultSize="0" autoLine="0" autoPict="0">
                <anchor moveWithCells="1">
                  <from>
                    <xdr:col>1</xdr:col>
                    <xdr:colOff>0</xdr:colOff>
                    <xdr:row>29</xdr:row>
                    <xdr:rowOff>9525</xdr:rowOff>
                  </from>
                  <to>
                    <xdr:col>2</xdr:col>
                    <xdr:colOff>9525</xdr:colOff>
                    <xdr:row>30</xdr:row>
                    <xdr:rowOff>9525</xdr:rowOff>
                  </to>
                </anchor>
              </controlPr>
            </control>
          </mc:Choice>
        </mc:AlternateContent>
        <mc:AlternateContent xmlns:mc="http://schemas.openxmlformats.org/markup-compatibility/2006">
          <mc:Choice Requires="x14">
            <control shapeId="13661" r:id="rId271" name="Drop Down 349">
              <controlPr defaultSize="0" autoLine="0" autoPict="0">
                <anchor moveWithCells="1">
                  <from>
                    <xdr:col>1</xdr:col>
                    <xdr:colOff>0</xdr:colOff>
                    <xdr:row>30</xdr:row>
                    <xdr:rowOff>9525</xdr:rowOff>
                  </from>
                  <to>
                    <xdr:col>2</xdr:col>
                    <xdr:colOff>9525</xdr:colOff>
                    <xdr:row>31</xdr:row>
                    <xdr:rowOff>9525</xdr:rowOff>
                  </to>
                </anchor>
              </controlPr>
            </control>
          </mc:Choice>
        </mc:AlternateContent>
        <mc:AlternateContent xmlns:mc="http://schemas.openxmlformats.org/markup-compatibility/2006">
          <mc:Choice Requires="x14">
            <control shapeId="13662" r:id="rId272" name="Drop Down 350">
              <controlPr defaultSize="0" autoLine="0" autoPict="0">
                <anchor moveWithCells="1">
                  <from>
                    <xdr:col>1</xdr:col>
                    <xdr:colOff>0</xdr:colOff>
                    <xdr:row>31</xdr:row>
                    <xdr:rowOff>9525</xdr:rowOff>
                  </from>
                  <to>
                    <xdr:col>2</xdr:col>
                    <xdr:colOff>9525</xdr:colOff>
                    <xdr:row>32</xdr:row>
                    <xdr:rowOff>9525</xdr:rowOff>
                  </to>
                </anchor>
              </controlPr>
            </control>
          </mc:Choice>
        </mc:AlternateContent>
        <mc:AlternateContent xmlns:mc="http://schemas.openxmlformats.org/markup-compatibility/2006">
          <mc:Choice Requires="x14">
            <control shapeId="13663" r:id="rId273" name="Drop Down 351">
              <controlPr defaultSize="0" autoLine="0" autoPict="0">
                <anchor moveWithCells="1">
                  <from>
                    <xdr:col>1</xdr:col>
                    <xdr:colOff>0</xdr:colOff>
                    <xdr:row>32</xdr:row>
                    <xdr:rowOff>9525</xdr:rowOff>
                  </from>
                  <to>
                    <xdr:col>2</xdr:col>
                    <xdr:colOff>9525</xdr:colOff>
                    <xdr:row>33</xdr:row>
                    <xdr:rowOff>9525</xdr:rowOff>
                  </to>
                </anchor>
              </controlPr>
            </control>
          </mc:Choice>
        </mc:AlternateContent>
        <mc:AlternateContent xmlns:mc="http://schemas.openxmlformats.org/markup-compatibility/2006">
          <mc:Choice Requires="x14">
            <control shapeId="13664" r:id="rId274" name="Drop Down 352">
              <controlPr defaultSize="0" autoLine="0" autoPict="0">
                <anchor moveWithCells="1">
                  <from>
                    <xdr:col>1</xdr:col>
                    <xdr:colOff>0</xdr:colOff>
                    <xdr:row>33</xdr:row>
                    <xdr:rowOff>9525</xdr:rowOff>
                  </from>
                  <to>
                    <xdr:col>2</xdr:col>
                    <xdr:colOff>9525</xdr:colOff>
                    <xdr:row>34</xdr:row>
                    <xdr:rowOff>9525</xdr:rowOff>
                  </to>
                </anchor>
              </controlPr>
            </control>
          </mc:Choice>
        </mc:AlternateContent>
        <mc:AlternateContent xmlns:mc="http://schemas.openxmlformats.org/markup-compatibility/2006">
          <mc:Choice Requires="x14">
            <control shapeId="13665" r:id="rId275" name="Drop Down 353">
              <controlPr defaultSize="0" autoLine="0" autoPict="0">
                <anchor moveWithCells="1">
                  <from>
                    <xdr:col>1</xdr:col>
                    <xdr:colOff>0</xdr:colOff>
                    <xdr:row>34</xdr:row>
                    <xdr:rowOff>9525</xdr:rowOff>
                  </from>
                  <to>
                    <xdr:col>2</xdr:col>
                    <xdr:colOff>9525</xdr:colOff>
                    <xdr:row>35</xdr:row>
                    <xdr:rowOff>9525</xdr:rowOff>
                  </to>
                </anchor>
              </controlPr>
            </control>
          </mc:Choice>
        </mc:AlternateContent>
        <mc:AlternateContent xmlns:mc="http://schemas.openxmlformats.org/markup-compatibility/2006">
          <mc:Choice Requires="x14">
            <control shapeId="13666" r:id="rId276" name="Drop Down 354">
              <controlPr defaultSize="0" autoLine="0" autoPict="0">
                <anchor moveWithCells="1">
                  <from>
                    <xdr:col>1</xdr:col>
                    <xdr:colOff>0</xdr:colOff>
                    <xdr:row>35</xdr:row>
                    <xdr:rowOff>9525</xdr:rowOff>
                  </from>
                  <to>
                    <xdr:col>2</xdr:col>
                    <xdr:colOff>9525</xdr:colOff>
                    <xdr:row>36</xdr:row>
                    <xdr:rowOff>9525</xdr:rowOff>
                  </to>
                </anchor>
              </controlPr>
            </control>
          </mc:Choice>
        </mc:AlternateContent>
        <mc:AlternateContent xmlns:mc="http://schemas.openxmlformats.org/markup-compatibility/2006">
          <mc:Choice Requires="x14">
            <control shapeId="13667" r:id="rId277" name="Drop Down 355">
              <controlPr defaultSize="0" autoLine="0" autoPict="0">
                <anchor moveWithCells="1">
                  <from>
                    <xdr:col>1</xdr:col>
                    <xdr:colOff>0</xdr:colOff>
                    <xdr:row>36</xdr:row>
                    <xdr:rowOff>9525</xdr:rowOff>
                  </from>
                  <to>
                    <xdr:col>2</xdr:col>
                    <xdr:colOff>9525</xdr:colOff>
                    <xdr:row>37</xdr:row>
                    <xdr:rowOff>9525</xdr:rowOff>
                  </to>
                </anchor>
              </controlPr>
            </control>
          </mc:Choice>
        </mc:AlternateContent>
        <mc:AlternateContent xmlns:mc="http://schemas.openxmlformats.org/markup-compatibility/2006">
          <mc:Choice Requires="x14">
            <control shapeId="13668" r:id="rId278" name="Drop Down 356">
              <controlPr defaultSize="0" autoLine="0" autoPict="0">
                <anchor moveWithCells="1">
                  <from>
                    <xdr:col>1</xdr:col>
                    <xdr:colOff>0</xdr:colOff>
                    <xdr:row>37</xdr:row>
                    <xdr:rowOff>9525</xdr:rowOff>
                  </from>
                  <to>
                    <xdr:col>2</xdr:col>
                    <xdr:colOff>9525</xdr:colOff>
                    <xdr:row>38</xdr:row>
                    <xdr:rowOff>9525</xdr:rowOff>
                  </to>
                </anchor>
              </controlPr>
            </control>
          </mc:Choice>
        </mc:AlternateContent>
        <mc:AlternateContent xmlns:mc="http://schemas.openxmlformats.org/markup-compatibility/2006">
          <mc:Choice Requires="x14">
            <control shapeId="13669" r:id="rId279" name="Drop Down 357">
              <controlPr defaultSize="0" autoLine="0" autoPict="0">
                <anchor moveWithCells="1">
                  <from>
                    <xdr:col>1</xdr:col>
                    <xdr:colOff>0</xdr:colOff>
                    <xdr:row>38</xdr:row>
                    <xdr:rowOff>9525</xdr:rowOff>
                  </from>
                  <to>
                    <xdr:col>2</xdr:col>
                    <xdr:colOff>9525</xdr:colOff>
                    <xdr:row>39</xdr:row>
                    <xdr:rowOff>9525</xdr:rowOff>
                  </to>
                </anchor>
              </controlPr>
            </control>
          </mc:Choice>
        </mc:AlternateContent>
        <mc:AlternateContent xmlns:mc="http://schemas.openxmlformats.org/markup-compatibility/2006">
          <mc:Choice Requires="x14">
            <control shapeId="13670" r:id="rId280" name="Drop Down 358">
              <controlPr defaultSize="0" autoLine="0" autoPict="0">
                <anchor moveWithCells="1">
                  <from>
                    <xdr:col>1</xdr:col>
                    <xdr:colOff>0</xdr:colOff>
                    <xdr:row>39</xdr:row>
                    <xdr:rowOff>9525</xdr:rowOff>
                  </from>
                  <to>
                    <xdr:col>2</xdr:col>
                    <xdr:colOff>9525</xdr:colOff>
                    <xdr:row>40</xdr:row>
                    <xdr:rowOff>9525</xdr:rowOff>
                  </to>
                </anchor>
              </controlPr>
            </control>
          </mc:Choice>
        </mc:AlternateContent>
        <mc:AlternateContent xmlns:mc="http://schemas.openxmlformats.org/markup-compatibility/2006">
          <mc:Choice Requires="x14">
            <control shapeId="13671" r:id="rId281" name="Drop Down 359">
              <controlPr defaultSize="0" autoLine="0" autoPict="0">
                <anchor moveWithCells="1">
                  <from>
                    <xdr:col>1</xdr:col>
                    <xdr:colOff>0</xdr:colOff>
                    <xdr:row>40</xdr:row>
                    <xdr:rowOff>9525</xdr:rowOff>
                  </from>
                  <to>
                    <xdr:col>2</xdr:col>
                    <xdr:colOff>9525</xdr:colOff>
                    <xdr:row>41</xdr:row>
                    <xdr:rowOff>9525</xdr:rowOff>
                  </to>
                </anchor>
              </controlPr>
            </control>
          </mc:Choice>
        </mc:AlternateContent>
        <mc:AlternateContent xmlns:mc="http://schemas.openxmlformats.org/markup-compatibility/2006">
          <mc:Choice Requires="x14">
            <control shapeId="13672" r:id="rId282" name="Drop Down 360">
              <controlPr defaultSize="0" autoLine="0" autoPict="0">
                <anchor moveWithCells="1">
                  <from>
                    <xdr:col>1</xdr:col>
                    <xdr:colOff>0</xdr:colOff>
                    <xdr:row>41</xdr:row>
                    <xdr:rowOff>9525</xdr:rowOff>
                  </from>
                  <to>
                    <xdr:col>2</xdr:col>
                    <xdr:colOff>9525</xdr:colOff>
                    <xdr:row>42</xdr:row>
                    <xdr:rowOff>9525</xdr:rowOff>
                  </to>
                </anchor>
              </controlPr>
            </control>
          </mc:Choice>
        </mc:AlternateContent>
        <mc:AlternateContent xmlns:mc="http://schemas.openxmlformats.org/markup-compatibility/2006">
          <mc:Choice Requires="x14">
            <control shapeId="13673" r:id="rId283" name="Drop Down 361">
              <controlPr defaultSize="0" autoLine="0" autoPict="0">
                <anchor moveWithCells="1">
                  <from>
                    <xdr:col>1</xdr:col>
                    <xdr:colOff>0</xdr:colOff>
                    <xdr:row>42</xdr:row>
                    <xdr:rowOff>9525</xdr:rowOff>
                  </from>
                  <to>
                    <xdr:col>2</xdr:col>
                    <xdr:colOff>9525</xdr:colOff>
                    <xdr:row>43</xdr:row>
                    <xdr:rowOff>9525</xdr:rowOff>
                  </to>
                </anchor>
              </controlPr>
            </control>
          </mc:Choice>
        </mc:AlternateContent>
        <mc:AlternateContent xmlns:mc="http://schemas.openxmlformats.org/markup-compatibility/2006">
          <mc:Choice Requires="x14">
            <control shapeId="13674" r:id="rId284" name="Drop Down 362">
              <controlPr defaultSize="0" autoLine="0" autoPict="0">
                <anchor moveWithCells="1">
                  <from>
                    <xdr:col>2</xdr:col>
                    <xdr:colOff>9525</xdr:colOff>
                    <xdr:row>23</xdr:row>
                    <xdr:rowOff>9525</xdr:rowOff>
                  </from>
                  <to>
                    <xdr:col>3</xdr:col>
                    <xdr:colOff>19050</xdr:colOff>
                    <xdr:row>24</xdr:row>
                    <xdr:rowOff>0</xdr:rowOff>
                  </to>
                </anchor>
              </controlPr>
            </control>
          </mc:Choice>
        </mc:AlternateContent>
        <mc:AlternateContent xmlns:mc="http://schemas.openxmlformats.org/markup-compatibility/2006">
          <mc:Choice Requires="x14">
            <control shapeId="13675" r:id="rId285" name="Drop Down 363">
              <controlPr defaultSize="0" autoLine="0" autoPict="0">
                <anchor moveWithCells="1">
                  <from>
                    <xdr:col>2</xdr:col>
                    <xdr:colOff>9525</xdr:colOff>
                    <xdr:row>24</xdr:row>
                    <xdr:rowOff>9525</xdr:rowOff>
                  </from>
                  <to>
                    <xdr:col>3</xdr:col>
                    <xdr:colOff>19050</xdr:colOff>
                    <xdr:row>25</xdr:row>
                    <xdr:rowOff>0</xdr:rowOff>
                  </to>
                </anchor>
              </controlPr>
            </control>
          </mc:Choice>
        </mc:AlternateContent>
        <mc:AlternateContent xmlns:mc="http://schemas.openxmlformats.org/markup-compatibility/2006">
          <mc:Choice Requires="x14">
            <control shapeId="13676" r:id="rId286" name="Drop Down 364">
              <controlPr defaultSize="0" autoLine="0" autoPict="0">
                <anchor moveWithCells="1">
                  <from>
                    <xdr:col>2</xdr:col>
                    <xdr:colOff>9525</xdr:colOff>
                    <xdr:row>25</xdr:row>
                    <xdr:rowOff>9525</xdr:rowOff>
                  </from>
                  <to>
                    <xdr:col>3</xdr:col>
                    <xdr:colOff>19050</xdr:colOff>
                    <xdr:row>26</xdr:row>
                    <xdr:rowOff>0</xdr:rowOff>
                  </to>
                </anchor>
              </controlPr>
            </control>
          </mc:Choice>
        </mc:AlternateContent>
        <mc:AlternateContent xmlns:mc="http://schemas.openxmlformats.org/markup-compatibility/2006">
          <mc:Choice Requires="x14">
            <control shapeId="13677" r:id="rId287" name="Drop Down 365">
              <controlPr defaultSize="0" autoLine="0" autoPict="0">
                <anchor moveWithCells="1">
                  <from>
                    <xdr:col>2</xdr:col>
                    <xdr:colOff>9525</xdr:colOff>
                    <xdr:row>26</xdr:row>
                    <xdr:rowOff>9525</xdr:rowOff>
                  </from>
                  <to>
                    <xdr:col>3</xdr:col>
                    <xdr:colOff>19050</xdr:colOff>
                    <xdr:row>27</xdr:row>
                    <xdr:rowOff>0</xdr:rowOff>
                  </to>
                </anchor>
              </controlPr>
            </control>
          </mc:Choice>
        </mc:AlternateContent>
        <mc:AlternateContent xmlns:mc="http://schemas.openxmlformats.org/markup-compatibility/2006">
          <mc:Choice Requires="x14">
            <control shapeId="13678" r:id="rId288" name="Drop Down 366">
              <controlPr defaultSize="0" autoLine="0" autoPict="0">
                <anchor moveWithCells="1">
                  <from>
                    <xdr:col>2</xdr:col>
                    <xdr:colOff>9525</xdr:colOff>
                    <xdr:row>27</xdr:row>
                    <xdr:rowOff>9525</xdr:rowOff>
                  </from>
                  <to>
                    <xdr:col>3</xdr:col>
                    <xdr:colOff>19050</xdr:colOff>
                    <xdr:row>28</xdr:row>
                    <xdr:rowOff>0</xdr:rowOff>
                  </to>
                </anchor>
              </controlPr>
            </control>
          </mc:Choice>
        </mc:AlternateContent>
        <mc:AlternateContent xmlns:mc="http://schemas.openxmlformats.org/markup-compatibility/2006">
          <mc:Choice Requires="x14">
            <control shapeId="13679" r:id="rId289" name="Drop Down 367">
              <controlPr defaultSize="0" autoLine="0" autoPict="0">
                <anchor moveWithCells="1">
                  <from>
                    <xdr:col>2</xdr:col>
                    <xdr:colOff>9525</xdr:colOff>
                    <xdr:row>28</xdr:row>
                    <xdr:rowOff>9525</xdr:rowOff>
                  </from>
                  <to>
                    <xdr:col>3</xdr:col>
                    <xdr:colOff>19050</xdr:colOff>
                    <xdr:row>29</xdr:row>
                    <xdr:rowOff>0</xdr:rowOff>
                  </to>
                </anchor>
              </controlPr>
            </control>
          </mc:Choice>
        </mc:AlternateContent>
        <mc:AlternateContent xmlns:mc="http://schemas.openxmlformats.org/markup-compatibility/2006">
          <mc:Choice Requires="x14">
            <control shapeId="13680" r:id="rId290" name="Drop Down 368">
              <controlPr defaultSize="0" autoLine="0" autoPict="0">
                <anchor moveWithCells="1">
                  <from>
                    <xdr:col>2</xdr:col>
                    <xdr:colOff>9525</xdr:colOff>
                    <xdr:row>29</xdr:row>
                    <xdr:rowOff>9525</xdr:rowOff>
                  </from>
                  <to>
                    <xdr:col>3</xdr:col>
                    <xdr:colOff>19050</xdr:colOff>
                    <xdr:row>30</xdr:row>
                    <xdr:rowOff>0</xdr:rowOff>
                  </to>
                </anchor>
              </controlPr>
            </control>
          </mc:Choice>
        </mc:AlternateContent>
        <mc:AlternateContent xmlns:mc="http://schemas.openxmlformats.org/markup-compatibility/2006">
          <mc:Choice Requires="x14">
            <control shapeId="13681" r:id="rId291" name="Drop Down 369">
              <controlPr defaultSize="0" autoLine="0" autoPict="0">
                <anchor moveWithCells="1">
                  <from>
                    <xdr:col>2</xdr:col>
                    <xdr:colOff>9525</xdr:colOff>
                    <xdr:row>30</xdr:row>
                    <xdr:rowOff>9525</xdr:rowOff>
                  </from>
                  <to>
                    <xdr:col>3</xdr:col>
                    <xdr:colOff>19050</xdr:colOff>
                    <xdr:row>31</xdr:row>
                    <xdr:rowOff>0</xdr:rowOff>
                  </to>
                </anchor>
              </controlPr>
            </control>
          </mc:Choice>
        </mc:AlternateContent>
        <mc:AlternateContent xmlns:mc="http://schemas.openxmlformats.org/markup-compatibility/2006">
          <mc:Choice Requires="x14">
            <control shapeId="13682" r:id="rId292" name="Drop Down 370">
              <controlPr defaultSize="0" autoLine="0" autoPict="0">
                <anchor moveWithCells="1">
                  <from>
                    <xdr:col>2</xdr:col>
                    <xdr:colOff>9525</xdr:colOff>
                    <xdr:row>31</xdr:row>
                    <xdr:rowOff>9525</xdr:rowOff>
                  </from>
                  <to>
                    <xdr:col>3</xdr:col>
                    <xdr:colOff>19050</xdr:colOff>
                    <xdr:row>32</xdr:row>
                    <xdr:rowOff>0</xdr:rowOff>
                  </to>
                </anchor>
              </controlPr>
            </control>
          </mc:Choice>
        </mc:AlternateContent>
        <mc:AlternateContent xmlns:mc="http://schemas.openxmlformats.org/markup-compatibility/2006">
          <mc:Choice Requires="x14">
            <control shapeId="13683" r:id="rId293" name="Drop Down 371">
              <controlPr defaultSize="0" autoLine="0" autoPict="0">
                <anchor moveWithCells="1">
                  <from>
                    <xdr:col>2</xdr:col>
                    <xdr:colOff>9525</xdr:colOff>
                    <xdr:row>32</xdr:row>
                    <xdr:rowOff>9525</xdr:rowOff>
                  </from>
                  <to>
                    <xdr:col>3</xdr:col>
                    <xdr:colOff>19050</xdr:colOff>
                    <xdr:row>33</xdr:row>
                    <xdr:rowOff>0</xdr:rowOff>
                  </to>
                </anchor>
              </controlPr>
            </control>
          </mc:Choice>
        </mc:AlternateContent>
        <mc:AlternateContent xmlns:mc="http://schemas.openxmlformats.org/markup-compatibility/2006">
          <mc:Choice Requires="x14">
            <control shapeId="13684" r:id="rId294" name="Drop Down 372">
              <controlPr defaultSize="0" autoLine="0" autoPict="0">
                <anchor moveWithCells="1">
                  <from>
                    <xdr:col>2</xdr:col>
                    <xdr:colOff>9525</xdr:colOff>
                    <xdr:row>33</xdr:row>
                    <xdr:rowOff>9525</xdr:rowOff>
                  </from>
                  <to>
                    <xdr:col>3</xdr:col>
                    <xdr:colOff>19050</xdr:colOff>
                    <xdr:row>34</xdr:row>
                    <xdr:rowOff>0</xdr:rowOff>
                  </to>
                </anchor>
              </controlPr>
            </control>
          </mc:Choice>
        </mc:AlternateContent>
        <mc:AlternateContent xmlns:mc="http://schemas.openxmlformats.org/markup-compatibility/2006">
          <mc:Choice Requires="x14">
            <control shapeId="13685" r:id="rId295" name="Drop Down 373">
              <controlPr defaultSize="0" autoLine="0" autoPict="0">
                <anchor moveWithCells="1">
                  <from>
                    <xdr:col>2</xdr:col>
                    <xdr:colOff>9525</xdr:colOff>
                    <xdr:row>34</xdr:row>
                    <xdr:rowOff>9525</xdr:rowOff>
                  </from>
                  <to>
                    <xdr:col>3</xdr:col>
                    <xdr:colOff>19050</xdr:colOff>
                    <xdr:row>35</xdr:row>
                    <xdr:rowOff>0</xdr:rowOff>
                  </to>
                </anchor>
              </controlPr>
            </control>
          </mc:Choice>
        </mc:AlternateContent>
        <mc:AlternateContent xmlns:mc="http://schemas.openxmlformats.org/markup-compatibility/2006">
          <mc:Choice Requires="x14">
            <control shapeId="13686" r:id="rId296" name="Drop Down 374">
              <controlPr defaultSize="0" autoLine="0" autoPict="0">
                <anchor moveWithCells="1">
                  <from>
                    <xdr:col>2</xdr:col>
                    <xdr:colOff>9525</xdr:colOff>
                    <xdr:row>35</xdr:row>
                    <xdr:rowOff>9525</xdr:rowOff>
                  </from>
                  <to>
                    <xdr:col>3</xdr:col>
                    <xdr:colOff>19050</xdr:colOff>
                    <xdr:row>36</xdr:row>
                    <xdr:rowOff>0</xdr:rowOff>
                  </to>
                </anchor>
              </controlPr>
            </control>
          </mc:Choice>
        </mc:AlternateContent>
        <mc:AlternateContent xmlns:mc="http://schemas.openxmlformats.org/markup-compatibility/2006">
          <mc:Choice Requires="x14">
            <control shapeId="13687" r:id="rId297" name="Drop Down 375">
              <controlPr defaultSize="0" autoLine="0" autoPict="0">
                <anchor moveWithCells="1">
                  <from>
                    <xdr:col>2</xdr:col>
                    <xdr:colOff>9525</xdr:colOff>
                    <xdr:row>36</xdr:row>
                    <xdr:rowOff>9525</xdr:rowOff>
                  </from>
                  <to>
                    <xdr:col>3</xdr:col>
                    <xdr:colOff>19050</xdr:colOff>
                    <xdr:row>37</xdr:row>
                    <xdr:rowOff>0</xdr:rowOff>
                  </to>
                </anchor>
              </controlPr>
            </control>
          </mc:Choice>
        </mc:AlternateContent>
        <mc:AlternateContent xmlns:mc="http://schemas.openxmlformats.org/markup-compatibility/2006">
          <mc:Choice Requires="x14">
            <control shapeId="13688" r:id="rId298" name="Drop Down 376">
              <controlPr defaultSize="0" autoLine="0" autoPict="0">
                <anchor moveWithCells="1">
                  <from>
                    <xdr:col>2</xdr:col>
                    <xdr:colOff>9525</xdr:colOff>
                    <xdr:row>37</xdr:row>
                    <xdr:rowOff>9525</xdr:rowOff>
                  </from>
                  <to>
                    <xdr:col>3</xdr:col>
                    <xdr:colOff>19050</xdr:colOff>
                    <xdr:row>38</xdr:row>
                    <xdr:rowOff>0</xdr:rowOff>
                  </to>
                </anchor>
              </controlPr>
            </control>
          </mc:Choice>
        </mc:AlternateContent>
        <mc:AlternateContent xmlns:mc="http://schemas.openxmlformats.org/markup-compatibility/2006">
          <mc:Choice Requires="x14">
            <control shapeId="13689" r:id="rId299" name="Drop Down 377">
              <controlPr defaultSize="0" autoLine="0" autoPict="0">
                <anchor moveWithCells="1">
                  <from>
                    <xdr:col>2</xdr:col>
                    <xdr:colOff>9525</xdr:colOff>
                    <xdr:row>38</xdr:row>
                    <xdr:rowOff>9525</xdr:rowOff>
                  </from>
                  <to>
                    <xdr:col>3</xdr:col>
                    <xdr:colOff>19050</xdr:colOff>
                    <xdr:row>39</xdr:row>
                    <xdr:rowOff>0</xdr:rowOff>
                  </to>
                </anchor>
              </controlPr>
            </control>
          </mc:Choice>
        </mc:AlternateContent>
        <mc:AlternateContent xmlns:mc="http://schemas.openxmlformats.org/markup-compatibility/2006">
          <mc:Choice Requires="x14">
            <control shapeId="13690" r:id="rId300" name="Drop Down 378">
              <controlPr defaultSize="0" autoLine="0" autoPict="0">
                <anchor moveWithCells="1">
                  <from>
                    <xdr:col>2</xdr:col>
                    <xdr:colOff>9525</xdr:colOff>
                    <xdr:row>39</xdr:row>
                    <xdr:rowOff>9525</xdr:rowOff>
                  </from>
                  <to>
                    <xdr:col>3</xdr:col>
                    <xdr:colOff>19050</xdr:colOff>
                    <xdr:row>40</xdr:row>
                    <xdr:rowOff>0</xdr:rowOff>
                  </to>
                </anchor>
              </controlPr>
            </control>
          </mc:Choice>
        </mc:AlternateContent>
        <mc:AlternateContent xmlns:mc="http://schemas.openxmlformats.org/markup-compatibility/2006">
          <mc:Choice Requires="x14">
            <control shapeId="13691" r:id="rId301" name="Drop Down 379">
              <controlPr defaultSize="0" autoLine="0" autoPict="0">
                <anchor moveWithCells="1">
                  <from>
                    <xdr:col>2</xdr:col>
                    <xdr:colOff>9525</xdr:colOff>
                    <xdr:row>40</xdr:row>
                    <xdr:rowOff>9525</xdr:rowOff>
                  </from>
                  <to>
                    <xdr:col>3</xdr:col>
                    <xdr:colOff>19050</xdr:colOff>
                    <xdr:row>41</xdr:row>
                    <xdr:rowOff>0</xdr:rowOff>
                  </to>
                </anchor>
              </controlPr>
            </control>
          </mc:Choice>
        </mc:AlternateContent>
        <mc:AlternateContent xmlns:mc="http://schemas.openxmlformats.org/markup-compatibility/2006">
          <mc:Choice Requires="x14">
            <control shapeId="13692" r:id="rId302" name="Drop Down 380">
              <controlPr defaultSize="0" autoLine="0" autoPict="0">
                <anchor moveWithCells="1">
                  <from>
                    <xdr:col>2</xdr:col>
                    <xdr:colOff>9525</xdr:colOff>
                    <xdr:row>41</xdr:row>
                    <xdr:rowOff>9525</xdr:rowOff>
                  </from>
                  <to>
                    <xdr:col>3</xdr:col>
                    <xdr:colOff>19050</xdr:colOff>
                    <xdr:row>42</xdr:row>
                    <xdr:rowOff>0</xdr:rowOff>
                  </to>
                </anchor>
              </controlPr>
            </control>
          </mc:Choice>
        </mc:AlternateContent>
        <mc:AlternateContent xmlns:mc="http://schemas.openxmlformats.org/markup-compatibility/2006">
          <mc:Choice Requires="x14">
            <control shapeId="13693" r:id="rId303" name="Drop Down 381">
              <controlPr defaultSize="0" autoLine="0" autoPict="0">
                <anchor moveWithCells="1">
                  <from>
                    <xdr:col>2</xdr:col>
                    <xdr:colOff>9525</xdr:colOff>
                    <xdr:row>42</xdr:row>
                    <xdr:rowOff>9525</xdr:rowOff>
                  </from>
                  <to>
                    <xdr:col>3</xdr:col>
                    <xdr:colOff>19050</xdr:colOff>
                    <xdr:row>43</xdr:row>
                    <xdr:rowOff>0</xdr:rowOff>
                  </to>
                </anchor>
              </controlPr>
            </control>
          </mc:Choice>
        </mc:AlternateContent>
        <mc:AlternateContent xmlns:mc="http://schemas.openxmlformats.org/markup-compatibility/2006">
          <mc:Choice Requires="x14">
            <control shapeId="13694" r:id="rId304" name="Drop Down 382">
              <controlPr defaultSize="0" autoLine="0" autoPict="0">
                <anchor moveWithCells="1">
                  <from>
                    <xdr:col>4</xdr:col>
                    <xdr:colOff>0</xdr:colOff>
                    <xdr:row>23</xdr:row>
                    <xdr:rowOff>9525</xdr:rowOff>
                  </from>
                  <to>
                    <xdr:col>4</xdr:col>
                    <xdr:colOff>1800225</xdr:colOff>
                    <xdr:row>24</xdr:row>
                    <xdr:rowOff>0</xdr:rowOff>
                  </to>
                </anchor>
              </controlPr>
            </control>
          </mc:Choice>
        </mc:AlternateContent>
        <mc:AlternateContent xmlns:mc="http://schemas.openxmlformats.org/markup-compatibility/2006">
          <mc:Choice Requires="x14">
            <control shapeId="13695" r:id="rId305" name="Drop Down 383">
              <controlPr defaultSize="0" autoLine="0" autoPict="0">
                <anchor moveWithCells="1">
                  <from>
                    <xdr:col>4</xdr:col>
                    <xdr:colOff>0</xdr:colOff>
                    <xdr:row>24</xdr:row>
                    <xdr:rowOff>9525</xdr:rowOff>
                  </from>
                  <to>
                    <xdr:col>4</xdr:col>
                    <xdr:colOff>1800225</xdr:colOff>
                    <xdr:row>25</xdr:row>
                    <xdr:rowOff>0</xdr:rowOff>
                  </to>
                </anchor>
              </controlPr>
            </control>
          </mc:Choice>
        </mc:AlternateContent>
        <mc:AlternateContent xmlns:mc="http://schemas.openxmlformats.org/markup-compatibility/2006">
          <mc:Choice Requires="x14">
            <control shapeId="13696" r:id="rId306" name="Drop Down 384">
              <controlPr defaultSize="0" autoLine="0" autoPict="0">
                <anchor moveWithCells="1">
                  <from>
                    <xdr:col>4</xdr:col>
                    <xdr:colOff>0</xdr:colOff>
                    <xdr:row>25</xdr:row>
                    <xdr:rowOff>9525</xdr:rowOff>
                  </from>
                  <to>
                    <xdr:col>4</xdr:col>
                    <xdr:colOff>1800225</xdr:colOff>
                    <xdr:row>26</xdr:row>
                    <xdr:rowOff>0</xdr:rowOff>
                  </to>
                </anchor>
              </controlPr>
            </control>
          </mc:Choice>
        </mc:AlternateContent>
        <mc:AlternateContent xmlns:mc="http://schemas.openxmlformats.org/markup-compatibility/2006">
          <mc:Choice Requires="x14">
            <control shapeId="13697" r:id="rId307" name="Drop Down 385">
              <controlPr defaultSize="0" autoLine="0" autoPict="0">
                <anchor moveWithCells="1">
                  <from>
                    <xdr:col>4</xdr:col>
                    <xdr:colOff>0</xdr:colOff>
                    <xdr:row>26</xdr:row>
                    <xdr:rowOff>9525</xdr:rowOff>
                  </from>
                  <to>
                    <xdr:col>4</xdr:col>
                    <xdr:colOff>1800225</xdr:colOff>
                    <xdr:row>27</xdr:row>
                    <xdr:rowOff>0</xdr:rowOff>
                  </to>
                </anchor>
              </controlPr>
            </control>
          </mc:Choice>
        </mc:AlternateContent>
        <mc:AlternateContent xmlns:mc="http://schemas.openxmlformats.org/markup-compatibility/2006">
          <mc:Choice Requires="x14">
            <control shapeId="13698" r:id="rId308" name="Drop Down 386">
              <controlPr defaultSize="0" autoLine="0" autoPict="0">
                <anchor moveWithCells="1">
                  <from>
                    <xdr:col>4</xdr:col>
                    <xdr:colOff>0</xdr:colOff>
                    <xdr:row>27</xdr:row>
                    <xdr:rowOff>9525</xdr:rowOff>
                  </from>
                  <to>
                    <xdr:col>4</xdr:col>
                    <xdr:colOff>1800225</xdr:colOff>
                    <xdr:row>28</xdr:row>
                    <xdr:rowOff>0</xdr:rowOff>
                  </to>
                </anchor>
              </controlPr>
            </control>
          </mc:Choice>
        </mc:AlternateContent>
        <mc:AlternateContent xmlns:mc="http://schemas.openxmlformats.org/markup-compatibility/2006">
          <mc:Choice Requires="x14">
            <control shapeId="13699" r:id="rId309" name="Drop Down 387">
              <controlPr defaultSize="0" autoLine="0" autoPict="0">
                <anchor moveWithCells="1">
                  <from>
                    <xdr:col>4</xdr:col>
                    <xdr:colOff>0</xdr:colOff>
                    <xdr:row>28</xdr:row>
                    <xdr:rowOff>9525</xdr:rowOff>
                  </from>
                  <to>
                    <xdr:col>4</xdr:col>
                    <xdr:colOff>1800225</xdr:colOff>
                    <xdr:row>29</xdr:row>
                    <xdr:rowOff>0</xdr:rowOff>
                  </to>
                </anchor>
              </controlPr>
            </control>
          </mc:Choice>
        </mc:AlternateContent>
        <mc:AlternateContent xmlns:mc="http://schemas.openxmlformats.org/markup-compatibility/2006">
          <mc:Choice Requires="x14">
            <control shapeId="13700" r:id="rId310" name="Drop Down 388">
              <controlPr defaultSize="0" autoLine="0" autoPict="0">
                <anchor moveWithCells="1">
                  <from>
                    <xdr:col>4</xdr:col>
                    <xdr:colOff>0</xdr:colOff>
                    <xdr:row>29</xdr:row>
                    <xdr:rowOff>9525</xdr:rowOff>
                  </from>
                  <to>
                    <xdr:col>4</xdr:col>
                    <xdr:colOff>1800225</xdr:colOff>
                    <xdr:row>30</xdr:row>
                    <xdr:rowOff>0</xdr:rowOff>
                  </to>
                </anchor>
              </controlPr>
            </control>
          </mc:Choice>
        </mc:AlternateContent>
        <mc:AlternateContent xmlns:mc="http://schemas.openxmlformats.org/markup-compatibility/2006">
          <mc:Choice Requires="x14">
            <control shapeId="13701" r:id="rId311" name="Drop Down 389">
              <controlPr defaultSize="0" autoLine="0" autoPict="0">
                <anchor moveWithCells="1">
                  <from>
                    <xdr:col>4</xdr:col>
                    <xdr:colOff>0</xdr:colOff>
                    <xdr:row>30</xdr:row>
                    <xdr:rowOff>9525</xdr:rowOff>
                  </from>
                  <to>
                    <xdr:col>4</xdr:col>
                    <xdr:colOff>1800225</xdr:colOff>
                    <xdr:row>31</xdr:row>
                    <xdr:rowOff>0</xdr:rowOff>
                  </to>
                </anchor>
              </controlPr>
            </control>
          </mc:Choice>
        </mc:AlternateContent>
        <mc:AlternateContent xmlns:mc="http://schemas.openxmlformats.org/markup-compatibility/2006">
          <mc:Choice Requires="x14">
            <control shapeId="13702" r:id="rId312" name="Drop Down 390">
              <controlPr defaultSize="0" autoLine="0" autoPict="0">
                <anchor moveWithCells="1">
                  <from>
                    <xdr:col>4</xdr:col>
                    <xdr:colOff>0</xdr:colOff>
                    <xdr:row>31</xdr:row>
                    <xdr:rowOff>9525</xdr:rowOff>
                  </from>
                  <to>
                    <xdr:col>4</xdr:col>
                    <xdr:colOff>1800225</xdr:colOff>
                    <xdr:row>32</xdr:row>
                    <xdr:rowOff>0</xdr:rowOff>
                  </to>
                </anchor>
              </controlPr>
            </control>
          </mc:Choice>
        </mc:AlternateContent>
        <mc:AlternateContent xmlns:mc="http://schemas.openxmlformats.org/markup-compatibility/2006">
          <mc:Choice Requires="x14">
            <control shapeId="13703" r:id="rId313" name="Drop Down 391">
              <controlPr defaultSize="0" autoLine="0" autoPict="0">
                <anchor moveWithCells="1">
                  <from>
                    <xdr:col>4</xdr:col>
                    <xdr:colOff>0</xdr:colOff>
                    <xdr:row>32</xdr:row>
                    <xdr:rowOff>9525</xdr:rowOff>
                  </from>
                  <to>
                    <xdr:col>4</xdr:col>
                    <xdr:colOff>1800225</xdr:colOff>
                    <xdr:row>33</xdr:row>
                    <xdr:rowOff>0</xdr:rowOff>
                  </to>
                </anchor>
              </controlPr>
            </control>
          </mc:Choice>
        </mc:AlternateContent>
        <mc:AlternateContent xmlns:mc="http://schemas.openxmlformats.org/markup-compatibility/2006">
          <mc:Choice Requires="x14">
            <control shapeId="13704" r:id="rId314" name="Drop Down 392">
              <controlPr defaultSize="0" autoLine="0" autoPict="0">
                <anchor moveWithCells="1">
                  <from>
                    <xdr:col>4</xdr:col>
                    <xdr:colOff>0</xdr:colOff>
                    <xdr:row>33</xdr:row>
                    <xdr:rowOff>9525</xdr:rowOff>
                  </from>
                  <to>
                    <xdr:col>4</xdr:col>
                    <xdr:colOff>1800225</xdr:colOff>
                    <xdr:row>34</xdr:row>
                    <xdr:rowOff>0</xdr:rowOff>
                  </to>
                </anchor>
              </controlPr>
            </control>
          </mc:Choice>
        </mc:AlternateContent>
        <mc:AlternateContent xmlns:mc="http://schemas.openxmlformats.org/markup-compatibility/2006">
          <mc:Choice Requires="x14">
            <control shapeId="13705" r:id="rId315" name="Drop Down 393">
              <controlPr defaultSize="0" autoLine="0" autoPict="0">
                <anchor moveWithCells="1">
                  <from>
                    <xdr:col>4</xdr:col>
                    <xdr:colOff>0</xdr:colOff>
                    <xdr:row>34</xdr:row>
                    <xdr:rowOff>9525</xdr:rowOff>
                  </from>
                  <to>
                    <xdr:col>4</xdr:col>
                    <xdr:colOff>1800225</xdr:colOff>
                    <xdr:row>35</xdr:row>
                    <xdr:rowOff>0</xdr:rowOff>
                  </to>
                </anchor>
              </controlPr>
            </control>
          </mc:Choice>
        </mc:AlternateContent>
        <mc:AlternateContent xmlns:mc="http://schemas.openxmlformats.org/markup-compatibility/2006">
          <mc:Choice Requires="x14">
            <control shapeId="13706" r:id="rId316" name="Drop Down 394">
              <controlPr defaultSize="0" autoLine="0" autoPict="0">
                <anchor moveWithCells="1">
                  <from>
                    <xdr:col>4</xdr:col>
                    <xdr:colOff>0</xdr:colOff>
                    <xdr:row>35</xdr:row>
                    <xdr:rowOff>9525</xdr:rowOff>
                  </from>
                  <to>
                    <xdr:col>4</xdr:col>
                    <xdr:colOff>1800225</xdr:colOff>
                    <xdr:row>36</xdr:row>
                    <xdr:rowOff>0</xdr:rowOff>
                  </to>
                </anchor>
              </controlPr>
            </control>
          </mc:Choice>
        </mc:AlternateContent>
        <mc:AlternateContent xmlns:mc="http://schemas.openxmlformats.org/markup-compatibility/2006">
          <mc:Choice Requires="x14">
            <control shapeId="13707" r:id="rId317" name="Drop Down 395">
              <controlPr defaultSize="0" autoLine="0" autoPict="0">
                <anchor moveWithCells="1">
                  <from>
                    <xdr:col>4</xdr:col>
                    <xdr:colOff>0</xdr:colOff>
                    <xdr:row>36</xdr:row>
                    <xdr:rowOff>9525</xdr:rowOff>
                  </from>
                  <to>
                    <xdr:col>4</xdr:col>
                    <xdr:colOff>1800225</xdr:colOff>
                    <xdr:row>37</xdr:row>
                    <xdr:rowOff>0</xdr:rowOff>
                  </to>
                </anchor>
              </controlPr>
            </control>
          </mc:Choice>
        </mc:AlternateContent>
        <mc:AlternateContent xmlns:mc="http://schemas.openxmlformats.org/markup-compatibility/2006">
          <mc:Choice Requires="x14">
            <control shapeId="13708" r:id="rId318" name="Drop Down 396">
              <controlPr defaultSize="0" autoLine="0" autoPict="0">
                <anchor moveWithCells="1">
                  <from>
                    <xdr:col>4</xdr:col>
                    <xdr:colOff>0</xdr:colOff>
                    <xdr:row>37</xdr:row>
                    <xdr:rowOff>9525</xdr:rowOff>
                  </from>
                  <to>
                    <xdr:col>4</xdr:col>
                    <xdr:colOff>1800225</xdr:colOff>
                    <xdr:row>38</xdr:row>
                    <xdr:rowOff>0</xdr:rowOff>
                  </to>
                </anchor>
              </controlPr>
            </control>
          </mc:Choice>
        </mc:AlternateContent>
        <mc:AlternateContent xmlns:mc="http://schemas.openxmlformats.org/markup-compatibility/2006">
          <mc:Choice Requires="x14">
            <control shapeId="13709" r:id="rId319" name="Drop Down 397">
              <controlPr defaultSize="0" autoLine="0" autoPict="0">
                <anchor moveWithCells="1">
                  <from>
                    <xdr:col>4</xdr:col>
                    <xdr:colOff>0</xdr:colOff>
                    <xdr:row>38</xdr:row>
                    <xdr:rowOff>9525</xdr:rowOff>
                  </from>
                  <to>
                    <xdr:col>4</xdr:col>
                    <xdr:colOff>1800225</xdr:colOff>
                    <xdr:row>39</xdr:row>
                    <xdr:rowOff>0</xdr:rowOff>
                  </to>
                </anchor>
              </controlPr>
            </control>
          </mc:Choice>
        </mc:AlternateContent>
        <mc:AlternateContent xmlns:mc="http://schemas.openxmlformats.org/markup-compatibility/2006">
          <mc:Choice Requires="x14">
            <control shapeId="13710" r:id="rId320" name="Drop Down 398">
              <controlPr defaultSize="0" autoLine="0" autoPict="0">
                <anchor moveWithCells="1">
                  <from>
                    <xdr:col>4</xdr:col>
                    <xdr:colOff>0</xdr:colOff>
                    <xdr:row>39</xdr:row>
                    <xdr:rowOff>9525</xdr:rowOff>
                  </from>
                  <to>
                    <xdr:col>4</xdr:col>
                    <xdr:colOff>1800225</xdr:colOff>
                    <xdr:row>40</xdr:row>
                    <xdr:rowOff>0</xdr:rowOff>
                  </to>
                </anchor>
              </controlPr>
            </control>
          </mc:Choice>
        </mc:AlternateContent>
        <mc:AlternateContent xmlns:mc="http://schemas.openxmlformats.org/markup-compatibility/2006">
          <mc:Choice Requires="x14">
            <control shapeId="13711" r:id="rId321" name="Drop Down 399">
              <controlPr defaultSize="0" autoLine="0" autoPict="0">
                <anchor moveWithCells="1">
                  <from>
                    <xdr:col>4</xdr:col>
                    <xdr:colOff>0</xdr:colOff>
                    <xdr:row>40</xdr:row>
                    <xdr:rowOff>9525</xdr:rowOff>
                  </from>
                  <to>
                    <xdr:col>4</xdr:col>
                    <xdr:colOff>1800225</xdr:colOff>
                    <xdr:row>41</xdr:row>
                    <xdr:rowOff>0</xdr:rowOff>
                  </to>
                </anchor>
              </controlPr>
            </control>
          </mc:Choice>
        </mc:AlternateContent>
        <mc:AlternateContent xmlns:mc="http://schemas.openxmlformats.org/markup-compatibility/2006">
          <mc:Choice Requires="x14">
            <control shapeId="13712" r:id="rId322" name="Drop Down 400">
              <controlPr defaultSize="0" autoLine="0" autoPict="0">
                <anchor moveWithCells="1">
                  <from>
                    <xdr:col>4</xdr:col>
                    <xdr:colOff>0</xdr:colOff>
                    <xdr:row>41</xdr:row>
                    <xdr:rowOff>9525</xdr:rowOff>
                  </from>
                  <to>
                    <xdr:col>4</xdr:col>
                    <xdr:colOff>1800225</xdr:colOff>
                    <xdr:row>42</xdr:row>
                    <xdr:rowOff>0</xdr:rowOff>
                  </to>
                </anchor>
              </controlPr>
            </control>
          </mc:Choice>
        </mc:AlternateContent>
        <mc:AlternateContent xmlns:mc="http://schemas.openxmlformats.org/markup-compatibility/2006">
          <mc:Choice Requires="x14">
            <control shapeId="13713" r:id="rId323" name="Drop Down 401">
              <controlPr defaultSize="0" autoLine="0" autoPict="0">
                <anchor moveWithCells="1">
                  <from>
                    <xdr:col>4</xdr:col>
                    <xdr:colOff>0</xdr:colOff>
                    <xdr:row>42</xdr:row>
                    <xdr:rowOff>9525</xdr:rowOff>
                  </from>
                  <to>
                    <xdr:col>4</xdr:col>
                    <xdr:colOff>1800225</xdr:colOff>
                    <xdr:row>43</xdr:row>
                    <xdr:rowOff>0</xdr:rowOff>
                  </to>
                </anchor>
              </controlPr>
            </control>
          </mc:Choice>
        </mc:AlternateContent>
        <mc:AlternateContent xmlns:mc="http://schemas.openxmlformats.org/markup-compatibility/2006">
          <mc:Choice Requires="x14">
            <control shapeId="13714" r:id="rId324" name="Drop Down 402">
              <controlPr defaultSize="0" autoLine="0" autoPict="0">
                <anchor moveWithCells="1">
                  <from>
                    <xdr:col>6</xdr:col>
                    <xdr:colOff>0</xdr:colOff>
                    <xdr:row>23</xdr:row>
                    <xdr:rowOff>9525</xdr:rowOff>
                  </from>
                  <to>
                    <xdr:col>7</xdr:col>
                    <xdr:colOff>0</xdr:colOff>
                    <xdr:row>24</xdr:row>
                    <xdr:rowOff>9525</xdr:rowOff>
                  </to>
                </anchor>
              </controlPr>
            </control>
          </mc:Choice>
        </mc:AlternateContent>
        <mc:AlternateContent xmlns:mc="http://schemas.openxmlformats.org/markup-compatibility/2006">
          <mc:Choice Requires="x14">
            <control shapeId="13715" r:id="rId325" name="Drop Down 403">
              <controlPr defaultSize="0" autoLine="0" autoPict="0">
                <anchor moveWithCells="1">
                  <from>
                    <xdr:col>6</xdr:col>
                    <xdr:colOff>0</xdr:colOff>
                    <xdr:row>24</xdr:row>
                    <xdr:rowOff>9525</xdr:rowOff>
                  </from>
                  <to>
                    <xdr:col>7</xdr:col>
                    <xdr:colOff>0</xdr:colOff>
                    <xdr:row>25</xdr:row>
                    <xdr:rowOff>9525</xdr:rowOff>
                  </to>
                </anchor>
              </controlPr>
            </control>
          </mc:Choice>
        </mc:AlternateContent>
        <mc:AlternateContent xmlns:mc="http://schemas.openxmlformats.org/markup-compatibility/2006">
          <mc:Choice Requires="x14">
            <control shapeId="13716" r:id="rId326" name="Drop Down 404">
              <controlPr defaultSize="0" autoLine="0" autoPict="0">
                <anchor moveWithCells="1">
                  <from>
                    <xdr:col>6</xdr:col>
                    <xdr:colOff>0</xdr:colOff>
                    <xdr:row>25</xdr:row>
                    <xdr:rowOff>9525</xdr:rowOff>
                  </from>
                  <to>
                    <xdr:col>7</xdr:col>
                    <xdr:colOff>0</xdr:colOff>
                    <xdr:row>26</xdr:row>
                    <xdr:rowOff>9525</xdr:rowOff>
                  </to>
                </anchor>
              </controlPr>
            </control>
          </mc:Choice>
        </mc:AlternateContent>
        <mc:AlternateContent xmlns:mc="http://schemas.openxmlformats.org/markup-compatibility/2006">
          <mc:Choice Requires="x14">
            <control shapeId="13717" r:id="rId327" name="Drop Down 405">
              <controlPr defaultSize="0" autoLine="0" autoPict="0">
                <anchor moveWithCells="1">
                  <from>
                    <xdr:col>6</xdr:col>
                    <xdr:colOff>0</xdr:colOff>
                    <xdr:row>26</xdr:row>
                    <xdr:rowOff>9525</xdr:rowOff>
                  </from>
                  <to>
                    <xdr:col>7</xdr:col>
                    <xdr:colOff>0</xdr:colOff>
                    <xdr:row>27</xdr:row>
                    <xdr:rowOff>9525</xdr:rowOff>
                  </to>
                </anchor>
              </controlPr>
            </control>
          </mc:Choice>
        </mc:AlternateContent>
        <mc:AlternateContent xmlns:mc="http://schemas.openxmlformats.org/markup-compatibility/2006">
          <mc:Choice Requires="x14">
            <control shapeId="13718" r:id="rId328" name="Drop Down 406">
              <controlPr defaultSize="0" autoLine="0" autoPict="0">
                <anchor moveWithCells="1">
                  <from>
                    <xdr:col>6</xdr:col>
                    <xdr:colOff>0</xdr:colOff>
                    <xdr:row>27</xdr:row>
                    <xdr:rowOff>9525</xdr:rowOff>
                  </from>
                  <to>
                    <xdr:col>7</xdr:col>
                    <xdr:colOff>0</xdr:colOff>
                    <xdr:row>28</xdr:row>
                    <xdr:rowOff>9525</xdr:rowOff>
                  </to>
                </anchor>
              </controlPr>
            </control>
          </mc:Choice>
        </mc:AlternateContent>
        <mc:AlternateContent xmlns:mc="http://schemas.openxmlformats.org/markup-compatibility/2006">
          <mc:Choice Requires="x14">
            <control shapeId="13719" r:id="rId329" name="Drop Down 407">
              <controlPr defaultSize="0" autoLine="0" autoPict="0">
                <anchor moveWithCells="1">
                  <from>
                    <xdr:col>6</xdr:col>
                    <xdr:colOff>0</xdr:colOff>
                    <xdr:row>28</xdr:row>
                    <xdr:rowOff>9525</xdr:rowOff>
                  </from>
                  <to>
                    <xdr:col>7</xdr:col>
                    <xdr:colOff>0</xdr:colOff>
                    <xdr:row>29</xdr:row>
                    <xdr:rowOff>9525</xdr:rowOff>
                  </to>
                </anchor>
              </controlPr>
            </control>
          </mc:Choice>
        </mc:AlternateContent>
        <mc:AlternateContent xmlns:mc="http://schemas.openxmlformats.org/markup-compatibility/2006">
          <mc:Choice Requires="x14">
            <control shapeId="13720" r:id="rId330" name="Drop Down 408">
              <controlPr defaultSize="0" autoLine="0" autoPict="0">
                <anchor moveWithCells="1">
                  <from>
                    <xdr:col>6</xdr:col>
                    <xdr:colOff>0</xdr:colOff>
                    <xdr:row>29</xdr:row>
                    <xdr:rowOff>9525</xdr:rowOff>
                  </from>
                  <to>
                    <xdr:col>7</xdr:col>
                    <xdr:colOff>0</xdr:colOff>
                    <xdr:row>30</xdr:row>
                    <xdr:rowOff>9525</xdr:rowOff>
                  </to>
                </anchor>
              </controlPr>
            </control>
          </mc:Choice>
        </mc:AlternateContent>
        <mc:AlternateContent xmlns:mc="http://schemas.openxmlformats.org/markup-compatibility/2006">
          <mc:Choice Requires="x14">
            <control shapeId="13721" r:id="rId331" name="Drop Down 409">
              <controlPr defaultSize="0" autoLine="0" autoPict="0">
                <anchor moveWithCells="1">
                  <from>
                    <xdr:col>6</xdr:col>
                    <xdr:colOff>0</xdr:colOff>
                    <xdr:row>30</xdr:row>
                    <xdr:rowOff>9525</xdr:rowOff>
                  </from>
                  <to>
                    <xdr:col>7</xdr:col>
                    <xdr:colOff>0</xdr:colOff>
                    <xdr:row>31</xdr:row>
                    <xdr:rowOff>9525</xdr:rowOff>
                  </to>
                </anchor>
              </controlPr>
            </control>
          </mc:Choice>
        </mc:AlternateContent>
        <mc:AlternateContent xmlns:mc="http://schemas.openxmlformats.org/markup-compatibility/2006">
          <mc:Choice Requires="x14">
            <control shapeId="13722" r:id="rId332" name="Drop Down 410">
              <controlPr defaultSize="0" autoLine="0" autoPict="0">
                <anchor moveWithCells="1">
                  <from>
                    <xdr:col>6</xdr:col>
                    <xdr:colOff>0</xdr:colOff>
                    <xdr:row>31</xdr:row>
                    <xdr:rowOff>9525</xdr:rowOff>
                  </from>
                  <to>
                    <xdr:col>7</xdr:col>
                    <xdr:colOff>0</xdr:colOff>
                    <xdr:row>32</xdr:row>
                    <xdr:rowOff>9525</xdr:rowOff>
                  </to>
                </anchor>
              </controlPr>
            </control>
          </mc:Choice>
        </mc:AlternateContent>
        <mc:AlternateContent xmlns:mc="http://schemas.openxmlformats.org/markup-compatibility/2006">
          <mc:Choice Requires="x14">
            <control shapeId="13723" r:id="rId333" name="Drop Down 411">
              <controlPr defaultSize="0" autoLine="0" autoPict="0">
                <anchor moveWithCells="1">
                  <from>
                    <xdr:col>6</xdr:col>
                    <xdr:colOff>0</xdr:colOff>
                    <xdr:row>32</xdr:row>
                    <xdr:rowOff>9525</xdr:rowOff>
                  </from>
                  <to>
                    <xdr:col>7</xdr:col>
                    <xdr:colOff>0</xdr:colOff>
                    <xdr:row>33</xdr:row>
                    <xdr:rowOff>9525</xdr:rowOff>
                  </to>
                </anchor>
              </controlPr>
            </control>
          </mc:Choice>
        </mc:AlternateContent>
        <mc:AlternateContent xmlns:mc="http://schemas.openxmlformats.org/markup-compatibility/2006">
          <mc:Choice Requires="x14">
            <control shapeId="13724" r:id="rId334" name="Drop Down 412">
              <controlPr defaultSize="0" autoLine="0" autoPict="0">
                <anchor moveWithCells="1">
                  <from>
                    <xdr:col>6</xdr:col>
                    <xdr:colOff>0</xdr:colOff>
                    <xdr:row>33</xdr:row>
                    <xdr:rowOff>9525</xdr:rowOff>
                  </from>
                  <to>
                    <xdr:col>7</xdr:col>
                    <xdr:colOff>0</xdr:colOff>
                    <xdr:row>34</xdr:row>
                    <xdr:rowOff>9525</xdr:rowOff>
                  </to>
                </anchor>
              </controlPr>
            </control>
          </mc:Choice>
        </mc:AlternateContent>
        <mc:AlternateContent xmlns:mc="http://schemas.openxmlformats.org/markup-compatibility/2006">
          <mc:Choice Requires="x14">
            <control shapeId="13725" r:id="rId335" name="Drop Down 413">
              <controlPr defaultSize="0" autoLine="0" autoPict="0">
                <anchor moveWithCells="1">
                  <from>
                    <xdr:col>6</xdr:col>
                    <xdr:colOff>0</xdr:colOff>
                    <xdr:row>34</xdr:row>
                    <xdr:rowOff>9525</xdr:rowOff>
                  </from>
                  <to>
                    <xdr:col>7</xdr:col>
                    <xdr:colOff>0</xdr:colOff>
                    <xdr:row>35</xdr:row>
                    <xdr:rowOff>9525</xdr:rowOff>
                  </to>
                </anchor>
              </controlPr>
            </control>
          </mc:Choice>
        </mc:AlternateContent>
        <mc:AlternateContent xmlns:mc="http://schemas.openxmlformats.org/markup-compatibility/2006">
          <mc:Choice Requires="x14">
            <control shapeId="13726" r:id="rId336" name="Drop Down 414">
              <controlPr defaultSize="0" autoLine="0" autoPict="0">
                <anchor moveWithCells="1">
                  <from>
                    <xdr:col>6</xdr:col>
                    <xdr:colOff>0</xdr:colOff>
                    <xdr:row>35</xdr:row>
                    <xdr:rowOff>9525</xdr:rowOff>
                  </from>
                  <to>
                    <xdr:col>7</xdr:col>
                    <xdr:colOff>0</xdr:colOff>
                    <xdr:row>36</xdr:row>
                    <xdr:rowOff>9525</xdr:rowOff>
                  </to>
                </anchor>
              </controlPr>
            </control>
          </mc:Choice>
        </mc:AlternateContent>
        <mc:AlternateContent xmlns:mc="http://schemas.openxmlformats.org/markup-compatibility/2006">
          <mc:Choice Requires="x14">
            <control shapeId="13727" r:id="rId337" name="Drop Down 415">
              <controlPr defaultSize="0" autoLine="0" autoPict="0">
                <anchor moveWithCells="1">
                  <from>
                    <xdr:col>6</xdr:col>
                    <xdr:colOff>0</xdr:colOff>
                    <xdr:row>36</xdr:row>
                    <xdr:rowOff>9525</xdr:rowOff>
                  </from>
                  <to>
                    <xdr:col>7</xdr:col>
                    <xdr:colOff>0</xdr:colOff>
                    <xdr:row>37</xdr:row>
                    <xdr:rowOff>9525</xdr:rowOff>
                  </to>
                </anchor>
              </controlPr>
            </control>
          </mc:Choice>
        </mc:AlternateContent>
        <mc:AlternateContent xmlns:mc="http://schemas.openxmlformats.org/markup-compatibility/2006">
          <mc:Choice Requires="x14">
            <control shapeId="13728" r:id="rId338" name="Drop Down 416">
              <controlPr defaultSize="0" autoLine="0" autoPict="0">
                <anchor moveWithCells="1">
                  <from>
                    <xdr:col>6</xdr:col>
                    <xdr:colOff>0</xdr:colOff>
                    <xdr:row>37</xdr:row>
                    <xdr:rowOff>9525</xdr:rowOff>
                  </from>
                  <to>
                    <xdr:col>7</xdr:col>
                    <xdr:colOff>0</xdr:colOff>
                    <xdr:row>38</xdr:row>
                    <xdr:rowOff>9525</xdr:rowOff>
                  </to>
                </anchor>
              </controlPr>
            </control>
          </mc:Choice>
        </mc:AlternateContent>
        <mc:AlternateContent xmlns:mc="http://schemas.openxmlformats.org/markup-compatibility/2006">
          <mc:Choice Requires="x14">
            <control shapeId="13729" r:id="rId339" name="Drop Down 417">
              <controlPr defaultSize="0" autoLine="0" autoPict="0">
                <anchor moveWithCells="1">
                  <from>
                    <xdr:col>6</xdr:col>
                    <xdr:colOff>0</xdr:colOff>
                    <xdr:row>38</xdr:row>
                    <xdr:rowOff>9525</xdr:rowOff>
                  </from>
                  <to>
                    <xdr:col>7</xdr:col>
                    <xdr:colOff>0</xdr:colOff>
                    <xdr:row>39</xdr:row>
                    <xdr:rowOff>9525</xdr:rowOff>
                  </to>
                </anchor>
              </controlPr>
            </control>
          </mc:Choice>
        </mc:AlternateContent>
        <mc:AlternateContent xmlns:mc="http://schemas.openxmlformats.org/markup-compatibility/2006">
          <mc:Choice Requires="x14">
            <control shapeId="13730" r:id="rId340" name="Drop Down 418">
              <controlPr defaultSize="0" autoLine="0" autoPict="0">
                <anchor moveWithCells="1">
                  <from>
                    <xdr:col>6</xdr:col>
                    <xdr:colOff>0</xdr:colOff>
                    <xdr:row>39</xdr:row>
                    <xdr:rowOff>9525</xdr:rowOff>
                  </from>
                  <to>
                    <xdr:col>7</xdr:col>
                    <xdr:colOff>0</xdr:colOff>
                    <xdr:row>40</xdr:row>
                    <xdr:rowOff>9525</xdr:rowOff>
                  </to>
                </anchor>
              </controlPr>
            </control>
          </mc:Choice>
        </mc:AlternateContent>
        <mc:AlternateContent xmlns:mc="http://schemas.openxmlformats.org/markup-compatibility/2006">
          <mc:Choice Requires="x14">
            <control shapeId="13731" r:id="rId341" name="Drop Down 419">
              <controlPr defaultSize="0" autoLine="0" autoPict="0">
                <anchor moveWithCells="1">
                  <from>
                    <xdr:col>6</xdr:col>
                    <xdr:colOff>0</xdr:colOff>
                    <xdr:row>40</xdr:row>
                    <xdr:rowOff>9525</xdr:rowOff>
                  </from>
                  <to>
                    <xdr:col>7</xdr:col>
                    <xdr:colOff>0</xdr:colOff>
                    <xdr:row>41</xdr:row>
                    <xdr:rowOff>9525</xdr:rowOff>
                  </to>
                </anchor>
              </controlPr>
            </control>
          </mc:Choice>
        </mc:AlternateContent>
        <mc:AlternateContent xmlns:mc="http://schemas.openxmlformats.org/markup-compatibility/2006">
          <mc:Choice Requires="x14">
            <control shapeId="13732" r:id="rId342" name="Drop Down 420">
              <controlPr defaultSize="0" autoLine="0" autoPict="0">
                <anchor moveWithCells="1">
                  <from>
                    <xdr:col>6</xdr:col>
                    <xdr:colOff>0</xdr:colOff>
                    <xdr:row>41</xdr:row>
                    <xdr:rowOff>9525</xdr:rowOff>
                  </from>
                  <to>
                    <xdr:col>7</xdr:col>
                    <xdr:colOff>0</xdr:colOff>
                    <xdr:row>42</xdr:row>
                    <xdr:rowOff>9525</xdr:rowOff>
                  </to>
                </anchor>
              </controlPr>
            </control>
          </mc:Choice>
        </mc:AlternateContent>
        <mc:AlternateContent xmlns:mc="http://schemas.openxmlformats.org/markup-compatibility/2006">
          <mc:Choice Requires="x14">
            <control shapeId="13733" r:id="rId343" name="Drop Down 421">
              <controlPr defaultSize="0" autoLine="0" autoPict="0">
                <anchor moveWithCells="1">
                  <from>
                    <xdr:col>6</xdr:col>
                    <xdr:colOff>0</xdr:colOff>
                    <xdr:row>42</xdr:row>
                    <xdr:rowOff>9525</xdr:rowOff>
                  </from>
                  <to>
                    <xdr:col>7</xdr:col>
                    <xdr:colOff>0</xdr:colOff>
                    <xdr:row>43</xdr:row>
                    <xdr:rowOff>9525</xdr:rowOff>
                  </to>
                </anchor>
              </controlPr>
            </control>
          </mc:Choice>
        </mc:AlternateContent>
        <mc:AlternateContent xmlns:mc="http://schemas.openxmlformats.org/markup-compatibility/2006">
          <mc:Choice Requires="x14">
            <control shapeId="13734" r:id="rId344" name="Drop Down 422">
              <controlPr defaultSize="0" autoLine="0" autoPict="0">
                <anchor moveWithCells="1">
                  <from>
                    <xdr:col>8</xdr:col>
                    <xdr:colOff>0</xdr:colOff>
                    <xdr:row>23</xdr:row>
                    <xdr:rowOff>9525</xdr:rowOff>
                  </from>
                  <to>
                    <xdr:col>8</xdr:col>
                    <xdr:colOff>2914650</xdr:colOff>
                    <xdr:row>24</xdr:row>
                    <xdr:rowOff>0</xdr:rowOff>
                  </to>
                </anchor>
              </controlPr>
            </control>
          </mc:Choice>
        </mc:AlternateContent>
        <mc:AlternateContent xmlns:mc="http://schemas.openxmlformats.org/markup-compatibility/2006">
          <mc:Choice Requires="x14">
            <control shapeId="13735" r:id="rId345" name="Drop Down 423">
              <controlPr defaultSize="0" autoLine="0" autoPict="0">
                <anchor moveWithCells="1">
                  <from>
                    <xdr:col>8</xdr:col>
                    <xdr:colOff>0</xdr:colOff>
                    <xdr:row>24</xdr:row>
                    <xdr:rowOff>9525</xdr:rowOff>
                  </from>
                  <to>
                    <xdr:col>8</xdr:col>
                    <xdr:colOff>2914650</xdr:colOff>
                    <xdr:row>25</xdr:row>
                    <xdr:rowOff>0</xdr:rowOff>
                  </to>
                </anchor>
              </controlPr>
            </control>
          </mc:Choice>
        </mc:AlternateContent>
        <mc:AlternateContent xmlns:mc="http://schemas.openxmlformats.org/markup-compatibility/2006">
          <mc:Choice Requires="x14">
            <control shapeId="13736" r:id="rId346" name="Drop Down 424">
              <controlPr defaultSize="0" autoLine="0" autoPict="0">
                <anchor moveWithCells="1">
                  <from>
                    <xdr:col>8</xdr:col>
                    <xdr:colOff>0</xdr:colOff>
                    <xdr:row>25</xdr:row>
                    <xdr:rowOff>9525</xdr:rowOff>
                  </from>
                  <to>
                    <xdr:col>8</xdr:col>
                    <xdr:colOff>2914650</xdr:colOff>
                    <xdr:row>26</xdr:row>
                    <xdr:rowOff>0</xdr:rowOff>
                  </to>
                </anchor>
              </controlPr>
            </control>
          </mc:Choice>
        </mc:AlternateContent>
        <mc:AlternateContent xmlns:mc="http://schemas.openxmlformats.org/markup-compatibility/2006">
          <mc:Choice Requires="x14">
            <control shapeId="13737" r:id="rId347" name="Drop Down 425">
              <controlPr defaultSize="0" autoLine="0" autoPict="0">
                <anchor moveWithCells="1">
                  <from>
                    <xdr:col>8</xdr:col>
                    <xdr:colOff>0</xdr:colOff>
                    <xdr:row>26</xdr:row>
                    <xdr:rowOff>9525</xdr:rowOff>
                  </from>
                  <to>
                    <xdr:col>8</xdr:col>
                    <xdr:colOff>2914650</xdr:colOff>
                    <xdr:row>27</xdr:row>
                    <xdr:rowOff>0</xdr:rowOff>
                  </to>
                </anchor>
              </controlPr>
            </control>
          </mc:Choice>
        </mc:AlternateContent>
        <mc:AlternateContent xmlns:mc="http://schemas.openxmlformats.org/markup-compatibility/2006">
          <mc:Choice Requires="x14">
            <control shapeId="13738" r:id="rId348" name="Drop Down 426">
              <controlPr defaultSize="0" autoLine="0" autoPict="0">
                <anchor moveWithCells="1">
                  <from>
                    <xdr:col>8</xdr:col>
                    <xdr:colOff>0</xdr:colOff>
                    <xdr:row>27</xdr:row>
                    <xdr:rowOff>9525</xdr:rowOff>
                  </from>
                  <to>
                    <xdr:col>8</xdr:col>
                    <xdr:colOff>2914650</xdr:colOff>
                    <xdr:row>28</xdr:row>
                    <xdr:rowOff>0</xdr:rowOff>
                  </to>
                </anchor>
              </controlPr>
            </control>
          </mc:Choice>
        </mc:AlternateContent>
        <mc:AlternateContent xmlns:mc="http://schemas.openxmlformats.org/markup-compatibility/2006">
          <mc:Choice Requires="x14">
            <control shapeId="13739" r:id="rId349" name="Drop Down 427">
              <controlPr defaultSize="0" autoLine="0" autoPict="0">
                <anchor moveWithCells="1">
                  <from>
                    <xdr:col>8</xdr:col>
                    <xdr:colOff>0</xdr:colOff>
                    <xdr:row>28</xdr:row>
                    <xdr:rowOff>9525</xdr:rowOff>
                  </from>
                  <to>
                    <xdr:col>8</xdr:col>
                    <xdr:colOff>2914650</xdr:colOff>
                    <xdr:row>29</xdr:row>
                    <xdr:rowOff>0</xdr:rowOff>
                  </to>
                </anchor>
              </controlPr>
            </control>
          </mc:Choice>
        </mc:AlternateContent>
        <mc:AlternateContent xmlns:mc="http://schemas.openxmlformats.org/markup-compatibility/2006">
          <mc:Choice Requires="x14">
            <control shapeId="13740" r:id="rId350" name="Drop Down 428">
              <controlPr defaultSize="0" autoLine="0" autoPict="0">
                <anchor moveWithCells="1">
                  <from>
                    <xdr:col>8</xdr:col>
                    <xdr:colOff>0</xdr:colOff>
                    <xdr:row>29</xdr:row>
                    <xdr:rowOff>9525</xdr:rowOff>
                  </from>
                  <to>
                    <xdr:col>8</xdr:col>
                    <xdr:colOff>2914650</xdr:colOff>
                    <xdr:row>30</xdr:row>
                    <xdr:rowOff>0</xdr:rowOff>
                  </to>
                </anchor>
              </controlPr>
            </control>
          </mc:Choice>
        </mc:AlternateContent>
        <mc:AlternateContent xmlns:mc="http://schemas.openxmlformats.org/markup-compatibility/2006">
          <mc:Choice Requires="x14">
            <control shapeId="13741" r:id="rId351" name="Drop Down 429">
              <controlPr defaultSize="0" autoLine="0" autoPict="0">
                <anchor moveWithCells="1">
                  <from>
                    <xdr:col>8</xdr:col>
                    <xdr:colOff>0</xdr:colOff>
                    <xdr:row>30</xdr:row>
                    <xdr:rowOff>9525</xdr:rowOff>
                  </from>
                  <to>
                    <xdr:col>8</xdr:col>
                    <xdr:colOff>2914650</xdr:colOff>
                    <xdr:row>31</xdr:row>
                    <xdr:rowOff>0</xdr:rowOff>
                  </to>
                </anchor>
              </controlPr>
            </control>
          </mc:Choice>
        </mc:AlternateContent>
        <mc:AlternateContent xmlns:mc="http://schemas.openxmlformats.org/markup-compatibility/2006">
          <mc:Choice Requires="x14">
            <control shapeId="13742" r:id="rId352" name="Drop Down 430">
              <controlPr defaultSize="0" autoLine="0" autoPict="0">
                <anchor moveWithCells="1">
                  <from>
                    <xdr:col>8</xdr:col>
                    <xdr:colOff>0</xdr:colOff>
                    <xdr:row>31</xdr:row>
                    <xdr:rowOff>9525</xdr:rowOff>
                  </from>
                  <to>
                    <xdr:col>8</xdr:col>
                    <xdr:colOff>2914650</xdr:colOff>
                    <xdr:row>32</xdr:row>
                    <xdr:rowOff>0</xdr:rowOff>
                  </to>
                </anchor>
              </controlPr>
            </control>
          </mc:Choice>
        </mc:AlternateContent>
        <mc:AlternateContent xmlns:mc="http://schemas.openxmlformats.org/markup-compatibility/2006">
          <mc:Choice Requires="x14">
            <control shapeId="13743" r:id="rId353" name="Drop Down 431">
              <controlPr defaultSize="0" autoLine="0" autoPict="0">
                <anchor moveWithCells="1">
                  <from>
                    <xdr:col>8</xdr:col>
                    <xdr:colOff>0</xdr:colOff>
                    <xdr:row>32</xdr:row>
                    <xdr:rowOff>9525</xdr:rowOff>
                  </from>
                  <to>
                    <xdr:col>8</xdr:col>
                    <xdr:colOff>2914650</xdr:colOff>
                    <xdr:row>33</xdr:row>
                    <xdr:rowOff>0</xdr:rowOff>
                  </to>
                </anchor>
              </controlPr>
            </control>
          </mc:Choice>
        </mc:AlternateContent>
        <mc:AlternateContent xmlns:mc="http://schemas.openxmlformats.org/markup-compatibility/2006">
          <mc:Choice Requires="x14">
            <control shapeId="13744" r:id="rId354" name="Drop Down 432">
              <controlPr defaultSize="0" autoLine="0" autoPict="0">
                <anchor moveWithCells="1">
                  <from>
                    <xdr:col>8</xdr:col>
                    <xdr:colOff>0</xdr:colOff>
                    <xdr:row>33</xdr:row>
                    <xdr:rowOff>9525</xdr:rowOff>
                  </from>
                  <to>
                    <xdr:col>8</xdr:col>
                    <xdr:colOff>2914650</xdr:colOff>
                    <xdr:row>34</xdr:row>
                    <xdr:rowOff>0</xdr:rowOff>
                  </to>
                </anchor>
              </controlPr>
            </control>
          </mc:Choice>
        </mc:AlternateContent>
        <mc:AlternateContent xmlns:mc="http://schemas.openxmlformats.org/markup-compatibility/2006">
          <mc:Choice Requires="x14">
            <control shapeId="13745" r:id="rId355" name="Drop Down 433">
              <controlPr defaultSize="0" autoLine="0" autoPict="0">
                <anchor moveWithCells="1">
                  <from>
                    <xdr:col>8</xdr:col>
                    <xdr:colOff>0</xdr:colOff>
                    <xdr:row>34</xdr:row>
                    <xdr:rowOff>9525</xdr:rowOff>
                  </from>
                  <to>
                    <xdr:col>8</xdr:col>
                    <xdr:colOff>2914650</xdr:colOff>
                    <xdr:row>35</xdr:row>
                    <xdr:rowOff>0</xdr:rowOff>
                  </to>
                </anchor>
              </controlPr>
            </control>
          </mc:Choice>
        </mc:AlternateContent>
        <mc:AlternateContent xmlns:mc="http://schemas.openxmlformats.org/markup-compatibility/2006">
          <mc:Choice Requires="x14">
            <control shapeId="13746" r:id="rId356" name="Drop Down 434">
              <controlPr defaultSize="0" autoLine="0" autoPict="0">
                <anchor moveWithCells="1">
                  <from>
                    <xdr:col>8</xdr:col>
                    <xdr:colOff>0</xdr:colOff>
                    <xdr:row>35</xdr:row>
                    <xdr:rowOff>9525</xdr:rowOff>
                  </from>
                  <to>
                    <xdr:col>8</xdr:col>
                    <xdr:colOff>2914650</xdr:colOff>
                    <xdr:row>36</xdr:row>
                    <xdr:rowOff>0</xdr:rowOff>
                  </to>
                </anchor>
              </controlPr>
            </control>
          </mc:Choice>
        </mc:AlternateContent>
        <mc:AlternateContent xmlns:mc="http://schemas.openxmlformats.org/markup-compatibility/2006">
          <mc:Choice Requires="x14">
            <control shapeId="13747" r:id="rId357" name="Drop Down 435">
              <controlPr defaultSize="0" autoLine="0" autoPict="0">
                <anchor moveWithCells="1">
                  <from>
                    <xdr:col>8</xdr:col>
                    <xdr:colOff>0</xdr:colOff>
                    <xdr:row>36</xdr:row>
                    <xdr:rowOff>9525</xdr:rowOff>
                  </from>
                  <to>
                    <xdr:col>8</xdr:col>
                    <xdr:colOff>2914650</xdr:colOff>
                    <xdr:row>37</xdr:row>
                    <xdr:rowOff>0</xdr:rowOff>
                  </to>
                </anchor>
              </controlPr>
            </control>
          </mc:Choice>
        </mc:AlternateContent>
        <mc:AlternateContent xmlns:mc="http://schemas.openxmlformats.org/markup-compatibility/2006">
          <mc:Choice Requires="x14">
            <control shapeId="13748" r:id="rId358" name="Drop Down 436">
              <controlPr defaultSize="0" autoLine="0" autoPict="0">
                <anchor moveWithCells="1">
                  <from>
                    <xdr:col>8</xdr:col>
                    <xdr:colOff>0</xdr:colOff>
                    <xdr:row>37</xdr:row>
                    <xdr:rowOff>9525</xdr:rowOff>
                  </from>
                  <to>
                    <xdr:col>8</xdr:col>
                    <xdr:colOff>2914650</xdr:colOff>
                    <xdr:row>38</xdr:row>
                    <xdr:rowOff>0</xdr:rowOff>
                  </to>
                </anchor>
              </controlPr>
            </control>
          </mc:Choice>
        </mc:AlternateContent>
        <mc:AlternateContent xmlns:mc="http://schemas.openxmlformats.org/markup-compatibility/2006">
          <mc:Choice Requires="x14">
            <control shapeId="13749" r:id="rId359" name="Drop Down 437">
              <controlPr defaultSize="0" autoLine="0" autoPict="0">
                <anchor moveWithCells="1">
                  <from>
                    <xdr:col>8</xdr:col>
                    <xdr:colOff>0</xdr:colOff>
                    <xdr:row>38</xdr:row>
                    <xdr:rowOff>9525</xdr:rowOff>
                  </from>
                  <to>
                    <xdr:col>8</xdr:col>
                    <xdr:colOff>2914650</xdr:colOff>
                    <xdr:row>39</xdr:row>
                    <xdr:rowOff>0</xdr:rowOff>
                  </to>
                </anchor>
              </controlPr>
            </control>
          </mc:Choice>
        </mc:AlternateContent>
        <mc:AlternateContent xmlns:mc="http://schemas.openxmlformats.org/markup-compatibility/2006">
          <mc:Choice Requires="x14">
            <control shapeId="13750" r:id="rId360" name="Drop Down 438">
              <controlPr defaultSize="0" autoLine="0" autoPict="0">
                <anchor moveWithCells="1">
                  <from>
                    <xdr:col>8</xdr:col>
                    <xdr:colOff>0</xdr:colOff>
                    <xdr:row>39</xdr:row>
                    <xdr:rowOff>9525</xdr:rowOff>
                  </from>
                  <to>
                    <xdr:col>8</xdr:col>
                    <xdr:colOff>2914650</xdr:colOff>
                    <xdr:row>40</xdr:row>
                    <xdr:rowOff>0</xdr:rowOff>
                  </to>
                </anchor>
              </controlPr>
            </control>
          </mc:Choice>
        </mc:AlternateContent>
        <mc:AlternateContent xmlns:mc="http://schemas.openxmlformats.org/markup-compatibility/2006">
          <mc:Choice Requires="x14">
            <control shapeId="13751" r:id="rId361" name="Drop Down 439">
              <controlPr defaultSize="0" autoLine="0" autoPict="0">
                <anchor moveWithCells="1">
                  <from>
                    <xdr:col>8</xdr:col>
                    <xdr:colOff>0</xdr:colOff>
                    <xdr:row>40</xdr:row>
                    <xdr:rowOff>9525</xdr:rowOff>
                  </from>
                  <to>
                    <xdr:col>8</xdr:col>
                    <xdr:colOff>2914650</xdr:colOff>
                    <xdr:row>41</xdr:row>
                    <xdr:rowOff>0</xdr:rowOff>
                  </to>
                </anchor>
              </controlPr>
            </control>
          </mc:Choice>
        </mc:AlternateContent>
        <mc:AlternateContent xmlns:mc="http://schemas.openxmlformats.org/markup-compatibility/2006">
          <mc:Choice Requires="x14">
            <control shapeId="13752" r:id="rId362" name="Drop Down 440">
              <controlPr defaultSize="0" autoLine="0" autoPict="0">
                <anchor moveWithCells="1">
                  <from>
                    <xdr:col>8</xdr:col>
                    <xdr:colOff>0</xdr:colOff>
                    <xdr:row>41</xdr:row>
                    <xdr:rowOff>9525</xdr:rowOff>
                  </from>
                  <to>
                    <xdr:col>8</xdr:col>
                    <xdr:colOff>2914650</xdr:colOff>
                    <xdr:row>42</xdr:row>
                    <xdr:rowOff>0</xdr:rowOff>
                  </to>
                </anchor>
              </controlPr>
            </control>
          </mc:Choice>
        </mc:AlternateContent>
        <mc:AlternateContent xmlns:mc="http://schemas.openxmlformats.org/markup-compatibility/2006">
          <mc:Choice Requires="x14">
            <control shapeId="13753" r:id="rId363" name="Drop Down 441">
              <controlPr defaultSize="0" autoLine="0" autoPict="0">
                <anchor moveWithCells="1">
                  <from>
                    <xdr:col>8</xdr:col>
                    <xdr:colOff>0</xdr:colOff>
                    <xdr:row>42</xdr:row>
                    <xdr:rowOff>9525</xdr:rowOff>
                  </from>
                  <to>
                    <xdr:col>8</xdr:col>
                    <xdr:colOff>2914650</xdr:colOff>
                    <xdr:row>43</xdr:row>
                    <xdr:rowOff>0</xdr:rowOff>
                  </to>
                </anchor>
              </controlPr>
            </control>
          </mc:Choice>
        </mc:AlternateContent>
        <mc:AlternateContent xmlns:mc="http://schemas.openxmlformats.org/markup-compatibility/2006">
          <mc:Choice Requires="x14">
            <control shapeId="13754" r:id="rId364" name="Drop Down 442">
              <controlPr defaultSize="0" autoLine="0" autoPict="0">
                <anchor moveWithCells="1">
                  <from>
                    <xdr:col>9</xdr:col>
                    <xdr:colOff>0</xdr:colOff>
                    <xdr:row>23</xdr:row>
                    <xdr:rowOff>9525</xdr:rowOff>
                  </from>
                  <to>
                    <xdr:col>10</xdr:col>
                    <xdr:colOff>19050</xdr:colOff>
                    <xdr:row>24</xdr:row>
                    <xdr:rowOff>9525</xdr:rowOff>
                  </to>
                </anchor>
              </controlPr>
            </control>
          </mc:Choice>
        </mc:AlternateContent>
        <mc:AlternateContent xmlns:mc="http://schemas.openxmlformats.org/markup-compatibility/2006">
          <mc:Choice Requires="x14">
            <control shapeId="13755" r:id="rId365" name="Drop Down 443">
              <controlPr defaultSize="0" autoLine="0" autoPict="0">
                <anchor moveWithCells="1">
                  <from>
                    <xdr:col>9</xdr:col>
                    <xdr:colOff>0</xdr:colOff>
                    <xdr:row>24</xdr:row>
                    <xdr:rowOff>9525</xdr:rowOff>
                  </from>
                  <to>
                    <xdr:col>10</xdr:col>
                    <xdr:colOff>19050</xdr:colOff>
                    <xdr:row>25</xdr:row>
                    <xdr:rowOff>9525</xdr:rowOff>
                  </to>
                </anchor>
              </controlPr>
            </control>
          </mc:Choice>
        </mc:AlternateContent>
        <mc:AlternateContent xmlns:mc="http://schemas.openxmlformats.org/markup-compatibility/2006">
          <mc:Choice Requires="x14">
            <control shapeId="13756" r:id="rId366" name="Drop Down 444">
              <controlPr defaultSize="0" autoLine="0" autoPict="0">
                <anchor moveWithCells="1">
                  <from>
                    <xdr:col>9</xdr:col>
                    <xdr:colOff>0</xdr:colOff>
                    <xdr:row>25</xdr:row>
                    <xdr:rowOff>9525</xdr:rowOff>
                  </from>
                  <to>
                    <xdr:col>10</xdr:col>
                    <xdr:colOff>19050</xdr:colOff>
                    <xdr:row>26</xdr:row>
                    <xdr:rowOff>9525</xdr:rowOff>
                  </to>
                </anchor>
              </controlPr>
            </control>
          </mc:Choice>
        </mc:AlternateContent>
        <mc:AlternateContent xmlns:mc="http://schemas.openxmlformats.org/markup-compatibility/2006">
          <mc:Choice Requires="x14">
            <control shapeId="13757" r:id="rId367" name="Drop Down 445">
              <controlPr defaultSize="0" autoLine="0" autoPict="0">
                <anchor moveWithCells="1">
                  <from>
                    <xdr:col>9</xdr:col>
                    <xdr:colOff>0</xdr:colOff>
                    <xdr:row>26</xdr:row>
                    <xdr:rowOff>9525</xdr:rowOff>
                  </from>
                  <to>
                    <xdr:col>10</xdr:col>
                    <xdr:colOff>19050</xdr:colOff>
                    <xdr:row>27</xdr:row>
                    <xdr:rowOff>9525</xdr:rowOff>
                  </to>
                </anchor>
              </controlPr>
            </control>
          </mc:Choice>
        </mc:AlternateContent>
        <mc:AlternateContent xmlns:mc="http://schemas.openxmlformats.org/markup-compatibility/2006">
          <mc:Choice Requires="x14">
            <control shapeId="13758" r:id="rId368" name="Drop Down 446">
              <controlPr defaultSize="0" autoLine="0" autoPict="0">
                <anchor moveWithCells="1">
                  <from>
                    <xdr:col>9</xdr:col>
                    <xdr:colOff>0</xdr:colOff>
                    <xdr:row>27</xdr:row>
                    <xdr:rowOff>9525</xdr:rowOff>
                  </from>
                  <to>
                    <xdr:col>10</xdr:col>
                    <xdr:colOff>19050</xdr:colOff>
                    <xdr:row>28</xdr:row>
                    <xdr:rowOff>9525</xdr:rowOff>
                  </to>
                </anchor>
              </controlPr>
            </control>
          </mc:Choice>
        </mc:AlternateContent>
        <mc:AlternateContent xmlns:mc="http://schemas.openxmlformats.org/markup-compatibility/2006">
          <mc:Choice Requires="x14">
            <control shapeId="13759" r:id="rId369" name="Drop Down 447">
              <controlPr defaultSize="0" autoLine="0" autoPict="0">
                <anchor moveWithCells="1">
                  <from>
                    <xdr:col>9</xdr:col>
                    <xdr:colOff>0</xdr:colOff>
                    <xdr:row>28</xdr:row>
                    <xdr:rowOff>9525</xdr:rowOff>
                  </from>
                  <to>
                    <xdr:col>10</xdr:col>
                    <xdr:colOff>19050</xdr:colOff>
                    <xdr:row>29</xdr:row>
                    <xdr:rowOff>9525</xdr:rowOff>
                  </to>
                </anchor>
              </controlPr>
            </control>
          </mc:Choice>
        </mc:AlternateContent>
        <mc:AlternateContent xmlns:mc="http://schemas.openxmlformats.org/markup-compatibility/2006">
          <mc:Choice Requires="x14">
            <control shapeId="13760" r:id="rId370" name="Drop Down 448">
              <controlPr defaultSize="0" autoLine="0" autoPict="0">
                <anchor moveWithCells="1">
                  <from>
                    <xdr:col>9</xdr:col>
                    <xdr:colOff>0</xdr:colOff>
                    <xdr:row>29</xdr:row>
                    <xdr:rowOff>9525</xdr:rowOff>
                  </from>
                  <to>
                    <xdr:col>10</xdr:col>
                    <xdr:colOff>19050</xdr:colOff>
                    <xdr:row>30</xdr:row>
                    <xdr:rowOff>9525</xdr:rowOff>
                  </to>
                </anchor>
              </controlPr>
            </control>
          </mc:Choice>
        </mc:AlternateContent>
        <mc:AlternateContent xmlns:mc="http://schemas.openxmlformats.org/markup-compatibility/2006">
          <mc:Choice Requires="x14">
            <control shapeId="13761" r:id="rId371" name="Drop Down 449">
              <controlPr defaultSize="0" autoLine="0" autoPict="0">
                <anchor moveWithCells="1">
                  <from>
                    <xdr:col>9</xdr:col>
                    <xdr:colOff>0</xdr:colOff>
                    <xdr:row>30</xdr:row>
                    <xdr:rowOff>9525</xdr:rowOff>
                  </from>
                  <to>
                    <xdr:col>10</xdr:col>
                    <xdr:colOff>19050</xdr:colOff>
                    <xdr:row>31</xdr:row>
                    <xdr:rowOff>9525</xdr:rowOff>
                  </to>
                </anchor>
              </controlPr>
            </control>
          </mc:Choice>
        </mc:AlternateContent>
        <mc:AlternateContent xmlns:mc="http://schemas.openxmlformats.org/markup-compatibility/2006">
          <mc:Choice Requires="x14">
            <control shapeId="13762" r:id="rId372" name="Drop Down 450">
              <controlPr defaultSize="0" autoLine="0" autoPict="0">
                <anchor moveWithCells="1">
                  <from>
                    <xdr:col>9</xdr:col>
                    <xdr:colOff>0</xdr:colOff>
                    <xdr:row>31</xdr:row>
                    <xdr:rowOff>9525</xdr:rowOff>
                  </from>
                  <to>
                    <xdr:col>10</xdr:col>
                    <xdr:colOff>19050</xdr:colOff>
                    <xdr:row>32</xdr:row>
                    <xdr:rowOff>9525</xdr:rowOff>
                  </to>
                </anchor>
              </controlPr>
            </control>
          </mc:Choice>
        </mc:AlternateContent>
        <mc:AlternateContent xmlns:mc="http://schemas.openxmlformats.org/markup-compatibility/2006">
          <mc:Choice Requires="x14">
            <control shapeId="13763" r:id="rId373" name="Drop Down 451">
              <controlPr defaultSize="0" autoLine="0" autoPict="0">
                <anchor moveWithCells="1">
                  <from>
                    <xdr:col>9</xdr:col>
                    <xdr:colOff>0</xdr:colOff>
                    <xdr:row>32</xdr:row>
                    <xdr:rowOff>9525</xdr:rowOff>
                  </from>
                  <to>
                    <xdr:col>10</xdr:col>
                    <xdr:colOff>19050</xdr:colOff>
                    <xdr:row>33</xdr:row>
                    <xdr:rowOff>9525</xdr:rowOff>
                  </to>
                </anchor>
              </controlPr>
            </control>
          </mc:Choice>
        </mc:AlternateContent>
        <mc:AlternateContent xmlns:mc="http://schemas.openxmlformats.org/markup-compatibility/2006">
          <mc:Choice Requires="x14">
            <control shapeId="13764" r:id="rId374" name="Drop Down 452">
              <controlPr defaultSize="0" autoLine="0" autoPict="0">
                <anchor moveWithCells="1">
                  <from>
                    <xdr:col>9</xdr:col>
                    <xdr:colOff>0</xdr:colOff>
                    <xdr:row>33</xdr:row>
                    <xdr:rowOff>9525</xdr:rowOff>
                  </from>
                  <to>
                    <xdr:col>10</xdr:col>
                    <xdr:colOff>19050</xdr:colOff>
                    <xdr:row>34</xdr:row>
                    <xdr:rowOff>9525</xdr:rowOff>
                  </to>
                </anchor>
              </controlPr>
            </control>
          </mc:Choice>
        </mc:AlternateContent>
        <mc:AlternateContent xmlns:mc="http://schemas.openxmlformats.org/markup-compatibility/2006">
          <mc:Choice Requires="x14">
            <control shapeId="13765" r:id="rId375" name="Drop Down 453">
              <controlPr defaultSize="0" autoLine="0" autoPict="0">
                <anchor moveWithCells="1">
                  <from>
                    <xdr:col>9</xdr:col>
                    <xdr:colOff>0</xdr:colOff>
                    <xdr:row>34</xdr:row>
                    <xdr:rowOff>9525</xdr:rowOff>
                  </from>
                  <to>
                    <xdr:col>10</xdr:col>
                    <xdr:colOff>19050</xdr:colOff>
                    <xdr:row>35</xdr:row>
                    <xdr:rowOff>9525</xdr:rowOff>
                  </to>
                </anchor>
              </controlPr>
            </control>
          </mc:Choice>
        </mc:AlternateContent>
        <mc:AlternateContent xmlns:mc="http://schemas.openxmlformats.org/markup-compatibility/2006">
          <mc:Choice Requires="x14">
            <control shapeId="13766" r:id="rId376" name="Drop Down 454">
              <controlPr defaultSize="0" autoLine="0" autoPict="0">
                <anchor moveWithCells="1">
                  <from>
                    <xdr:col>9</xdr:col>
                    <xdr:colOff>0</xdr:colOff>
                    <xdr:row>35</xdr:row>
                    <xdr:rowOff>9525</xdr:rowOff>
                  </from>
                  <to>
                    <xdr:col>10</xdr:col>
                    <xdr:colOff>19050</xdr:colOff>
                    <xdr:row>36</xdr:row>
                    <xdr:rowOff>9525</xdr:rowOff>
                  </to>
                </anchor>
              </controlPr>
            </control>
          </mc:Choice>
        </mc:AlternateContent>
        <mc:AlternateContent xmlns:mc="http://schemas.openxmlformats.org/markup-compatibility/2006">
          <mc:Choice Requires="x14">
            <control shapeId="13767" r:id="rId377" name="Drop Down 455">
              <controlPr defaultSize="0" autoLine="0" autoPict="0">
                <anchor moveWithCells="1">
                  <from>
                    <xdr:col>9</xdr:col>
                    <xdr:colOff>0</xdr:colOff>
                    <xdr:row>36</xdr:row>
                    <xdr:rowOff>9525</xdr:rowOff>
                  </from>
                  <to>
                    <xdr:col>10</xdr:col>
                    <xdr:colOff>19050</xdr:colOff>
                    <xdr:row>37</xdr:row>
                    <xdr:rowOff>9525</xdr:rowOff>
                  </to>
                </anchor>
              </controlPr>
            </control>
          </mc:Choice>
        </mc:AlternateContent>
        <mc:AlternateContent xmlns:mc="http://schemas.openxmlformats.org/markup-compatibility/2006">
          <mc:Choice Requires="x14">
            <control shapeId="13768" r:id="rId378" name="Drop Down 456">
              <controlPr defaultSize="0" autoLine="0" autoPict="0">
                <anchor moveWithCells="1">
                  <from>
                    <xdr:col>9</xdr:col>
                    <xdr:colOff>0</xdr:colOff>
                    <xdr:row>37</xdr:row>
                    <xdr:rowOff>9525</xdr:rowOff>
                  </from>
                  <to>
                    <xdr:col>10</xdr:col>
                    <xdr:colOff>19050</xdr:colOff>
                    <xdr:row>38</xdr:row>
                    <xdr:rowOff>9525</xdr:rowOff>
                  </to>
                </anchor>
              </controlPr>
            </control>
          </mc:Choice>
        </mc:AlternateContent>
        <mc:AlternateContent xmlns:mc="http://schemas.openxmlformats.org/markup-compatibility/2006">
          <mc:Choice Requires="x14">
            <control shapeId="13769" r:id="rId379" name="Drop Down 457">
              <controlPr defaultSize="0" autoLine="0" autoPict="0">
                <anchor moveWithCells="1">
                  <from>
                    <xdr:col>9</xdr:col>
                    <xdr:colOff>0</xdr:colOff>
                    <xdr:row>38</xdr:row>
                    <xdr:rowOff>9525</xdr:rowOff>
                  </from>
                  <to>
                    <xdr:col>10</xdr:col>
                    <xdr:colOff>19050</xdr:colOff>
                    <xdr:row>39</xdr:row>
                    <xdr:rowOff>9525</xdr:rowOff>
                  </to>
                </anchor>
              </controlPr>
            </control>
          </mc:Choice>
        </mc:AlternateContent>
        <mc:AlternateContent xmlns:mc="http://schemas.openxmlformats.org/markup-compatibility/2006">
          <mc:Choice Requires="x14">
            <control shapeId="13770" r:id="rId380" name="Drop Down 458">
              <controlPr defaultSize="0" autoLine="0" autoPict="0">
                <anchor moveWithCells="1">
                  <from>
                    <xdr:col>9</xdr:col>
                    <xdr:colOff>0</xdr:colOff>
                    <xdr:row>39</xdr:row>
                    <xdr:rowOff>9525</xdr:rowOff>
                  </from>
                  <to>
                    <xdr:col>10</xdr:col>
                    <xdr:colOff>19050</xdr:colOff>
                    <xdr:row>40</xdr:row>
                    <xdr:rowOff>9525</xdr:rowOff>
                  </to>
                </anchor>
              </controlPr>
            </control>
          </mc:Choice>
        </mc:AlternateContent>
        <mc:AlternateContent xmlns:mc="http://schemas.openxmlformats.org/markup-compatibility/2006">
          <mc:Choice Requires="x14">
            <control shapeId="13771" r:id="rId381" name="Drop Down 459">
              <controlPr defaultSize="0" autoLine="0" autoPict="0">
                <anchor moveWithCells="1">
                  <from>
                    <xdr:col>9</xdr:col>
                    <xdr:colOff>0</xdr:colOff>
                    <xdr:row>40</xdr:row>
                    <xdr:rowOff>9525</xdr:rowOff>
                  </from>
                  <to>
                    <xdr:col>10</xdr:col>
                    <xdr:colOff>19050</xdr:colOff>
                    <xdr:row>41</xdr:row>
                    <xdr:rowOff>9525</xdr:rowOff>
                  </to>
                </anchor>
              </controlPr>
            </control>
          </mc:Choice>
        </mc:AlternateContent>
        <mc:AlternateContent xmlns:mc="http://schemas.openxmlformats.org/markup-compatibility/2006">
          <mc:Choice Requires="x14">
            <control shapeId="13772" r:id="rId382" name="Drop Down 460">
              <controlPr defaultSize="0" autoLine="0" autoPict="0">
                <anchor moveWithCells="1">
                  <from>
                    <xdr:col>9</xdr:col>
                    <xdr:colOff>0</xdr:colOff>
                    <xdr:row>41</xdr:row>
                    <xdr:rowOff>9525</xdr:rowOff>
                  </from>
                  <to>
                    <xdr:col>10</xdr:col>
                    <xdr:colOff>19050</xdr:colOff>
                    <xdr:row>42</xdr:row>
                    <xdr:rowOff>9525</xdr:rowOff>
                  </to>
                </anchor>
              </controlPr>
            </control>
          </mc:Choice>
        </mc:AlternateContent>
        <mc:AlternateContent xmlns:mc="http://schemas.openxmlformats.org/markup-compatibility/2006">
          <mc:Choice Requires="x14">
            <control shapeId="13773" r:id="rId383" name="Drop Down 461">
              <controlPr defaultSize="0" autoLine="0" autoPict="0">
                <anchor moveWithCells="1">
                  <from>
                    <xdr:col>9</xdr:col>
                    <xdr:colOff>0</xdr:colOff>
                    <xdr:row>42</xdr:row>
                    <xdr:rowOff>9525</xdr:rowOff>
                  </from>
                  <to>
                    <xdr:col>10</xdr:col>
                    <xdr:colOff>19050</xdr:colOff>
                    <xdr:row>43</xdr:row>
                    <xdr:rowOff>9525</xdr:rowOff>
                  </to>
                </anchor>
              </controlPr>
            </control>
          </mc:Choice>
        </mc:AlternateContent>
        <mc:AlternateContent xmlns:mc="http://schemas.openxmlformats.org/markup-compatibility/2006">
          <mc:Choice Requires="x14">
            <control shapeId="13774" r:id="rId384" name="Drop Down 462">
              <controlPr defaultSize="0" autoLine="0" autoPict="0">
                <anchor moveWithCells="1">
                  <from>
                    <xdr:col>11</xdr:col>
                    <xdr:colOff>0</xdr:colOff>
                    <xdr:row>23</xdr:row>
                    <xdr:rowOff>9525</xdr:rowOff>
                  </from>
                  <to>
                    <xdr:col>12</xdr:col>
                    <xdr:colOff>0</xdr:colOff>
                    <xdr:row>24</xdr:row>
                    <xdr:rowOff>28575</xdr:rowOff>
                  </to>
                </anchor>
              </controlPr>
            </control>
          </mc:Choice>
        </mc:AlternateContent>
        <mc:AlternateContent xmlns:mc="http://schemas.openxmlformats.org/markup-compatibility/2006">
          <mc:Choice Requires="x14">
            <control shapeId="13775" r:id="rId385" name="Drop Down 463">
              <controlPr defaultSize="0" autoLine="0" autoPict="0">
                <anchor moveWithCells="1">
                  <from>
                    <xdr:col>11</xdr:col>
                    <xdr:colOff>0</xdr:colOff>
                    <xdr:row>24</xdr:row>
                    <xdr:rowOff>9525</xdr:rowOff>
                  </from>
                  <to>
                    <xdr:col>12</xdr:col>
                    <xdr:colOff>0</xdr:colOff>
                    <xdr:row>25</xdr:row>
                    <xdr:rowOff>28575</xdr:rowOff>
                  </to>
                </anchor>
              </controlPr>
            </control>
          </mc:Choice>
        </mc:AlternateContent>
        <mc:AlternateContent xmlns:mc="http://schemas.openxmlformats.org/markup-compatibility/2006">
          <mc:Choice Requires="x14">
            <control shapeId="13776" r:id="rId386" name="Drop Down 464">
              <controlPr defaultSize="0" autoLine="0" autoPict="0">
                <anchor moveWithCells="1">
                  <from>
                    <xdr:col>11</xdr:col>
                    <xdr:colOff>0</xdr:colOff>
                    <xdr:row>25</xdr:row>
                    <xdr:rowOff>9525</xdr:rowOff>
                  </from>
                  <to>
                    <xdr:col>12</xdr:col>
                    <xdr:colOff>0</xdr:colOff>
                    <xdr:row>26</xdr:row>
                    <xdr:rowOff>28575</xdr:rowOff>
                  </to>
                </anchor>
              </controlPr>
            </control>
          </mc:Choice>
        </mc:AlternateContent>
        <mc:AlternateContent xmlns:mc="http://schemas.openxmlformats.org/markup-compatibility/2006">
          <mc:Choice Requires="x14">
            <control shapeId="13777" r:id="rId387" name="Drop Down 465">
              <controlPr defaultSize="0" autoLine="0" autoPict="0">
                <anchor moveWithCells="1">
                  <from>
                    <xdr:col>11</xdr:col>
                    <xdr:colOff>0</xdr:colOff>
                    <xdr:row>26</xdr:row>
                    <xdr:rowOff>9525</xdr:rowOff>
                  </from>
                  <to>
                    <xdr:col>12</xdr:col>
                    <xdr:colOff>0</xdr:colOff>
                    <xdr:row>27</xdr:row>
                    <xdr:rowOff>28575</xdr:rowOff>
                  </to>
                </anchor>
              </controlPr>
            </control>
          </mc:Choice>
        </mc:AlternateContent>
        <mc:AlternateContent xmlns:mc="http://schemas.openxmlformats.org/markup-compatibility/2006">
          <mc:Choice Requires="x14">
            <control shapeId="13778" r:id="rId388" name="Drop Down 466">
              <controlPr defaultSize="0" autoLine="0" autoPict="0">
                <anchor moveWithCells="1">
                  <from>
                    <xdr:col>11</xdr:col>
                    <xdr:colOff>0</xdr:colOff>
                    <xdr:row>27</xdr:row>
                    <xdr:rowOff>9525</xdr:rowOff>
                  </from>
                  <to>
                    <xdr:col>12</xdr:col>
                    <xdr:colOff>0</xdr:colOff>
                    <xdr:row>28</xdr:row>
                    <xdr:rowOff>28575</xdr:rowOff>
                  </to>
                </anchor>
              </controlPr>
            </control>
          </mc:Choice>
        </mc:AlternateContent>
        <mc:AlternateContent xmlns:mc="http://schemas.openxmlformats.org/markup-compatibility/2006">
          <mc:Choice Requires="x14">
            <control shapeId="13779" r:id="rId389" name="Drop Down 467">
              <controlPr defaultSize="0" autoLine="0" autoPict="0">
                <anchor moveWithCells="1">
                  <from>
                    <xdr:col>11</xdr:col>
                    <xdr:colOff>0</xdr:colOff>
                    <xdr:row>28</xdr:row>
                    <xdr:rowOff>9525</xdr:rowOff>
                  </from>
                  <to>
                    <xdr:col>12</xdr:col>
                    <xdr:colOff>0</xdr:colOff>
                    <xdr:row>29</xdr:row>
                    <xdr:rowOff>28575</xdr:rowOff>
                  </to>
                </anchor>
              </controlPr>
            </control>
          </mc:Choice>
        </mc:AlternateContent>
        <mc:AlternateContent xmlns:mc="http://schemas.openxmlformats.org/markup-compatibility/2006">
          <mc:Choice Requires="x14">
            <control shapeId="13780" r:id="rId390" name="Drop Down 468">
              <controlPr defaultSize="0" autoLine="0" autoPict="0">
                <anchor moveWithCells="1">
                  <from>
                    <xdr:col>11</xdr:col>
                    <xdr:colOff>0</xdr:colOff>
                    <xdr:row>29</xdr:row>
                    <xdr:rowOff>9525</xdr:rowOff>
                  </from>
                  <to>
                    <xdr:col>12</xdr:col>
                    <xdr:colOff>0</xdr:colOff>
                    <xdr:row>30</xdr:row>
                    <xdr:rowOff>28575</xdr:rowOff>
                  </to>
                </anchor>
              </controlPr>
            </control>
          </mc:Choice>
        </mc:AlternateContent>
        <mc:AlternateContent xmlns:mc="http://schemas.openxmlformats.org/markup-compatibility/2006">
          <mc:Choice Requires="x14">
            <control shapeId="13781" r:id="rId391" name="Drop Down 469">
              <controlPr defaultSize="0" autoLine="0" autoPict="0">
                <anchor moveWithCells="1">
                  <from>
                    <xdr:col>11</xdr:col>
                    <xdr:colOff>0</xdr:colOff>
                    <xdr:row>30</xdr:row>
                    <xdr:rowOff>9525</xdr:rowOff>
                  </from>
                  <to>
                    <xdr:col>12</xdr:col>
                    <xdr:colOff>0</xdr:colOff>
                    <xdr:row>31</xdr:row>
                    <xdr:rowOff>28575</xdr:rowOff>
                  </to>
                </anchor>
              </controlPr>
            </control>
          </mc:Choice>
        </mc:AlternateContent>
        <mc:AlternateContent xmlns:mc="http://schemas.openxmlformats.org/markup-compatibility/2006">
          <mc:Choice Requires="x14">
            <control shapeId="13782" r:id="rId392" name="Drop Down 470">
              <controlPr defaultSize="0" autoLine="0" autoPict="0">
                <anchor moveWithCells="1">
                  <from>
                    <xdr:col>11</xdr:col>
                    <xdr:colOff>0</xdr:colOff>
                    <xdr:row>31</xdr:row>
                    <xdr:rowOff>9525</xdr:rowOff>
                  </from>
                  <to>
                    <xdr:col>12</xdr:col>
                    <xdr:colOff>0</xdr:colOff>
                    <xdr:row>32</xdr:row>
                    <xdr:rowOff>28575</xdr:rowOff>
                  </to>
                </anchor>
              </controlPr>
            </control>
          </mc:Choice>
        </mc:AlternateContent>
        <mc:AlternateContent xmlns:mc="http://schemas.openxmlformats.org/markup-compatibility/2006">
          <mc:Choice Requires="x14">
            <control shapeId="13783" r:id="rId393" name="Drop Down 471">
              <controlPr defaultSize="0" autoLine="0" autoPict="0">
                <anchor moveWithCells="1">
                  <from>
                    <xdr:col>11</xdr:col>
                    <xdr:colOff>0</xdr:colOff>
                    <xdr:row>32</xdr:row>
                    <xdr:rowOff>9525</xdr:rowOff>
                  </from>
                  <to>
                    <xdr:col>12</xdr:col>
                    <xdr:colOff>0</xdr:colOff>
                    <xdr:row>33</xdr:row>
                    <xdr:rowOff>28575</xdr:rowOff>
                  </to>
                </anchor>
              </controlPr>
            </control>
          </mc:Choice>
        </mc:AlternateContent>
        <mc:AlternateContent xmlns:mc="http://schemas.openxmlformats.org/markup-compatibility/2006">
          <mc:Choice Requires="x14">
            <control shapeId="13784" r:id="rId394" name="Drop Down 472">
              <controlPr defaultSize="0" autoLine="0" autoPict="0">
                <anchor moveWithCells="1">
                  <from>
                    <xdr:col>11</xdr:col>
                    <xdr:colOff>0</xdr:colOff>
                    <xdr:row>33</xdr:row>
                    <xdr:rowOff>9525</xdr:rowOff>
                  </from>
                  <to>
                    <xdr:col>12</xdr:col>
                    <xdr:colOff>0</xdr:colOff>
                    <xdr:row>34</xdr:row>
                    <xdr:rowOff>28575</xdr:rowOff>
                  </to>
                </anchor>
              </controlPr>
            </control>
          </mc:Choice>
        </mc:AlternateContent>
        <mc:AlternateContent xmlns:mc="http://schemas.openxmlformats.org/markup-compatibility/2006">
          <mc:Choice Requires="x14">
            <control shapeId="13785" r:id="rId395" name="Drop Down 473">
              <controlPr defaultSize="0" autoLine="0" autoPict="0">
                <anchor moveWithCells="1">
                  <from>
                    <xdr:col>11</xdr:col>
                    <xdr:colOff>0</xdr:colOff>
                    <xdr:row>34</xdr:row>
                    <xdr:rowOff>9525</xdr:rowOff>
                  </from>
                  <to>
                    <xdr:col>12</xdr:col>
                    <xdr:colOff>0</xdr:colOff>
                    <xdr:row>35</xdr:row>
                    <xdr:rowOff>28575</xdr:rowOff>
                  </to>
                </anchor>
              </controlPr>
            </control>
          </mc:Choice>
        </mc:AlternateContent>
        <mc:AlternateContent xmlns:mc="http://schemas.openxmlformats.org/markup-compatibility/2006">
          <mc:Choice Requires="x14">
            <control shapeId="13786" r:id="rId396" name="Drop Down 474">
              <controlPr defaultSize="0" autoLine="0" autoPict="0">
                <anchor moveWithCells="1">
                  <from>
                    <xdr:col>11</xdr:col>
                    <xdr:colOff>0</xdr:colOff>
                    <xdr:row>35</xdr:row>
                    <xdr:rowOff>9525</xdr:rowOff>
                  </from>
                  <to>
                    <xdr:col>12</xdr:col>
                    <xdr:colOff>0</xdr:colOff>
                    <xdr:row>36</xdr:row>
                    <xdr:rowOff>28575</xdr:rowOff>
                  </to>
                </anchor>
              </controlPr>
            </control>
          </mc:Choice>
        </mc:AlternateContent>
        <mc:AlternateContent xmlns:mc="http://schemas.openxmlformats.org/markup-compatibility/2006">
          <mc:Choice Requires="x14">
            <control shapeId="13787" r:id="rId397" name="Drop Down 475">
              <controlPr defaultSize="0" autoLine="0" autoPict="0">
                <anchor moveWithCells="1">
                  <from>
                    <xdr:col>11</xdr:col>
                    <xdr:colOff>0</xdr:colOff>
                    <xdr:row>36</xdr:row>
                    <xdr:rowOff>9525</xdr:rowOff>
                  </from>
                  <to>
                    <xdr:col>12</xdr:col>
                    <xdr:colOff>0</xdr:colOff>
                    <xdr:row>37</xdr:row>
                    <xdr:rowOff>28575</xdr:rowOff>
                  </to>
                </anchor>
              </controlPr>
            </control>
          </mc:Choice>
        </mc:AlternateContent>
        <mc:AlternateContent xmlns:mc="http://schemas.openxmlformats.org/markup-compatibility/2006">
          <mc:Choice Requires="x14">
            <control shapeId="13788" r:id="rId398" name="Drop Down 476">
              <controlPr defaultSize="0" autoLine="0" autoPict="0">
                <anchor moveWithCells="1">
                  <from>
                    <xdr:col>11</xdr:col>
                    <xdr:colOff>0</xdr:colOff>
                    <xdr:row>37</xdr:row>
                    <xdr:rowOff>9525</xdr:rowOff>
                  </from>
                  <to>
                    <xdr:col>12</xdr:col>
                    <xdr:colOff>0</xdr:colOff>
                    <xdr:row>38</xdr:row>
                    <xdr:rowOff>28575</xdr:rowOff>
                  </to>
                </anchor>
              </controlPr>
            </control>
          </mc:Choice>
        </mc:AlternateContent>
        <mc:AlternateContent xmlns:mc="http://schemas.openxmlformats.org/markup-compatibility/2006">
          <mc:Choice Requires="x14">
            <control shapeId="13789" r:id="rId399" name="Drop Down 477">
              <controlPr defaultSize="0" autoLine="0" autoPict="0">
                <anchor moveWithCells="1">
                  <from>
                    <xdr:col>11</xdr:col>
                    <xdr:colOff>0</xdr:colOff>
                    <xdr:row>38</xdr:row>
                    <xdr:rowOff>9525</xdr:rowOff>
                  </from>
                  <to>
                    <xdr:col>12</xdr:col>
                    <xdr:colOff>0</xdr:colOff>
                    <xdr:row>39</xdr:row>
                    <xdr:rowOff>28575</xdr:rowOff>
                  </to>
                </anchor>
              </controlPr>
            </control>
          </mc:Choice>
        </mc:AlternateContent>
        <mc:AlternateContent xmlns:mc="http://schemas.openxmlformats.org/markup-compatibility/2006">
          <mc:Choice Requires="x14">
            <control shapeId="13790" r:id="rId400" name="Drop Down 478">
              <controlPr defaultSize="0" autoLine="0" autoPict="0">
                <anchor moveWithCells="1">
                  <from>
                    <xdr:col>11</xdr:col>
                    <xdr:colOff>0</xdr:colOff>
                    <xdr:row>39</xdr:row>
                    <xdr:rowOff>9525</xdr:rowOff>
                  </from>
                  <to>
                    <xdr:col>12</xdr:col>
                    <xdr:colOff>0</xdr:colOff>
                    <xdr:row>40</xdr:row>
                    <xdr:rowOff>28575</xdr:rowOff>
                  </to>
                </anchor>
              </controlPr>
            </control>
          </mc:Choice>
        </mc:AlternateContent>
        <mc:AlternateContent xmlns:mc="http://schemas.openxmlformats.org/markup-compatibility/2006">
          <mc:Choice Requires="x14">
            <control shapeId="13791" r:id="rId401" name="Drop Down 479">
              <controlPr defaultSize="0" autoLine="0" autoPict="0">
                <anchor moveWithCells="1">
                  <from>
                    <xdr:col>11</xdr:col>
                    <xdr:colOff>0</xdr:colOff>
                    <xdr:row>40</xdr:row>
                    <xdr:rowOff>9525</xdr:rowOff>
                  </from>
                  <to>
                    <xdr:col>12</xdr:col>
                    <xdr:colOff>0</xdr:colOff>
                    <xdr:row>41</xdr:row>
                    <xdr:rowOff>28575</xdr:rowOff>
                  </to>
                </anchor>
              </controlPr>
            </control>
          </mc:Choice>
        </mc:AlternateContent>
        <mc:AlternateContent xmlns:mc="http://schemas.openxmlformats.org/markup-compatibility/2006">
          <mc:Choice Requires="x14">
            <control shapeId="13792" r:id="rId402" name="Drop Down 480">
              <controlPr defaultSize="0" autoLine="0" autoPict="0">
                <anchor moveWithCells="1">
                  <from>
                    <xdr:col>11</xdr:col>
                    <xdr:colOff>0</xdr:colOff>
                    <xdr:row>41</xdr:row>
                    <xdr:rowOff>9525</xdr:rowOff>
                  </from>
                  <to>
                    <xdr:col>12</xdr:col>
                    <xdr:colOff>0</xdr:colOff>
                    <xdr:row>42</xdr:row>
                    <xdr:rowOff>28575</xdr:rowOff>
                  </to>
                </anchor>
              </controlPr>
            </control>
          </mc:Choice>
        </mc:AlternateContent>
        <mc:AlternateContent xmlns:mc="http://schemas.openxmlformats.org/markup-compatibility/2006">
          <mc:Choice Requires="x14">
            <control shapeId="13793" r:id="rId403" name="Drop Down 481">
              <controlPr defaultSize="0" autoLine="0" autoPict="0">
                <anchor moveWithCells="1">
                  <from>
                    <xdr:col>11</xdr:col>
                    <xdr:colOff>0</xdr:colOff>
                    <xdr:row>42</xdr:row>
                    <xdr:rowOff>9525</xdr:rowOff>
                  </from>
                  <to>
                    <xdr:col>12</xdr:col>
                    <xdr:colOff>0</xdr:colOff>
                    <xdr:row>43</xdr:row>
                    <xdr:rowOff>28575</xdr:rowOff>
                  </to>
                </anchor>
              </controlPr>
            </control>
          </mc:Choice>
        </mc:AlternateContent>
        <mc:AlternateContent xmlns:mc="http://schemas.openxmlformats.org/markup-compatibility/2006">
          <mc:Choice Requires="x14">
            <control shapeId="13794" r:id="rId404" name="Drop Down 482">
              <controlPr defaultSize="0" autoLine="0" autoPict="0">
                <anchor moveWithCells="1">
                  <from>
                    <xdr:col>13</xdr:col>
                    <xdr:colOff>0</xdr:colOff>
                    <xdr:row>23</xdr:row>
                    <xdr:rowOff>9525</xdr:rowOff>
                  </from>
                  <to>
                    <xdr:col>13</xdr:col>
                    <xdr:colOff>2809875</xdr:colOff>
                    <xdr:row>24</xdr:row>
                    <xdr:rowOff>9525</xdr:rowOff>
                  </to>
                </anchor>
              </controlPr>
            </control>
          </mc:Choice>
        </mc:AlternateContent>
        <mc:AlternateContent xmlns:mc="http://schemas.openxmlformats.org/markup-compatibility/2006">
          <mc:Choice Requires="x14">
            <control shapeId="13795" r:id="rId405" name="Drop Down 483">
              <controlPr defaultSize="0" autoLine="0" autoPict="0">
                <anchor moveWithCells="1">
                  <from>
                    <xdr:col>13</xdr:col>
                    <xdr:colOff>0</xdr:colOff>
                    <xdr:row>24</xdr:row>
                    <xdr:rowOff>9525</xdr:rowOff>
                  </from>
                  <to>
                    <xdr:col>13</xdr:col>
                    <xdr:colOff>2809875</xdr:colOff>
                    <xdr:row>25</xdr:row>
                    <xdr:rowOff>9525</xdr:rowOff>
                  </to>
                </anchor>
              </controlPr>
            </control>
          </mc:Choice>
        </mc:AlternateContent>
        <mc:AlternateContent xmlns:mc="http://schemas.openxmlformats.org/markup-compatibility/2006">
          <mc:Choice Requires="x14">
            <control shapeId="13796" r:id="rId406" name="Drop Down 484">
              <controlPr defaultSize="0" autoLine="0" autoPict="0">
                <anchor moveWithCells="1">
                  <from>
                    <xdr:col>13</xdr:col>
                    <xdr:colOff>0</xdr:colOff>
                    <xdr:row>25</xdr:row>
                    <xdr:rowOff>9525</xdr:rowOff>
                  </from>
                  <to>
                    <xdr:col>13</xdr:col>
                    <xdr:colOff>2809875</xdr:colOff>
                    <xdr:row>26</xdr:row>
                    <xdr:rowOff>9525</xdr:rowOff>
                  </to>
                </anchor>
              </controlPr>
            </control>
          </mc:Choice>
        </mc:AlternateContent>
        <mc:AlternateContent xmlns:mc="http://schemas.openxmlformats.org/markup-compatibility/2006">
          <mc:Choice Requires="x14">
            <control shapeId="13797" r:id="rId407" name="Drop Down 485">
              <controlPr defaultSize="0" autoLine="0" autoPict="0">
                <anchor moveWithCells="1">
                  <from>
                    <xdr:col>13</xdr:col>
                    <xdr:colOff>0</xdr:colOff>
                    <xdr:row>26</xdr:row>
                    <xdr:rowOff>9525</xdr:rowOff>
                  </from>
                  <to>
                    <xdr:col>13</xdr:col>
                    <xdr:colOff>2809875</xdr:colOff>
                    <xdr:row>27</xdr:row>
                    <xdr:rowOff>9525</xdr:rowOff>
                  </to>
                </anchor>
              </controlPr>
            </control>
          </mc:Choice>
        </mc:AlternateContent>
        <mc:AlternateContent xmlns:mc="http://schemas.openxmlformats.org/markup-compatibility/2006">
          <mc:Choice Requires="x14">
            <control shapeId="13798" r:id="rId408" name="Drop Down 486">
              <controlPr defaultSize="0" autoLine="0" autoPict="0">
                <anchor moveWithCells="1">
                  <from>
                    <xdr:col>13</xdr:col>
                    <xdr:colOff>0</xdr:colOff>
                    <xdr:row>27</xdr:row>
                    <xdr:rowOff>9525</xdr:rowOff>
                  </from>
                  <to>
                    <xdr:col>13</xdr:col>
                    <xdr:colOff>2809875</xdr:colOff>
                    <xdr:row>28</xdr:row>
                    <xdr:rowOff>9525</xdr:rowOff>
                  </to>
                </anchor>
              </controlPr>
            </control>
          </mc:Choice>
        </mc:AlternateContent>
        <mc:AlternateContent xmlns:mc="http://schemas.openxmlformats.org/markup-compatibility/2006">
          <mc:Choice Requires="x14">
            <control shapeId="13799" r:id="rId409" name="Drop Down 487">
              <controlPr defaultSize="0" autoLine="0" autoPict="0">
                <anchor moveWithCells="1">
                  <from>
                    <xdr:col>13</xdr:col>
                    <xdr:colOff>0</xdr:colOff>
                    <xdr:row>28</xdr:row>
                    <xdr:rowOff>9525</xdr:rowOff>
                  </from>
                  <to>
                    <xdr:col>13</xdr:col>
                    <xdr:colOff>2809875</xdr:colOff>
                    <xdr:row>29</xdr:row>
                    <xdr:rowOff>9525</xdr:rowOff>
                  </to>
                </anchor>
              </controlPr>
            </control>
          </mc:Choice>
        </mc:AlternateContent>
        <mc:AlternateContent xmlns:mc="http://schemas.openxmlformats.org/markup-compatibility/2006">
          <mc:Choice Requires="x14">
            <control shapeId="13800" r:id="rId410" name="Drop Down 488">
              <controlPr defaultSize="0" autoLine="0" autoPict="0">
                <anchor moveWithCells="1">
                  <from>
                    <xdr:col>13</xdr:col>
                    <xdr:colOff>0</xdr:colOff>
                    <xdr:row>29</xdr:row>
                    <xdr:rowOff>9525</xdr:rowOff>
                  </from>
                  <to>
                    <xdr:col>13</xdr:col>
                    <xdr:colOff>2809875</xdr:colOff>
                    <xdr:row>30</xdr:row>
                    <xdr:rowOff>9525</xdr:rowOff>
                  </to>
                </anchor>
              </controlPr>
            </control>
          </mc:Choice>
        </mc:AlternateContent>
        <mc:AlternateContent xmlns:mc="http://schemas.openxmlformats.org/markup-compatibility/2006">
          <mc:Choice Requires="x14">
            <control shapeId="13801" r:id="rId411" name="Drop Down 489">
              <controlPr defaultSize="0" autoLine="0" autoPict="0">
                <anchor moveWithCells="1">
                  <from>
                    <xdr:col>13</xdr:col>
                    <xdr:colOff>0</xdr:colOff>
                    <xdr:row>30</xdr:row>
                    <xdr:rowOff>9525</xdr:rowOff>
                  </from>
                  <to>
                    <xdr:col>13</xdr:col>
                    <xdr:colOff>2809875</xdr:colOff>
                    <xdr:row>31</xdr:row>
                    <xdr:rowOff>9525</xdr:rowOff>
                  </to>
                </anchor>
              </controlPr>
            </control>
          </mc:Choice>
        </mc:AlternateContent>
        <mc:AlternateContent xmlns:mc="http://schemas.openxmlformats.org/markup-compatibility/2006">
          <mc:Choice Requires="x14">
            <control shapeId="13802" r:id="rId412" name="Drop Down 490">
              <controlPr defaultSize="0" autoLine="0" autoPict="0">
                <anchor moveWithCells="1">
                  <from>
                    <xdr:col>13</xdr:col>
                    <xdr:colOff>0</xdr:colOff>
                    <xdr:row>31</xdr:row>
                    <xdr:rowOff>9525</xdr:rowOff>
                  </from>
                  <to>
                    <xdr:col>13</xdr:col>
                    <xdr:colOff>2809875</xdr:colOff>
                    <xdr:row>32</xdr:row>
                    <xdr:rowOff>9525</xdr:rowOff>
                  </to>
                </anchor>
              </controlPr>
            </control>
          </mc:Choice>
        </mc:AlternateContent>
        <mc:AlternateContent xmlns:mc="http://schemas.openxmlformats.org/markup-compatibility/2006">
          <mc:Choice Requires="x14">
            <control shapeId="13803" r:id="rId413" name="Drop Down 491">
              <controlPr defaultSize="0" autoLine="0" autoPict="0">
                <anchor moveWithCells="1">
                  <from>
                    <xdr:col>13</xdr:col>
                    <xdr:colOff>0</xdr:colOff>
                    <xdr:row>32</xdr:row>
                    <xdr:rowOff>9525</xdr:rowOff>
                  </from>
                  <to>
                    <xdr:col>13</xdr:col>
                    <xdr:colOff>2809875</xdr:colOff>
                    <xdr:row>33</xdr:row>
                    <xdr:rowOff>9525</xdr:rowOff>
                  </to>
                </anchor>
              </controlPr>
            </control>
          </mc:Choice>
        </mc:AlternateContent>
        <mc:AlternateContent xmlns:mc="http://schemas.openxmlformats.org/markup-compatibility/2006">
          <mc:Choice Requires="x14">
            <control shapeId="13804" r:id="rId414" name="Drop Down 492">
              <controlPr defaultSize="0" autoLine="0" autoPict="0">
                <anchor moveWithCells="1">
                  <from>
                    <xdr:col>13</xdr:col>
                    <xdr:colOff>0</xdr:colOff>
                    <xdr:row>33</xdr:row>
                    <xdr:rowOff>9525</xdr:rowOff>
                  </from>
                  <to>
                    <xdr:col>13</xdr:col>
                    <xdr:colOff>2809875</xdr:colOff>
                    <xdr:row>34</xdr:row>
                    <xdr:rowOff>9525</xdr:rowOff>
                  </to>
                </anchor>
              </controlPr>
            </control>
          </mc:Choice>
        </mc:AlternateContent>
        <mc:AlternateContent xmlns:mc="http://schemas.openxmlformats.org/markup-compatibility/2006">
          <mc:Choice Requires="x14">
            <control shapeId="13805" r:id="rId415" name="Drop Down 493">
              <controlPr defaultSize="0" autoLine="0" autoPict="0">
                <anchor moveWithCells="1">
                  <from>
                    <xdr:col>13</xdr:col>
                    <xdr:colOff>0</xdr:colOff>
                    <xdr:row>34</xdr:row>
                    <xdr:rowOff>9525</xdr:rowOff>
                  </from>
                  <to>
                    <xdr:col>13</xdr:col>
                    <xdr:colOff>2809875</xdr:colOff>
                    <xdr:row>35</xdr:row>
                    <xdr:rowOff>9525</xdr:rowOff>
                  </to>
                </anchor>
              </controlPr>
            </control>
          </mc:Choice>
        </mc:AlternateContent>
        <mc:AlternateContent xmlns:mc="http://schemas.openxmlformats.org/markup-compatibility/2006">
          <mc:Choice Requires="x14">
            <control shapeId="13806" r:id="rId416" name="Drop Down 494">
              <controlPr defaultSize="0" autoLine="0" autoPict="0">
                <anchor moveWithCells="1">
                  <from>
                    <xdr:col>13</xdr:col>
                    <xdr:colOff>0</xdr:colOff>
                    <xdr:row>35</xdr:row>
                    <xdr:rowOff>9525</xdr:rowOff>
                  </from>
                  <to>
                    <xdr:col>13</xdr:col>
                    <xdr:colOff>2809875</xdr:colOff>
                    <xdr:row>36</xdr:row>
                    <xdr:rowOff>9525</xdr:rowOff>
                  </to>
                </anchor>
              </controlPr>
            </control>
          </mc:Choice>
        </mc:AlternateContent>
        <mc:AlternateContent xmlns:mc="http://schemas.openxmlformats.org/markup-compatibility/2006">
          <mc:Choice Requires="x14">
            <control shapeId="13807" r:id="rId417" name="Drop Down 495">
              <controlPr defaultSize="0" autoLine="0" autoPict="0">
                <anchor moveWithCells="1">
                  <from>
                    <xdr:col>13</xdr:col>
                    <xdr:colOff>0</xdr:colOff>
                    <xdr:row>36</xdr:row>
                    <xdr:rowOff>9525</xdr:rowOff>
                  </from>
                  <to>
                    <xdr:col>13</xdr:col>
                    <xdr:colOff>2809875</xdr:colOff>
                    <xdr:row>37</xdr:row>
                    <xdr:rowOff>9525</xdr:rowOff>
                  </to>
                </anchor>
              </controlPr>
            </control>
          </mc:Choice>
        </mc:AlternateContent>
        <mc:AlternateContent xmlns:mc="http://schemas.openxmlformats.org/markup-compatibility/2006">
          <mc:Choice Requires="x14">
            <control shapeId="13808" r:id="rId418" name="Drop Down 496">
              <controlPr defaultSize="0" autoLine="0" autoPict="0">
                <anchor moveWithCells="1">
                  <from>
                    <xdr:col>13</xdr:col>
                    <xdr:colOff>0</xdr:colOff>
                    <xdr:row>37</xdr:row>
                    <xdr:rowOff>9525</xdr:rowOff>
                  </from>
                  <to>
                    <xdr:col>13</xdr:col>
                    <xdr:colOff>2809875</xdr:colOff>
                    <xdr:row>38</xdr:row>
                    <xdr:rowOff>9525</xdr:rowOff>
                  </to>
                </anchor>
              </controlPr>
            </control>
          </mc:Choice>
        </mc:AlternateContent>
        <mc:AlternateContent xmlns:mc="http://schemas.openxmlformats.org/markup-compatibility/2006">
          <mc:Choice Requires="x14">
            <control shapeId="13809" r:id="rId419" name="Drop Down 497">
              <controlPr defaultSize="0" autoLine="0" autoPict="0">
                <anchor moveWithCells="1">
                  <from>
                    <xdr:col>13</xdr:col>
                    <xdr:colOff>0</xdr:colOff>
                    <xdr:row>38</xdr:row>
                    <xdr:rowOff>9525</xdr:rowOff>
                  </from>
                  <to>
                    <xdr:col>13</xdr:col>
                    <xdr:colOff>2809875</xdr:colOff>
                    <xdr:row>39</xdr:row>
                    <xdr:rowOff>9525</xdr:rowOff>
                  </to>
                </anchor>
              </controlPr>
            </control>
          </mc:Choice>
        </mc:AlternateContent>
        <mc:AlternateContent xmlns:mc="http://schemas.openxmlformats.org/markup-compatibility/2006">
          <mc:Choice Requires="x14">
            <control shapeId="13810" r:id="rId420" name="Drop Down 498">
              <controlPr defaultSize="0" autoLine="0" autoPict="0">
                <anchor moveWithCells="1">
                  <from>
                    <xdr:col>13</xdr:col>
                    <xdr:colOff>0</xdr:colOff>
                    <xdr:row>39</xdr:row>
                    <xdr:rowOff>9525</xdr:rowOff>
                  </from>
                  <to>
                    <xdr:col>13</xdr:col>
                    <xdr:colOff>2809875</xdr:colOff>
                    <xdr:row>40</xdr:row>
                    <xdr:rowOff>9525</xdr:rowOff>
                  </to>
                </anchor>
              </controlPr>
            </control>
          </mc:Choice>
        </mc:AlternateContent>
        <mc:AlternateContent xmlns:mc="http://schemas.openxmlformats.org/markup-compatibility/2006">
          <mc:Choice Requires="x14">
            <control shapeId="13811" r:id="rId421" name="Drop Down 499">
              <controlPr defaultSize="0" autoLine="0" autoPict="0">
                <anchor moveWithCells="1">
                  <from>
                    <xdr:col>13</xdr:col>
                    <xdr:colOff>0</xdr:colOff>
                    <xdr:row>40</xdr:row>
                    <xdr:rowOff>9525</xdr:rowOff>
                  </from>
                  <to>
                    <xdr:col>13</xdr:col>
                    <xdr:colOff>2809875</xdr:colOff>
                    <xdr:row>41</xdr:row>
                    <xdr:rowOff>9525</xdr:rowOff>
                  </to>
                </anchor>
              </controlPr>
            </control>
          </mc:Choice>
        </mc:AlternateContent>
        <mc:AlternateContent xmlns:mc="http://schemas.openxmlformats.org/markup-compatibility/2006">
          <mc:Choice Requires="x14">
            <control shapeId="13812" r:id="rId422" name="Drop Down 500">
              <controlPr defaultSize="0" autoLine="0" autoPict="0">
                <anchor moveWithCells="1">
                  <from>
                    <xdr:col>13</xdr:col>
                    <xdr:colOff>0</xdr:colOff>
                    <xdr:row>41</xdr:row>
                    <xdr:rowOff>9525</xdr:rowOff>
                  </from>
                  <to>
                    <xdr:col>13</xdr:col>
                    <xdr:colOff>2809875</xdr:colOff>
                    <xdr:row>42</xdr:row>
                    <xdr:rowOff>9525</xdr:rowOff>
                  </to>
                </anchor>
              </controlPr>
            </control>
          </mc:Choice>
        </mc:AlternateContent>
        <mc:AlternateContent xmlns:mc="http://schemas.openxmlformats.org/markup-compatibility/2006">
          <mc:Choice Requires="x14">
            <control shapeId="13813" r:id="rId423" name="Drop Down 501">
              <controlPr defaultSize="0" autoLine="0" autoPict="0">
                <anchor moveWithCells="1">
                  <from>
                    <xdr:col>13</xdr:col>
                    <xdr:colOff>0</xdr:colOff>
                    <xdr:row>42</xdr:row>
                    <xdr:rowOff>9525</xdr:rowOff>
                  </from>
                  <to>
                    <xdr:col>13</xdr:col>
                    <xdr:colOff>2809875</xdr:colOff>
                    <xdr:row>43</xdr:row>
                    <xdr:rowOff>9525</xdr:rowOff>
                  </to>
                </anchor>
              </controlPr>
            </control>
          </mc:Choice>
        </mc:AlternateContent>
        <mc:AlternateContent xmlns:mc="http://schemas.openxmlformats.org/markup-compatibility/2006">
          <mc:Choice Requires="x14">
            <control shapeId="13814" r:id="rId424" name="Drop Down 502">
              <controlPr defaultSize="0" autoLine="0" autoPict="0">
                <anchor moveWithCells="1">
                  <from>
                    <xdr:col>15</xdr:col>
                    <xdr:colOff>0</xdr:colOff>
                    <xdr:row>23</xdr:row>
                    <xdr:rowOff>9525</xdr:rowOff>
                  </from>
                  <to>
                    <xdr:col>16</xdr:col>
                    <xdr:colOff>9525</xdr:colOff>
                    <xdr:row>24</xdr:row>
                    <xdr:rowOff>9525</xdr:rowOff>
                  </to>
                </anchor>
              </controlPr>
            </control>
          </mc:Choice>
        </mc:AlternateContent>
        <mc:AlternateContent xmlns:mc="http://schemas.openxmlformats.org/markup-compatibility/2006">
          <mc:Choice Requires="x14">
            <control shapeId="13815" r:id="rId425" name="Drop Down 503">
              <controlPr defaultSize="0" autoLine="0" autoPict="0">
                <anchor moveWithCells="1">
                  <from>
                    <xdr:col>15</xdr:col>
                    <xdr:colOff>0</xdr:colOff>
                    <xdr:row>24</xdr:row>
                    <xdr:rowOff>9525</xdr:rowOff>
                  </from>
                  <to>
                    <xdr:col>16</xdr:col>
                    <xdr:colOff>9525</xdr:colOff>
                    <xdr:row>25</xdr:row>
                    <xdr:rowOff>9525</xdr:rowOff>
                  </to>
                </anchor>
              </controlPr>
            </control>
          </mc:Choice>
        </mc:AlternateContent>
        <mc:AlternateContent xmlns:mc="http://schemas.openxmlformats.org/markup-compatibility/2006">
          <mc:Choice Requires="x14">
            <control shapeId="13816" r:id="rId426" name="Drop Down 504">
              <controlPr defaultSize="0" autoLine="0" autoPict="0">
                <anchor moveWithCells="1">
                  <from>
                    <xdr:col>15</xdr:col>
                    <xdr:colOff>0</xdr:colOff>
                    <xdr:row>25</xdr:row>
                    <xdr:rowOff>9525</xdr:rowOff>
                  </from>
                  <to>
                    <xdr:col>16</xdr:col>
                    <xdr:colOff>9525</xdr:colOff>
                    <xdr:row>26</xdr:row>
                    <xdr:rowOff>9525</xdr:rowOff>
                  </to>
                </anchor>
              </controlPr>
            </control>
          </mc:Choice>
        </mc:AlternateContent>
        <mc:AlternateContent xmlns:mc="http://schemas.openxmlformats.org/markup-compatibility/2006">
          <mc:Choice Requires="x14">
            <control shapeId="13817" r:id="rId427" name="Drop Down 505">
              <controlPr defaultSize="0" autoLine="0" autoPict="0">
                <anchor moveWithCells="1">
                  <from>
                    <xdr:col>15</xdr:col>
                    <xdr:colOff>0</xdr:colOff>
                    <xdr:row>26</xdr:row>
                    <xdr:rowOff>9525</xdr:rowOff>
                  </from>
                  <to>
                    <xdr:col>16</xdr:col>
                    <xdr:colOff>9525</xdr:colOff>
                    <xdr:row>27</xdr:row>
                    <xdr:rowOff>9525</xdr:rowOff>
                  </to>
                </anchor>
              </controlPr>
            </control>
          </mc:Choice>
        </mc:AlternateContent>
        <mc:AlternateContent xmlns:mc="http://schemas.openxmlformats.org/markup-compatibility/2006">
          <mc:Choice Requires="x14">
            <control shapeId="13818" r:id="rId428" name="Drop Down 506">
              <controlPr defaultSize="0" autoLine="0" autoPict="0">
                <anchor moveWithCells="1">
                  <from>
                    <xdr:col>15</xdr:col>
                    <xdr:colOff>0</xdr:colOff>
                    <xdr:row>27</xdr:row>
                    <xdr:rowOff>9525</xdr:rowOff>
                  </from>
                  <to>
                    <xdr:col>16</xdr:col>
                    <xdr:colOff>9525</xdr:colOff>
                    <xdr:row>28</xdr:row>
                    <xdr:rowOff>9525</xdr:rowOff>
                  </to>
                </anchor>
              </controlPr>
            </control>
          </mc:Choice>
        </mc:AlternateContent>
        <mc:AlternateContent xmlns:mc="http://schemas.openxmlformats.org/markup-compatibility/2006">
          <mc:Choice Requires="x14">
            <control shapeId="13819" r:id="rId429" name="Drop Down 507">
              <controlPr defaultSize="0" autoLine="0" autoPict="0">
                <anchor moveWithCells="1">
                  <from>
                    <xdr:col>15</xdr:col>
                    <xdr:colOff>0</xdr:colOff>
                    <xdr:row>28</xdr:row>
                    <xdr:rowOff>9525</xdr:rowOff>
                  </from>
                  <to>
                    <xdr:col>16</xdr:col>
                    <xdr:colOff>9525</xdr:colOff>
                    <xdr:row>29</xdr:row>
                    <xdr:rowOff>9525</xdr:rowOff>
                  </to>
                </anchor>
              </controlPr>
            </control>
          </mc:Choice>
        </mc:AlternateContent>
        <mc:AlternateContent xmlns:mc="http://schemas.openxmlformats.org/markup-compatibility/2006">
          <mc:Choice Requires="x14">
            <control shapeId="13820" r:id="rId430" name="Drop Down 508">
              <controlPr defaultSize="0" autoLine="0" autoPict="0">
                <anchor moveWithCells="1">
                  <from>
                    <xdr:col>15</xdr:col>
                    <xdr:colOff>0</xdr:colOff>
                    <xdr:row>29</xdr:row>
                    <xdr:rowOff>9525</xdr:rowOff>
                  </from>
                  <to>
                    <xdr:col>16</xdr:col>
                    <xdr:colOff>9525</xdr:colOff>
                    <xdr:row>30</xdr:row>
                    <xdr:rowOff>9525</xdr:rowOff>
                  </to>
                </anchor>
              </controlPr>
            </control>
          </mc:Choice>
        </mc:AlternateContent>
        <mc:AlternateContent xmlns:mc="http://schemas.openxmlformats.org/markup-compatibility/2006">
          <mc:Choice Requires="x14">
            <control shapeId="13821" r:id="rId431" name="Drop Down 509">
              <controlPr defaultSize="0" autoLine="0" autoPict="0">
                <anchor moveWithCells="1">
                  <from>
                    <xdr:col>15</xdr:col>
                    <xdr:colOff>0</xdr:colOff>
                    <xdr:row>30</xdr:row>
                    <xdr:rowOff>9525</xdr:rowOff>
                  </from>
                  <to>
                    <xdr:col>16</xdr:col>
                    <xdr:colOff>9525</xdr:colOff>
                    <xdr:row>31</xdr:row>
                    <xdr:rowOff>9525</xdr:rowOff>
                  </to>
                </anchor>
              </controlPr>
            </control>
          </mc:Choice>
        </mc:AlternateContent>
        <mc:AlternateContent xmlns:mc="http://schemas.openxmlformats.org/markup-compatibility/2006">
          <mc:Choice Requires="x14">
            <control shapeId="13822" r:id="rId432" name="Drop Down 510">
              <controlPr defaultSize="0" autoLine="0" autoPict="0">
                <anchor moveWithCells="1">
                  <from>
                    <xdr:col>15</xdr:col>
                    <xdr:colOff>0</xdr:colOff>
                    <xdr:row>31</xdr:row>
                    <xdr:rowOff>9525</xdr:rowOff>
                  </from>
                  <to>
                    <xdr:col>16</xdr:col>
                    <xdr:colOff>9525</xdr:colOff>
                    <xdr:row>32</xdr:row>
                    <xdr:rowOff>9525</xdr:rowOff>
                  </to>
                </anchor>
              </controlPr>
            </control>
          </mc:Choice>
        </mc:AlternateContent>
        <mc:AlternateContent xmlns:mc="http://schemas.openxmlformats.org/markup-compatibility/2006">
          <mc:Choice Requires="x14">
            <control shapeId="13823" r:id="rId433" name="Drop Down 511">
              <controlPr defaultSize="0" autoLine="0" autoPict="0">
                <anchor moveWithCells="1">
                  <from>
                    <xdr:col>15</xdr:col>
                    <xdr:colOff>0</xdr:colOff>
                    <xdr:row>32</xdr:row>
                    <xdr:rowOff>9525</xdr:rowOff>
                  </from>
                  <to>
                    <xdr:col>16</xdr:col>
                    <xdr:colOff>9525</xdr:colOff>
                    <xdr:row>33</xdr:row>
                    <xdr:rowOff>9525</xdr:rowOff>
                  </to>
                </anchor>
              </controlPr>
            </control>
          </mc:Choice>
        </mc:AlternateContent>
        <mc:AlternateContent xmlns:mc="http://schemas.openxmlformats.org/markup-compatibility/2006">
          <mc:Choice Requires="x14">
            <control shapeId="13824" r:id="rId434" name="Drop Down 512">
              <controlPr defaultSize="0" autoLine="0" autoPict="0">
                <anchor moveWithCells="1">
                  <from>
                    <xdr:col>15</xdr:col>
                    <xdr:colOff>0</xdr:colOff>
                    <xdr:row>33</xdr:row>
                    <xdr:rowOff>9525</xdr:rowOff>
                  </from>
                  <to>
                    <xdr:col>16</xdr:col>
                    <xdr:colOff>9525</xdr:colOff>
                    <xdr:row>34</xdr:row>
                    <xdr:rowOff>9525</xdr:rowOff>
                  </to>
                </anchor>
              </controlPr>
            </control>
          </mc:Choice>
        </mc:AlternateContent>
        <mc:AlternateContent xmlns:mc="http://schemas.openxmlformats.org/markup-compatibility/2006">
          <mc:Choice Requires="x14">
            <control shapeId="13825" r:id="rId435" name="Drop Down 513">
              <controlPr defaultSize="0" autoLine="0" autoPict="0">
                <anchor moveWithCells="1">
                  <from>
                    <xdr:col>15</xdr:col>
                    <xdr:colOff>0</xdr:colOff>
                    <xdr:row>34</xdr:row>
                    <xdr:rowOff>9525</xdr:rowOff>
                  </from>
                  <to>
                    <xdr:col>16</xdr:col>
                    <xdr:colOff>9525</xdr:colOff>
                    <xdr:row>35</xdr:row>
                    <xdr:rowOff>9525</xdr:rowOff>
                  </to>
                </anchor>
              </controlPr>
            </control>
          </mc:Choice>
        </mc:AlternateContent>
        <mc:AlternateContent xmlns:mc="http://schemas.openxmlformats.org/markup-compatibility/2006">
          <mc:Choice Requires="x14">
            <control shapeId="13826" r:id="rId436" name="Drop Down 514">
              <controlPr defaultSize="0" autoLine="0" autoPict="0">
                <anchor moveWithCells="1">
                  <from>
                    <xdr:col>15</xdr:col>
                    <xdr:colOff>0</xdr:colOff>
                    <xdr:row>35</xdr:row>
                    <xdr:rowOff>9525</xdr:rowOff>
                  </from>
                  <to>
                    <xdr:col>16</xdr:col>
                    <xdr:colOff>9525</xdr:colOff>
                    <xdr:row>36</xdr:row>
                    <xdr:rowOff>9525</xdr:rowOff>
                  </to>
                </anchor>
              </controlPr>
            </control>
          </mc:Choice>
        </mc:AlternateContent>
        <mc:AlternateContent xmlns:mc="http://schemas.openxmlformats.org/markup-compatibility/2006">
          <mc:Choice Requires="x14">
            <control shapeId="13827" r:id="rId437" name="Drop Down 515">
              <controlPr defaultSize="0" autoLine="0" autoPict="0">
                <anchor moveWithCells="1">
                  <from>
                    <xdr:col>15</xdr:col>
                    <xdr:colOff>0</xdr:colOff>
                    <xdr:row>36</xdr:row>
                    <xdr:rowOff>9525</xdr:rowOff>
                  </from>
                  <to>
                    <xdr:col>16</xdr:col>
                    <xdr:colOff>9525</xdr:colOff>
                    <xdr:row>37</xdr:row>
                    <xdr:rowOff>9525</xdr:rowOff>
                  </to>
                </anchor>
              </controlPr>
            </control>
          </mc:Choice>
        </mc:AlternateContent>
        <mc:AlternateContent xmlns:mc="http://schemas.openxmlformats.org/markup-compatibility/2006">
          <mc:Choice Requires="x14">
            <control shapeId="13828" r:id="rId438" name="Drop Down 516">
              <controlPr defaultSize="0" autoLine="0" autoPict="0">
                <anchor moveWithCells="1">
                  <from>
                    <xdr:col>15</xdr:col>
                    <xdr:colOff>0</xdr:colOff>
                    <xdr:row>37</xdr:row>
                    <xdr:rowOff>9525</xdr:rowOff>
                  </from>
                  <to>
                    <xdr:col>16</xdr:col>
                    <xdr:colOff>9525</xdr:colOff>
                    <xdr:row>38</xdr:row>
                    <xdr:rowOff>9525</xdr:rowOff>
                  </to>
                </anchor>
              </controlPr>
            </control>
          </mc:Choice>
        </mc:AlternateContent>
        <mc:AlternateContent xmlns:mc="http://schemas.openxmlformats.org/markup-compatibility/2006">
          <mc:Choice Requires="x14">
            <control shapeId="13829" r:id="rId439" name="Drop Down 517">
              <controlPr defaultSize="0" autoLine="0" autoPict="0">
                <anchor moveWithCells="1">
                  <from>
                    <xdr:col>15</xdr:col>
                    <xdr:colOff>0</xdr:colOff>
                    <xdr:row>38</xdr:row>
                    <xdr:rowOff>9525</xdr:rowOff>
                  </from>
                  <to>
                    <xdr:col>16</xdr:col>
                    <xdr:colOff>9525</xdr:colOff>
                    <xdr:row>39</xdr:row>
                    <xdr:rowOff>9525</xdr:rowOff>
                  </to>
                </anchor>
              </controlPr>
            </control>
          </mc:Choice>
        </mc:AlternateContent>
        <mc:AlternateContent xmlns:mc="http://schemas.openxmlformats.org/markup-compatibility/2006">
          <mc:Choice Requires="x14">
            <control shapeId="13830" r:id="rId440" name="Drop Down 518">
              <controlPr defaultSize="0" autoLine="0" autoPict="0">
                <anchor moveWithCells="1">
                  <from>
                    <xdr:col>15</xdr:col>
                    <xdr:colOff>0</xdr:colOff>
                    <xdr:row>39</xdr:row>
                    <xdr:rowOff>9525</xdr:rowOff>
                  </from>
                  <to>
                    <xdr:col>16</xdr:col>
                    <xdr:colOff>9525</xdr:colOff>
                    <xdr:row>40</xdr:row>
                    <xdr:rowOff>9525</xdr:rowOff>
                  </to>
                </anchor>
              </controlPr>
            </control>
          </mc:Choice>
        </mc:AlternateContent>
        <mc:AlternateContent xmlns:mc="http://schemas.openxmlformats.org/markup-compatibility/2006">
          <mc:Choice Requires="x14">
            <control shapeId="13831" r:id="rId441" name="Drop Down 519">
              <controlPr defaultSize="0" autoLine="0" autoPict="0">
                <anchor moveWithCells="1">
                  <from>
                    <xdr:col>15</xdr:col>
                    <xdr:colOff>0</xdr:colOff>
                    <xdr:row>40</xdr:row>
                    <xdr:rowOff>9525</xdr:rowOff>
                  </from>
                  <to>
                    <xdr:col>16</xdr:col>
                    <xdr:colOff>9525</xdr:colOff>
                    <xdr:row>41</xdr:row>
                    <xdr:rowOff>9525</xdr:rowOff>
                  </to>
                </anchor>
              </controlPr>
            </control>
          </mc:Choice>
        </mc:AlternateContent>
        <mc:AlternateContent xmlns:mc="http://schemas.openxmlformats.org/markup-compatibility/2006">
          <mc:Choice Requires="x14">
            <control shapeId="13832" r:id="rId442" name="Drop Down 520">
              <controlPr defaultSize="0" autoLine="0" autoPict="0">
                <anchor moveWithCells="1">
                  <from>
                    <xdr:col>15</xdr:col>
                    <xdr:colOff>0</xdr:colOff>
                    <xdr:row>41</xdr:row>
                    <xdr:rowOff>9525</xdr:rowOff>
                  </from>
                  <to>
                    <xdr:col>16</xdr:col>
                    <xdr:colOff>9525</xdr:colOff>
                    <xdr:row>42</xdr:row>
                    <xdr:rowOff>9525</xdr:rowOff>
                  </to>
                </anchor>
              </controlPr>
            </control>
          </mc:Choice>
        </mc:AlternateContent>
        <mc:AlternateContent xmlns:mc="http://schemas.openxmlformats.org/markup-compatibility/2006">
          <mc:Choice Requires="x14">
            <control shapeId="13833" r:id="rId443" name="Drop Down 521">
              <controlPr defaultSize="0" autoLine="0" autoPict="0">
                <anchor moveWithCells="1">
                  <from>
                    <xdr:col>15</xdr:col>
                    <xdr:colOff>0</xdr:colOff>
                    <xdr:row>42</xdr:row>
                    <xdr:rowOff>9525</xdr:rowOff>
                  </from>
                  <to>
                    <xdr:col>16</xdr:col>
                    <xdr:colOff>9525</xdr:colOff>
                    <xdr:row>43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264"/>
  <sheetViews>
    <sheetView topLeftCell="Y31" workbookViewId="0">
      <selection activeCell="AC60" sqref="AC60"/>
    </sheetView>
  </sheetViews>
  <sheetFormatPr defaultRowHeight="12.75" x14ac:dyDescent="0.2"/>
  <cols>
    <col min="1" max="1" width="35.140625" customWidth="1"/>
    <col min="2" max="2" width="18.28515625" customWidth="1"/>
    <col min="3" max="3" width="14.140625" customWidth="1"/>
    <col min="4" max="4" width="9.42578125" customWidth="1"/>
    <col min="5" max="5" width="22.42578125" bestFit="1" customWidth="1"/>
    <col min="6" max="6" width="14.42578125" customWidth="1"/>
    <col min="7" max="7" width="10.42578125" customWidth="1"/>
    <col min="8" max="8" width="14" customWidth="1"/>
    <col min="9" max="9" width="11.140625" customWidth="1"/>
    <col min="10" max="10" width="12.85546875" customWidth="1"/>
    <col min="11" max="11" width="22.42578125" bestFit="1" customWidth="1"/>
    <col min="13" max="13" width="19.7109375" customWidth="1"/>
    <col min="14" max="14" width="10.42578125" customWidth="1"/>
    <col min="15" max="15" width="23.42578125" bestFit="1" customWidth="1"/>
    <col min="17" max="17" width="11.85546875" customWidth="1"/>
    <col min="18" max="18" width="12.28515625" customWidth="1"/>
    <col min="19" max="19" width="19.42578125" bestFit="1" customWidth="1"/>
    <col min="21" max="21" width="10.5703125" customWidth="1"/>
    <col min="23" max="23" width="49.140625" bestFit="1" customWidth="1"/>
    <col min="25" max="25" width="11.140625" customWidth="1"/>
    <col min="27" max="27" width="14" customWidth="1"/>
    <col min="29" max="29" width="11.7109375" customWidth="1"/>
    <col min="31" max="31" width="11.5703125" customWidth="1"/>
    <col min="33" max="33" width="30.140625" customWidth="1"/>
    <col min="35" max="35" width="10.42578125" customWidth="1"/>
    <col min="36" max="37" width="10.5703125" customWidth="1"/>
    <col min="39" max="39" width="10.85546875" customWidth="1"/>
    <col min="40" max="40" width="10.7109375" bestFit="1" customWidth="1"/>
    <col min="41" max="41" width="10.7109375" customWidth="1"/>
    <col min="43" max="43" width="11.28515625" customWidth="1"/>
    <col min="45" max="45" width="10.5703125" customWidth="1"/>
    <col min="47" max="47" width="11.28515625" customWidth="1"/>
    <col min="92" max="92" width="10.7109375" bestFit="1" customWidth="1"/>
    <col min="105" max="105" width="13.28515625" customWidth="1"/>
    <col min="189" max="189" width="11.5703125" customWidth="1"/>
    <col min="191" max="191" width="12.7109375" customWidth="1"/>
    <col min="192" max="192" width="11.7109375" customWidth="1"/>
    <col min="195" max="195" width="13.42578125" customWidth="1"/>
  </cols>
  <sheetData>
    <row r="1" spans="1:216" x14ac:dyDescent="0.2">
      <c r="K1" s="564" t="s">
        <v>531</v>
      </c>
      <c r="L1" s="564"/>
      <c r="M1" s="89"/>
      <c r="N1" s="89"/>
      <c r="O1" s="89"/>
      <c r="P1" s="89"/>
      <c r="Q1" s="89"/>
      <c r="R1" s="89"/>
      <c r="S1" s="89"/>
      <c r="T1" s="89"/>
      <c r="U1" s="89"/>
      <c r="V1" s="89"/>
      <c r="W1" s="89"/>
      <c r="X1" s="89"/>
      <c r="Y1" s="89"/>
      <c r="Z1" s="89"/>
      <c r="AA1" s="89"/>
      <c r="AB1" s="89"/>
      <c r="AC1" s="89"/>
      <c r="AD1" s="89"/>
      <c r="AE1" s="89"/>
      <c r="AF1" s="89"/>
      <c r="AG1" s="155" t="s">
        <v>498</v>
      </c>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155" t="s">
        <v>528</v>
      </c>
      <c r="BK1" s="89"/>
      <c r="BL1" s="89"/>
      <c r="BM1" s="89"/>
      <c r="BN1" s="89"/>
      <c r="BO1" s="89"/>
      <c r="BP1" s="89"/>
      <c r="BQ1" s="89"/>
      <c r="BR1" s="89"/>
      <c r="BS1" s="89"/>
      <c r="BT1" s="89"/>
      <c r="BU1" s="89"/>
      <c r="BW1" s="118" t="s">
        <v>532</v>
      </c>
      <c r="CJ1" s="118" t="s">
        <v>538</v>
      </c>
      <c r="CX1" s="566" t="s">
        <v>31</v>
      </c>
      <c r="CY1" s="566"/>
      <c r="CZ1" s="566"/>
      <c r="DA1" s="566"/>
      <c r="DC1" s="127" t="s">
        <v>531</v>
      </c>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155" t="s">
        <v>528</v>
      </c>
      <c r="EU1" s="89"/>
      <c r="EV1" s="89"/>
      <c r="EW1" s="89"/>
      <c r="EX1" s="89"/>
      <c r="EY1" s="89"/>
      <c r="EZ1" s="89"/>
      <c r="FA1" s="89"/>
      <c r="FB1" s="89"/>
      <c r="FC1" s="89"/>
      <c r="FD1" s="89"/>
      <c r="FE1" s="89"/>
      <c r="FG1" s="118" t="s">
        <v>532</v>
      </c>
      <c r="FT1" s="118" t="s">
        <v>538</v>
      </c>
      <c r="GG1" s="565" t="s">
        <v>56</v>
      </c>
      <c r="GH1" s="565"/>
      <c r="GJ1" s="565" t="s">
        <v>56</v>
      </c>
      <c r="GK1" s="565"/>
      <c r="GS1" s="118" t="s">
        <v>451</v>
      </c>
      <c r="GV1" s="118" t="s">
        <v>451</v>
      </c>
      <c r="GZ1" s="565" t="s">
        <v>723</v>
      </c>
      <c r="HA1" s="565"/>
      <c r="HB1" s="565"/>
      <c r="HC1" s="565"/>
      <c r="HE1" s="565" t="s">
        <v>725</v>
      </c>
      <c r="HF1" s="565"/>
      <c r="HG1" s="565"/>
      <c r="HH1" s="565"/>
    </row>
    <row r="2" spans="1:216" x14ac:dyDescent="0.2">
      <c r="A2" s="19" t="s">
        <v>218</v>
      </c>
      <c r="B2" s="20" t="s">
        <v>170</v>
      </c>
      <c r="C2" s="20" t="s">
        <v>225</v>
      </c>
      <c r="D2" s="21" t="s">
        <v>62</v>
      </c>
      <c r="E2" s="21" t="s">
        <v>63</v>
      </c>
      <c r="F2" s="34" t="s">
        <v>219</v>
      </c>
      <c r="G2" s="21" t="s">
        <v>64</v>
      </c>
      <c r="H2" s="22" t="s">
        <v>63</v>
      </c>
      <c r="I2" s="22" t="s">
        <v>65</v>
      </c>
      <c r="K2" s="125" t="s">
        <v>444</v>
      </c>
      <c r="L2" s="125" t="s">
        <v>445</v>
      </c>
      <c r="M2" s="125" t="s">
        <v>446</v>
      </c>
      <c r="N2" s="125" t="s">
        <v>447</v>
      </c>
      <c r="O2" s="125" t="s">
        <v>448</v>
      </c>
      <c r="P2" s="125" t="s">
        <v>449</v>
      </c>
      <c r="Q2" s="125" t="s">
        <v>451</v>
      </c>
      <c r="R2" s="125" t="s">
        <v>450</v>
      </c>
      <c r="S2" s="125"/>
      <c r="T2" s="125" t="s">
        <v>452</v>
      </c>
      <c r="U2" s="125" t="s">
        <v>453</v>
      </c>
      <c r="V2" s="125" t="s">
        <v>398</v>
      </c>
      <c r="W2" s="125" t="s">
        <v>399</v>
      </c>
      <c r="X2" s="125" t="s">
        <v>400</v>
      </c>
      <c r="Y2" s="125" t="s">
        <v>401</v>
      </c>
      <c r="Z2" s="125" t="s">
        <v>402</v>
      </c>
      <c r="AA2" s="125" t="s">
        <v>454</v>
      </c>
      <c r="AB2" s="125" t="s">
        <v>455</v>
      </c>
      <c r="AC2" s="125" t="s">
        <v>456</v>
      </c>
      <c r="AD2" s="125" t="s">
        <v>457</v>
      </c>
      <c r="AE2" s="125" t="s">
        <v>458</v>
      </c>
      <c r="AF2" s="155"/>
      <c r="AG2" s="155" t="s">
        <v>67</v>
      </c>
      <c r="AH2" s="155" t="s">
        <v>68</v>
      </c>
      <c r="AI2" s="155" t="s">
        <v>69</v>
      </c>
      <c r="AJ2" s="155" t="s">
        <v>70</v>
      </c>
      <c r="AK2" s="155"/>
      <c r="AL2" s="125" t="s">
        <v>589</v>
      </c>
      <c r="AM2" s="125" t="s">
        <v>590</v>
      </c>
      <c r="AN2" s="125" t="s">
        <v>591</v>
      </c>
      <c r="AO2" s="125" t="s">
        <v>447</v>
      </c>
      <c r="AP2" s="125" t="s">
        <v>448</v>
      </c>
      <c r="AQ2" s="125" t="s">
        <v>449</v>
      </c>
      <c r="AR2" s="125" t="s">
        <v>451</v>
      </c>
      <c r="AS2" s="125" t="s">
        <v>450</v>
      </c>
      <c r="AT2" s="125"/>
      <c r="AU2" s="125" t="s">
        <v>452</v>
      </c>
      <c r="AV2" s="125" t="s">
        <v>453</v>
      </c>
      <c r="AW2" s="125" t="s">
        <v>398</v>
      </c>
      <c r="AX2" s="125" t="s">
        <v>399</v>
      </c>
      <c r="AY2" s="125" t="s">
        <v>400</v>
      </c>
      <c r="AZ2" s="125" t="s">
        <v>401</v>
      </c>
      <c r="BA2" s="125" t="s">
        <v>402</v>
      </c>
      <c r="BB2" s="125" t="s">
        <v>454</v>
      </c>
      <c r="BC2" s="125" t="s">
        <v>455</v>
      </c>
      <c r="BD2" s="125" t="s">
        <v>456</v>
      </c>
      <c r="BE2" s="125" t="s">
        <v>457</v>
      </c>
      <c r="BF2" s="125" t="s">
        <v>458</v>
      </c>
      <c r="BG2" s="155"/>
      <c r="BH2" s="155" t="s">
        <v>370</v>
      </c>
      <c r="BI2" s="155"/>
      <c r="BJ2" s="125" t="s">
        <v>452</v>
      </c>
      <c r="BK2" s="125" t="s">
        <v>453</v>
      </c>
      <c r="BL2" s="125" t="s">
        <v>398</v>
      </c>
      <c r="BM2" s="125" t="s">
        <v>399</v>
      </c>
      <c r="BN2" s="125" t="s">
        <v>400</v>
      </c>
      <c r="BO2" s="125" t="s">
        <v>401</v>
      </c>
      <c r="BP2" s="125" t="s">
        <v>402</v>
      </c>
      <c r="BQ2" s="125" t="s">
        <v>454</v>
      </c>
      <c r="BR2" s="125" t="s">
        <v>455</v>
      </c>
      <c r="BS2" s="125" t="s">
        <v>456</v>
      </c>
      <c r="BT2" s="125" t="s">
        <v>457</v>
      </c>
      <c r="BU2" s="125" t="s">
        <v>458</v>
      </c>
      <c r="BW2" s="125" t="s">
        <v>452</v>
      </c>
      <c r="BX2" s="125" t="s">
        <v>453</v>
      </c>
      <c r="BY2" s="125" t="s">
        <v>398</v>
      </c>
      <c r="BZ2" s="125" t="s">
        <v>399</v>
      </c>
      <c r="CA2" s="125" t="s">
        <v>400</v>
      </c>
      <c r="CB2" s="125" t="s">
        <v>401</v>
      </c>
      <c r="CC2" s="125" t="s">
        <v>402</v>
      </c>
      <c r="CD2" s="125" t="s">
        <v>454</v>
      </c>
      <c r="CE2" s="125" t="s">
        <v>455</v>
      </c>
      <c r="CF2" s="125" t="s">
        <v>456</v>
      </c>
      <c r="CG2" s="125" t="s">
        <v>457</v>
      </c>
      <c r="CH2" s="125" t="s">
        <v>458</v>
      </c>
      <c r="CJ2" s="125" t="s">
        <v>452</v>
      </c>
      <c r="CK2" s="125" t="s">
        <v>453</v>
      </c>
      <c r="CL2" s="125" t="s">
        <v>398</v>
      </c>
      <c r="CM2" s="125" t="s">
        <v>399</v>
      </c>
      <c r="CN2" s="125" t="s">
        <v>400</v>
      </c>
      <c r="CO2" s="125" t="s">
        <v>401</v>
      </c>
      <c r="CP2" s="125" t="s">
        <v>402</v>
      </c>
      <c r="CQ2" s="125" t="s">
        <v>454</v>
      </c>
      <c r="CR2" s="125" t="s">
        <v>455</v>
      </c>
      <c r="CS2" s="125" t="s">
        <v>456</v>
      </c>
      <c r="CT2" s="125" t="s">
        <v>457</v>
      </c>
      <c r="CU2" s="125" t="s">
        <v>458</v>
      </c>
      <c r="CX2" s="22" t="s">
        <v>224</v>
      </c>
      <c r="CY2" s="22" t="s">
        <v>135</v>
      </c>
      <c r="CZ2" s="22" t="s">
        <v>282</v>
      </c>
      <c r="DA2" s="22" t="s">
        <v>349</v>
      </c>
      <c r="DC2" s="125" t="s">
        <v>444</v>
      </c>
      <c r="DD2" s="125" t="s">
        <v>445</v>
      </c>
      <c r="DE2" s="125" t="s">
        <v>446</v>
      </c>
      <c r="DF2" s="125" t="s">
        <v>447</v>
      </c>
      <c r="DG2" s="125" t="s">
        <v>448</v>
      </c>
      <c r="DH2" s="125" t="s">
        <v>449</v>
      </c>
      <c r="DI2" s="125" t="s">
        <v>451</v>
      </c>
      <c r="DJ2" s="125" t="s">
        <v>450</v>
      </c>
      <c r="DK2" s="125"/>
      <c r="DL2" s="125" t="s">
        <v>452</v>
      </c>
      <c r="DM2" s="125" t="s">
        <v>453</v>
      </c>
      <c r="DN2" s="125" t="s">
        <v>398</v>
      </c>
      <c r="DO2" s="125" t="s">
        <v>399</v>
      </c>
      <c r="DP2" s="125" t="s">
        <v>400</v>
      </c>
      <c r="DQ2" s="125" t="s">
        <v>401</v>
      </c>
      <c r="DR2" s="125" t="s">
        <v>402</v>
      </c>
      <c r="DS2" s="125" t="s">
        <v>454</v>
      </c>
      <c r="DT2" s="125" t="s">
        <v>455</v>
      </c>
      <c r="DU2" s="125" t="s">
        <v>456</v>
      </c>
      <c r="DV2" s="125" t="s">
        <v>457</v>
      </c>
      <c r="DW2" s="125" t="s">
        <v>458</v>
      </c>
      <c r="DX2" s="155"/>
      <c r="DY2" s="125" t="s">
        <v>447</v>
      </c>
      <c r="DZ2" s="125" t="s">
        <v>448</v>
      </c>
      <c r="EA2" s="125" t="s">
        <v>449</v>
      </c>
      <c r="EB2" s="125" t="s">
        <v>451</v>
      </c>
      <c r="EC2" s="125" t="s">
        <v>450</v>
      </c>
      <c r="ED2" s="125"/>
      <c r="EE2" s="125" t="s">
        <v>452</v>
      </c>
      <c r="EF2" s="125" t="s">
        <v>453</v>
      </c>
      <c r="EG2" s="125" t="s">
        <v>398</v>
      </c>
      <c r="EH2" s="125" t="s">
        <v>399</v>
      </c>
      <c r="EI2" s="125" t="s">
        <v>400</v>
      </c>
      <c r="EJ2" s="125" t="s">
        <v>401</v>
      </c>
      <c r="EK2" s="125" t="s">
        <v>402</v>
      </c>
      <c r="EL2" s="125" t="s">
        <v>454</v>
      </c>
      <c r="EM2" s="125" t="s">
        <v>455</v>
      </c>
      <c r="EN2" s="125" t="s">
        <v>456</v>
      </c>
      <c r="EO2" s="125" t="s">
        <v>457</v>
      </c>
      <c r="EP2" s="125" t="s">
        <v>458</v>
      </c>
      <c r="EQ2" s="155"/>
      <c r="ER2" s="155" t="s">
        <v>370</v>
      </c>
      <c r="ES2" s="155"/>
      <c r="ET2" s="125" t="s">
        <v>452</v>
      </c>
      <c r="EU2" s="125" t="s">
        <v>453</v>
      </c>
      <c r="EV2" s="125" t="s">
        <v>398</v>
      </c>
      <c r="EW2" s="125" t="s">
        <v>399</v>
      </c>
      <c r="EX2" s="125" t="s">
        <v>400</v>
      </c>
      <c r="EY2" s="125" t="s">
        <v>401</v>
      </c>
      <c r="EZ2" s="125" t="s">
        <v>402</v>
      </c>
      <c r="FA2" s="125" t="s">
        <v>454</v>
      </c>
      <c r="FB2" s="125" t="s">
        <v>455</v>
      </c>
      <c r="FC2" s="125" t="s">
        <v>456</v>
      </c>
      <c r="FD2" s="125" t="s">
        <v>457</v>
      </c>
      <c r="FE2" s="125" t="s">
        <v>458</v>
      </c>
      <c r="FG2" s="125" t="s">
        <v>452</v>
      </c>
      <c r="FH2" s="125" t="s">
        <v>453</v>
      </c>
      <c r="FI2" s="125" t="s">
        <v>398</v>
      </c>
      <c r="FJ2" s="125" t="s">
        <v>399</v>
      </c>
      <c r="FK2" s="125" t="s">
        <v>400</v>
      </c>
      <c r="FL2" s="125" t="s">
        <v>401</v>
      </c>
      <c r="FM2" s="125" t="s">
        <v>402</v>
      </c>
      <c r="FN2" s="125" t="s">
        <v>454</v>
      </c>
      <c r="FO2" s="125" t="s">
        <v>455</v>
      </c>
      <c r="FP2" s="125" t="s">
        <v>456</v>
      </c>
      <c r="FQ2" s="125" t="s">
        <v>457</v>
      </c>
      <c r="FR2" s="125" t="s">
        <v>458</v>
      </c>
      <c r="FT2" s="125" t="s">
        <v>452</v>
      </c>
      <c r="FU2" s="125" t="s">
        <v>453</v>
      </c>
      <c r="FV2" s="125" t="s">
        <v>398</v>
      </c>
      <c r="FW2" s="125" t="s">
        <v>399</v>
      </c>
      <c r="FX2" s="125" t="s">
        <v>400</v>
      </c>
      <c r="FY2" s="125" t="s">
        <v>401</v>
      </c>
      <c r="FZ2" s="125" t="s">
        <v>402</v>
      </c>
      <c r="GA2" s="125" t="s">
        <v>454</v>
      </c>
      <c r="GB2" s="125" t="s">
        <v>455</v>
      </c>
      <c r="GC2" s="125" t="s">
        <v>456</v>
      </c>
      <c r="GD2" s="125" t="s">
        <v>457</v>
      </c>
      <c r="GE2" s="125" t="s">
        <v>458</v>
      </c>
      <c r="GG2" s="125" t="s">
        <v>604</v>
      </c>
      <c r="GH2" s="125" t="s">
        <v>224</v>
      </c>
      <c r="GI2" s="125" t="s">
        <v>627</v>
      </c>
      <c r="GJ2" s="125" t="s">
        <v>607</v>
      </c>
      <c r="GK2" s="125" t="s">
        <v>135</v>
      </c>
      <c r="GL2" s="125" t="s">
        <v>614</v>
      </c>
      <c r="GM2" s="125" t="s">
        <v>135</v>
      </c>
      <c r="GN2" s="125" t="s">
        <v>606</v>
      </c>
      <c r="GO2" s="125" t="s">
        <v>105</v>
      </c>
      <c r="GP2" s="125" t="s">
        <v>282</v>
      </c>
      <c r="GR2" s="125" t="s">
        <v>721</v>
      </c>
      <c r="GS2" s="125" t="s">
        <v>722</v>
      </c>
      <c r="GT2" s="125" t="s">
        <v>135</v>
      </c>
      <c r="GU2" s="125" t="s">
        <v>724</v>
      </c>
      <c r="GV2" s="125" t="s">
        <v>722</v>
      </c>
      <c r="GW2" s="125" t="s">
        <v>135</v>
      </c>
      <c r="GX2" s="125" t="s">
        <v>724</v>
      </c>
      <c r="GZ2" s="125" t="s">
        <v>67</v>
      </c>
      <c r="HA2" s="125" t="s">
        <v>68</v>
      </c>
      <c r="HB2" s="125" t="s">
        <v>69</v>
      </c>
      <c r="HC2" s="125" t="s">
        <v>70</v>
      </c>
      <c r="HE2" s="125" t="s">
        <v>67</v>
      </c>
      <c r="HF2" s="125" t="s">
        <v>68</v>
      </c>
      <c r="HG2" s="125" t="s">
        <v>69</v>
      </c>
      <c r="HH2" s="125" t="s">
        <v>70</v>
      </c>
    </row>
    <row r="3" spans="1:216" x14ac:dyDescent="0.2">
      <c r="A3">
        <v>1</v>
      </c>
      <c r="B3">
        <v>1</v>
      </c>
      <c r="C3">
        <v>1</v>
      </c>
      <c r="D3">
        <f>'Invoer Gebouwschil'!D3</f>
        <v>0</v>
      </c>
      <c r="E3">
        <v>1</v>
      </c>
      <c r="F3">
        <v>1</v>
      </c>
      <c r="G3">
        <f>'Invoer Gebouwschil'!H3</f>
        <v>0</v>
      </c>
      <c r="H3">
        <v>1</v>
      </c>
      <c r="I3">
        <v>1</v>
      </c>
      <c r="K3" s="89">
        <f>INDEX('Verwerking Bouwdelen'!$B$79:$B$103,'Verwerking Bouwdelen'!E3)</f>
        <v>0</v>
      </c>
      <c r="L3" s="89">
        <v>0.13</v>
      </c>
      <c r="M3" s="89">
        <f>IF(F3=2,0.04,IF(F3=3,0.13,IF(F3=4,0.13,IF(F3=5,0.13,0))))</f>
        <v>0</v>
      </c>
      <c r="N3" s="89">
        <f>IF(F3=6,1/((1/1/(L4+M4+'Invoer Gebouwschil'!F3))+5),1/(L3+M3+'Invoer Gebouwschil'!F3))</f>
        <v>7.6923076923076916</v>
      </c>
      <c r="O3" s="89">
        <v>0.1</v>
      </c>
      <c r="P3" s="28">
        <f>IF(F3&lt;3,1,IF(F3=3,1/(1+((N3)/10)),IF(F3=4,1/(1+((N3)/3)),(1/(1+N3)))))</f>
        <v>1</v>
      </c>
      <c r="Q3" s="89">
        <f t="shared" ref="Q3:Q44" si="0">(D3-G3)*P3*(N3+O3)</f>
        <v>0</v>
      </c>
      <c r="R3" s="89">
        <v>19</v>
      </c>
      <c r="S3" s="89"/>
      <c r="T3" s="89">
        <f>$Q3*($R3-Klimaatdata!$B$7)*2.63</f>
        <v>0</v>
      </c>
      <c r="U3" s="89">
        <f>$Q3*($R3-Klimaatdata!$B$8)*2.63</f>
        <v>0</v>
      </c>
      <c r="V3" s="89">
        <f>$Q3*($R3-Klimaatdata!$B$9)*2.63</f>
        <v>0</v>
      </c>
      <c r="W3" s="89">
        <f>$Q3*($R3-Klimaatdata!$B$10)*2.63</f>
        <v>0</v>
      </c>
      <c r="X3" s="89">
        <f>$Q3*($R3-Klimaatdata!$B$11)*2.63</f>
        <v>0</v>
      </c>
      <c r="Y3" s="89">
        <f>$Q3*($R3-Klimaatdata!$B$12)*2.63</f>
        <v>0</v>
      </c>
      <c r="Z3" s="89">
        <f>$Q3*($R3-Klimaatdata!$B$13)*2.63</f>
        <v>0</v>
      </c>
      <c r="AA3" s="89">
        <f>$Q3*($R3-Klimaatdata!$B$14)*2.63</f>
        <v>0</v>
      </c>
      <c r="AB3" s="89">
        <f>$Q3*($R3-Klimaatdata!$B$15)*2.63</f>
        <v>0</v>
      </c>
      <c r="AC3" s="89">
        <f>$Q3*($R3-Klimaatdata!$B$16)*2.63</f>
        <v>0</v>
      </c>
      <c r="AD3" s="89">
        <f>$Q3*($R3-Klimaatdata!$B$17)*2.63</f>
        <v>0</v>
      </c>
      <c r="AE3" s="89">
        <f>$Q3*($R3-Klimaatdata!$B$18)*2.63</f>
        <v>0</v>
      </c>
      <c r="AF3" s="89"/>
      <c r="AG3" s="202">
        <f>IF(AND($A3=2,$C3=2),$D3,0)</f>
        <v>0</v>
      </c>
      <c r="AH3" s="203">
        <f>IF(AND($A3=3,$C3=2),$D3,0)</f>
        <v>0</v>
      </c>
      <c r="AI3" s="203">
        <f>IF(AND($A3=4,$C3=2),$D3,0)</f>
        <v>0</v>
      </c>
      <c r="AJ3" s="204">
        <f>IF(AND($A3=5,$C3=2),$D3,0)</f>
        <v>0</v>
      </c>
      <c r="AK3" s="25"/>
      <c r="AL3" s="89">
        <f>IF(F3&gt;3,0.7,1)</f>
        <v>1</v>
      </c>
      <c r="AM3" s="89">
        <f>D3</f>
        <v>0</v>
      </c>
      <c r="AN3" s="89">
        <f>AL3*AM3</f>
        <v>0</v>
      </c>
      <c r="AO3" s="89">
        <f>INDEX($X$106:$X$130,H3)</f>
        <v>0</v>
      </c>
      <c r="AP3" s="89">
        <v>0.1</v>
      </c>
      <c r="AQ3" s="28">
        <v>1</v>
      </c>
      <c r="AR3" s="89">
        <f t="shared" ref="AR3:AR44" si="1">G3*AQ3*(AO3+AP3)</f>
        <v>0</v>
      </c>
      <c r="AS3" s="89">
        <v>19</v>
      </c>
      <c r="AT3" s="89"/>
      <c r="AU3" s="89">
        <f>$AR3*($R3-Klimaatdata!$B$7)*2.63</f>
        <v>0</v>
      </c>
      <c r="AV3" s="89">
        <f>$AR3*($R3-Klimaatdata!$B$8)*2.63</f>
        <v>0</v>
      </c>
      <c r="AW3" s="89">
        <f>$AR3*($R3-Klimaatdata!$B$9)*2.63</f>
        <v>0</v>
      </c>
      <c r="AX3" s="89">
        <f>$AR3*($R3-Klimaatdata!$B$10)*2.63</f>
        <v>0</v>
      </c>
      <c r="AY3" s="89">
        <f>$AR3*($R3-Klimaatdata!$B$11)*2.63</f>
        <v>0</v>
      </c>
      <c r="AZ3" s="89">
        <f>$AR3*($R3-Klimaatdata!$B$12)*2.63</f>
        <v>0</v>
      </c>
      <c r="BA3" s="89">
        <f>$AR3*($R3-Klimaatdata!$B$13)*2.63</f>
        <v>0</v>
      </c>
      <c r="BB3" s="89">
        <f>$AR3*($R3-Klimaatdata!$B$14)*2.63</f>
        <v>0</v>
      </c>
      <c r="BC3" s="89">
        <f>$AR3*($R3-Klimaatdata!$B$15)*2.63</f>
        <v>0</v>
      </c>
      <c r="BD3" s="89">
        <f>$AR3*($R3-Klimaatdata!$B$16)*2.63</f>
        <v>0</v>
      </c>
      <c r="BE3" s="89">
        <f>$AR3*($R3-Klimaatdata!$B$17)*2.63</f>
        <v>0</v>
      </c>
      <c r="BF3" s="89">
        <f>$AR3*($R3-Klimaatdata!$B$18)*2.63</f>
        <v>0</v>
      </c>
      <c r="BG3" s="25"/>
      <c r="BH3" s="89">
        <f>INDEX('Verwerking Bouwdelen'!$Y$106:$Y$130,H3)</f>
        <v>0</v>
      </c>
      <c r="BI3" s="89"/>
      <c r="BJ3" s="89">
        <f>INDEX(Klimaatdata!$B$27:$K$38,1,$B3)</f>
        <v>0</v>
      </c>
      <c r="BK3" s="89">
        <f>INDEX(Klimaatdata!$B$27:$K$38,2,$B3)</f>
        <v>0</v>
      </c>
      <c r="BL3" s="89">
        <f>INDEX(Klimaatdata!$B$27:$K$38,3,$B3)</f>
        <v>0</v>
      </c>
      <c r="BM3" s="89">
        <f>INDEX(Klimaatdata!$B$27:$K$38,4,$B3)</f>
        <v>0</v>
      </c>
      <c r="BN3" s="89">
        <f>INDEX(Klimaatdata!$B$27:$K$38,5,$B3)</f>
        <v>0</v>
      </c>
      <c r="BO3" s="89">
        <f>INDEX(Klimaatdata!$B$27:$K$38,6,$B3)</f>
        <v>0</v>
      </c>
      <c r="BP3" s="89">
        <f>INDEX(Klimaatdata!$B$27:$K$38,7,$B3)</f>
        <v>0</v>
      </c>
      <c r="BQ3" s="89">
        <f>INDEX(Klimaatdata!$B$27:$K$38,8,$B3)</f>
        <v>0</v>
      </c>
      <c r="BR3" s="89">
        <f>INDEX(Klimaatdata!$B$27:$K$38,9,$B3)</f>
        <v>0</v>
      </c>
      <c r="BS3" s="89">
        <f>INDEX(Klimaatdata!$B$27:$K$38,10,$B3)</f>
        <v>0</v>
      </c>
      <c r="BT3" s="89">
        <f>INDEX(Klimaatdata!$B$27:$K$38,11,$B3)</f>
        <v>0</v>
      </c>
      <c r="BU3" s="89">
        <f>INDEX(Klimaatdata!$B$27:$K$38,12,$B3)</f>
        <v>0</v>
      </c>
      <c r="BW3">
        <f t="shared" ref="BW3:BW44" si="2">INDEX($N$59:$Y$66,$I3,1)</f>
        <v>1</v>
      </c>
      <c r="BX3">
        <f t="shared" ref="BX3:BX44" si="3">INDEX($N$59:$Y$66,$I3,2)</f>
        <v>1</v>
      </c>
      <c r="BY3">
        <f t="shared" ref="BY3:BY44" si="4">INDEX($N$59:$Y$66,$I3,3)</f>
        <v>1</v>
      </c>
      <c r="BZ3">
        <f t="shared" ref="BZ3:BZ44" si="5">INDEX($N$59:$Y$66,$I3,4)</f>
        <v>1</v>
      </c>
      <c r="CA3">
        <f t="shared" ref="CA3:CA44" si="6">INDEX($N$59:$Y$66,$I3,5)</f>
        <v>1</v>
      </c>
      <c r="CB3">
        <f t="shared" ref="CB3:CB44" si="7">INDEX($N$59:$Y$66,$I3,6)</f>
        <v>1</v>
      </c>
      <c r="CC3">
        <f t="shared" ref="CC3:CC44" si="8">INDEX($N$59:$Y$66,$I3,7)</f>
        <v>1</v>
      </c>
      <c r="CD3">
        <f t="shared" ref="CD3:CD44" si="9">INDEX($N$59:$Y$66,$I3,8)</f>
        <v>1</v>
      </c>
      <c r="CE3">
        <f t="shared" ref="CE3:CE44" si="10">INDEX($N$59:$Y$66,$I3,9)</f>
        <v>1</v>
      </c>
      <c r="CF3">
        <f t="shared" ref="CF3:CF44" si="11">INDEX($N$59:$Y$66,$I3,10)</f>
        <v>1</v>
      </c>
      <c r="CG3">
        <f t="shared" ref="CG3:CG44" si="12">INDEX($N$59:$Y$66,$I3,11)</f>
        <v>1</v>
      </c>
      <c r="CH3">
        <f t="shared" ref="CH3:CH44" si="13">INDEX($N$59:$Y$66,$I3,12)</f>
        <v>1</v>
      </c>
      <c r="CJ3" s="219">
        <f>Klimaatdata!$D$7*BJ3*BW3*$BH3*$G3*0.75</f>
        <v>0</v>
      </c>
      <c r="CK3" s="219">
        <f>Klimaatdata!$E$7*BK3*BX3*$BH3*$G3*0.75</f>
        <v>0</v>
      </c>
      <c r="CL3" s="219">
        <f>Klimaatdata!$F$7*BL3*BY3*$BH3*$G3*0.75</f>
        <v>0</v>
      </c>
      <c r="CM3" s="219">
        <f>Klimaatdata!$G$7*BM3*BZ3*$BH3*$G3*0.75</f>
        <v>0</v>
      </c>
      <c r="CN3" s="219">
        <f>Klimaatdata!$H$7*BN3*CA3*$BH3*$G3*0.75</f>
        <v>0</v>
      </c>
      <c r="CO3" s="219">
        <f>Klimaatdata!$I$7*BO3*CB3*$BH3*$G3*0.75</f>
        <v>0</v>
      </c>
      <c r="CP3" s="219">
        <f>Klimaatdata!$J$7*BP3*CC3*$BH3*$G3*0.75</f>
        <v>0</v>
      </c>
      <c r="CQ3" s="219">
        <f>Klimaatdata!$K$7*BQ3*CD3*$BH3*$G3*0.75</f>
        <v>0</v>
      </c>
      <c r="CR3" s="219">
        <f>Klimaatdata!$L$7*BR3*CE3*$BH3*$G3*0.75</f>
        <v>0</v>
      </c>
      <c r="CS3" s="219">
        <f>Klimaatdata!$M$7*BS3*CF3*$BH3*$G3*0.75</f>
        <v>0</v>
      </c>
      <c r="CT3" s="219">
        <f>Klimaatdata!$N$7*BT3*CG3*$BH3*$G3*0.75</f>
        <v>0</v>
      </c>
      <c r="CU3" s="219">
        <f>Klimaatdata!$O$7*BU3*CH3*$BH3*$G3*0.75</f>
        <v>0</v>
      </c>
      <c r="CX3">
        <v>1</v>
      </c>
      <c r="CY3">
        <v>1</v>
      </c>
      <c r="CZ3">
        <v>1</v>
      </c>
      <c r="DA3">
        <f>'Invoer Gebouwschil'!Q3</f>
        <v>0</v>
      </c>
      <c r="DC3" s="89">
        <f>IF(CX3=1,K3,INDEX($AB$59:$AB$70,CX3))</f>
        <v>0</v>
      </c>
      <c r="DD3" s="89">
        <v>0.13</v>
      </c>
      <c r="DE3" s="89">
        <f>IF(F3=2,0.04,IF(F3=3,0.13,IF(F3=4,0.13,IF(F3=5,0.13,0))))</f>
        <v>0</v>
      </c>
      <c r="DF3" s="89">
        <f>IF(F3=6,1/((1/1/(DD3+DE3+'Invoer Gebouwschil'!M3))+5),1/(DD3+DE3+'Invoer Gebouwschil'!M3))</f>
        <v>7.6923076923076916</v>
      </c>
      <c r="DG3" s="89">
        <v>0.1</v>
      </c>
      <c r="DH3" s="28">
        <f>IF(F3&lt;3,1,IF(F3=3,1/(1+((DF3)/10)),IF(F3=4,1/(1+((DF3)/3)),(1/(1+DF3)))))</f>
        <v>1</v>
      </c>
      <c r="DI3" s="89">
        <f>(D3-G3)*DH3*(DF3+DG3)</f>
        <v>0</v>
      </c>
      <c r="DJ3" s="89">
        <v>19</v>
      </c>
      <c r="DK3" s="89"/>
      <c r="DL3" s="89">
        <f>$DI3*($R3-Klimaatdata!$B$7)*2.63</f>
        <v>0</v>
      </c>
      <c r="DM3" s="89">
        <f>$DI3*($R3-Klimaatdata!$B$8)*2.63</f>
        <v>0</v>
      </c>
      <c r="DN3" s="89">
        <f>$DI3*($R3-Klimaatdata!$B$9)*2.63</f>
        <v>0</v>
      </c>
      <c r="DO3" s="89">
        <f>$DI3*($R3-Klimaatdata!$B$10)*2.63</f>
        <v>0</v>
      </c>
      <c r="DP3" s="89">
        <f>$DI3*($R3-Klimaatdata!$B$11)*2.63</f>
        <v>0</v>
      </c>
      <c r="DQ3" s="89">
        <f>$DI3*($R3-Klimaatdata!$B$12)*2.63</f>
        <v>0</v>
      </c>
      <c r="DR3" s="89">
        <f>$DI3*($R3-Klimaatdata!$B$13)*2.63</f>
        <v>0</v>
      </c>
      <c r="DS3" s="89">
        <f>$DI3*($R3-Klimaatdata!$B$14)*2.63</f>
        <v>0</v>
      </c>
      <c r="DT3" s="89">
        <f>$DI3*($R3-Klimaatdata!$B$15)*2.63</f>
        <v>0</v>
      </c>
      <c r="DU3" s="89">
        <f>$DI3*($R3-Klimaatdata!$B$16)*2.63</f>
        <v>0</v>
      </c>
      <c r="DV3" s="89">
        <f>$DI3*($R3-Klimaatdata!$B$17)*2.63</f>
        <v>0</v>
      </c>
      <c r="DW3" s="89">
        <f>$DI3*($R3-Klimaatdata!$B$18)*2.63</f>
        <v>0</v>
      </c>
      <c r="DX3" s="89"/>
      <c r="DY3" s="89">
        <f>IF(CY3=1,AO3,INDEX($AH$59:$AH$62,CY3))</f>
        <v>0</v>
      </c>
      <c r="DZ3" s="89">
        <v>0.1</v>
      </c>
      <c r="EA3" s="28">
        <v>1</v>
      </c>
      <c r="EB3" s="89">
        <f>G3*EA3*(DY3+DZ3)</f>
        <v>0</v>
      </c>
      <c r="EC3" s="89">
        <v>19</v>
      </c>
      <c r="ED3" s="89"/>
      <c r="EE3" s="89">
        <f>$EB3*($R3-Klimaatdata!$B$7)*2.63</f>
        <v>0</v>
      </c>
      <c r="EF3" s="89">
        <f>$EB3*($R3-Klimaatdata!$B$8)*2.63</f>
        <v>0</v>
      </c>
      <c r="EG3" s="89">
        <f>$EB3*($R3-Klimaatdata!$B$9)*2.63</f>
        <v>0</v>
      </c>
      <c r="EH3" s="89">
        <f>$EB3*($R3-Klimaatdata!$B$10)*2.63</f>
        <v>0</v>
      </c>
      <c r="EI3" s="89">
        <f>$EB3*($R3-Klimaatdata!$B$11)*2.63</f>
        <v>0</v>
      </c>
      <c r="EJ3" s="89">
        <f>$EB3*($R3-Klimaatdata!$B$12)*2.63</f>
        <v>0</v>
      </c>
      <c r="EK3" s="89">
        <f>$EB3*($R3-Klimaatdata!$B$13)*2.63</f>
        <v>0</v>
      </c>
      <c r="EL3" s="89">
        <f>$EB3*($R3-Klimaatdata!$B$14)*2.63</f>
        <v>0</v>
      </c>
      <c r="EM3" s="89">
        <f>$EB3*($R3-Klimaatdata!$B$15)*2.63</f>
        <v>0</v>
      </c>
      <c r="EN3" s="89">
        <f>$EB3*($R3-Klimaatdata!$B$16)*2.63</f>
        <v>0</v>
      </c>
      <c r="EO3" s="89">
        <f>$EB3*($R3-Klimaatdata!$B$17)*2.63</f>
        <v>0</v>
      </c>
      <c r="EP3" s="89">
        <f>$EB3*($R3-Klimaatdata!$B$18)*2.63</f>
        <v>0</v>
      </c>
      <c r="EQ3" s="25"/>
      <c r="ER3" s="89">
        <f>IF(CY3=1,BH3,INDEX($AI$59:$AI$62,CY3))</f>
        <v>0</v>
      </c>
      <c r="ES3" s="89"/>
      <c r="ET3" s="89">
        <f>INDEX(Klimaatdata!$B$27:$K$38,1,$B3)</f>
        <v>0</v>
      </c>
      <c r="EU3" s="89">
        <f>INDEX(Klimaatdata!$B$27:$K$38,2,$B3)</f>
        <v>0</v>
      </c>
      <c r="EV3" s="89">
        <f>INDEX(Klimaatdata!$B$27:$K$38,3,$B3)</f>
        <v>0</v>
      </c>
      <c r="EW3" s="89">
        <f>INDEX(Klimaatdata!$B$27:$K$38,4,$B3)</f>
        <v>0</v>
      </c>
      <c r="EX3" s="89">
        <f>INDEX(Klimaatdata!$B$27:$K$38,5,$B3)</f>
        <v>0</v>
      </c>
      <c r="EY3" s="89">
        <f>INDEX(Klimaatdata!$B$27:$K$38,6,$B3)</f>
        <v>0</v>
      </c>
      <c r="EZ3" s="89">
        <f>INDEX(Klimaatdata!$B$27:$K$38,7,$B3)</f>
        <v>0</v>
      </c>
      <c r="FA3" s="89">
        <f>INDEX(Klimaatdata!$B$27:$K$38,8,$B3)</f>
        <v>0</v>
      </c>
      <c r="FB3" s="89">
        <f>INDEX(Klimaatdata!$B$27:$K$38,9,$B3)</f>
        <v>0</v>
      </c>
      <c r="FC3" s="89">
        <f>INDEX(Klimaatdata!$B$27:$K$38,10,$B3)</f>
        <v>0</v>
      </c>
      <c r="FD3" s="89">
        <f>INDEX(Klimaatdata!$B$27:$K$38,11,$B3)</f>
        <v>0</v>
      </c>
      <c r="FE3" s="89">
        <f>INDEX(Klimaatdata!$B$27:$K$38,12,$B3)</f>
        <v>0</v>
      </c>
      <c r="FG3">
        <f>IF(CZ3=1,BW3,INDEX($AO$59:$AZ$62,$CZ3,1))</f>
        <v>1</v>
      </c>
      <c r="FH3">
        <f>IF(CZ3=1,BX3,INDEX($AO$59:$AZ$62,$CZ3,2))</f>
        <v>1</v>
      </c>
      <c r="FI3">
        <f>IF(CZ3=1,BY3,INDEX($AO$59:$AZ$62,$CZ3,3))</f>
        <v>1</v>
      </c>
      <c r="FJ3">
        <f>IF(CZ3=1,BZ3,INDEX($AO$59:$AZ$62,$CZ3,4))</f>
        <v>1</v>
      </c>
      <c r="FK3">
        <f>IF(CZ3=1,CA3,INDEX($AO$59:$AZ$62,$CZ3,5))</f>
        <v>1</v>
      </c>
      <c r="FL3">
        <f>IF(CZ3=1,CB3,INDEX($AO$59:$AZ$62,$CZ3,6))</f>
        <v>1</v>
      </c>
      <c r="FM3">
        <f>IF(CZ3=1,CC3,INDEX($AO$59:$AZ$62,$CZ3,7))</f>
        <v>1</v>
      </c>
      <c r="FN3">
        <f>IF(CZ3=1,CD3,INDEX($AO$59:$AZ$62,$CZ3,8))</f>
        <v>1</v>
      </c>
      <c r="FO3">
        <f>IF(CZ3=1,CE3,INDEX($AO$59:$AZ$62,$CZ3,9))</f>
        <v>1</v>
      </c>
      <c r="FP3">
        <f>IF(CZ3=1,CF3,INDEX($AO$59:$AZ$62,$CZ3,10))</f>
        <v>1</v>
      </c>
      <c r="FQ3">
        <f>IF(CZ3=1,CG3,INDEX($AO$59:$AZ$62,$CZ3,11))</f>
        <v>1</v>
      </c>
      <c r="FR3">
        <f>IF(CZ3=1,CH3,INDEX($AO$59:$AZ$62,$CZ3,12))</f>
        <v>1</v>
      </c>
      <c r="FT3" s="219">
        <f>Klimaatdata!$D$7*ET3*FG3*$ER3*$G3*0.75</f>
        <v>0</v>
      </c>
      <c r="FU3" s="219">
        <f>Klimaatdata!$E$7*EU3*FH3*$ER3*$G3*0.75</f>
        <v>0</v>
      </c>
      <c r="FV3" s="219">
        <f>Klimaatdata!$F$7*EV3*FI3*$ER3*$G3*0.75</f>
        <v>0</v>
      </c>
      <c r="FW3" s="219">
        <f>Klimaatdata!$G$7*EW3*FJ3*$ER3*$G3*0.75</f>
        <v>0</v>
      </c>
      <c r="FX3" s="219">
        <f>Klimaatdata!$H$7*EX3*FK3*$ER3*$G3*0.75</f>
        <v>0</v>
      </c>
      <c r="FY3" s="219">
        <f>Klimaatdata!$I$7*EY3*FL3*$ER3*$G3*0.75</f>
        <v>0</v>
      </c>
      <c r="FZ3" s="219">
        <f>Klimaatdata!$J$7*EZ3*FM3*$ER3*$G3*0.75</f>
        <v>0</v>
      </c>
      <c r="GA3" s="219">
        <f>Klimaatdata!$K$7*FA3*FN3*$ER3*$G3*0.75</f>
        <v>0</v>
      </c>
      <c r="GB3" s="219">
        <f>Klimaatdata!$L$7*FB3*FO3*$ER3*$G3*0.75</f>
        <v>0</v>
      </c>
      <c r="GC3" s="219">
        <f>Klimaatdata!$M$7*FC3*FP3*$ER3*$G3*0.75</f>
        <v>0</v>
      </c>
      <c r="GD3" s="219">
        <f>Klimaatdata!$N$7*FD3*FQ3*$ER3*$G3*0.75</f>
        <v>0</v>
      </c>
      <c r="GE3" s="219">
        <f>Klimaatdata!$O$7*FE3*FR3*$ER3*$G3*0.75</f>
        <v>0</v>
      </c>
      <c r="GG3">
        <f>INDEX($AC$59:$AC$70,CX3)</f>
        <v>0</v>
      </c>
      <c r="GH3">
        <f>GG3*(D3-G3)</f>
        <v>0</v>
      </c>
      <c r="GI3">
        <f>IF(CX3=3,$AD$61*D3,IF(CX3=6,D3*$AD$64,0))</f>
        <v>0</v>
      </c>
      <c r="GJ3">
        <f>INDEX($AJ$59:$AJ$62,CY3)</f>
        <v>0</v>
      </c>
      <c r="GK3">
        <f>GJ3*G3</f>
        <v>0</v>
      </c>
      <c r="GL3">
        <f>IF(OR(CY3=3,CY3=4),0.6*G3*130,0)</f>
        <v>0</v>
      </c>
      <c r="GM3">
        <f>INDEX($AK$59:$AK$62,CY3)</f>
        <v>0</v>
      </c>
      <c r="GN3">
        <f>INDEX($BB$59:$BB$62,CZ3)</f>
        <v>0</v>
      </c>
      <c r="GO3">
        <f>'Invoer Gebouwschil'!Q3</f>
        <v>0</v>
      </c>
      <c r="GP3">
        <f>GN3*GO3</f>
        <v>0</v>
      </c>
      <c r="GR3">
        <f>A3</f>
        <v>1</v>
      </c>
      <c r="GS3">
        <f>Q3</f>
        <v>0</v>
      </c>
      <c r="GT3">
        <f>AR3</f>
        <v>0</v>
      </c>
      <c r="GU3">
        <f>GS3+GT3</f>
        <v>0</v>
      </c>
      <c r="GV3">
        <f>DI3</f>
        <v>0</v>
      </c>
      <c r="GW3">
        <f>EB3</f>
        <v>0</v>
      </c>
      <c r="GX3">
        <f>GV3+GW3</f>
        <v>0</v>
      </c>
      <c r="GZ3" s="336">
        <f>IF($GR3=2,$GU3,0)</f>
        <v>0</v>
      </c>
      <c r="HA3" s="337">
        <f>IF($GR3=3,$GU3,0)</f>
        <v>0</v>
      </c>
      <c r="HB3" s="337">
        <f>IF($GR3=4,$GU3,0)</f>
        <v>0</v>
      </c>
      <c r="HC3" s="338">
        <f>IF($GR3=5,$GU3,0)</f>
        <v>0</v>
      </c>
      <c r="HE3" s="336">
        <f>IF($GR3=2,$GX3,0)</f>
        <v>0</v>
      </c>
      <c r="HF3" s="337">
        <f>IF($GR3=3,$GX3,0)</f>
        <v>0</v>
      </c>
      <c r="HG3" s="337">
        <f>IF($GR3=4,$GX3,0)</f>
        <v>0</v>
      </c>
      <c r="HH3" s="338">
        <f>IF($GR3=5,$GX3,0)</f>
        <v>0</v>
      </c>
    </row>
    <row r="4" spans="1:216" x14ac:dyDescent="0.2">
      <c r="A4">
        <v>1</v>
      </c>
      <c r="B4">
        <v>1</v>
      </c>
      <c r="C4">
        <v>1</v>
      </c>
      <c r="D4">
        <f>'Invoer Gebouwschil'!D4</f>
        <v>0</v>
      </c>
      <c r="E4">
        <v>1</v>
      </c>
      <c r="F4">
        <v>1</v>
      </c>
      <c r="G4">
        <f>'Invoer Gebouwschil'!H4</f>
        <v>0</v>
      </c>
      <c r="H4">
        <v>1</v>
      </c>
      <c r="I4">
        <v>1</v>
      </c>
      <c r="K4" s="89">
        <f>INDEX('Verwerking Bouwdelen'!$D$79:$D$103,'Verwerking Bouwdelen'!E4)</f>
        <v>0</v>
      </c>
      <c r="L4" s="89">
        <v>0.13</v>
      </c>
      <c r="M4" s="89">
        <f t="shared" ref="M4:M44" si="14">IF(F4=2,0.04,IF(F4=3,0.13,IF(F4=4,0.13,IF(F4=5,0.13,0))))</f>
        <v>0</v>
      </c>
      <c r="N4" s="89">
        <f>IF(F4=6,1/((1/1/(L5+M5+'Invoer Gebouwschil'!F4))+5),1/(L4+M4+'Invoer Gebouwschil'!F4))</f>
        <v>7.6923076923076916</v>
      </c>
      <c r="O4" s="89">
        <v>0.1</v>
      </c>
      <c r="P4" s="28">
        <f t="shared" ref="P4:P44" si="15">IF(F4&lt;3,1,IF(F4=3,1/(1+((N4)/10)),IF(F4=4,1/(1+((N4)/3)),(1/(1+N4)))))</f>
        <v>1</v>
      </c>
      <c r="Q4" s="89">
        <f t="shared" si="0"/>
        <v>0</v>
      </c>
      <c r="R4" s="89">
        <v>19</v>
      </c>
      <c r="S4" s="89"/>
      <c r="T4" s="89">
        <f>$Q4*($R4-Klimaatdata!$B$7)*2.63</f>
        <v>0</v>
      </c>
      <c r="U4" s="89">
        <f>$Q4*($R4-Klimaatdata!$B$8)*2.63</f>
        <v>0</v>
      </c>
      <c r="V4" s="89">
        <f>$Q4*($R4-Klimaatdata!$B$9)*2.63</f>
        <v>0</v>
      </c>
      <c r="W4" s="89">
        <f>$Q4*($R4-Klimaatdata!$B$10)*2.63</f>
        <v>0</v>
      </c>
      <c r="X4" s="89">
        <f>$Q4*($R4-Klimaatdata!$B$11)*2.63</f>
        <v>0</v>
      </c>
      <c r="Y4" s="89">
        <f>$Q4*($R4-Klimaatdata!$B$12)*2.63</f>
        <v>0</v>
      </c>
      <c r="Z4" s="89">
        <f>$Q4*($R4-Klimaatdata!$B$13)*2.63</f>
        <v>0</v>
      </c>
      <c r="AA4" s="89">
        <f>$Q4*($R4-Klimaatdata!$B$14)*2.63</f>
        <v>0</v>
      </c>
      <c r="AB4" s="89">
        <f>$Q4*($R4-Klimaatdata!$B$15)*2.63</f>
        <v>0</v>
      </c>
      <c r="AC4" s="89">
        <f>$Q4*($R4-Klimaatdata!$B$16)*2.63</f>
        <v>0</v>
      </c>
      <c r="AD4" s="89">
        <f>$Q4*($R4-Klimaatdata!$B$17)*2.63</f>
        <v>0</v>
      </c>
      <c r="AE4" s="89">
        <f>$Q4*($R4-Klimaatdata!$B$18)*2.63</f>
        <v>0</v>
      </c>
      <c r="AF4" s="89"/>
      <c r="AG4" s="205">
        <f t="shared" ref="AG4:AG44" si="16">IF(AND($A4=2,$C4=2),$D4,0)</f>
        <v>0</v>
      </c>
      <c r="AH4" s="25">
        <f t="shared" ref="AH4:AH44" si="17">IF(AND($A4=3,$C4=2),$D4,0)</f>
        <v>0</v>
      </c>
      <c r="AI4" s="25">
        <f t="shared" ref="AI4:AI44" si="18">IF(AND($A4=4,$C4=2),$D4,0)</f>
        <v>0</v>
      </c>
      <c r="AJ4" s="206">
        <f t="shared" ref="AJ4:AJ44" si="19">IF(AND($A4=5,$C4=2),$D4,0)</f>
        <v>0</v>
      </c>
      <c r="AK4" s="25"/>
      <c r="AL4" s="89">
        <f t="shared" ref="AL4:AL44" si="20">IF(F4&gt;3,0.7,1)</f>
        <v>1</v>
      </c>
      <c r="AM4" s="89">
        <f t="shared" ref="AM4:AM44" si="21">D4</f>
        <v>0</v>
      </c>
      <c r="AN4" s="89">
        <f t="shared" ref="AN4:AN44" si="22">AL4*AM4</f>
        <v>0</v>
      </c>
      <c r="AO4" s="89">
        <f t="shared" ref="AO4:AO44" si="23">INDEX($X$106:$X$130,H4)</f>
        <v>0</v>
      </c>
      <c r="AP4" s="89">
        <v>0.1</v>
      </c>
      <c r="AQ4" s="28">
        <v>1</v>
      </c>
      <c r="AR4" s="89">
        <f t="shared" si="1"/>
        <v>0</v>
      </c>
      <c r="AS4" s="89">
        <v>19</v>
      </c>
      <c r="AT4" s="89"/>
      <c r="AU4" s="89">
        <f>$AR4*($R4-Klimaatdata!$B$7)*2.63</f>
        <v>0</v>
      </c>
      <c r="AV4" s="89">
        <f>$AR4*($R4-Klimaatdata!$B$8)*2.63</f>
        <v>0</v>
      </c>
      <c r="AW4" s="89">
        <f>$AR4*($R4-Klimaatdata!$B$9)*2.63</f>
        <v>0</v>
      </c>
      <c r="AX4" s="89">
        <f>$AR4*($R4-Klimaatdata!$B$10)*2.63</f>
        <v>0</v>
      </c>
      <c r="AY4" s="89">
        <f>$AR4*($R4-Klimaatdata!$B$11)*2.63</f>
        <v>0</v>
      </c>
      <c r="AZ4" s="89">
        <f>$AR4*($R4-Klimaatdata!$B$12)*2.63</f>
        <v>0</v>
      </c>
      <c r="BA4" s="89">
        <f>$AR4*($R4-Klimaatdata!$B$13)*2.63</f>
        <v>0</v>
      </c>
      <c r="BB4" s="89">
        <f>$AR4*($R4-Klimaatdata!$B$14)*2.63</f>
        <v>0</v>
      </c>
      <c r="BC4" s="89">
        <f>$AR4*($R4-Klimaatdata!$B$15)*2.63</f>
        <v>0</v>
      </c>
      <c r="BD4" s="89">
        <f>$AR4*($R4-Klimaatdata!$B$16)*2.63</f>
        <v>0</v>
      </c>
      <c r="BE4" s="89">
        <f>$AR4*($R4-Klimaatdata!$B$17)*2.63</f>
        <v>0</v>
      </c>
      <c r="BF4" s="89">
        <f>$AR4*($R4-Klimaatdata!$B$18)*2.63</f>
        <v>0</v>
      </c>
      <c r="BG4" s="25"/>
      <c r="BH4" s="89">
        <f>INDEX('Verwerking Bouwdelen'!$Y$106:$Y$130,H4)</f>
        <v>0</v>
      </c>
      <c r="BI4" s="89"/>
      <c r="BJ4" s="89">
        <f>INDEX(Klimaatdata!$B$27:$K$38,1,$B4)</f>
        <v>0</v>
      </c>
      <c r="BK4" s="89">
        <f>INDEX(Klimaatdata!$B$27:$K$38,2,$B4)</f>
        <v>0</v>
      </c>
      <c r="BL4" s="89">
        <f>INDEX(Klimaatdata!$B$27:$K$38,3,$B4)</f>
        <v>0</v>
      </c>
      <c r="BM4" s="89">
        <f>INDEX(Klimaatdata!$B$27:$K$38,4,$B4)</f>
        <v>0</v>
      </c>
      <c r="BN4" s="89">
        <f>INDEX(Klimaatdata!$B$27:$K$38,5,$B4)</f>
        <v>0</v>
      </c>
      <c r="BO4" s="89">
        <f>INDEX(Klimaatdata!$B$27:$K$38,6,$B4)</f>
        <v>0</v>
      </c>
      <c r="BP4" s="89">
        <f>INDEX(Klimaatdata!$B$27:$K$38,7,$B4)</f>
        <v>0</v>
      </c>
      <c r="BQ4" s="89">
        <f>INDEX(Klimaatdata!$B$27:$K$38,8,$B4)</f>
        <v>0</v>
      </c>
      <c r="BR4" s="89">
        <f>INDEX(Klimaatdata!$B$27:$K$38,9,$B4)</f>
        <v>0</v>
      </c>
      <c r="BS4" s="89">
        <f>INDEX(Klimaatdata!$B$27:$K$38,10,$B4)</f>
        <v>0</v>
      </c>
      <c r="BT4" s="89">
        <f>INDEX(Klimaatdata!$B$27:$K$38,11,$B4)</f>
        <v>0</v>
      </c>
      <c r="BU4" s="89">
        <f>INDEX(Klimaatdata!$B$27:$K$38,12,$B4)</f>
        <v>0</v>
      </c>
      <c r="BW4">
        <f t="shared" si="2"/>
        <v>1</v>
      </c>
      <c r="BX4">
        <f t="shared" si="3"/>
        <v>1</v>
      </c>
      <c r="BY4">
        <f t="shared" si="4"/>
        <v>1</v>
      </c>
      <c r="BZ4">
        <f t="shared" si="5"/>
        <v>1</v>
      </c>
      <c r="CA4">
        <f t="shared" si="6"/>
        <v>1</v>
      </c>
      <c r="CB4">
        <f t="shared" si="7"/>
        <v>1</v>
      </c>
      <c r="CC4">
        <f t="shared" si="8"/>
        <v>1</v>
      </c>
      <c r="CD4">
        <f t="shared" si="9"/>
        <v>1</v>
      </c>
      <c r="CE4">
        <f t="shared" si="10"/>
        <v>1</v>
      </c>
      <c r="CF4">
        <f t="shared" si="11"/>
        <v>1</v>
      </c>
      <c r="CG4">
        <f t="shared" si="12"/>
        <v>1</v>
      </c>
      <c r="CH4">
        <f t="shared" si="13"/>
        <v>1</v>
      </c>
      <c r="CJ4" s="219">
        <f>Klimaatdata!$D$7*BJ4*BW4*$BH4*$G4*0.75</f>
        <v>0</v>
      </c>
      <c r="CK4" s="219">
        <f>Klimaatdata!$E$7*BK4*BX4*$BH4*$G4*0.75</f>
        <v>0</v>
      </c>
      <c r="CL4" s="219">
        <f>Klimaatdata!$F$7*BL4*BY4*$BH4*$G4*0.75</f>
        <v>0</v>
      </c>
      <c r="CM4" s="219">
        <f>Klimaatdata!$G$7*BM4*BZ4*$BH4*$G4*0.75</f>
        <v>0</v>
      </c>
      <c r="CN4" s="219">
        <f>Klimaatdata!$H$7*BN4*CA4*$BH4*$G4*0.75</f>
        <v>0</v>
      </c>
      <c r="CO4" s="219">
        <f>Klimaatdata!$I$7*BO4*CB4*$BH4*$G4*0.75</f>
        <v>0</v>
      </c>
      <c r="CP4" s="219">
        <f>Klimaatdata!$J$7*BP4*CC4*$BH4*$G4*0.75</f>
        <v>0</v>
      </c>
      <c r="CQ4" s="219">
        <f>Klimaatdata!$K$7*BQ4*CD4*$BH4*$G4*0.75</f>
        <v>0</v>
      </c>
      <c r="CR4" s="219">
        <f>Klimaatdata!$L$7*BR4*CE4*$BH4*$G4*0.75</f>
        <v>0</v>
      </c>
      <c r="CS4" s="219">
        <f>Klimaatdata!$M$7*BS4*CF4*$BH4*$G4*0.75</f>
        <v>0</v>
      </c>
      <c r="CT4" s="219">
        <f>Klimaatdata!$N$7*BT4*CG4*$BH4*$G4*0.75</f>
        <v>0</v>
      </c>
      <c r="CU4" s="219">
        <f>Klimaatdata!$O$7*BU4*CH4*$BH4*$G4*0.75</f>
        <v>0</v>
      </c>
      <c r="CX4">
        <v>1</v>
      </c>
      <c r="CY4">
        <v>1</v>
      </c>
      <c r="CZ4">
        <v>1</v>
      </c>
      <c r="DA4">
        <f>'Invoer Gebouwschil'!Q4</f>
        <v>0</v>
      </c>
      <c r="DC4" s="89">
        <f t="shared" ref="DC4:DC44" si="24">IF(CX4=1,K4,INDEX($AB$59:$AB$70,CX4))</f>
        <v>0</v>
      </c>
      <c r="DD4" s="89">
        <v>0.13</v>
      </c>
      <c r="DE4" s="89">
        <f t="shared" ref="DE4:DE44" si="25">IF(F4=2,0.04,IF(F4=3,0.13,IF(F4=4,0.13,IF(F4=5,0.13,0))))</f>
        <v>0</v>
      </c>
      <c r="DF4" s="89">
        <f>IF(F4=6,1/((1/1/(DD4+DE4+'Invoer Gebouwschil'!M4))+5),1/(DD4+DE4+'Invoer Gebouwschil'!M4))</f>
        <v>7.6923076923076916</v>
      </c>
      <c r="DG4" s="89">
        <v>0.1</v>
      </c>
      <c r="DH4" s="28">
        <f t="shared" ref="DH4:DH23" si="26">IF(F4&lt;3,1,IF(F4=3,1/(1+((DF4)/10)),IF(F4=4,1/(1+((DF4)/3)),(1/(1+DF4)))))</f>
        <v>1</v>
      </c>
      <c r="DI4" s="89">
        <f t="shared" ref="DI4:DI23" si="27">(D4-G4)*DH4*(DF4+DG4)</f>
        <v>0</v>
      </c>
      <c r="DJ4" s="89">
        <v>19</v>
      </c>
      <c r="DK4" s="89"/>
      <c r="DL4" s="89">
        <f>$DI4*($R4-Klimaatdata!$B$7)*2.63</f>
        <v>0</v>
      </c>
      <c r="DM4" s="89">
        <f>$DI4*($R4-Klimaatdata!$B$8)*2.63</f>
        <v>0</v>
      </c>
      <c r="DN4" s="89">
        <f>$DI4*($R4-Klimaatdata!$B$9)*2.63</f>
        <v>0</v>
      </c>
      <c r="DO4" s="89">
        <f>$DI4*($R4-Klimaatdata!$B$10)*2.63</f>
        <v>0</v>
      </c>
      <c r="DP4" s="89">
        <f>$DI4*($R4-Klimaatdata!$B$11)*2.63</f>
        <v>0</v>
      </c>
      <c r="DQ4" s="89">
        <f>$DI4*($R4-Klimaatdata!$B$12)*2.63</f>
        <v>0</v>
      </c>
      <c r="DR4" s="89">
        <f>$DI4*($R4-Klimaatdata!$B$13)*2.63</f>
        <v>0</v>
      </c>
      <c r="DS4" s="89">
        <f>$DI4*($R4-Klimaatdata!$B$14)*2.63</f>
        <v>0</v>
      </c>
      <c r="DT4" s="89">
        <f>$DI4*($R4-Klimaatdata!$B$15)*2.63</f>
        <v>0</v>
      </c>
      <c r="DU4" s="89">
        <f>$DI4*($R4-Klimaatdata!$B$16)*2.63</f>
        <v>0</v>
      </c>
      <c r="DV4" s="89">
        <f>$DI4*($R4-Klimaatdata!$B$17)*2.63</f>
        <v>0</v>
      </c>
      <c r="DW4" s="89">
        <f>$DI4*($R4-Klimaatdata!$B$18)*2.63</f>
        <v>0</v>
      </c>
      <c r="DX4" s="89"/>
      <c r="DY4" s="89">
        <f t="shared" ref="DY4:DY23" si="28">IF(CY4=1,AO4,INDEX($AH$59:$AH$62,CY4))</f>
        <v>0</v>
      </c>
      <c r="DZ4" s="89">
        <v>0.1</v>
      </c>
      <c r="EA4" s="28">
        <v>1</v>
      </c>
      <c r="EB4" s="89">
        <f t="shared" ref="EB4:EB23" si="29">G4*EA4*(DY4+DZ4)</f>
        <v>0</v>
      </c>
      <c r="EC4" s="89">
        <v>19</v>
      </c>
      <c r="ED4" s="89"/>
      <c r="EE4" s="89">
        <f>$EB4*($R4-Klimaatdata!$B$7)*2.63</f>
        <v>0</v>
      </c>
      <c r="EF4" s="89">
        <f>$EB4*($R4-Klimaatdata!$B$8)*2.63</f>
        <v>0</v>
      </c>
      <c r="EG4" s="89">
        <f>$EB4*($R4-Klimaatdata!$B$9)*2.63</f>
        <v>0</v>
      </c>
      <c r="EH4" s="89">
        <f>$EB4*($R4-Klimaatdata!$B$10)*2.63</f>
        <v>0</v>
      </c>
      <c r="EI4" s="89">
        <f>$EB4*($R4-Klimaatdata!$B$11)*2.63</f>
        <v>0</v>
      </c>
      <c r="EJ4" s="89">
        <f>$EB4*($R4-Klimaatdata!$B$12)*2.63</f>
        <v>0</v>
      </c>
      <c r="EK4" s="89">
        <f>$EB4*($R4-Klimaatdata!$B$13)*2.63</f>
        <v>0</v>
      </c>
      <c r="EL4" s="89">
        <f>$EB4*($R4-Klimaatdata!$B$14)*2.63</f>
        <v>0</v>
      </c>
      <c r="EM4" s="89">
        <f>$EB4*($R4-Klimaatdata!$B$15)*2.63</f>
        <v>0</v>
      </c>
      <c r="EN4" s="89">
        <f>$EB4*($R4-Klimaatdata!$B$16)*2.63</f>
        <v>0</v>
      </c>
      <c r="EO4" s="89">
        <f>$EB4*($R4-Klimaatdata!$B$17)*2.63</f>
        <v>0</v>
      </c>
      <c r="EP4" s="89">
        <f>$EB4*($R4-Klimaatdata!$B$18)*2.63</f>
        <v>0</v>
      </c>
      <c r="EQ4" s="25"/>
      <c r="ER4" s="89">
        <f t="shared" ref="ER4:ER44" si="30">IF(CY4=1,BH4,INDEX($AI$59:$AI$62,CY4))</f>
        <v>0</v>
      </c>
      <c r="ES4" s="89"/>
      <c r="ET4" s="89">
        <f>INDEX(Klimaatdata!$B$27:$K$38,1,$B4)</f>
        <v>0</v>
      </c>
      <c r="EU4" s="89">
        <f>INDEX(Klimaatdata!$B$27:$K$38,2,$B4)</f>
        <v>0</v>
      </c>
      <c r="EV4" s="89">
        <f>INDEX(Klimaatdata!$B$27:$K$38,3,$B4)</f>
        <v>0</v>
      </c>
      <c r="EW4" s="89">
        <f>INDEX(Klimaatdata!$B$27:$K$38,4,$B4)</f>
        <v>0</v>
      </c>
      <c r="EX4" s="89">
        <f>INDEX(Klimaatdata!$B$27:$K$38,5,$B4)</f>
        <v>0</v>
      </c>
      <c r="EY4" s="89">
        <f>INDEX(Klimaatdata!$B$27:$K$38,6,$B4)</f>
        <v>0</v>
      </c>
      <c r="EZ4" s="89">
        <f>INDEX(Klimaatdata!$B$27:$K$38,7,$B4)</f>
        <v>0</v>
      </c>
      <c r="FA4" s="89">
        <f>INDEX(Klimaatdata!$B$27:$K$38,8,$B4)</f>
        <v>0</v>
      </c>
      <c r="FB4" s="89">
        <f>INDEX(Klimaatdata!$B$27:$K$38,9,$B4)</f>
        <v>0</v>
      </c>
      <c r="FC4" s="89">
        <f>INDEX(Klimaatdata!$B$27:$K$38,10,$B4)</f>
        <v>0</v>
      </c>
      <c r="FD4" s="89">
        <f>INDEX(Klimaatdata!$B$27:$K$38,11,$B4)</f>
        <v>0</v>
      </c>
      <c r="FE4" s="89">
        <f>INDEX(Klimaatdata!$B$27:$K$38,12,$B4)</f>
        <v>0</v>
      </c>
      <c r="FG4">
        <f t="shared" ref="FG4:FG44" si="31">IF(CZ4=1,BW4,INDEX($AO$59:$AZ$62,$CZ4,1))</f>
        <v>1</v>
      </c>
      <c r="FH4">
        <f t="shared" ref="FH4:FH44" si="32">IF(CZ4=1,BX4,INDEX($AO$59:$AZ$62,$CZ4,2))</f>
        <v>1</v>
      </c>
      <c r="FI4">
        <f t="shared" ref="FI4:FI44" si="33">IF(CZ4=1,BY4,INDEX($AO$59:$AZ$62,$CZ4,3))</f>
        <v>1</v>
      </c>
      <c r="FJ4">
        <f t="shared" ref="FJ4:FJ44" si="34">IF(CZ4=1,BZ4,INDEX($AO$59:$AZ$62,$CZ4,4))</f>
        <v>1</v>
      </c>
      <c r="FK4">
        <f t="shared" ref="FK4:FK44" si="35">IF(CZ4=1,CA4,INDEX($AO$59:$AZ$62,$CZ4,5))</f>
        <v>1</v>
      </c>
      <c r="FL4">
        <f t="shared" ref="FL4:FL44" si="36">IF(CZ4=1,CB4,INDEX($AO$59:$AZ$62,$CZ4,6))</f>
        <v>1</v>
      </c>
      <c r="FM4">
        <f t="shared" ref="FM4:FM44" si="37">IF(CZ4=1,CC4,INDEX($AO$59:$AZ$62,$CZ4,7))</f>
        <v>1</v>
      </c>
      <c r="FN4">
        <f t="shared" ref="FN4:FN44" si="38">IF(CZ4=1,CD4,INDEX($AO$59:$AZ$62,$CZ4,8))</f>
        <v>1</v>
      </c>
      <c r="FO4">
        <f t="shared" ref="FO4:FO44" si="39">IF(CZ4=1,CE4,INDEX($AO$59:$AZ$62,$CZ4,9))</f>
        <v>1</v>
      </c>
      <c r="FP4">
        <f t="shared" ref="FP4:FP44" si="40">IF(CZ4=1,CF4,INDEX($AO$59:$AZ$62,$CZ4,10))</f>
        <v>1</v>
      </c>
      <c r="FQ4">
        <f t="shared" ref="FQ4:FQ44" si="41">IF(CZ4=1,CG4,INDEX($AO$59:$AZ$62,$CZ4,11))</f>
        <v>1</v>
      </c>
      <c r="FR4">
        <f t="shared" ref="FR4:FR44" si="42">IF(CZ4=1,CH4,INDEX($AO$59:$AZ$62,$CZ4,12))</f>
        <v>1</v>
      </c>
      <c r="FT4" s="219">
        <f>Klimaatdata!$D$7*ET4*FG4*$ER4*$G4*0.75</f>
        <v>0</v>
      </c>
      <c r="FU4" s="219">
        <f>Klimaatdata!$E$7*EU4*FH4*$ER4*$G4*0.75</f>
        <v>0</v>
      </c>
      <c r="FV4" s="219">
        <f>Klimaatdata!$F$7*EV4*FI4*$ER4*$G4*0.75</f>
        <v>0</v>
      </c>
      <c r="FW4" s="219">
        <f>Klimaatdata!$G$7*EW4*FJ4*$ER4*$G4*0.75</f>
        <v>0</v>
      </c>
      <c r="FX4" s="219">
        <f>Klimaatdata!$H$7*EX4*FK4*$ER4*$G4*0.75</f>
        <v>0</v>
      </c>
      <c r="FY4" s="219">
        <f>Klimaatdata!$I$7*EY4*FL4*$ER4*$G4*0.75</f>
        <v>0</v>
      </c>
      <c r="FZ4" s="219">
        <f>Klimaatdata!$J$7*EZ4*FM4*$ER4*$G4*0.75</f>
        <v>0</v>
      </c>
      <c r="GA4" s="219">
        <f>Klimaatdata!$K$7*FA4*FN4*$ER4*$G4*0.75</f>
        <v>0</v>
      </c>
      <c r="GB4" s="219">
        <f>Klimaatdata!$L$7*FB4*FO4*$ER4*$G4*0.75</f>
        <v>0</v>
      </c>
      <c r="GC4" s="219">
        <f>Klimaatdata!$M$7*FC4*FP4*$ER4*$G4*0.75</f>
        <v>0</v>
      </c>
      <c r="GD4" s="219">
        <f>Klimaatdata!$N$7*FD4*FQ4*$ER4*$G4*0.75</f>
        <v>0</v>
      </c>
      <c r="GE4" s="219">
        <f>Klimaatdata!$O$7*FE4*FR4*$ER4*$G4*0.75</f>
        <v>0</v>
      </c>
      <c r="GG4">
        <f t="shared" ref="GG4:GG44" si="43">INDEX($AC$59:$AC$70,CX4)</f>
        <v>0</v>
      </c>
      <c r="GH4">
        <f t="shared" ref="GH4:GH44" si="44">GG4*(D4-G4)</f>
        <v>0</v>
      </c>
      <c r="GI4">
        <f t="shared" ref="GI4:GI44" si="45">IF(CX4=3,$AD$61*D4,IF(CX4=6,D4*$AD$64,0))</f>
        <v>0</v>
      </c>
      <c r="GJ4">
        <f t="shared" ref="GJ4:GJ44" si="46">INDEX($AJ$59:$AJ$62,CY4)</f>
        <v>0</v>
      </c>
      <c r="GK4">
        <f t="shared" ref="GK4:GK44" si="47">GJ4*G4</f>
        <v>0</v>
      </c>
      <c r="GL4">
        <f t="shared" ref="GL4:GL44" si="48">IF(OR(CY4=3,CY4=4),0.6*G4*130,0)</f>
        <v>0</v>
      </c>
      <c r="GM4">
        <f t="shared" ref="GM4:GM44" si="49">INDEX($AK$59:$AK$62,CY4)</f>
        <v>0</v>
      </c>
      <c r="GN4">
        <f t="shared" ref="GN4:GN44" si="50">INDEX($BB$59:$BB$62,CZ4)</f>
        <v>0</v>
      </c>
      <c r="GO4">
        <f>'Invoer Gebouwschil'!Q4</f>
        <v>0</v>
      </c>
      <c r="GP4">
        <f t="shared" ref="GP4:GP44" si="51">GN4*GO4</f>
        <v>0</v>
      </c>
      <c r="GR4">
        <f t="shared" ref="GR4:GR44" si="52">A4</f>
        <v>1</v>
      </c>
      <c r="GS4">
        <f t="shared" ref="GS4:GS44" si="53">Q4</f>
        <v>0</v>
      </c>
      <c r="GT4">
        <f t="shared" ref="GT4:GT44" si="54">AR4</f>
        <v>0</v>
      </c>
      <c r="GU4">
        <f t="shared" ref="GU4:GU44" si="55">GS4+GT4</f>
        <v>0</v>
      </c>
      <c r="GV4">
        <f t="shared" ref="GV4:GV44" si="56">DI4</f>
        <v>0</v>
      </c>
      <c r="GW4">
        <f t="shared" ref="GW4:GW44" si="57">EB4</f>
        <v>0</v>
      </c>
      <c r="GX4">
        <f t="shared" ref="GX4:GX44" si="58">GV4+GW4</f>
        <v>0</v>
      </c>
      <c r="GZ4" s="12">
        <f t="shared" ref="GZ4:GZ44" si="59">IF($GR4=2,$GU4,0)</f>
        <v>0</v>
      </c>
      <c r="HA4" s="13">
        <f t="shared" ref="HA4:HA44" si="60">IF($GR4=3,$GU4,0)</f>
        <v>0</v>
      </c>
      <c r="HB4" s="13">
        <f t="shared" ref="HB4:HB44" si="61">IF($GR4=4,$GU4,0)</f>
        <v>0</v>
      </c>
      <c r="HC4" s="14">
        <f t="shared" ref="HC4:HC44" si="62">IF($GR4=5,$GU4,0)</f>
        <v>0</v>
      </c>
      <c r="HE4" s="12">
        <f t="shared" ref="HE4:HE44" si="63">IF($GR4=2,$GX4,0)</f>
        <v>0</v>
      </c>
      <c r="HF4" s="13">
        <f t="shared" ref="HF4:HF44" si="64">IF($GR4=3,$GX4,0)</f>
        <v>0</v>
      </c>
      <c r="HG4" s="13">
        <f t="shared" ref="HG4:HG44" si="65">IF($GR4=4,$GX4,0)</f>
        <v>0</v>
      </c>
      <c r="HH4" s="14">
        <f t="shared" ref="HH4:HH44" si="66">IF($GR4=5,$GX4,0)</f>
        <v>0</v>
      </c>
    </row>
    <row r="5" spans="1:216" x14ac:dyDescent="0.2">
      <c r="A5">
        <v>1</v>
      </c>
      <c r="B5">
        <v>1</v>
      </c>
      <c r="C5">
        <v>1</v>
      </c>
      <c r="D5">
        <f>'Invoer Gebouwschil'!D5</f>
        <v>0</v>
      </c>
      <c r="E5">
        <v>1</v>
      </c>
      <c r="F5">
        <v>1</v>
      </c>
      <c r="G5">
        <f>'Invoer Gebouwschil'!H5</f>
        <v>0</v>
      </c>
      <c r="H5">
        <v>1</v>
      </c>
      <c r="I5">
        <v>1</v>
      </c>
      <c r="K5" s="89">
        <f>INDEX('Verwerking Bouwdelen'!$F$79:$F$103,'Verwerking Bouwdelen'!E5)</f>
        <v>0</v>
      </c>
      <c r="L5" s="89">
        <v>0.13</v>
      </c>
      <c r="M5" s="89">
        <f t="shared" si="14"/>
        <v>0</v>
      </c>
      <c r="N5" s="89">
        <f>IF(F5=6,1/((1/1/(L6+M6+'Invoer Gebouwschil'!F5))+5),1/(L5+M5+'Invoer Gebouwschil'!F5))</f>
        <v>7.6923076923076916</v>
      </c>
      <c r="O5" s="89">
        <v>0.1</v>
      </c>
      <c r="P5" s="28">
        <f t="shared" si="15"/>
        <v>1</v>
      </c>
      <c r="Q5" s="89">
        <f t="shared" si="0"/>
        <v>0</v>
      </c>
      <c r="R5" s="89">
        <v>19</v>
      </c>
      <c r="S5" s="89"/>
      <c r="T5" s="89">
        <f>$Q5*($R5-Klimaatdata!$B$7)*2.63</f>
        <v>0</v>
      </c>
      <c r="U5" s="89">
        <f>$Q5*($R5-Klimaatdata!$B$8)*2.63</f>
        <v>0</v>
      </c>
      <c r="V5" s="89">
        <f>$Q5*($R5-Klimaatdata!$B$9)*2.63</f>
        <v>0</v>
      </c>
      <c r="W5" s="89">
        <f>$Q5*($R5-Klimaatdata!$B$10)*2.63</f>
        <v>0</v>
      </c>
      <c r="X5" s="89">
        <f>$Q5*($R5-Klimaatdata!$B$11)*2.63</f>
        <v>0</v>
      </c>
      <c r="Y5" s="89">
        <f>$Q5*($R5-Klimaatdata!$B$12)*2.63</f>
        <v>0</v>
      </c>
      <c r="Z5" s="89">
        <f>$Q5*($R5-Klimaatdata!$B$13)*2.63</f>
        <v>0</v>
      </c>
      <c r="AA5" s="89">
        <f>$Q5*($R5-Klimaatdata!$B$14)*2.63</f>
        <v>0</v>
      </c>
      <c r="AB5" s="89">
        <f>$Q5*($R5-Klimaatdata!$B$15)*2.63</f>
        <v>0</v>
      </c>
      <c r="AC5" s="89">
        <f>$Q5*($R5-Klimaatdata!$B$16)*2.63</f>
        <v>0</v>
      </c>
      <c r="AD5" s="89">
        <f>$Q5*($R5-Klimaatdata!$B$17)*2.63</f>
        <v>0</v>
      </c>
      <c r="AE5" s="89">
        <f>$Q5*($R5-Klimaatdata!$B$18)*2.63</f>
        <v>0</v>
      </c>
      <c r="AF5" s="89"/>
      <c r="AG5" s="205">
        <f t="shared" si="16"/>
        <v>0</v>
      </c>
      <c r="AH5" s="25">
        <f t="shared" si="17"/>
        <v>0</v>
      </c>
      <c r="AI5" s="25">
        <f t="shared" si="18"/>
        <v>0</v>
      </c>
      <c r="AJ5" s="206">
        <f t="shared" si="19"/>
        <v>0</v>
      </c>
      <c r="AK5" s="25"/>
      <c r="AL5" s="89">
        <f t="shared" si="20"/>
        <v>1</v>
      </c>
      <c r="AM5" s="89">
        <f t="shared" si="21"/>
        <v>0</v>
      </c>
      <c r="AN5" s="89">
        <f t="shared" si="22"/>
        <v>0</v>
      </c>
      <c r="AO5" s="89">
        <f t="shared" si="23"/>
        <v>0</v>
      </c>
      <c r="AP5" s="89">
        <v>0.1</v>
      </c>
      <c r="AQ5" s="28">
        <v>1</v>
      </c>
      <c r="AR5" s="89">
        <f t="shared" si="1"/>
        <v>0</v>
      </c>
      <c r="AS5" s="89">
        <v>19</v>
      </c>
      <c r="AT5" s="89"/>
      <c r="AU5" s="89">
        <f>$AR5*($R5-Klimaatdata!$B$7)*2.63</f>
        <v>0</v>
      </c>
      <c r="AV5" s="89">
        <f>$AR5*($R5-Klimaatdata!$B$8)*2.63</f>
        <v>0</v>
      </c>
      <c r="AW5" s="89">
        <f>$AR5*($R5-Klimaatdata!$B$9)*2.63</f>
        <v>0</v>
      </c>
      <c r="AX5" s="89">
        <f>$AR5*($R5-Klimaatdata!$B$10)*2.63</f>
        <v>0</v>
      </c>
      <c r="AY5" s="89">
        <f>$AR5*($R5-Klimaatdata!$B$11)*2.63</f>
        <v>0</v>
      </c>
      <c r="AZ5" s="89">
        <f>$AR5*($R5-Klimaatdata!$B$12)*2.63</f>
        <v>0</v>
      </c>
      <c r="BA5" s="89">
        <f>$AR5*($R5-Klimaatdata!$B$13)*2.63</f>
        <v>0</v>
      </c>
      <c r="BB5" s="89">
        <f>$AR5*($R5-Klimaatdata!$B$14)*2.63</f>
        <v>0</v>
      </c>
      <c r="BC5" s="89">
        <f>$AR5*($R5-Klimaatdata!$B$15)*2.63</f>
        <v>0</v>
      </c>
      <c r="BD5" s="89">
        <f>$AR5*($R5-Klimaatdata!$B$16)*2.63</f>
        <v>0</v>
      </c>
      <c r="BE5" s="89">
        <f>$AR5*($R5-Klimaatdata!$B$17)*2.63</f>
        <v>0</v>
      </c>
      <c r="BF5" s="89">
        <f>$AR5*($R5-Klimaatdata!$B$18)*2.63</f>
        <v>0</v>
      </c>
      <c r="BG5" s="25"/>
      <c r="BH5" s="89">
        <f>INDEX('Verwerking Bouwdelen'!$Y$106:$Y$130,H5)</f>
        <v>0</v>
      </c>
      <c r="BI5" s="89"/>
      <c r="BJ5" s="89">
        <f>INDEX(Klimaatdata!$B$27:$K$38,1,$B5)</f>
        <v>0</v>
      </c>
      <c r="BK5" s="89">
        <f>INDEX(Klimaatdata!$B$27:$K$38,2,$B5)</f>
        <v>0</v>
      </c>
      <c r="BL5" s="89">
        <f>INDEX(Klimaatdata!$B$27:$K$38,3,$B5)</f>
        <v>0</v>
      </c>
      <c r="BM5" s="89">
        <f>INDEX(Klimaatdata!$B$27:$K$38,4,$B5)</f>
        <v>0</v>
      </c>
      <c r="BN5" s="89">
        <f>INDEX(Klimaatdata!$B$27:$K$38,5,$B5)</f>
        <v>0</v>
      </c>
      <c r="BO5" s="89">
        <f>INDEX(Klimaatdata!$B$27:$K$38,6,$B5)</f>
        <v>0</v>
      </c>
      <c r="BP5" s="89">
        <f>INDEX(Klimaatdata!$B$27:$K$38,7,$B5)</f>
        <v>0</v>
      </c>
      <c r="BQ5" s="89">
        <f>INDEX(Klimaatdata!$B$27:$K$38,8,$B5)</f>
        <v>0</v>
      </c>
      <c r="BR5" s="89">
        <f>INDEX(Klimaatdata!$B$27:$K$38,9,$B5)</f>
        <v>0</v>
      </c>
      <c r="BS5" s="89">
        <f>INDEX(Klimaatdata!$B$27:$K$38,10,$B5)</f>
        <v>0</v>
      </c>
      <c r="BT5" s="89">
        <f>INDEX(Klimaatdata!$B$27:$K$38,11,$B5)</f>
        <v>0</v>
      </c>
      <c r="BU5" s="89">
        <f>INDEX(Klimaatdata!$B$27:$K$38,12,$B5)</f>
        <v>0</v>
      </c>
      <c r="BW5">
        <f t="shared" si="2"/>
        <v>1</v>
      </c>
      <c r="BX5">
        <f t="shared" si="3"/>
        <v>1</v>
      </c>
      <c r="BY5">
        <f t="shared" si="4"/>
        <v>1</v>
      </c>
      <c r="BZ5">
        <f t="shared" si="5"/>
        <v>1</v>
      </c>
      <c r="CA5">
        <f t="shared" si="6"/>
        <v>1</v>
      </c>
      <c r="CB5">
        <f t="shared" si="7"/>
        <v>1</v>
      </c>
      <c r="CC5">
        <f t="shared" si="8"/>
        <v>1</v>
      </c>
      <c r="CD5">
        <f t="shared" si="9"/>
        <v>1</v>
      </c>
      <c r="CE5">
        <f t="shared" si="10"/>
        <v>1</v>
      </c>
      <c r="CF5">
        <f t="shared" si="11"/>
        <v>1</v>
      </c>
      <c r="CG5">
        <f t="shared" si="12"/>
        <v>1</v>
      </c>
      <c r="CH5">
        <f t="shared" si="13"/>
        <v>1</v>
      </c>
      <c r="CJ5" s="219">
        <f>Klimaatdata!$D$7*BJ5*BW5*$BH5*$G5*0.75</f>
        <v>0</v>
      </c>
      <c r="CK5" s="219">
        <f>Klimaatdata!$E$7*BK5*BX5*$BH5*$G5*0.75</f>
        <v>0</v>
      </c>
      <c r="CL5" s="219">
        <f>Klimaatdata!$F$7*BL5*BY5*$BH5*$G5*0.75</f>
        <v>0</v>
      </c>
      <c r="CM5" s="219">
        <f>Klimaatdata!$G$7*BM5*BZ5*$BH5*$G5*0.75</f>
        <v>0</v>
      </c>
      <c r="CN5" s="219">
        <f>Klimaatdata!$H$7*BN5*CA5*$BH5*$G5*0.75</f>
        <v>0</v>
      </c>
      <c r="CO5" s="219">
        <f>Klimaatdata!$I$7*BO5*CB5*$BH5*$G5*0.75</f>
        <v>0</v>
      </c>
      <c r="CP5" s="219">
        <f>Klimaatdata!$J$7*BP5*CC5*$BH5*$G5*0.75</f>
        <v>0</v>
      </c>
      <c r="CQ5" s="219">
        <f>Klimaatdata!$K$7*BQ5*CD5*$BH5*$G5*0.75</f>
        <v>0</v>
      </c>
      <c r="CR5" s="219">
        <f>Klimaatdata!$L$7*BR5*CE5*$BH5*$G5*0.75</f>
        <v>0</v>
      </c>
      <c r="CS5" s="219">
        <f>Klimaatdata!$M$7*BS5*CF5*$BH5*$G5*0.75</f>
        <v>0</v>
      </c>
      <c r="CT5" s="219">
        <f>Klimaatdata!$N$7*BT5*CG5*$BH5*$G5*0.75</f>
        <v>0</v>
      </c>
      <c r="CU5" s="219">
        <f>Klimaatdata!$O$7*BU5*CH5*$BH5*$G5*0.75</f>
        <v>0</v>
      </c>
      <c r="CX5">
        <v>1</v>
      </c>
      <c r="CY5">
        <v>1</v>
      </c>
      <c r="CZ5">
        <v>1</v>
      </c>
      <c r="DA5">
        <f>'Invoer Gebouwschil'!Q5</f>
        <v>0</v>
      </c>
      <c r="DC5" s="89">
        <f t="shared" si="24"/>
        <v>0</v>
      </c>
      <c r="DD5" s="89">
        <v>0.13</v>
      </c>
      <c r="DE5" s="89">
        <f t="shared" si="25"/>
        <v>0</v>
      </c>
      <c r="DF5" s="89">
        <f>IF(F5=6,1/((1/1/(DD5+DE5+'Invoer Gebouwschil'!M5))+5),1/(DD5+DE5+'Invoer Gebouwschil'!M5))</f>
        <v>7.6923076923076916</v>
      </c>
      <c r="DG5" s="89">
        <v>0.1</v>
      </c>
      <c r="DH5" s="28">
        <f t="shared" si="26"/>
        <v>1</v>
      </c>
      <c r="DI5" s="89">
        <f t="shared" si="27"/>
        <v>0</v>
      </c>
      <c r="DJ5" s="89">
        <v>19</v>
      </c>
      <c r="DK5" s="89"/>
      <c r="DL5" s="89">
        <f>$DI5*($R5-Klimaatdata!$B$7)*2.63</f>
        <v>0</v>
      </c>
      <c r="DM5" s="89">
        <f>$DI5*($R5-Klimaatdata!$B$8)*2.63</f>
        <v>0</v>
      </c>
      <c r="DN5" s="89">
        <f>$DI5*($R5-Klimaatdata!$B$9)*2.63</f>
        <v>0</v>
      </c>
      <c r="DO5" s="89">
        <f>$DI5*($R5-Klimaatdata!$B$10)*2.63</f>
        <v>0</v>
      </c>
      <c r="DP5" s="89">
        <f>$DI5*($R5-Klimaatdata!$B$11)*2.63</f>
        <v>0</v>
      </c>
      <c r="DQ5" s="89">
        <f>$DI5*($R5-Klimaatdata!$B$12)*2.63</f>
        <v>0</v>
      </c>
      <c r="DR5" s="89">
        <f>$DI5*($R5-Klimaatdata!$B$13)*2.63</f>
        <v>0</v>
      </c>
      <c r="DS5" s="89">
        <f>$DI5*($R5-Klimaatdata!$B$14)*2.63</f>
        <v>0</v>
      </c>
      <c r="DT5" s="89">
        <f>$DI5*($R5-Klimaatdata!$B$15)*2.63</f>
        <v>0</v>
      </c>
      <c r="DU5" s="89">
        <f>$DI5*($R5-Klimaatdata!$B$16)*2.63</f>
        <v>0</v>
      </c>
      <c r="DV5" s="89">
        <f>$DI5*($R5-Klimaatdata!$B$17)*2.63</f>
        <v>0</v>
      </c>
      <c r="DW5" s="89">
        <f>$DI5*($R5-Klimaatdata!$B$18)*2.63</f>
        <v>0</v>
      </c>
      <c r="DX5" s="89"/>
      <c r="DY5" s="89">
        <f t="shared" si="28"/>
        <v>0</v>
      </c>
      <c r="DZ5" s="89">
        <v>0.1</v>
      </c>
      <c r="EA5" s="28">
        <v>1</v>
      </c>
      <c r="EB5" s="89">
        <f t="shared" si="29"/>
        <v>0</v>
      </c>
      <c r="EC5" s="89">
        <v>19</v>
      </c>
      <c r="ED5" s="89"/>
      <c r="EE5" s="89">
        <f>$EB5*($R5-Klimaatdata!$B$7)*2.63</f>
        <v>0</v>
      </c>
      <c r="EF5" s="89">
        <f>$EB5*($R5-Klimaatdata!$B$8)*2.63</f>
        <v>0</v>
      </c>
      <c r="EG5" s="89">
        <f>$EB5*($R5-Klimaatdata!$B$9)*2.63</f>
        <v>0</v>
      </c>
      <c r="EH5" s="89">
        <f>$EB5*($R5-Klimaatdata!$B$10)*2.63</f>
        <v>0</v>
      </c>
      <c r="EI5" s="89">
        <f>$EB5*($R5-Klimaatdata!$B$11)*2.63</f>
        <v>0</v>
      </c>
      <c r="EJ5" s="89">
        <f>$EB5*($R5-Klimaatdata!$B$12)*2.63</f>
        <v>0</v>
      </c>
      <c r="EK5" s="89">
        <f>$EB5*($R5-Klimaatdata!$B$13)*2.63</f>
        <v>0</v>
      </c>
      <c r="EL5" s="89">
        <f>$EB5*($R5-Klimaatdata!$B$14)*2.63</f>
        <v>0</v>
      </c>
      <c r="EM5" s="89">
        <f>$EB5*($R5-Klimaatdata!$B$15)*2.63</f>
        <v>0</v>
      </c>
      <c r="EN5" s="89">
        <f>$EB5*($R5-Klimaatdata!$B$16)*2.63</f>
        <v>0</v>
      </c>
      <c r="EO5" s="89">
        <f>$EB5*($R5-Klimaatdata!$B$17)*2.63</f>
        <v>0</v>
      </c>
      <c r="EP5" s="89">
        <f>$EB5*($R5-Klimaatdata!$B$18)*2.63</f>
        <v>0</v>
      </c>
      <c r="EQ5" s="25"/>
      <c r="ER5" s="89">
        <f t="shared" si="30"/>
        <v>0</v>
      </c>
      <c r="ES5" s="89"/>
      <c r="ET5" s="89">
        <f>INDEX(Klimaatdata!$B$27:$K$38,1,$B5)</f>
        <v>0</v>
      </c>
      <c r="EU5" s="89">
        <f>INDEX(Klimaatdata!$B$27:$K$38,2,$B5)</f>
        <v>0</v>
      </c>
      <c r="EV5" s="89">
        <f>INDEX(Klimaatdata!$B$27:$K$38,3,$B5)</f>
        <v>0</v>
      </c>
      <c r="EW5" s="89">
        <f>INDEX(Klimaatdata!$B$27:$K$38,4,$B5)</f>
        <v>0</v>
      </c>
      <c r="EX5" s="89">
        <f>INDEX(Klimaatdata!$B$27:$K$38,5,$B5)</f>
        <v>0</v>
      </c>
      <c r="EY5" s="89">
        <f>INDEX(Klimaatdata!$B$27:$K$38,6,$B5)</f>
        <v>0</v>
      </c>
      <c r="EZ5" s="89">
        <f>INDEX(Klimaatdata!$B$27:$K$38,7,$B5)</f>
        <v>0</v>
      </c>
      <c r="FA5" s="89">
        <f>INDEX(Klimaatdata!$B$27:$K$38,8,$B5)</f>
        <v>0</v>
      </c>
      <c r="FB5" s="89">
        <f>INDEX(Klimaatdata!$B$27:$K$38,9,$B5)</f>
        <v>0</v>
      </c>
      <c r="FC5" s="89">
        <f>INDEX(Klimaatdata!$B$27:$K$38,10,$B5)</f>
        <v>0</v>
      </c>
      <c r="FD5" s="89">
        <f>INDEX(Klimaatdata!$B$27:$K$38,11,$B5)</f>
        <v>0</v>
      </c>
      <c r="FE5" s="89">
        <f>INDEX(Klimaatdata!$B$27:$K$38,12,$B5)</f>
        <v>0</v>
      </c>
      <c r="FG5">
        <f t="shared" si="31"/>
        <v>1</v>
      </c>
      <c r="FH5">
        <f t="shared" si="32"/>
        <v>1</v>
      </c>
      <c r="FI5">
        <f t="shared" si="33"/>
        <v>1</v>
      </c>
      <c r="FJ5">
        <f t="shared" si="34"/>
        <v>1</v>
      </c>
      <c r="FK5">
        <f t="shared" si="35"/>
        <v>1</v>
      </c>
      <c r="FL5">
        <f t="shared" si="36"/>
        <v>1</v>
      </c>
      <c r="FM5">
        <f t="shared" si="37"/>
        <v>1</v>
      </c>
      <c r="FN5">
        <f t="shared" si="38"/>
        <v>1</v>
      </c>
      <c r="FO5">
        <f t="shared" si="39"/>
        <v>1</v>
      </c>
      <c r="FP5">
        <f t="shared" si="40"/>
        <v>1</v>
      </c>
      <c r="FQ5">
        <f t="shared" si="41"/>
        <v>1</v>
      </c>
      <c r="FR5">
        <f t="shared" si="42"/>
        <v>1</v>
      </c>
      <c r="FT5" s="219">
        <f>Klimaatdata!$D$7*ET5*FG5*$ER5*$G5*0.75</f>
        <v>0</v>
      </c>
      <c r="FU5" s="219">
        <f>Klimaatdata!$E$7*EU5*FH5*$ER5*$G5*0.75</f>
        <v>0</v>
      </c>
      <c r="FV5" s="219">
        <f>Klimaatdata!$F$7*EV5*FI5*$ER5*$G5*0.75</f>
        <v>0</v>
      </c>
      <c r="FW5" s="219">
        <f>Klimaatdata!$G$7*EW5*FJ5*$ER5*$G5*0.75</f>
        <v>0</v>
      </c>
      <c r="FX5" s="219">
        <f>Klimaatdata!$H$7*EX5*FK5*$ER5*$G5*0.75</f>
        <v>0</v>
      </c>
      <c r="FY5" s="219">
        <f>Klimaatdata!$I$7*EY5*FL5*$ER5*$G5*0.75</f>
        <v>0</v>
      </c>
      <c r="FZ5" s="219">
        <f>Klimaatdata!$J$7*EZ5*FM5*$ER5*$G5*0.75</f>
        <v>0</v>
      </c>
      <c r="GA5" s="219">
        <f>Klimaatdata!$K$7*FA5*FN5*$ER5*$G5*0.75</f>
        <v>0</v>
      </c>
      <c r="GB5" s="219">
        <f>Klimaatdata!$L$7*FB5*FO5*$ER5*$G5*0.75</f>
        <v>0</v>
      </c>
      <c r="GC5" s="219">
        <f>Klimaatdata!$M$7*FC5*FP5*$ER5*$G5*0.75</f>
        <v>0</v>
      </c>
      <c r="GD5" s="219">
        <f>Klimaatdata!$N$7*FD5*FQ5*$ER5*$G5*0.75</f>
        <v>0</v>
      </c>
      <c r="GE5" s="219">
        <f>Klimaatdata!$O$7*FE5*FR5*$ER5*$G5*0.75</f>
        <v>0</v>
      </c>
      <c r="GG5">
        <f t="shared" si="43"/>
        <v>0</v>
      </c>
      <c r="GH5">
        <f t="shared" si="44"/>
        <v>0</v>
      </c>
      <c r="GI5">
        <f t="shared" si="45"/>
        <v>0</v>
      </c>
      <c r="GJ5">
        <f t="shared" si="46"/>
        <v>0</v>
      </c>
      <c r="GK5">
        <f t="shared" si="47"/>
        <v>0</v>
      </c>
      <c r="GL5">
        <f t="shared" si="48"/>
        <v>0</v>
      </c>
      <c r="GM5">
        <f t="shared" si="49"/>
        <v>0</v>
      </c>
      <c r="GN5">
        <f t="shared" si="50"/>
        <v>0</v>
      </c>
      <c r="GO5">
        <f>'Invoer Gebouwschil'!Q5</f>
        <v>0</v>
      </c>
      <c r="GP5">
        <f t="shared" si="51"/>
        <v>0</v>
      </c>
      <c r="GR5">
        <f t="shared" si="52"/>
        <v>1</v>
      </c>
      <c r="GS5">
        <f t="shared" si="53"/>
        <v>0</v>
      </c>
      <c r="GT5">
        <f t="shared" si="54"/>
        <v>0</v>
      </c>
      <c r="GU5">
        <f t="shared" si="55"/>
        <v>0</v>
      </c>
      <c r="GV5">
        <f t="shared" si="56"/>
        <v>0</v>
      </c>
      <c r="GW5">
        <f t="shared" si="57"/>
        <v>0</v>
      </c>
      <c r="GX5">
        <f t="shared" si="58"/>
        <v>0</v>
      </c>
      <c r="GZ5" s="12">
        <f t="shared" si="59"/>
        <v>0</v>
      </c>
      <c r="HA5" s="13">
        <f t="shared" si="60"/>
        <v>0</v>
      </c>
      <c r="HB5" s="13">
        <f t="shared" si="61"/>
        <v>0</v>
      </c>
      <c r="HC5" s="14">
        <f t="shared" si="62"/>
        <v>0</v>
      </c>
      <c r="HE5" s="12">
        <f t="shared" si="63"/>
        <v>0</v>
      </c>
      <c r="HF5" s="13">
        <f t="shared" si="64"/>
        <v>0</v>
      </c>
      <c r="HG5" s="13">
        <f t="shared" si="65"/>
        <v>0</v>
      </c>
      <c r="HH5" s="14">
        <f t="shared" si="66"/>
        <v>0</v>
      </c>
    </row>
    <row r="6" spans="1:216" x14ac:dyDescent="0.2">
      <c r="A6">
        <v>1</v>
      </c>
      <c r="B6">
        <v>1</v>
      </c>
      <c r="C6">
        <v>1</v>
      </c>
      <c r="D6">
        <f>'Invoer Gebouwschil'!D6</f>
        <v>0</v>
      </c>
      <c r="E6">
        <v>1</v>
      </c>
      <c r="F6">
        <v>1</v>
      </c>
      <c r="G6">
        <f>'Invoer Gebouwschil'!H6</f>
        <v>0</v>
      </c>
      <c r="H6">
        <v>1</v>
      </c>
      <c r="I6">
        <v>1</v>
      </c>
      <c r="K6" s="89">
        <f>INDEX('Verwerking Bouwdelen'!$H$79:$H$103,'Verwerking Bouwdelen'!E6)</f>
        <v>0</v>
      </c>
      <c r="L6" s="89">
        <v>0.13</v>
      </c>
      <c r="M6" s="89">
        <f t="shared" si="14"/>
        <v>0</v>
      </c>
      <c r="N6" s="89">
        <f>IF(F6=6,1/((1/1/(L7+M7+'Invoer Gebouwschil'!F6))+5),1/(L6+M6+'Invoer Gebouwschil'!F6))</f>
        <v>7.6923076923076916</v>
      </c>
      <c r="O6" s="89">
        <v>0.1</v>
      </c>
      <c r="P6" s="28">
        <f t="shared" si="15"/>
        <v>1</v>
      </c>
      <c r="Q6" s="89">
        <f t="shared" si="0"/>
        <v>0</v>
      </c>
      <c r="R6" s="89">
        <v>19</v>
      </c>
      <c r="S6" s="89"/>
      <c r="T6" s="89">
        <f>$Q6*($R6-Klimaatdata!$B$7)*2.63</f>
        <v>0</v>
      </c>
      <c r="U6" s="89">
        <f>$Q6*($R6-Klimaatdata!$B$8)*2.63</f>
        <v>0</v>
      </c>
      <c r="V6" s="89">
        <f>$Q6*($R6-Klimaatdata!$B$9)*2.63</f>
        <v>0</v>
      </c>
      <c r="W6" s="89">
        <f>$Q6*($R6-Klimaatdata!$B$10)*2.63</f>
        <v>0</v>
      </c>
      <c r="X6" s="89">
        <f>$Q6*($R6-Klimaatdata!$B$11)*2.63</f>
        <v>0</v>
      </c>
      <c r="Y6" s="89">
        <f>$Q6*($R6-Klimaatdata!$B$12)*2.63</f>
        <v>0</v>
      </c>
      <c r="Z6" s="89">
        <f>$Q6*($R6-Klimaatdata!$B$13)*2.63</f>
        <v>0</v>
      </c>
      <c r="AA6" s="89">
        <f>$Q6*($R6-Klimaatdata!$B$14)*2.63</f>
        <v>0</v>
      </c>
      <c r="AB6" s="89">
        <f>$Q6*($R6-Klimaatdata!$B$15)*2.63</f>
        <v>0</v>
      </c>
      <c r="AC6" s="89">
        <f>$Q6*($R6-Klimaatdata!$B$16)*2.63</f>
        <v>0</v>
      </c>
      <c r="AD6" s="89">
        <f>$Q6*($R6-Klimaatdata!$B$17)*2.63</f>
        <v>0</v>
      </c>
      <c r="AE6" s="89">
        <f>$Q6*($R6-Klimaatdata!$B$18)*2.63</f>
        <v>0</v>
      </c>
      <c r="AF6" s="89"/>
      <c r="AG6" s="205">
        <f t="shared" si="16"/>
        <v>0</v>
      </c>
      <c r="AH6" s="25">
        <f t="shared" si="17"/>
        <v>0</v>
      </c>
      <c r="AI6" s="25">
        <f t="shared" si="18"/>
        <v>0</v>
      </c>
      <c r="AJ6" s="206">
        <f t="shared" si="19"/>
        <v>0</v>
      </c>
      <c r="AK6" s="25"/>
      <c r="AL6" s="89">
        <f t="shared" si="20"/>
        <v>1</v>
      </c>
      <c r="AM6" s="89">
        <f t="shared" si="21"/>
        <v>0</v>
      </c>
      <c r="AN6" s="89">
        <f t="shared" si="22"/>
        <v>0</v>
      </c>
      <c r="AO6" s="89">
        <f t="shared" si="23"/>
        <v>0</v>
      </c>
      <c r="AP6" s="89">
        <v>0.1</v>
      </c>
      <c r="AQ6" s="28">
        <v>1</v>
      </c>
      <c r="AR6" s="89">
        <f t="shared" si="1"/>
        <v>0</v>
      </c>
      <c r="AS6" s="89">
        <v>19</v>
      </c>
      <c r="AT6" s="89"/>
      <c r="AU6" s="89">
        <f>$AR6*($R6-Klimaatdata!$B$7)*2.63</f>
        <v>0</v>
      </c>
      <c r="AV6" s="89">
        <f>$AR6*($R6-Klimaatdata!$B$8)*2.63</f>
        <v>0</v>
      </c>
      <c r="AW6" s="89">
        <f>$AR6*($R6-Klimaatdata!$B$9)*2.63</f>
        <v>0</v>
      </c>
      <c r="AX6" s="89">
        <f>$AR6*($R6-Klimaatdata!$B$10)*2.63</f>
        <v>0</v>
      </c>
      <c r="AY6" s="89">
        <f>$AR6*($R6-Klimaatdata!$B$11)*2.63</f>
        <v>0</v>
      </c>
      <c r="AZ6" s="89">
        <f>$AR6*($R6-Klimaatdata!$B$12)*2.63</f>
        <v>0</v>
      </c>
      <c r="BA6" s="89">
        <f>$AR6*($R6-Klimaatdata!$B$13)*2.63</f>
        <v>0</v>
      </c>
      <c r="BB6" s="89">
        <f>$AR6*($R6-Klimaatdata!$B$14)*2.63</f>
        <v>0</v>
      </c>
      <c r="BC6" s="89">
        <f>$AR6*($R6-Klimaatdata!$B$15)*2.63</f>
        <v>0</v>
      </c>
      <c r="BD6" s="89">
        <f>$AR6*($R6-Klimaatdata!$B$16)*2.63</f>
        <v>0</v>
      </c>
      <c r="BE6" s="89">
        <f>$AR6*($R6-Klimaatdata!$B$17)*2.63</f>
        <v>0</v>
      </c>
      <c r="BF6" s="89">
        <f>$AR6*($R6-Klimaatdata!$B$18)*2.63</f>
        <v>0</v>
      </c>
      <c r="BG6" s="25"/>
      <c r="BH6" s="89">
        <f>INDEX('Verwerking Bouwdelen'!$Y$106:$Y$130,H6)</f>
        <v>0</v>
      </c>
      <c r="BI6" s="89"/>
      <c r="BJ6" s="89">
        <f>INDEX(Klimaatdata!$B$27:$K$38,1,$B6)</f>
        <v>0</v>
      </c>
      <c r="BK6" s="89">
        <f>INDEX(Klimaatdata!$B$27:$K$38,2,$B6)</f>
        <v>0</v>
      </c>
      <c r="BL6" s="89">
        <f>INDEX(Klimaatdata!$B$27:$K$38,3,$B6)</f>
        <v>0</v>
      </c>
      <c r="BM6" s="89">
        <f>INDEX(Klimaatdata!$B$27:$K$38,4,$B6)</f>
        <v>0</v>
      </c>
      <c r="BN6" s="89">
        <f>INDEX(Klimaatdata!$B$27:$K$38,5,$B6)</f>
        <v>0</v>
      </c>
      <c r="BO6" s="89">
        <f>INDEX(Klimaatdata!$B$27:$K$38,6,$B6)</f>
        <v>0</v>
      </c>
      <c r="BP6" s="89">
        <f>INDEX(Klimaatdata!$B$27:$K$38,7,$B6)</f>
        <v>0</v>
      </c>
      <c r="BQ6" s="89">
        <f>INDEX(Klimaatdata!$B$27:$K$38,8,$B6)</f>
        <v>0</v>
      </c>
      <c r="BR6" s="89">
        <f>INDEX(Klimaatdata!$B$27:$K$38,9,$B6)</f>
        <v>0</v>
      </c>
      <c r="BS6" s="89">
        <f>INDEX(Klimaatdata!$B$27:$K$38,10,$B6)</f>
        <v>0</v>
      </c>
      <c r="BT6" s="89">
        <f>INDEX(Klimaatdata!$B$27:$K$38,11,$B6)</f>
        <v>0</v>
      </c>
      <c r="BU6" s="89">
        <f>INDEX(Klimaatdata!$B$27:$K$38,12,$B6)</f>
        <v>0</v>
      </c>
      <c r="BW6">
        <f t="shared" si="2"/>
        <v>1</v>
      </c>
      <c r="BX6">
        <f t="shared" si="3"/>
        <v>1</v>
      </c>
      <c r="BY6">
        <f t="shared" si="4"/>
        <v>1</v>
      </c>
      <c r="BZ6">
        <f t="shared" si="5"/>
        <v>1</v>
      </c>
      <c r="CA6">
        <f t="shared" si="6"/>
        <v>1</v>
      </c>
      <c r="CB6">
        <f t="shared" si="7"/>
        <v>1</v>
      </c>
      <c r="CC6">
        <f t="shared" si="8"/>
        <v>1</v>
      </c>
      <c r="CD6">
        <f t="shared" si="9"/>
        <v>1</v>
      </c>
      <c r="CE6">
        <f t="shared" si="10"/>
        <v>1</v>
      </c>
      <c r="CF6">
        <f t="shared" si="11"/>
        <v>1</v>
      </c>
      <c r="CG6">
        <f t="shared" si="12"/>
        <v>1</v>
      </c>
      <c r="CH6">
        <f t="shared" si="13"/>
        <v>1</v>
      </c>
      <c r="CJ6" s="219">
        <f>Klimaatdata!$D$7*BJ6*BW6*$BH6*$G6*0.75</f>
        <v>0</v>
      </c>
      <c r="CK6" s="219">
        <f>Klimaatdata!$E$7*BK6*BX6*$BH6*$G6*0.75</f>
        <v>0</v>
      </c>
      <c r="CL6" s="219">
        <f>Klimaatdata!$F$7*BL6*BY6*$BH6*$G6*0.75</f>
        <v>0</v>
      </c>
      <c r="CM6" s="219">
        <f>Klimaatdata!$G$7*BM6*BZ6*$BH6*$G6*0.75</f>
        <v>0</v>
      </c>
      <c r="CN6" s="219">
        <f>Klimaatdata!$H$7*BN6*CA6*$BH6*$G6*0.75</f>
        <v>0</v>
      </c>
      <c r="CO6" s="219">
        <f>Klimaatdata!$I$7*BO6*CB6*$BH6*$G6*0.75</f>
        <v>0</v>
      </c>
      <c r="CP6" s="219">
        <f>Klimaatdata!$J$7*BP6*CC6*$BH6*$G6*0.75</f>
        <v>0</v>
      </c>
      <c r="CQ6" s="219">
        <f>Klimaatdata!$K$7*BQ6*CD6*$BH6*$G6*0.75</f>
        <v>0</v>
      </c>
      <c r="CR6" s="219">
        <f>Klimaatdata!$L$7*BR6*CE6*$BH6*$G6*0.75</f>
        <v>0</v>
      </c>
      <c r="CS6" s="219">
        <f>Klimaatdata!$M$7*BS6*CF6*$BH6*$G6*0.75</f>
        <v>0</v>
      </c>
      <c r="CT6" s="219">
        <f>Klimaatdata!$N$7*BT6*CG6*$BH6*$G6*0.75</f>
        <v>0</v>
      </c>
      <c r="CU6" s="219">
        <f>Klimaatdata!$O$7*BU6*CH6*$BH6*$G6*0.75</f>
        <v>0</v>
      </c>
      <c r="CX6">
        <v>1</v>
      </c>
      <c r="CY6">
        <v>1</v>
      </c>
      <c r="CZ6">
        <v>1</v>
      </c>
      <c r="DA6">
        <f>'Invoer Gebouwschil'!Q6</f>
        <v>0</v>
      </c>
      <c r="DC6" s="89">
        <f t="shared" si="24"/>
        <v>0</v>
      </c>
      <c r="DD6" s="89">
        <v>0.13</v>
      </c>
      <c r="DE6" s="89">
        <f t="shared" si="25"/>
        <v>0</v>
      </c>
      <c r="DF6" s="89">
        <f>IF(F6=6,1/((1/1/(DD6+DE6+'Invoer Gebouwschil'!M6))+5),1/(DD6+DE6+'Invoer Gebouwschil'!M6))</f>
        <v>7.6923076923076916</v>
      </c>
      <c r="DG6" s="89">
        <v>0.1</v>
      </c>
      <c r="DH6" s="28">
        <f t="shared" si="26"/>
        <v>1</v>
      </c>
      <c r="DI6" s="89">
        <f t="shared" si="27"/>
        <v>0</v>
      </c>
      <c r="DJ6" s="89">
        <v>19</v>
      </c>
      <c r="DK6" s="89"/>
      <c r="DL6" s="89">
        <f>$DI6*($R6-Klimaatdata!$B$7)*2.63</f>
        <v>0</v>
      </c>
      <c r="DM6" s="89">
        <f>$DI6*($R6-Klimaatdata!$B$8)*2.63</f>
        <v>0</v>
      </c>
      <c r="DN6" s="89">
        <f>$DI6*($R6-Klimaatdata!$B$9)*2.63</f>
        <v>0</v>
      </c>
      <c r="DO6" s="89">
        <f>$DI6*($R6-Klimaatdata!$B$10)*2.63</f>
        <v>0</v>
      </c>
      <c r="DP6" s="89">
        <f>$DI6*($R6-Klimaatdata!$B$11)*2.63</f>
        <v>0</v>
      </c>
      <c r="DQ6" s="89">
        <f>$DI6*($R6-Klimaatdata!$B$12)*2.63</f>
        <v>0</v>
      </c>
      <c r="DR6" s="89">
        <f>$DI6*($R6-Klimaatdata!$B$13)*2.63</f>
        <v>0</v>
      </c>
      <c r="DS6" s="89">
        <f>$DI6*($R6-Klimaatdata!$B$14)*2.63</f>
        <v>0</v>
      </c>
      <c r="DT6" s="89">
        <f>$DI6*($R6-Klimaatdata!$B$15)*2.63</f>
        <v>0</v>
      </c>
      <c r="DU6" s="89">
        <f>$DI6*($R6-Klimaatdata!$B$16)*2.63</f>
        <v>0</v>
      </c>
      <c r="DV6" s="89">
        <f>$DI6*($R6-Klimaatdata!$B$17)*2.63</f>
        <v>0</v>
      </c>
      <c r="DW6" s="89">
        <f>$DI6*($R6-Klimaatdata!$B$18)*2.63</f>
        <v>0</v>
      </c>
      <c r="DX6" s="89"/>
      <c r="DY6" s="89">
        <f t="shared" si="28"/>
        <v>0</v>
      </c>
      <c r="DZ6" s="89">
        <v>0.1</v>
      </c>
      <c r="EA6" s="28">
        <v>1</v>
      </c>
      <c r="EB6" s="89">
        <f t="shared" si="29"/>
        <v>0</v>
      </c>
      <c r="EC6" s="89">
        <v>19</v>
      </c>
      <c r="ED6" s="89"/>
      <c r="EE6" s="89">
        <f>$EB6*($R6-Klimaatdata!$B$7)*2.63</f>
        <v>0</v>
      </c>
      <c r="EF6" s="89">
        <f>$EB6*($R6-Klimaatdata!$B$8)*2.63</f>
        <v>0</v>
      </c>
      <c r="EG6" s="89">
        <f>$EB6*($R6-Klimaatdata!$B$9)*2.63</f>
        <v>0</v>
      </c>
      <c r="EH6" s="89">
        <f>$EB6*($R6-Klimaatdata!$B$10)*2.63</f>
        <v>0</v>
      </c>
      <c r="EI6" s="89">
        <f>$EB6*($R6-Klimaatdata!$B$11)*2.63</f>
        <v>0</v>
      </c>
      <c r="EJ6" s="89">
        <f>$EB6*($R6-Klimaatdata!$B$12)*2.63</f>
        <v>0</v>
      </c>
      <c r="EK6" s="89">
        <f>$EB6*($R6-Klimaatdata!$B$13)*2.63</f>
        <v>0</v>
      </c>
      <c r="EL6" s="89">
        <f>$EB6*($R6-Klimaatdata!$B$14)*2.63</f>
        <v>0</v>
      </c>
      <c r="EM6" s="89">
        <f>$EB6*($R6-Klimaatdata!$B$15)*2.63</f>
        <v>0</v>
      </c>
      <c r="EN6" s="89">
        <f>$EB6*($R6-Klimaatdata!$B$16)*2.63</f>
        <v>0</v>
      </c>
      <c r="EO6" s="89">
        <f>$EB6*($R6-Klimaatdata!$B$17)*2.63</f>
        <v>0</v>
      </c>
      <c r="EP6" s="89">
        <f>$EB6*($R6-Klimaatdata!$B$18)*2.63</f>
        <v>0</v>
      </c>
      <c r="EQ6" s="25"/>
      <c r="ER6" s="89">
        <f t="shared" si="30"/>
        <v>0</v>
      </c>
      <c r="ES6" s="89"/>
      <c r="ET6" s="89">
        <f>INDEX(Klimaatdata!$B$27:$K$38,1,$B6)</f>
        <v>0</v>
      </c>
      <c r="EU6" s="89">
        <f>INDEX(Klimaatdata!$B$27:$K$38,2,$B6)</f>
        <v>0</v>
      </c>
      <c r="EV6" s="89">
        <f>INDEX(Klimaatdata!$B$27:$K$38,3,$B6)</f>
        <v>0</v>
      </c>
      <c r="EW6" s="89">
        <f>INDEX(Klimaatdata!$B$27:$K$38,4,$B6)</f>
        <v>0</v>
      </c>
      <c r="EX6" s="89">
        <f>INDEX(Klimaatdata!$B$27:$K$38,5,$B6)</f>
        <v>0</v>
      </c>
      <c r="EY6" s="89">
        <f>INDEX(Klimaatdata!$B$27:$K$38,6,$B6)</f>
        <v>0</v>
      </c>
      <c r="EZ6" s="89">
        <f>INDEX(Klimaatdata!$B$27:$K$38,7,$B6)</f>
        <v>0</v>
      </c>
      <c r="FA6" s="89">
        <f>INDEX(Klimaatdata!$B$27:$K$38,8,$B6)</f>
        <v>0</v>
      </c>
      <c r="FB6" s="89">
        <f>INDEX(Klimaatdata!$B$27:$K$38,9,$B6)</f>
        <v>0</v>
      </c>
      <c r="FC6" s="89">
        <f>INDEX(Klimaatdata!$B$27:$K$38,10,$B6)</f>
        <v>0</v>
      </c>
      <c r="FD6" s="89">
        <f>INDEX(Klimaatdata!$B$27:$K$38,11,$B6)</f>
        <v>0</v>
      </c>
      <c r="FE6" s="89">
        <f>INDEX(Klimaatdata!$B$27:$K$38,12,$B6)</f>
        <v>0</v>
      </c>
      <c r="FG6">
        <f t="shared" si="31"/>
        <v>1</v>
      </c>
      <c r="FH6">
        <f t="shared" si="32"/>
        <v>1</v>
      </c>
      <c r="FI6">
        <f t="shared" si="33"/>
        <v>1</v>
      </c>
      <c r="FJ6">
        <f t="shared" si="34"/>
        <v>1</v>
      </c>
      <c r="FK6">
        <f t="shared" si="35"/>
        <v>1</v>
      </c>
      <c r="FL6">
        <f t="shared" si="36"/>
        <v>1</v>
      </c>
      <c r="FM6">
        <f t="shared" si="37"/>
        <v>1</v>
      </c>
      <c r="FN6">
        <f t="shared" si="38"/>
        <v>1</v>
      </c>
      <c r="FO6">
        <f t="shared" si="39"/>
        <v>1</v>
      </c>
      <c r="FP6">
        <f t="shared" si="40"/>
        <v>1</v>
      </c>
      <c r="FQ6">
        <f t="shared" si="41"/>
        <v>1</v>
      </c>
      <c r="FR6">
        <f t="shared" si="42"/>
        <v>1</v>
      </c>
      <c r="FT6" s="219">
        <f>Klimaatdata!$D$7*ET6*FG6*$ER6*$G6*0.75</f>
        <v>0</v>
      </c>
      <c r="FU6" s="219">
        <f>Klimaatdata!$E$7*EU6*FH6*$ER6*$G6*0.75</f>
        <v>0</v>
      </c>
      <c r="FV6" s="219">
        <f>Klimaatdata!$F$7*EV6*FI6*$ER6*$G6*0.75</f>
        <v>0</v>
      </c>
      <c r="FW6" s="219">
        <f>Klimaatdata!$G$7*EW6*FJ6*$ER6*$G6*0.75</f>
        <v>0</v>
      </c>
      <c r="FX6" s="219">
        <f>Klimaatdata!$H$7*EX6*FK6*$ER6*$G6*0.75</f>
        <v>0</v>
      </c>
      <c r="FY6" s="219">
        <f>Klimaatdata!$I$7*EY6*FL6*$ER6*$G6*0.75</f>
        <v>0</v>
      </c>
      <c r="FZ6" s="219">
        <f>Klimaatdata!$J$7*EZ6*FM6*$ER6*$G6*0.75</f>
        <v>0</v>
      </c>
      <c r="GA6" s="219">
        <f>Klimaatdata!$K$7*FA6*FN6*$ER6*$G6*0.75</f>
        <v>0</v>
      </c>
      <c r="GB6" s="219">
        <f>Klimaatdata!$L$7*FB6*FO6*$ER6*$G6*0.75</f>
        <v>0</v>
      </c>
      <c r="GC6" s="219">
        <f>Klimaatdata!$M$7*FC6*FP6*$ER6*$G6*0.75</f>
        <v>0</v>
      </c>
      <c r="GD6" s="219">
        <f>Klimaatdata!$N$7*FD6*FQ6*$ER6*$G6*0.75</f>
        <v>0</v>
      </c>
      <c r="GE6" s="219">
        <f>Klimaatdata!$O$7*FE6*FR6*$ER6*$G6*0.75</f>
        <v>0</v>
      </c>
      <c r="GG6">
        <f t="shared" si="43"/>
        <v>0</v>
      </c>
      <c r="GH6">
        <f t="shared" si="44"/>
        <v>0</v>
      </c>
      <c r="GI6">
        <f t="shared" si="45"/>
        <v>0</v>
      </c>
      <c r="GJ6">
        <f t="shared" si="46"/>
        <v>0</v>
      </c>
      <c r="GK6">
        <f t="shared" si="47"/>
        <v>0</v>
      </c>
      <c r="GL6">
        <f t="shared" si="48"/>
        <v>0</v>
      </c>
      <c r="GM6">
        <f t="shared" si="49"/>
        <v>0</v>
      </c>
      <c r="GN6">
        <f t="shared" si="50"/>
        <v>0</v>
      </c>
      <c r="GO6">
        <f>'Invoer Gebouwschil'!Q6</f>
        <v>0</v>
      </c>
      <c r="GP6">
        <f t="shared" si="51"/>
        <v>0</v>
      </c>
      <c r="GR6">
        <f t="shared" si="52"/>
        <v>1</v>
      </c>
      <c r="GS6">
        <f t="shared" si="53"/>
        <v>0</v>
      </c>
      <c r="GT6">
        <f t="shared" si="54"/>
        <v>0</v>
      </c>
      <c r="GU6">
        <f t="shared" si="55"/>
        <v>0</v>
      </c>
      <c r="GV6">
        <f t="shared" si="56"/>
        <v>0</v>
      </c>
      <c r="GW6">
        <f t="shared" si="57"/>
        <v>0</v>
      </c>
      <c r="GX6">
        <f t="shared" si="58"/>
        <v>0</v>
      </c>
      <c r="GZ6" s="12">
        <f t="shared" si="59"/>
        <v>0</v>
      </c>
      <c r="HA6" s="13">
        <f t="shared" si="60"/>
        <v>0</v>
      </c>
      <c r="HB6" s="13">
        <f t="shared" si="61"/>
        <v>0</v>
      </c>
      <c r="HC6" s="14">
        <f t="shared" si="62"/>
        <v>0</v>
      </c>
      <c r="HE6" s="12">
        <f t="shared" si="63"/>
        <v>0</v>
      </c>
      <c r="HF6" s="13">
        <f t="shared" si="64"/>
        <v>0</v>
      </c>
      <c r="HG6" s="13">
        <f t="shared" si="65"/>
        <v>0</v>
      </c>
      <c r="HH6" s="14">
        <f t="shared" si="66"/>
        <v>0</v>
      </c>
    </row>
    <row r="7" spans="1:216" x14ac:dyDescent="0.2">
      <c r="A7">
        <v>1</v>
      </c>
      <c r="B7">
        <v>1</v>
      </c>
      <c r="C7">
        <v>1</v>
      </c>
      <c r="D7">
        <f>'Invoer Gebouwschil'!D7</f>
        <v>0</v>
      </c>
      <c r="E7">
        <v>1</v>
      </c>
      <c r="F7">
        <v>1</v>
      </c>
      <c r="G7">
        <f>'Invoer Gebouwschil'!H7</f>
        <v>0</v>
      </c>
      <c r="H7">
        <v>1</v>
      </c>
      <c r="I7">
        <v>1</v>
      </c>
      <c r="K7" s="89">
        <f>INDEX('Verwerking Bouwdelen'!$J$79:$J$103,'Verwerking Bouwdelen'!E7)</f>
        <v>0</v>
      </c>
      <c r="L7" s="89">
        <v>0.13</v>
      </c>
      <c r="M7" s="89">
        <f t="shared" si="14"/>
        <v>0</v>
      </c>
      <c r="N7" s="89">
        <f>IF(F7=6,1/((1/1/(L8+M8+'Invoer Gebouwschil'!F7))+5),1/(L7+M7+'Invoer Gebouwschil'!F7))</f>
        <v>7.6923076923076916</v>
      </c>
      <c r="O7" s="89">
        <v>0.1</v>
      </c>
      <c r="P7" s="28">
        <f t="shared" si="15"/>
        <v>1</v>
      </c>
      <c r="Q7" s="89">
        <f t="shared" si="0"/>
        <v>0</v>
      </c>
      <c r="R7" s="89">
        <v>19</v>
      </c>
      <c r="S7" s="89"/>
      <c r="T7" s="89">
        <f>$Q7*($R7-Klimaatdata!$B$7)*2.63</f>
        <v>0</v>
      </c>
      <c r="U7" s="89">
        <f>$Q7*($R7-Klimaatdata!$B$8)*2.63</f>
        <v>0</v>
      </c>
      <c r="V7" s="89">
        <f>$Q7*($R7-Klimaatdata!$B$9)*2.63</f>
        <v>0</v>
      </c>
      <c r="W7" s="89">
        <f>$Q7*($R7-Klimaatdata!$B$10)*2.63</f>
        <v>0</v>
      </c>
      <c r="X7" s="89">
        <f>$Q7*($R7-Klimaatdata!$B$11)*2.63</f>
        <v>0</v>
      </c>
      <c r="Y7" s="89">
        <f>$Q7*($R7-Klimaatdata!$B$12)*2.63</f>
        <v>0</v>
      </c>
      <c r="Z7" s="89">
        <f>$Q7*($R7-Klimaatdata!$B$13)*2.63</f>
        <v>0</v>
      </c>
      <c r="AA7" s="89">
        <f>$Q7*($R7-Klimaatdata!$B$14)*2.63</f>
        <v>0</v>
      </c>
      <c r="AB7" s="89">
        <f>$Q7*($R7-Klimaatdata!$B$15)*2.63</f>
        <v>0</v>
      </c>
      <c r="AC7" s="89">
        <f>$Q7*($R7-Klimaatdata!$B$16)*2.63</f>
        <v>0</v>
      </c>
      <c r="AD7" s="89">
        <f>$Q7*($R7-Klimaatdata!$B$17)*2.63</f>
        <v>0</v>
      </c>
      <c r="AE7" s="89">
        <f>$Q7*($R7-Klimaatdata!$B$18)*2.63</f>
        <v>0</v>
      </c>
      <c r="AF7" s="89"/>
      <c r="AG7" s="205">
        <f t="shared" si="16"/>
        <v>0</v>
      </c>
      <c r="AH7" s="25">
        <f t="shared" si="17"/>
        <v>0</v>
      </c>
      <c r="AI7" s="25">
        <f t="shared" si="18"/>
        <v>0</v>
      </c>
      <c r="AJ7" s="206">
        <f t="shared" si="19"/>
        <v>0</v>
      </c>
      <c r="AK7" s="25"/>
      <c r="AL7" s="89">
        <f t="shared" si="20"/>
        <v>1</v>
      </c>
      <c r="AM7" s="89">
        <f t="shared" si="21"/>
        <v>0</v>
      </c>
      <c r="AN7" s="89">
        <f t="shared" si="22"/>
        <v>0</v>
      </c>
      <c r="AO7" s="89">
        <f t="shared" si="23"/>
        <v>0</v>
      </c>
      <c r="AP7" s="89">
        <v>0.1</v>
      </c>
      <c r="AQ7" s="28">
        <v>1</v>
      </c>
      <c r="AR7" s="89">
        <f t="shared" si="1"/>
        <v>0</v>
      </c>
      <c r="AS7" s="89">
        <v>19</v>
      </c>
      <c r="AT7" s="89"/>
      <c r="AU7" s="89">
        <f>$AR7*($R7-Klimaatdata!$B$7)*2.63</f>
        <v>0</v>
      </c>
      <c r="AV7" s="89">
        <f>$AR7*($R7-Klimaatdata!$B$8)*2.63</f>
        <v>0</v>
      </c>
      <c r="AW7" s="89">
        <f>$AR7*($R7-Klimaatdata!$B$9)*2.63</f>
        <v>0</v>
      </c>
      <c r="AX7" s="89">
        <f>$AR7*($R7-Klimaatdata!$B$10)*2.63</f>
        <v>0</v>
      </c>
      <c r="AY7" s="89">
        <f>$AR7*($R7-Klimaatdata!$B$11)*2.63</f>
        <v>0</v>
      </c>
      <c r="AZ7" s="89">
        <f>$AR7*($R7-Klimaatdata!$B$12)*2.63</f>
        <v>0</v>
      </c>
      <c r="BA7" s="89">
        <f>$AR7*($R7-Klimaatdata!$B$13)*2.63</f>
        <v>0</v>
      </c>
      <c r="BB7" s="89">
        <f>$AR7*($R7-Klimaatdata!$B$14)*2.63</f>
        <v>0</v>
      </c>
      <c r="BC7" s="89">
        <f>$AR7*($R7-Klimaatdata!$B$15)*2.63</f>
        <v>0</v>
      </c>
      <c r="BD7" s="89">
        <f>$AR7*($R7-Klimaatdata!$B$16)*2.63</f>
        <v>0</v>
      </c>
      <c r="BE7" s="89">
        <f>$AR7*($R7-Klimaatdata!$B$17)*2.63</f>
        <v>0</v>
      </c>
      <c r="BF7" s="89">
        <f>$AR7*($R7-Klimaatdata!$B$18)*2.63</f>
        <v>0</v>
      </c>
      <c r="BG7" s="25"/>
      <c r="BH7" s="89">
        <f>INDEX('Verwerking Bouwdelen'!$Y$106:$Y$130,H7)</f>
        <v>0</v>
      </c>
      <c r="BI7" s="89"/>
      <c r="BJ7" s="89">
        <f>INDEX(Klimaatdata!$B$27:$K$38,1,$B7)</f>
        <v>0</v>
      </c>
      <c r="BK7" s="89">
        <f>INDEX(Klimaatdata!$B$27:$K$38,2,$B7)</f>
        <v>0</v>
      </c>
      <c r="BL7" s="89">
        <f>INDEX(Klimaatdata!$B$27:$K$38,3,$B7)</f>
        <v>0</v>
      </c>
      <c r="BM7" s="89">
        <f>INDEX(Klimaatdata!$B$27:$K$38,4,$B7)</f>
        <v>0</v>
      </c>
      <c r="BN7" s="89">
        <f>INDEX(Klimaatdata!$B$27:$K$38,5,$B7)</f>
        <v>0</v>
      </c>
      <c r="BO7" s="89">
        <f>INDEX(Klimaatdata!$B$27:$K$38,6,$B7)</f>
        <v>0</v>
      </c>
      <c r="BP7" s="89">
        <f>INDEX(Klimaatdata!$B$27:$K$38,7,$B7)</f>
        <v>0</v>
      </c>
      <c r="BQ7" s="89">
        <f>INDEX(Klimaatdata!$B$27:$K$38,8,$B7)</f>
        <v>0</v>
      </c>
      <c r="BR7" s="89">
        <f>INDEX(Klimaatdata!$B$27:$K$38,9,$B7)</f>
        <v>0</v>
      </c>
      <c r="BS7" s="89">
        <f>INDEX(Klimaatdata!$B$27:$K$38,10,$B7)</f>
        <v>0</v>
      </c>
      <c r="BT7" s="89">
        <f>INDEX(Klimaatdata!$B$27:$K$38,11,$B7)</f>
        <v>0</v>
      </c>
      <c r="BU7" s="89">
        <f>INDEX(Klimaatdata!$B$27:$K$38,12,$B7)</f>
        <v>0</v>
      </c>
      <c r="BW7">
        <f t="shared" si="2"/>
        <v>1</v>
      </c>
      <c r="BX7">
        <f t="shared" si="3"/>
        <v>1</v>
      </c>
      <c r="BY7">
        <f t="shared" si="4"/>
        <v>1</v>
      </c>
      <c r="BZ7">
        <f t="shared" si="5"/>
        <v>1</v>
      </c>
      <c r="CA7">
        <f t="shared" si="6"/>
        <v>1</v>
      </c>
      <c r="CB7">
        <f t="shared" si="7"/>
        <v>1</v>
      </c>
      <c r="CC7">
        <f t="shared" si="8"/>
        <v>1</v>
      </c>
      <c r="CD7">
        <f t="shared" si="9"/>
        <v>1</v>
      </c>
      <c r="CE7">
        <f t="shared" si="10"/>
        <v>1</v>
      </c>
      <c r="CF7">
        <f t="shared" si="11"/>
        <v>1</v>
      </c>
      <c r="CG7">
        <f t="shared" si="12"/>
        <v>1</v>
      </c>
      <c r="CH7">
        <f t="shared" si="13"/>
        <v>1</v>
      </c>
      <c r="CJ7" s="219">
        <f>Klimaatdata!$D$7*BJ7*BW7*$BH7*$G7*0.75</f>
        <v>0</v>
      </c>
      <c r="CK7" s="219">
        <f>Klimaatdata!$E$7*BK7*BX7*$BH7*$G7*0.75</f>
        <v>0</v>
      </c>
      <c r="CL7" s="219">
        <f>Klimaatdata!$F$7*BL7*BY7*$BH7*$G7*0.75</f>
        <v>0</v>
      </c>
      <c r="CM7" s="219">
        <f>Klimaatdata!$G$7*BM7*BZ7*$BH7*$G7*0.75</f>
        <v>0</v>
      </c>
      <c r="CN7" s="219">
        <f>Klimaatdata!$H$7*BN7*CA7*$BH7*$G7*0.75</f>
        <v>0</v>
      </c>
      <c r="CO7" s="219">
        <f>Klimaatdata!$I$7*BO7*CB7*$BH7*$G7*0.75</f>
        <v>0</v>
      </c>
      <c r="CP7" s="219">
        <f>Klimaatdata!$J$7*BP7*CC7*$BH7*$G7*0.75</f>
        <v>0</v>
      </c>
      <c r="CQ7" s="219">
        <f>Klimaatdata!$K$7*BQ7*CD7*$BH7*$G7*0.75</f>
        <v>0</v>
      </c>
      <c r="CR7" s="219">
        <f>Klimaatdata!$L$7*BR7*CE7*$BH7*$G7*0.75</f>
        <v>0</v>
      </c>
      <c r="CS7" s="219">
        <f>Klimaatdata!$M$7*BS7*CF7*$BH7*$G7*0.75</f>
        <v>0</v>
      </c>
      <c r="CT7" s="219">
        <f>Klimaatdata!$N$7*BT7*CG7*$BH7*$G7*0.75</f>
        <v>0</v>
      </c>
      <c r="CU7" s="219">
        <f>Klimaatdata!$O$7*BU7*CH7*$BH7*$G7*0.75</f>
        <v>0</v>
      </c>
      <c r="CX7">
        <v>1</v>
      </c>
      <c r="CY7">
        <v>1</v>
      </c>
      <c r="CZ7">
        <v>1</v>
      </c>
      <c r="DA7">
        <f>'Invoer Gebouwschil'!Q7</f>
        <v>0</v>
      </c>
      <c r="DC7" s="89">
        <f t="shared" si="24"/>
        <v>0</v>
      </c>
      <c r="DD7" s="89">
        <v>0.13</v>
      </c>
      <c r="DE7" s="89">
        <f t="shared" si="25"/>
        <v>0</v>
      </c>
      <c r="DF7" s="89">
        <f>IF(F7=6,1/((1/1/(DD7+DE7+'Invoer Gebouwschil'!M7))+5),1/(DD7+DE7+'Invoer Gebouwschil'!M7))</f>
        <v>7.6923076923076916</v>
      </c>
      <c r="DG7" s="89">
        <v>0.1</v>
      </c>
      <c r="DH7" s="28">
        <f t="shared" si="26"/>
        <v>1</v>
      </c>
      <c r="DI7" s="89">
        <f t="shared" si="27"/>
        <v>0</v>
      </c>
      <c r="DJ7" s="89">
        <v>19</v>
      </c>
      <c r="DK7" s="89"/>
      <c r="DL7" s="89">
        <f>$DI7*($R7-Klimaatdata!$B$7)*2.63</f>
        <v>0</v>
      </c>
      <c r="DM7" s="89">
        <f>$DI7*($R7-Klimaatdata!$B$8)*2.63</f>
        <v>0</v>
      </c>
      <c r="DN7" s="89">
        <f>$DI7*($R7-Klimaatdata!$B$9)*2.63</f>
        <v>0</v>
      </c>
      <c r="DO7" s="89">
        <f>$DI7*($R7-Klimaatdata!$B$10)*2.63</f>
        <v>0</v>
      </c>
      <c r="DP7" s="89">
        <f>$DI7*($R7-Klimaatdata!$B$11)*2.63</f>
        <v>0</v>
      </c>
      <c r="DQ7" s="89">
        <f>$DI7*($R7-Klimaatdata!$B$12)*2.63</f>
        <v>0</v>
      </c>
      <c r="DR7" s="89">
        <f>$DI7*($R7-Klimaatdata!$B$13)*2.63</f>
        <v>0</v>
      </c>
      <c r="DS7" s="89">
        <f>$DI7*($R7-Klimaatdata!$B$14)*2.63</f>
        <v>0</v>
      </c>
      <c r="DT7" s="89">
        <f>$DI7*($R7-Klimaatdata!$B$15)*2.63</f>
        <v>0</v>
      </c>
      <c r="DU7" s="89">
        <f>$DI7*($R7-Klimaatdata!$B$16)*2.63</f>
        <v>0</v>
      </c>
      <c r="DV7" s="89">
        <f>$DI7*($R7-Klimaatdata!$B$17)*2.63</f>
        <v>0</v>
      </c>
      <c r="DW7" s="89">
        <f>$DI7*($R7-Klimaatdata!$B$18)*2.63</f>
        <v>0</v>
      </c>
      <c r="DX7" s="89"/>
      <c r="DY7" s="89">
        <f t="shared" si="28"/>
        <v>0</v>
      </c>
      <c r="DZ7" s="89">
        <v>0.1</v>
      </c>
      <c r="EA7" s="28">
        <v>1</v>
      </c>
      <c r="EB7" s="89">
        <f t="shared" si="29"/>
        <v>0</v>
      </c>
      <c r="EC7" s="89">
        <v>19</v>
      </c>
      <c r="ED7" s="89"/>
      <c r="EE7" s="89">
        <f>$EB7*($R7-Klimaatdata!$B$7)*2.63</f>
        <v>0</v>
      </c>
      <c r="EF7" s="89">
        <f>$EB7*($R7-Klimaatdata!$B$8)*2.63</f>
        <v>0</v>
      </c>
      <c r="EG7" s="89">
        <f>$EB7*($R7-Klimaatdata!$B$9)*2.63</f>
        <v>0</v>
      </c>
      <c r="EH7" s="89">
        <f>$EB7*($R7-Klimaatdata!$B$10)*2.63</f>
        <v>0</v>
      </c>
      <c r="EI7" s="89">
        <f>$EB7*($R7-Klimaatdata!$B$11)*2.63</f>
        <v>0</v>
      </c>
      <c r="EJ7" s="89">
        <f>$EB7*($R7-Klimaatdata!$B$12)*2.63</f>
        <v>0</v>
      </c>
      <c r="EK7" s="89">
        <f>$EB7*($R7-Klimaatdata!$B$13)*2.63</f>
        <v>0</v>
      </c>
      <c r="EL7" s="89">
        <f>$EB7*($R7-Klimaatdata!$B$14)*2.63</f>
        <v>0</v>
      </c>
      <c r="EM7" s="89">
        <f>$EB7*($R7-Klimaatdata!$B$15)*2.63</f>
        <v>0</v>
      </c>
      <c r="EN7" s="89">
        <f>$EB7*($R7-Klimaatdata!$B$16)*2.63</f>
        <v>0</v>
      </c>
      <c r="EO7" s="89">
        <f>$EB7*($R7-Klimaatdata!$B$17)*2.63</f>
        <v>0</v>
      </c>
      <c r="EP7" s="89">
        <f>$EB7*($R7-Klimaatdata!$B$18)*2.63</f>
        <v>0</v>
      </c>
      <c r="EQ7" s="25"/>
      <c r="ER7" s="89">
        <f t="shared" si="30"/>
        <v>0</v>
      </c>
      <c r="ES7" s="89"/>
      <c r="ET7" s="89">
        <f>INDEX(Klimaatdata!$B$27:$K$38,1,$B7)</f>
        <v>0</v>
      </c>
      <c r="EU7" s="89">
        <f>INDEX(Klimaatdata!$B$27:$K$38,2,$B7)</f>
        <v>0</v>
      </c>
      <c r="EV7" s="89">
        <f>INDEX(Klimaatdata!$B$27:$K$38,3,$B7)</f>
        <v>0</v>
      </c>
      <c r="EW7" s="89">
        <f>INDEX(Klimaatdata!$B$27:$K$38,4,$B7)</f>
        <v>0</v>
      </c>
      <c r="EX7" s="89">
        <f>INDEX(Klimaatdata!$B$27:$K$38,5,$B7)</f>
        <v>0</v>
      </c>
      <c r="EY7" s="89">
        <f>INDEX(Klimaatdata!$B$27:$K$38,6,$B7)</f>
        <v>0</v>
      </c>
      <c r="EZ7" s="89">
        <f>INDEX(Klimaatdata!$B$27:$K$38,7,$B7)</f>
        <v>0</v>
      </c>
      <c r="FA7" s="89">
        <f>INDEX(Klimaatdata!$B$27:$K$38,8,$B7)</f>
        <v>0</v>
      </c>
      <c r="FB7" s="89">
        <f>INDEX(Klimaatdata!$B$27:$K$38,9,$B7)</f>
        <v>0</v>
      </c>
      <c r="FC7" s="89">
        <f>INDEX(Klimaatdata!$B$27:$K$38,10,$B7)</f>
        <v>0</v>
      </c>
      <c r="FD7" s="89">
        <f>INDEX(Klimaatdata!$B$27:$K$38,11,$B7)</f>
        <v>0</v>
      </c>
      <c r="FE7" s="89">
        <f>INDEX(Klimaatdata!$B$27:$K$38,12,$B7)</f>
        <v>0</v>
      </c>
      <c r="FG7">
        <f t="shared" si="31"/>
        <v>1</v>
      </c>
      <c r="FH7">
        <f t="shared" si="32"/>
        <v>1</v>
      </c>
      <c r="FI7">
        <f t="shared" si="33"/>
        <v>1</v>
      </c>
      <c r="FJ7">
        <f t="shared" si="34"/>
        <v>1</v>
      </c>
      <c r="FK7">
        <f t="shared" si="35"/>
        <v>1</v>
      </c>
      <c r="FL7">
        <f t="shared" si="36"/>
        <v>1</v>
      </c>
      <c r="FM7">
        <f t="shared" si="37"/>
        <v>1</v>
      </c>
      <c r="FN7">
        <f t="shared" si="38"/>
        <v>1</v>
      </c>
      <c r="FO7">
        <f t="shared" si="39"/>
        <v>1</v>
      </c>
      <c r="FP7">
        <f t="shared" si="40"/>
        <v>1</v>
      </c>
      <c r="FQ7">
        <f t="shared" si="41"/>
        <v>1</v>
      </c>
      <c r="FR7">
        <f t="shared" si="42"/>
        <v>1</v>
      </c>
      <c r="FT7" s="219">
        <f>Klimaatdata!$D$7*ET7*FG7*$ER7*$G7*0.75</f>
        <v>0</v>
      </c>
      <c r="FU7" s="219">
        <f>Klimaatdata!$E$7*EU7*FH7*$ER7*$G7*0.75</f>
        <v>0</v>
      </c>
      <c r="FV7" s="219">
        <f>Klimaatdata!$F$7*EV7*FI7*$ER7*$G7*0.75</f>
        <v>0</v>
      </c>
      <c r="FW7" s="219">
        <f>Klimaatdata!$G$7*EW7*FJ7*$ER7*$G7*0.75</f>
        <v>0</v>
      </c>
      <c r="FX7" s="219">
        <f>Klimaatdata!$H$7*EX7*FK7*$ER7*$G7*0.75</f>
        <v>0</v>
      </c>
      <c r="FY7" s="219">
        <f>Klimaatdata!$I$7*EY7*FL7*$ER7*$G7*0.75</f>
        <v>0</v>
      </c>
      <c r="FZ7" s="219">
        <f>Klimaatdata!$J$7*EZ7*FM7*$ER7*$G7*0.75</f>
        <v>0</v>
      </c>
      <c r="GA7" s="219">
        <f>Klimaatdata!$K$7*FA7*FN7*$ER7*$G7*0.75</f>
        <v>0</v>
      </c>
      <c r="GB7" s="219">
        <f>Klimaatdata!$L$7*FB7*FO7*$ER7*$G7*0.75</f>
        <v>0</v>
      </c>
      <c r="GC7" s="219">
        <f>Klimaatdata!$M$7*FC7*FP7*$ER7*$G7*0.75</f>
        <v>0</v>
      </c>
      <c r="GD7" s="219">
        <f>Klimaatdata!$N$7*FD7*FQ7*$ER7*$G7*0.75</f>
        <v>0</v>
      </c>
      <c r="GE7" s="219">
        <f>Klimaatdata!$O$7*FE7*FR7*$ER7*$G7*0.75</f>
        <v>0</v>
      </c>
      <c r="GG7">
        <f t="shared" si="43"/>
        <v>0</v>
      </c>
      <c r="GH7">
        <f t="shared" si="44"/>
        <v>0</v>
      </c>
      <c r="GI7">
        <f t="shared" si="45"/>
        <v>0</v>
      </c>
      <c r="GJ7">
        <f t="shared" si="46"/>
        <v>0</v>
      </c>
      <c r="GK7">
        <f t="shared" si="47"/>
        <v>0</v>
      </c>
      <c r="GL7">
        <f t="shared" si="48"/>
        <v>0</v>
      </c>
      <c r="GM7">
        <f t="shared" si="49"/>
        <v>0</v>
      </c>
      <c r="GN7">
        <f t="shared" si="50"/>
        <v>0</v>
      </c>
      <c r="GO7">
        <f>'Invoer Gebouwschil'!Q7</f>
        <v>0</v>
      </c>
      <c r="GP7">
        <f t="shared" si="51"/>
        <v>0</v>
      </c>
      <c r="GR7">
        <f t="shared" si="52"/>
        <v>1</v>
      </c>
      <c r="GS7">
        <f t="shared" si="53"/>
        <v>0</v>
      </c>
      <c r="GT7">
        <f t="shared" si="54"/>
        <v>0</v>
      </c>
      <c r="GU7">
        <f t="shared" si="55"/>
        <v>0</v>
      </c>
      <c r="GV7">
        <f t="shared" si="56"/>
        <v>0</v>
      </c>
      <c r="GW7">
        <f t="shared" si="57"/>
        <v>0</v>
      </c>
      <c r="GX7">
        <f t="shared" si="58"/>
        <v>0</v>
      </c>
      <c r="GZ7" s="12">
        <f t="shared" si="59"/>
        <v>0</v>
      </c>
      <c r="HA7" s="13">
        <f t="shared" si="60"/>
        <v>0</v>
      </c>
      <c r="HB7" s="13">
        <f t="shared" si="61"/>
        <v>0</v>
      </c>
      <c r="HC7" s="14">
        <f t="shared" si="62"/>
        <v>0</v>
      </c>
      <c r="HE7" s="12">
        <f t="shared" si="63"/>
        <v>0</v>
      </c>
      <c r="HF7" s="13">
        <f t="shared" si="64"/>
        <v>0</v>
      </c>
      <c r="HG7" s="13">
        <f t="shared" si="65"/>
        <v>0</v>
      </c>
      <c r="HH7" s="14">
        <f t="shared" si="66"/>
        <v>0</v>
      </c>
    </row>
    <row r="8" spans="1:216" x14ac:dyDescent="0.2">
      <c r="A8">
        <v>1</v>
      </c>
      <c r="B8">
        <v>1</v>
      </c>
      <c r="C8">
        <v>1</v>
      </c>
      <c r="D8">
        <f>'Invoer Gebouwschil'!D8</f>
        <v>0</v>
      </c>
      <c r="E8">
        <v>1</v>
      </c>
      <c r="F8">
        <v>1</v>
      </c>
      <c r="G8">
        <f>'Invoer Gebouwschil'!H8</f>
        <v>0</v>
      </c>
      <c r="H8">
        <v>1</v>
      </c>
      <c r="I8">
        <v>1</v>
      </c>
      <c r="K8" s="89">
        <f>INDEX('Verwerking Bouwdelen'!$L$79:$L$103,'Verwerking Bouwdelen'!E8)</f>
        <v>0</v>
      </c>
      <c r="L8" s="89">
        <v>0.13</v>
      </c>
      <c r="M8" s="89">
        <f t="shared" si="14"/>
        <v>0</v>
      </c>
      <c r="N8" s="89">
        <f>IF(F8=6,1/((1/1/(L9+M9+'Invoer Gebouwschil'!F8))+5),1/(L8+M8+'Invoer Gebouwschil'!F8))</f>
        <v>7.6923076923076916</v>
      </c>
      <c r="O8" s="89">
        <v>0.1</v>
      </c>
      <c r="P8" s="28">
        <f t="shared" si="15"/>
        <v>1</v>
      </c>
      <c r="Q8" s="89">
        <f t="shared" si="0"/>
        <v>0</v>
      </c>
      <c r="R8" s="89">
        <v>19</v>
      </c>
      <c r="S8" s="89"/>
      <c r="T8" s="89">
        <f>$Q8*($R8-Klimaatdata!$B$7)*2.63</f>
        <v>0</v>
      </c>
      <c r="U8" s="89">
        <f>$Q8*($R8-Klimaatdata!$B$8)*2.63</f>
        <v>0</v>
      </c>
      <c r="V8" s="89">
        <f>$Q8*($R8-Klimaatdata!$B$9)*2.63</f>
        <v>0</v>
      </c>
      <c r="W8" s="89">
        <f>$Q8*($R8-Klimaatdata!$B$10)*2.63</f>
        <v>0</v>
      </c>
      <c r="X8" s="89">
        <f>$Q8*($R8-Klimaatdata!$B$11)*2.63</f>
        <v>0</v>
      </c>
      <c r="Y8" s="89">
        <f>$Q8*($R8-Klimaatdata!$B$12)*2.63</f>
        <v>0</v>
      </c>
      <c r="Z8" s="89">
        <f>$Q8*($R8-Klimaatdata!$B$13)*2.63</f>
        <v>0</v>
      </c>
      <c r="AA8" s="89">
        <f>$Q8*($R8-Klimaatdata!$B$14)*2.63</f>
        <v>0</v>
      </c>
      <c r="AB8" s="89">
        <f>$Q8*($R8-Klimaatdata!$B$15)*2.63</f>
        <v>0</v>
      </c>
      <c r="AC8" s="89">
        <f>$Q8*($R8-Klimaatdata!$B$16)*2.63</f>
        <v>0</v>
      </c>
      <c r="AD8" s="89">
        <f>$Q8*($R8-Klimaatdata!$B$17)*2.63</f>
        <v>0</v>
      </c>
      <c r="AE8" s="89">
        <f>$Q8*($R8-Klimaatdata!$B$18)*2.63</f>
        <v>0</v>
      </c>
      <c r="AF8" s="89"/>
      <c r="AG8" s="205">
        <f t="shared" si="16"/>
        <v>0</v>
      </c>
      <c r="AH8" s="25">
        <f t="shared" si="17"/>
        <v>0</v>
      </c>
      <c r="AI8" s="25">
        <f t="shared" si="18"/>
        <v>0</v>
      </c>
      <c r="AJ8" s="206">
        <f t="shared" si="19"/>
        <v>0</v>
      </c>
      <c r="AK8" s="25"/>
      <c r="AL8" s="89">
        <f t="shared" si="20"/>
        <v>1</v>
      </c>
      <c r="AM8" s="89">
        <f t="shared" si="21"/>
        <v>0</v>
      </c>
      <c r="AN8" s="89">
        <f t="shared" si="22"/>
        <v>0</v>
      </c>
      <c r="AO8" s="89">
        <f t="shared" si="23"/>
        <v>0</v>
      </c>
      <c r="AP8" s="89">
        <v>0.1</v>
      </c>
      <c r="AQ8" s="28">
        <v>1</v>
      </c>
      <c r="AR8" s="89">
        <f t="shared" si="1"/>
        <v>0</v>
      </c>
      <c r="AS8" s="89">
        <v>19</v>
      </c>
      <c r="AT8" s="89"/>
      <c r="AU8" s="89">
        <f>$AR8*($R8-Klimaatdata!$B$7)*2.63</f>
        <v>0</v>
      </c>
      <c r="AV8" s="89">
        <f>$AR8*($R8-Klimaatdata!$B$8)*2.63</f>
        <v>0</v>
      </c>
      <c r="AW8" s="89">
        <f>$AR8*($R8-Klimaatdata!$B$9)*2.63</f>
        <v>0</v>
      </c>
      <c r="AX8" s="89">
        <f>$AR8*($R8-Klimaatdata!$B$10)*2.63</f>
        <v>0</v>
      </c>
      <c r="AY8" s="89">
        <f>$AR8*($R8-Klimaatdata!$B$11)*2.63</f>
        <v>0</v>
      </c>
      <c r="AZ8" s="89">
        <f>$AR8*($R8-Klimaatdata!$B$12)*2.63</f>
        <v>0</v>
      </c>
      <c r="BA8" s="89">
        <f>$AR8*($R8-Klimaatdata!$B$13)*2.63</f>
        <v>0</v>
      </c>
      <c r="BB8" s="89">
        <f>$AR8*($R8-Klimaatdata!$B$14)*2.63</f>
        <v>0</v>
      </c>
      <c r="BC8" s="89">
        <f>$AR8*($R8-Klimaatdata!$B$15)*2.63</f>
        <v>0</v>
      </c>
      <c r="BD8" s="89">
        <f>$AR8*($R8-Klimaatdata!$B$16)*2.63</f>
        <v>0</v>
      </c>
      <c r="BE8" s="89">
        <f>$AR8*($R8-Klimaatdata!$B$17)*2.63</f>
        <v>0</v>
      </c>
      <c r="BF8" s="89">
        <f>$AR8*($R8-Klimaatdata!$B$18)*2.63</f>
        <v>0</v>
      </c>
      <c r="BG8" s="25"/>
      <c r="BH8" s="89">
        <f>INDEX('Verwerking Bouwdelen'!$Y$106:$Y$130,H8)</f>
        <v>0</v>
      </c>
      <c r="BI8" s="89"/>
      <c r="BJ8" s="89">
        <f>INDEX(Klimaatdata!$B$27:$K$38,1,$B8)</f>
        <v>0</v>
      </c>
      <c r="BK8" s="89">
        <f>INDEX(Klimaatdata!$B$27:$K$38,2,$B8)</f>
        <v>0</v>
      </c>
      <c r="BL8" s="89">
        <f>INDEX(Klimaatdata!$B$27:$K$38,3,$B8)</f>
        <v>0</v>
      </c>
      <c r="BM8" s="89">
        <f>INDEX(Klimaatdata!$B$27:$K$38,4,$B8)</f>
        <v>0</v>
      </c>
      <c r="BN8" s="89">
        <f>INDEX(Klimaatdata!$B$27:$K$38,5,$B8)</f>
        <v>0</v>
      </c>
      <c r="BO8" s="89">
        <f>INDEX(Klimaatdata!$B$27:$K$38,6,$B8)</f>
        <v>0</v>
      </c>
      <c r="BP8" s="89">
        <f>INDEX(Klimaatdata!$B$27:$K$38,7,$B8)</f>
        <v>0</v>
      </c>
      <c r="BQ8" s="89">
        <f>INDEX(Klimaatdata!$B$27:$K$38,8,$B8)</f>
        <v>0</v>
      </c>
      <c r="BR8" s="89">
        <f>INDEX(Klimaatdata!$B$27:$K$38,9,$B8)</f>
        <v>0</v>
      </c>
      <c r="BS8" s="89">
        <f>INDEX(Klimaatdata!$B$27:$K$38,10,$B8)</f>
        <v>0</v>
      </c>
      <c r="BT8" s="89">
        <f>INDEX(Klimaatdata!$B$27:$K$38,11,$B8)</f>
        <v>0</v>
      </c>
      <c r="BU8" s="89">
        <f>INDEX(Klimaatdata!$B$27:$K$38,12,$B8)</f>
        <v>0</v>
      </c>
      <c r="BW8">
        <f t="shared" si="2"/>
        <v>1</v>
      </c>
      <c r="BX8">
        <f t="shared" si="3"/>
        <v>1</v>
      </c>
      <c r="BY8">
        <f t="shared" si="4"/>
        <v>1</v>
      </c>
      <c r="BZ8">
        <f t="shared" si="5"/>
        <v>1</v>
      </c>
      <c r="CA8">
        <f t="shared" si="6"/>
        <v>1</v>
      </c>
      <c r="CB8">
        <f t="shared" si="7"/>
        <v>1</v>
      </c>
      <c r="CC8">
        <f t="shared" si="8"/>
        <v>1</v>
      </c>
      <c r="CD8">
        <f t="shared" si="9"/>
        <v>1</v>
      </c>
      <c r="CE8">
        <f t="shared" si="10"/>
        <v>1</v>
      </c>
      <c r="CF8">
        <f t="shared" si="11"/>
        <v>1</v>
      </c>
      <c r="CG8">
        <f t="shared" si="12"/>
        <v>1</v>
      </c>
      <c r="CH8">
        <f t="shared" si="13"/>
        <v>1</v>
      </c>
      <c r="CJ8" s="219">
        <f>Klimaatdata!$D$7*BJ8*BW8*$BH8*$G8*0.75</f>
        <v>0</v>
      </c>
      <c r="CK8" s="219">
        <f>Klimaatdata!$E$7*BK8*BX8*$BH8*$G8*0.75</f>
        <v>0</v>
      </c>
      <c r="CL8" s="219">
        <f>Klimaatdata!$F$7*BL8*BY8*$BH8*$G8*0.75</f>
        <v>0</v>
      </c>
      <c r="CM8" s="219">
        <f>Klimaatdata!$G$7*BM8*BZ8*$BH8*$G8*0.75</f>
        <v>0</v>
      </c>
      <c r="CN8" s="219">
        <f>Klimaatdata!$H$7*BN8*CA8*$BH8*$G8*0.75</f>
        <v>0</v>
      </c>
      <c r="CO8" s="219">
        <f>Klimaatdata!$I$7*BO8*CB8*$BH8*$G8*0.75</f>
        <v>0</v>
      </c>
      <c r="CP8" s="219">
        <f>Klimaatdata!$J$7*BP8*CC8*$BH8*$G8*0.75</f>
        <v>0</v>
      </c>
      <c r="CQ8" s="219">
        <f>Klimaatdata!$K$7*BQ8*CD8*$BH8*$G8*0.75</f>
        <v>0</v>
      </c>
      <c r="CR8" s="219">
        <f>Klimaatdata!$L$7*BR8*CE8*$BH8*$G8*0.75</f>
        <v>0</v>
      </c>
      <c r="CS8" s="219">
        <f>Klimaatdata!$M$7*BS8*CF8*$BH8*$G8*0.75</f>
        <v>0</v>
      </c>
      <c r="CT8" s="219">
        <f>Klimaatdata!$N$7*BT8*CG8*$BH8*$G8*0.75</f>
        <v>0</v>
      </c>
      <c r="CU8" s="219">
        <f>Klimaatdata!$O$7*BU8*CH8*$BH8*$G8*0.75</f>
        <v>0</v>
      </c>
      <c r="CX8">
        <v>1</v>
      </c>
      <c r="CY8">
        <v>1</v>
      </c>
      <c r="CZ8">
        <v>1</v>
      </c>
      <c r="DA8">
        <f>'Invoer Gebouwschil'!Q8</f>
        <v>0</v>
      </c>
      <c r="DC8" s="89">
        <f t="shared" si="24"/>
        <v>0</v>
      </c>
      <c r="DD8" s="89">
        <v>0.13</v>
      </c>
      <c r="DE8" s="89">
        <f t="shared" si="25"/>
        <v>0</v>
      </c>
      <c r="DF8" s="89">
        <f>IF(F8=6,1/((1/1/(DD8+DE8+'Invoer Gebouwschil'!M8))+5),1/(DD8+DE8+'Invoer Gebouwschil'!M8))</f>
        <v>7.6923076923076916</v>
      </c>
      <c r="DG8" s="89">
        <v>0.1</v>
      </c>
      <c r="DH8" s="28">
        <f t="shared" si="26"/>
        <v>1</v>
      </c>
      <c r="DI8" s="89">
        <f t="shared" si="27"/>
        <v>0</v>
      </c>
      <c r="DJ8" s="89">
        <v>19</v>
      </c>
      <c r="DK8" s="89"/>
      <c r="DL8" s="89">
        <f>$DI8*($R8-Klimaatdata!$B$7)*2.63</f>
        <v>0</v>
      </c>
      <c r="DM8" s="89">
        <f>$DI8*($R8-Klimaatdata!$B$8)*2.63</f>
        <v>0</v>
      </c>
      <c r="DN8" s="89">
        <f>$DI8*($R8-Klimaatdata!$B$9)*2.63</f>
        <v>0</v>
      </c>
      <c r="DO8" s="89">
        <f>$DI8*($R8-Klimaatdata!$B$10)*2.63</f>
        <v>0</v>
      </c>
      <c r="DP8" s="89">
        <f>$DI8*($R8-Klimaatdata!$B$11)*2.63</f>
        <v>0</v>
      </c>
      <c r="DQ8" s="89">
        <f>$DI8*($R8-Klimaatdata!$B$12)*2.63</f>
        <v>0</v>
      </c>
      <c r="DR8" s="89">
        <f>$DI8*($R8-Klimaatdata!$B$13)*2.63</f>
        <v>0</v>
      </c>
      <c r="DS8" s="89">
        <f>$DI8*($R8-Klimaatdata!$B$14)*2.63</f>
        <v>0</v>
      </c>
      <c r="DT8" s="89">
        <f>$DI8*($R8-Klimaatdata!$B$15)*2.63</f>
        <v>0</v>
      </c>
      <c r="DU8" s="89">
        <f>$DI8*($R8-Klimaatdata!$B$16)*2.63</f>
        <v>0</v>
      </c>
      <c r="DV8" s="89">
        <f>$DI8*($R8-Klimaatdata!$B$17)*2.63</f>
        <v>0</v>
      </c>
      <c r="DW8" s="89">
        <f>$DI8*($R8-Klimaatdata!$B$18)*2.63</f>
        <v>0</v>
      </c>
      <c r="DX8" s="89"/>
      <c r="DY8" s="89">
        <f t="shared" si="28"/>
        <v>0</v>
      </c>
      <c r="DZ8" s="89">
        <v>0.1</v>
      </c>
      <c r="EA8" s="28">
        <v>1</v>
      </c>
      <c r="EB8" s="89">
        <f t="shared" si="29"/>
        <v>0</v>
      </c>
      <c r="EC8" s="89">
        <v>19</v>
      </c>
      <c r="ED8" s="89"/>
      <c r="EE8" s="89">
        <f>$EB8*($R8-Klimaatdata!$B$7)*2.63</f>
        <v>0</v>
      </c>
      <c r="EF8" s="89">
        <f>$EB8*($R8-Klimaatdata!$B$8)*2.63</f>
        <v>0</v>
      </c>
      <c r="EG8" s="89">
        <f>$EB8*($R8-Klimaatdata!$B$9)*2.63</f>
        <v>0</v>
      </c>
      <c r="EH8" s="89">
        <f>$EB8*($R8-Klimaatdata!$B$10)*2.63</f>
        <v>0</v>
      </c>
      <c r="EI8" s="89">
        <f>$EB8*($R8-Klimaatdata!$B$11)*2.63</f>
        <v>0</v>
      </c>
      <c r="EJ8" s="89">
        <f>$EB8*($R8-Klimaatdata!$B$12)*2.63</f>
        <v>0</v>
      </c>
      <c r="EK8" s="89">
        <f>$EB8*($R8-Klimaatdata!$B$13)*2.63</f>
        <v>0</v>
      </c>
      <c r="EL8" s="89">
        <f>$EB8*($R8-Klimaatdata!$B$14)*2.63</f>
        <v>0</v>
      </c>
      <c r="EM8" s="89">
        <f>$EB8*($R8-Klimaatdata!$B$15)*2.63</f>
        <v>0</v>
      </c>
      <c r="EN8" s="89">
        <f>$EB8*($R8-Klimaatdata!$B$16)*2.63</f>
        <v>0</v>
      </c>
      <c r="EO8" s="89">
        <f>$EB8*($R8-Klimaatdata!$B$17)*2.63</f>
        <v>0</v>
      </c>
      <c r="EP8" s="89">
        <f>$EB8*($R8-Klimaatdata!$B$18)*2.63</f>
        <v>0</v>
      </c>
      <c r="EQ8" s="25"/>
      <c r="ER8" s="89">
        <f t="shared" si="30"/>
        <v>0</v>
      </c>
      <c r="ES8" s="89"/>
      <c r="ET8" s="89">
        <f>INDEX(Klimaatdata!$B$27:$K$38,1,$B8)</f>
        <v>0</v>
      </c>
      <c r="EU8" s="89">
        <f>INDEX(Klimaatdata!$B$27:$K$38,2,$B8)</f>
        <v>0</v>
      </c>
      <c r="EV8" s="89">
        <f>INDEX(Klimaatdata!$B$27:$K$38,3,$B8)</f>
        <v>0</v>
      </c>
      <c r="EW8" s="89">
        <f>INDEX(Klimaatdata!$B$27:$K$38,4,$B8)</f>
        <v>0</v>
      </c>
      <c r="EX8" s="89">
        <f>INDEX(Klimaatdata!$B$27:$K$38,5,$B8)</f>
        <v>0</v>
      </c>
      <c r="EY8" s="89">
        <f>INDEX(Klimaatdata!$B$27:$K$38,6,$B8)</f>
        <v>0</v>
      </c>
      <c r="EZ8" s="89">
        <f>INDEX(Klimaatdata!$B$27:$K$38,7,$B8)</f>
        <v>0</v>
      </c>
      <c r="FA8" s="89">
        <f>INDEX(Klimaatdata!$B$27:$K$38,8,$B8)</f>
        <v>0</v>
      </c>
      <c r="FB8" s="89">
        <f>INDEX(Klimaatdata!$B$27:$K$38,9,$B8)</f>
        <v>0</v>
      </c>
      <c r="FC8" s="89">
        <f>INDEX(Klimaatdata!$B$27:$K$38,10,$B8)</f>
        <v>0</v>
      </c>
      <c r="FD8" s="89">
        <f>INDEX(Klimaatdata!$B$27:$K$38,11,$B8)</f>
        <v>0</v>
      </c>
      <c r="FE8" s="89">
        <f>INDEX(Klimaatdata!$B$27:$K$38,12,$B8)</f>
        <v>0</v>
      </c>
      <c r="FG8">
        <f t="shared" si="31"/>
        <v>1</v>
      </c>
      <c r="FH8">
        <f t="shared" si="32"/>
        <v>1</v>
      </c>
      <c r="FI8">
        <f t="shared" si="33"/>
        <v>1</v>
      </c>
      <c r="FJ8">
        <f t="shared" si="34"/>
        <v>1</v>
      </c>
      <c r="FK8">
        <f t="shared" si="35"/>
        <v>1</v>
      </c>
      <c r="FL8">
        <f t="shared" si="36"/>
        <v>1</v>
      </c>
      <c r="FM8">
        <f t="shared" si="37"/>
        <v>1</v>
      </c>
      <c r="FN8">
        <f t="shared" si="38"/>
        <v>1</v>
      </c>
      <c r="FO8">
        <f t="shared" si="39"/>
        <v>1</v>
      </c>
      <c r="FP8">
        <f t="shared" si="40"/>
        <v>1</v>
      </c>
      <c r="FQ8">
        <f t="shared" si="41"/>
        <v>1</v>
      </c>
      <c r="FR8">
        <f t="shared" si="42"/>
        <v>1</v>
      </c>
      <c r="FT8" s="219">
        <f>Klimaatdata!$D$7*ET8*FG8*$ER8*$G8*0.75</f>
        <v>0</v>
      </c>
      <c r="FU8" s="219">
        <f>Klimaatdata!$E$7*EU8*FH8*$ER8*$G8*0.75</f>
        <v>0</v>
      </c>
      <c r="FV8" s="219">
        <f>Klimaatdata!$F$7*EV8*FI8*$ER8*$G8*0.75</f>
        <v>0</v>
      </c>
      <c r="FW8" s="219">
        <f>Klimaatdata!$G$7*EW8*FJ8*$ER8*$G8*0.75</f>
        <v>0</v>
      </c>
      <c r="FX8" s="219">
        <f>Klimaatdata!$H$7*EX8*FK8*$ER8*$G8*0.75</f>
        <v>0</v>
      </c>
      <c r="FY8" s="219">
        <f>Klimaatdata!$I$7*EY8*FL8*$ER8*$G8*0.75</f>
        <v>0</v>
      </c>
      <c r="FZ8" s="219">
        <f>Klimaatdata!$J$7*EZ8*FM8*$ER8*$G8*0.75</f>
        <v>0</v>
      </c>
      <c r="GA8" s="219">
        <f>Klimaatdata!$K$7*FA8*FN8*$ER8*$G8*0.75</f>
        <v>0</v>
      </c>
      <c r="GB8" s="219">
        <f>Klimaatdata!$L$7*FB8*FO8*$ER8*$G8*0.75</f>
        <v>0</v>
      </c>
      <c r="GC8" s="219">
        <f>Klimaatdata!$M$7*FC8*FP8*$ER8*$G8*0.75</f>
        <v>0</v>
      </c>
      <c r="GD8" s="219">
        <f>Klimaatdata!$N$7*FD8*FQ8*$ER8*$G8*0.75</f>
        <v>0</v>
      </c>
      <c r="GE8" s="219">
        <f>Klimaatdata!$O$7*FE8*FR8*$ER8*$G8*0.75</f>
        <v>0</v>
      </c>
      <c r="GG8">
        <f t="shared" si="43"/>
        <v>0</v>
      </c>
      <c r="GH8">
        <f t="shared" si="44"/>
        <v>0</v>
      </c>
      <c r="GI8">
        <f t="shared" si="45"/>
        <v>0</v>
      </c>
      <c r="GJ8">
        <f t="shared" si="46"/>
        <v>0</v>
      </c>
      <c r="GK8">
        <f t="shared" si="47"/>
        <v>0</v>
      </c>
      <c r="GL8">
        <f t="shared" si="48"/>
        <v>0</v>
      </c>
      <c r="GM8">
        <f t="shared" si="49"/>
        <v>0</v>
      </c>
      <c r="GN8">
        <f t="shared" si="50"/>
        <v>0</v>
      </c>
      <c r="GO8">
        <f>'Invoer Gebouwschil'!Q8</f>
        <v>0</v>
      </c>
      <c r="GP8">
        <f t="shared" si="51"/>
        <v>0</v>
      </c>
      <c r="GR8">
        <f t="shared" si="52"/>
        <v>1</v>
      </c>
      <c r="GS8">
        <f t="shared" si="53"/>
        <v>0</v>
      </c>
      <c r="GT8">
        <f t="shared" si="54"/>
        <v>0</v>
      </c>
      <c r="GU8">
        <f t="shared" si="55"/>
        <v>0</v>
      </c>
      <c r="GV8">
        <f t="shared" si="56"/>
        <v>0</v>
      </c>
      <c r="GW8">
        <f t="shared" si="57"/>
        <v>0</v>
      </c>
      <c r="GX8">
        <f t="shared" si="58"/>
        <v>0</v>
      </c>
      <c r="GZ8" s="12">
        <f t="shared" si="59"/>
        <v>0</v>
      </c>
      <c r="HA8" s="13">
        <f t="shared" si="60"/>
        <v>0</v>
      </c>
      <c r="HB8" s="13">
        <f t="shared" si="61"/>
        <v>0</v>
      </c>
      <c r="HC8" s="14">
        <f t="shared" si="62"/>
        <v>0</v>
      </c>
      <c r="HE8" s="12">
        <f t="shared" si="63"/>
        <v>0</v>
      </c>
      <c r="HF8" s="13">
        <f t="shared" si="64"/>
        <v>0</v>
      </c>
      <c r="HG8" s="13">
        <f t="shared" si="65"/>
        <v>0</v>
      </c>
      <c r="HH8" s="14">
        <f t="shared" si="66"/>
        <v>0</v>
      </c>
    </row>
    <row r="9" spans="1:216" x14ac:dyDescent="0.2">
      <c r="A9">
        <v>1</v>
      </c>
      <c r="B9">
        <v>1</v>
      </c>
      <c r="C9">
        <v>1</v>
      </c>
      <c r="D9">
        <f>'Invoer Gebouwschil'!D9</f>
        <v>0</v>
      </c>
      <c r="E9">
        <v>1</v>
      </c>
      <c r="F9">
        <v>1</v>
      </c>
      <c r="G9">
        <f>'Invoer Gebouwschil'!H9</f>
        <v>0</v>
      </c>
      <c r="H9">
        <v>1</v>
      </c>
      <c r="I9">
        <v>1</v>
      </c>
      <c r="K9" s="89">
        <f>INDEX('Verwerking Bouwdelen'!$N$79:$N$103,'Verwerking Bouwdelen'!E9)</f>
        <v>0</v>
      </c>
      <c r="L9" s="89">
        <v>0.13</v>
      </c>
      <c r="M9" s="89">
        <f t="shared" si="14"/>
        <v>0</v>
      </c>
      <c r="N9" s="89">
        <f>IF(F9=6,1/((1/1/(L10+M10+'Invoer Gebouwschil'!F9))+5),1/(L9+M9+'Invoer Gebouwschil'!F9))</f>
        <v>7.6923076923076916</v>
      </c>
      <c r="O9" s="89">
        <v>0.1</v>
      </c>
      <c r="P9" s="28">
        <f t="shared" si="15"/>
        <v>1</v>
      </c>
      <c r="Q9" s="89">
        <f t="shared" si="0"/>
        <v>0</v>
      </c>
      <c r="R9" s="89">
        <v>19</v>
      </c>
      <c r="S9" s="89"/>
      <c r="T9" s="89">
        <f>$Q9*($R9-Klimaatdata!$B$7)*2.63</f>
        <v>0</v>
      </c>
      <c r="U9" s="89">
        <f>$Q9*($R9-Klimaatdata!$B$8)*2.63</f>
        <v>0</v>
      </c>
      <c r="V9" s="89">
        <f>$Q9*($R9-Klimaatdata!$B$9)*2.63</f>
        <v>0</v>
      </c>
      <c r="W9" s="89">
        <f>$Q9*($R9-Klimaatdata!$B$10)*2.63</f>
        <v>0</v>
      </c>
      <c r="X9" s="89">
        <f>$Q9*($R9-Klimaatdata!$B$11)*2.63</f>
        <v>0</v>
      </c>
      <c r="Y9" s="89">
        <f>$Q9*($R9-Klimaatdata!$B$12)*2.63</f>
        <v>0</v>
      </c>
      <c r="Z9" s="89">
        <f>$Q9*($R9-Klimaatdata!$B$13)*2.63</f>
        <v>0</v>
      </c>
      <c r="AA9" s="89">
        <f>$Q9*($R9-Klimaatdata!$B$14)*2.63</f>
        <v>0</v>
      </c>
      <c r="AB9" s="89">
        <f>$Q9*($R9-Klimaatdata!$B$15)*2.63</f>
        <v>0</v>
      </c>
      <c r="AC9" s="89">
        <f>$Q9*($R9-Klimaatdata!$B$16)*2.63</f>
        <v>0</v>
      </c>
      <c r="AD9" s="89">
        <f>$Q9*($R9-Klimaatdata!$B$17)*2.63</f>
        <v>0</v>
      </c>
      <c r="AE9" s="89">
        <f>$Q9*($R9-Klimaatdata!$B$18)*2.63</f>
        <v>0</v>
      </c>
      <c r="AF9" s="89"/>
      <c r="AG9" s="205">
        <f t="shared" si="16"/>
        <v>0</v>
      </c>
      <c r="AH9" s="25">
        <f t="shared" si="17"/>
        <v>0</v>
      </c>
      <c r="AI9" s="25">
        <f t="shared" si="18"/>
        <v>0</v>
      </c>
      <c r="AJ9" s="206">
        <f t="shared" si="19"/>
        <v>0</v>
      </c>
      <c r="AK9" s="25"/>
      <c r="AL9" s="89">
        <f t="shared" si="20"/>
        <v>1</v>
      </c>
      <c r="AM9" s="89">
        <f t="shared" si="21"/>
        <v>0</v>
      </c>
      <c r="AN9" s="89">
        <f t="shared" si="22"/>
        <v>0</v>
      </c>
      <c r="AO9" s="89">
        <f t="shared" si="23"/>
        <v>0</v>
      </c>
      <c r="AP9" s="89">
        <v>0.1</v>
      </c>
      <c r="AQ9" s="28">
        <v>1</v>
      </c>
      <c r="AR9" s="89">
        <f t="shared" si="1"/>
        <v>0</v>
      </c>
      <c r="AS9" s="89">
        <v>19</v>
      </c>
      <c r="AT9" s="89"/>
      <c r="AU9" s="89">
        <f>$AR9*($R9-Klimaatdata!$B$7)*2.63</f>
        <v>0</v>
      </c>
      <c r="AV9" s="89">
        <f>$AR9*($R9-Klimaatdata!$B$8)*2.63</f>
        <v>0</v>
      </c>
      <c r="AW9" s="89">
        <f>$AR9*($R9-Klimaatdata!$B$9)*2.63</f>
        <v>0</v>
      </c>
      <c r="AX9" s="89">
        <f>$AR9*($R9-Klimaatdata!$B$10)*2.63</f>
        <v>0</v>
      </c>
      <c r="AY9" s="89">
        <f>$AR9*($R9-Klimaatdata!$B$11)*2.63</f>
        <v>0</v>
      </c>
      <c r="AZ9" s="89">
        <f>$AR9*($R9-Klimaatdata!$B$12)*2.63</f>
        <v>0</v>
      </c>
      <c r="BA9" s="89">
        <f>$AR9*($R9-Klimaatdata!$B$13)*2.63</f>
        <v>0</v>
      </c>
      <c r="BB9" s="89">
        <f>$AR9*($R9-Klimaatdata!$B$14)*2.63</f>
        <v>0</v>
      </c>
      <c r="BC9" s="89">
        <f>$AR9*($R9-Klimaatdata!$B$15)*2.63</f>
        <v>0</v>
      </c>
      <c r="BD9" s="89">
        <f>$AR9*($R9-Klimaatdata!$B$16)*2.63</f>
        <v>0</v>
      </c>
      <c r="BE9" s="89">
        <f>$AR9*($R9-Klimaatdata!$B$17)*2.63</f>
        <v>0</v>
      </c>
      <c r="BF9" s="89">
        <f>$AR9*($R9-Klimaatdata!$B$18)*2.63</f>
        <v>0</v>
      </c>
      <c r="BG9" s="25"/>
      <c r="BH9" s="89">
        <f>INDEX('Verwerking Bouwdelen'!$Y$106:$Y$130,H9)</f>
        <v>0</v>
      </c>
      <c r="BI9" s="89"/>
      <c r="BJ9" s="89">
        <f>INDEX(Klimaatdata!$B$27:$K$38,1,$B9)</f>
        <v>0</v>
      </c>
      <c r="BK9" s="89">
        <f>INDEX(Klimaatdata!$B$27:$K$38,2,$B9)</f>
        <v>0</v>
      </c>
      <c r="BL9" s="89">
        <f>INDEX(Klimaatdata!$B$27:$K$38,3,$B9)</f>
        <v>0</v>
      </c>
      <c r="BM9" s="89">
        <f>INDEX(Klimaatdata!$B$27:$K$38,4,$B9)</f>
        <v>0</v>
      </c>
      <c r="BN9" s="89">
        <f>INDEX(Klimaatdata!$B$27:$K$38,5,$B9)</f>
        <v>0</v>
      </c>
      <c r="BO9" s="89">
        <f>INDEX(Klimaatdata!$B$27:$K$38,6,$B9)</f>
        <v>0</v>
      </c>
      <c r="BP9" s="89">
        <f>INDEX(Klimaatdata!$B$27:$K$38,7,$B9)</f>
        <v>0</v>
      </c>
      <c r="BQ9" s="89">
        <f>INDEX(Klimaatdata!$B$27:$K$38,8,$B9)</f>
        <v>0</v>
      </c>
      <c r="BR9" s="89">
        <f>INDEX(Klimaatdata!$B$27:$K$38,9,$B9)</f>
        <v>0</v>
      </c>
      <c r="BS9" s="89">
        <f>INDEX(Klimaatdata!$B$27:$K$38,10,$B9)</f>
        <v>0</v>
      </c>
      <c r="BT9" s="89">
        <f>INDEX(Klimaatdata!$B$27:$K$38,11,$B9)</f>
        <v>0</v>
      </c>
      <c r="BU9" s="89">
        <f>INDEX(Klimaatdata!$B$27:$K$38,12,$B9)</f>
        <v>0</v>
      </c>
      <c r="BW9">
        <f t="shared" si="2"/>
        <v>1</v>
      </c>
      <c r="BX9">
        <f t="shared" si="3"/>
        <v>1</v>
      </c>
      <c r="BY9">
        <f t="shared" si="4"/>
        <v>1</v>
      </c>
      <c r="BZ9">
        <f t="shared" si="5"/>
        <v>1</v>
      </c>
      <c r="CA9">
        <f t="shared" si="6"/>
        <v>1</v>
      </c>
      <c r="CB9">
        <f t="shared" si="7"/>
        <v>1</v>
      </c>
      <c r="CC9">
        <f t="shared" si="8"/>
        <v>1</v>
      </c>
      <c r="CD9">
        <f t="shared" si="9"/>
        <v>1</v>
      </c>
      <c r="CE9">
        <f t="shared" si="10"/>
        <v>1</v>
      </c>
      <c r="CF9">
        <f t="shared" si="11"/>
        <v>1</v>
      </c>
      <c r="CG9">
        <f t="shared" si="12"/>
        <v>1</v>
      </c>
      <c r="CH9">
        <f t="shared" si="13"/>
        <v>1</v>
      </c>
      <c r="CJ9" s="219">
        <f>Klimaatdata!$D$7*BJ9*BW9*$BH9*$G9*0.75</f>
        <v>0</v>
      </c>
      <c r="CK9" s="219">
        <f>Klimaatdata!$E$7*BK9*BX9*$BH9*$G9*0.75</f>
        <v>0</v>
      </c>
      <c r="CL9" s="219">
        <f>Klimaatdata!$F$7*BL9*BY9*$BH9*$G9*0.75</f>
        <v>0</v>
      </c>
      <c r="CM9" s="219">
        <f>Klimaatdata!$G$7*BM9*BZ9*$BH9*$G9*0.75</f>
        <v>0</v>
      </c>
      <c r="CN9" s="219">
        <f>Klimaatdata!$H$7*BN9*CA9*$BH9*$G9*0.75</f>
        <v>0</v>
      </c>
      <c r="CO9" s="219">
        <f>Klimaatdata!$I$7*BO9*CB9*$BH9*$G9*0.75</f>
        <v>0</v>
      </c>
      <c r="CP9" s="219">
        <f>Klimaatdata!$J$7*BP9*CC9*$BH9*$G9*0.75</f>
        <v>0</v>
      </c>
      <c r="CQ9" s="219">
        <f>Klimaatdata!$K$7*BQ9*CD9*$BH9*$G9*0.75</f>
        <v>0</v>
      </c>
      <c r="CR9" s="219">
        <f>Klimaatdata!$L$7*BR9*CE9*$BH9*$G9*0.75</f>
        <v>0</v>
      </c>
      <c r="CS9" s="219">
        <f>Klimaatdata!$M$7*BS9*CF9*$BH9*$G9*0.75</f>
        <v>0</v>
      </c>
      <c r="CT9" s="219">
        <f>Klimaatdata!$N$7*BT9*CG9*$BH9*$G9*0.75</f>
        <v>0</v>
      </c>
      <c r="CU9" s="219">
        <f>Klimaatdata!$O$7*BU9*CH9*$BH9*$G9*0.75</f>
        <v>0</v>
      </c>
      <c r="CX9">
        <v>1</v>
      </c>
      <c r="CY9">
        <v>1</v>
      </c>
      <c r="CZ9">
        <v>1</v>
      </c>
      <c r="DA9">
        <f>'Invoer Gebouwschil'!Q9</f>
        <v>0</v>
      </c>
      <c r="DC9" s="89">
        <f t="shared" si="24"/>
        <v>0</v>
      </c>
      <c r="DD9" s="89">
        <v>0.13</v>
      </c>
      <c r="DE9" s="89">
        <f t="shared" si="25"/>
        <v>0</v>
      </c>
      <c r="DF9" s="89">
        <f>IF(F9=6,1/((1/1/(DD9+DE9+'Invoer Gebouwschil'!M9))+5),1/(DD9+DE9+'Invoer Gebouwschil'!M9))</f>
        <v>7.6923076923076916</v>
      </c>
      <c r="DG9" s="89">
        <v>0.1</v>
      </c>
      <c r="DH9" s="28">
        <f t="shared" si="26"/>
        <v>1</v>
      </c>
      <c r="DI9" s="89">
        <f t="shared" si="27"/>
        <v>0</v>
      </c>
      <c r="DJ9" s="89">
        <v>19</v>
      </c>
      <c r="DK9" s="89"/>
      <c r="DL9" s="89">
        <f>$DI9*($R9-Klimaatdata!$B$7)*2.63</f>
        <v>0</v>
      </c>
      <c r="DM9" s="89">
        <f>$DI9*($R9-Klimaatdata!$B$8)*2.63</f>
        <v>0</v>
      </c>
      <c r="DN9" s="89">
        <f>$DI9*($R9-Klimaatdata!$B$9)*2.63</f>
        <v>0</v>
      </c>
      <c r="DO9" s="89">
        <f>$DI9*($R9-Klimaatdata!$B$10)*2.63</f>
        <v>0</v>
      </c>
      <c r="DP9" s="89">
        <f>$DI9*($R9-Klimaatdata!$B$11)*2.63</f>
        <v>0</v>
      </c>
      <c r="DQ9" s="89">
        <f>$DI9*($R9-Klimaatdata!$B$12)*2.63</f>
        <v>0</v>
      </c>
      <c r="DR9" s="89">
        <f>$DI9*($R9-Klimaatdata!$B$13)*2.63</f>
        <v>0</v>
      </c>
      <c r="DS9" s="89">
        <f>$DI9*($R9-Klimaatdata!$B$14)*2.63</f>
        <v>0</v>
      </c>
      <c r="DT9" s="89">
        <f>$DI9*($R9-Klimaatdata!$B$15)*2.63</f>
        <v>0</v>
      </c>
      <c r="DU9" s="89">
        <f>$DI9*($R9-Klimaatdata!$B$16)*2.63</f>
        <v>0</v>
      </c>
      <c r="DV9" s="89">
        <f>$DI9*($R9-Klimaatdata!$B$17)*2.63</f>
        <v>0</v>
      </c>
      <c r="DW9" s="89">
        <f>$DI9*($R9-Klimaatdata!$B$18)*2.63</f>
        <v>0</v>
      </c>
      <c r="DX9" s="89"/>
      <c r="DY9" s="89">
        <f t="shared" si="28"/>
        <v>0</v>
      </c>
      <c r="DZ9" s="89">
        <v>0.1</v>
      </c>
      <c r="EA9" s="28">
        <v>1</v>
      </c>
      <c r="EB9" s="89">
        <f t="shared" si="29"/>
        <v>0</v>
      </c>
      <c r="EC9" s="89">
        <v>19</v>
      </c>
      <c r="ED9" s="89"/>
      <c r="EE9" s="89">
        <f>$EB9*($R9-Klimaatdata!$B$7)*2.63</f>
        <v>0</v>
      </c>
      <c r="EF9" s="89">
        <f>$EB9*($R9-Klimaatdata!$B$8)*2.63</f>
        <v>0</v>
      </c>
      <c r="EG9" s="89">
        <f>$EB9*($R9-Klimaatdata!$B$9)*2.63</f>
        <v>0</v>
      </c>
      <c r="EH9" s="89">
        <f>$EB9*($R9-Klimaatdata!$B$10)*2.63</f>
        <v>0</v>
      </c>
      <c r="EI9" s="89">
        <f>$EB9*($R9-Klimaatdata!$B$11)*2.63</f>
        <v>0</v>
      </c>
      <c r="EJ9" s="89">
        <f>$EB9*($R9-Klimaatdata!$B$12)*2.63</f>
        <v>0</v>
      </c>
      <c r="EK9" s="89">
        <f>$EB9*($R9-Klimaatdata!$B$13)*2.63</f>
        <v>0</v>
      </c>
      <c r="EL9" s="89">
        <f>$EB9*($R9-Klimaatdata!$B$14)*2.63</f>
        <v>0</v>
      </c>
      <c r="EM9" s="89">
        <f>$EB9*($R9-Klimaatdata!$B$15)*2.63</f>
        <v>0</v>
      </c>
      <c r="EN9" s="89">
        <f>$EB9*($R9-Klimaatdata!$B$16)*2.63</f>
        <v>0</v>
      </c>
      <c r="EO9" s="89">
        <f>$EB9*($R9-Klimaatdata!$B$17)*2.63</f>
        <v>0</v>
      </c>
      <c r="EP9" s="89">
        <f>$EB9*($R9-Klimaatdata!$B$18)*2.63</f>
        <v>0</v>
      </c>
      <c r="EQ9" s="25"/>
      <c r="ER9" s="89">
        <f t="shared" si="30"/>
        <v>0</v>
      </c>
      <c r="ES9" s="89"/>
      <c r="ET9" s="89">
        <f>INDEX(Klimaatdata!$B$27:$K$38,1,$B9)</f>
        <v>0</v>
      </c>
      <c r="EU9" s="89">
        <f>INDEX(Klimaatdata!$B$27:$K$38,2,$B9)</f>
        <v>0</v>
      </c>
      <c r="EV9" s="89">
        <f>INDEX(Klimaatdata!$B$27:$K$38,3,$B9)</f>
        <v>0</v>
      </c>
      <c r="EW9" s="89">
        <f>INDEX(Klimaatdata!$B$27:$K$38,4,$B9)</f>
        <v>0</v>
      </c>
      <c r="EX9" s="89">
        <f>INDEX(Klimaatdata!$B$27:$K$38,5,$B9)</f>
        <v>0</v>
      </c>
      <c r="EY9" s="89">
        <f>INDEX(Klimaatdata!$B$27:$K$38,6,$B9)</f>
        <v>0</v>
      </c>
      <c r="EZ9" s="89">
        <f>INDEX(Klimaatdata!$B$27:$K$38,7,$B9)</f>
        <v>0</v>
      </c>
      <c r="FA9" s="89">
        <f>INDEX(Klimaatdata!$B$27:$K$38,8,$B9)</f>
        <v>0</v>
      </c>
      <c r="FB9" s="89">
        <f>INDEX(Klimaatdata!$B$27:$K$38,9,$B9)</f>
        <v>0</v>
      </c>
      <c r="FC9" s="89">
        <f>INDEX(Klimaatdata!$B$27:$K$38,10,$B9)</f>
        <v>0</v>
      </c>
      <c r="FD9" s="89">
        <f>INDEX(Klimaatdata!$B$27:$K$38,11,$B9)</f>
        <v>0</v>
      </c>
      <c r="FE9" s="89">
        <f>INDEX(Klimaatdata!$B$27:$K$38,12,$B9)</f>
        <v>0</v>
      </c>
      <c r="FG9">
        <f t="shared" si="31"/>
        <v>1</v>
      </c>
      <c r="FH9">
        <f t="shared" si="32"/>
        <v>1</v>
      </c>
      <c r="FI9">
        <f t="shared" si="33"/>
        <v>1</v>
      </c>
      <c r="FJ9">
        <f t="shared" si="34"/>
        <v>1</v>
      </c>
      <c r="FK9">
        <f t="shared" si="35"/>
        <v>1</v>
      </c>
      <c r="FL9">
        <f t="shared" si="36"/>
        <v>1</v>
      </c>
      <c r="FM9">
        <f t="shared" si="37"/>
        <v>1</v>
      </c>
      <c r="FN9">
        <f t="shared" si="38"/>
        <v>1</v>
      </c>
      <c r="FO9">
        <f t="shared" si="39"/>
        <v>1</v>
      </c>
      <c r="FP9">
        <f t="shared" si="40"/>
        <v>1</v>
      </c>
      <c r="FQ9">
        <f t="shared" si="41"/>
        <v>1</v>
      </c>
      <c r="FR9">
        <f t="shared" si="42"/>
        <v>1</v>
      </c>
      <c r="FT9" s="219">
        <f>Klimaatdata!$D$7*ET9*FG9*$ER9*$G9*0.75</f>
        <v>0</v>
      </c>
      <c r="FU9" s="219">
        <f>Klimaatdata!$E$7*EU9*FH9*$ER9*$G9*0.75</f>
        <v>0</v>
      </c>
      <c r="FV9" s="219">
        <f>Klimaatdata!$F$7*EV9*FI9*$ER9*$G9*0.75</f>
        <v>0</v>
      </c>
      <c r="FW9" s="219">
        <f>Klimaatdata!$G$7*EW9*FJ9*$ER9*$G9*0.75</f>
        <v>0</v>
      </c>
      <c r="FX9" s="219">
        <f>Klimaatdata!$H$7*EX9*FK9*$ER9*$G9*0.75</f>
        <v>0</v>
      </c>
      <c r="FY9" s="219">
        <f>Klimaatdata!$I$7*EY9*FL9*$ER9*$G9*0.75</f>
        <v>0</v>
      </c>
      <c r="FZ9" s="219">
        <f>Klimaatdata!$J$7*EZ9*FM9*$ER9*$G9*0.75</f>
        <v>0</v>
      </c>
      <c r="GA9" s="219">
        <f>Klimaatdata!$K$7*FA9*FN9*$ER9*$G9*0.75</f>
        <v>0</v>
      </c>
      <c r="GB9" s="219">
        <f>Klimaatdata!$L$7*FB9*FO9*$ER9*$G9*0.75</f>
        <v>0</v>
      </c>
      <c r="GC9" s="219">
        <f>Klimaatdata!$M$7*FC9*FP9*$ER9*$G9*0.75</f>
        <v>0</v>
      </c>
      <c r="GD9" s="219">
        <f>Klimaatdata!$N$7*FD9*FQ9*$ER9*$G9*0.75</f>
        <v>0</v>
      </c>
      <c r="GE9" s="219">
        <f>Klimaatdata!$O$7*FE9*FR9*$ER9*$G9*0.75</f>
        <v>0</v>
      </c>
      <c r="GG9">
        <f t="shared" si="43"/>
        <v>0</v>
      </c>
      <c r="GH9">
        <f t="shared" si="44"/>
        <v>0</v>
      </c>
      <c r="GI9">
        <f t="shared" si="45"/>
        <v>0</v>
      </c>
      <c r="GJ9">
        <f t="shared" si="46"/>
        <v>0</v>
      </c>
      <c r="GK9">
        <f t="shared" si="47"/>
        <v>0</v>
      </c>
      <c r="GL9">
        <f t="shared" si="48"/>
        <v>0</v>
      </c>
      <c r="GM9">
        <f t="shared" si="49"/>
        <v>0</v>
      </c>
      <c r="GN9">
        <f t="shared" si="50"/>
        <v>0</v>
      </c>
      <c r="GO9">
        <f>'Invoer Gebouwschil'!Q9</f>
        <v>0</v>
      </c>
      <c r="GP9">
        <f t="shared" si="51"/>
        <v>0</v>
      </c>
      <c r="GR9">
        <f t="shared" si="52"/>
        <v>1</v>
      </c>
      <c r="GS9">
        <f t="shared" si="53"/>
        <v>0</v>
      </c>
      <c r="GT9">
        <f t="shared" si="54"/>
        <v>0</v>
      </c>
      <c r="GU9">
        <f t="shared" si="55"/>
        <v>0</v>
      </c>
      <c r="GV9">
        <f t="shared" si="56"/>
        <v>0</v>
      </c>
      <c r="GW9">
        <f t="shared" si="57"/>
        <v>0</v>
      </c>
      <c r="GX9">
        <f t="shared" si="58"/>
        <v>0</v>
      </c>
      <c r="GZ9" s="12">
        <f t="shared" si="59"/>
        <v>0</v>
      </c>
      <c r="HA9" s="13">
        <f t="shared" si="60"/>
        <v>0</v>
      </c>
      <c r="HB9" s="13">
        <f t="shared" si="61"/>
        <v>0</v>
      </c>
      <c r="HC9" s="14">
        <f t="shared" si="62"/>
        <v>0</v>
      </c>
      <c r="HE9" s="12">
        <f t="shared" si="63"/>
        <v>0</v>
      </c>
      <c r="HF9" s="13">
        <f t="shared" si="64"/>
        <v>0</v>
      </c>
      <c r="HG9" s="13">
        <f t="shared" si="65"/>
        <v>0</v>
      </c>
      <c r="HH9" s="14">
        <f t="shared" si="66"/>
        <v>0</v>
      </c>
    </row>
    <row r="10" spans="1:216" x14ac:dyDescent="0.2">
      <c r="A10">
        <v>1</v>
      </c>
      <c r="B10">
        <v>1</v>
      </c>
      <c r="C10">
        <v>1</v>
      </c>
      <c r="D10">
        <f>'Invoer Gebouwschil'!D10</f>
        <v>0</v>
      </c>
      <c r="E10">
        <v>1</v>
      </c>
      <c r="F10">
        <v>1</v>
      </c>
      <c r="G10">
        <f>'Invoer Gebouwschil'!H10</f>
        <v>0</v>
      </c>
      <c r="H10">
        <v>1</v>
      </c>
      <c r="I10">
        <v>1</v>
      </c>
      <c r="K10" s="89">
        <f>INDEX('Verwerking Bouwdelen'!$P$79:$P$103,'Verwerking Bouwdelen'!E10)</f>
        <v>0</v>
      </c>
      <c r="L10" s="89">
        <v>0.13</v>
      </c>
      <c r="M10" s="89">
        <f t="shared" si="14"/>
        <v>0</v>
      </c>
      <c r="N10" s="89">
        <f>IF(F10=6,1/((1/1/(L11+M11+'Invoer Gebouwschil'!F10))+5),1/(L10+M10+'Invoer Gebouwschil'!F10))</f>
        <v>7.6923076923076916</v>
      </c>
      <c r="O10" s="89">
        <v>0.1</v>
      </c>
      <c r="P10" s="28">
        <f t="shared" si="15"/>
        <v>1</v>
      </c>
      <c r="Q10" s="89">
        <f t="shared" si="0"/>
        <v>0</v>
      </c>
      <c r="R10" s="89">
        <v>19</v>
      </c>
      <c r="S10" s="89"/>
      <c r="T10" s="89">
        <f>$Q10*($R10-Klimaatdata!$B$7)*2.63</f>
        <v>0</v>
      </c>
      <c r="U10" s="89">
        <f>$Q10*($R10-Klimaatdata!$B$8)*2.63</f>
        <v>0</v>
      </c>
      <c r="V10" s="89">
        <f>$Q10*($R10-Klimaatdata!$B$9)*2.63</f>
        <v>0</v>
      </c>
      <c r="W10" s="89">
        <f>$Q10*($R10-Klimaatdata!$B$10)*2.63</f>
        <v>0</v>
      </c>
      <c r="X10" s="89">
        <f>$Q10*($R10-Klimaatdata!$B$11)*2.63</f>
        <v>0</v>
      </c>
      <c r="Y10" s="89">
        <f>$Q10*($R10-Klimaatdata!$B$12)*2.63</f>
        <v>0</v>
      </c>
      <c r="Z10" s="89">
        <f>$Q10*($R10-Klimaatdata!$B$13)*2.63</f>
        <v>0</v>
      </c>
      <c r="AA10" s="89">
        <f>$Q10*($R10-Klimaatdata!$B$14)*2.63</f>
        <v>0</v>
      </c>
      <c r="AB10" s="89">
        <f>$Q10*($R10-Klimaatdata!$B$15)*2.63</f>
        <v>0</v>
      </c>
      <c r="AC10" s="89">
        <f>$Q10*($R10-Klimaatdata!$B$16)*2.63</f>
        <v>0</v>
      </c>
      <c r="AD10" s="89">
        <f>$Q10*($R10-Klimaatdata!$B$17)*2.63</f>
        <v>0</v>
      </c>
      <c r="AE10" s="89">
        <f>$Q10*($R10-Klimaatdata!$B$18)*2.63</f>
        <v>0</v>
      </c>
      <c r="AF10" s="89"/>
      <c r="AG10" s="205">
        <f t="shared" si="16"/>
        <v>0</v>
      </c>
      <c r="AH10" s="25">
        <f t="shared" si="17"/>
        <v>0</v>
      </c>
      <c r="AI10" s="25">
        <f t="shared" si="18"/>
        <v>0</v>
      </c>
      <c r="AJ10" s="206">
        <f t="shared" si="19"/>
        <v>0</v>
      </c>
      <c r="AK10" s="25"/>
      <c r="AL10" s="89">
        <f t="shared" si="20"/>
        <v>1</v>
      </c>
      <c r="AM10" s="89">
        <f t="shared" si="21"/>
        <v>0</v>
      </c>
      <c r="AN10" s="89">
        <f t="shared" si="22"/>
        <v>0</v>
      </c>
      <c r="AO10" s="89">
        <f t="shared" si="23"/>
        <v>0</v>
      </c>
      <c r="AP10" s="89">
        <v>0.1</v>
      </c>
      <c r="AQ10" s="28">
        <v>1</v>
      </c>
      <c r="AR10" s="89">
        <f t="shared" si="1"/>
        <v>0</v>
      </c>
      <c r="AS10" s="89">
        <v>19</v>
      </c>
      <c r="AT10" s="89"/>
      <c r="AU10" s="89">
        <f>$AR10*($R10-Klimaatdata!$B$7)*2.63</f>
        <v>0</v>
      </c>
      <c r="AV10" s="89">
        <f>$AR10*($R10-Klimaatdata!$B$8)*2.63</f>
        <v>0</v>
      </c>
      <c r="AW10" s="89">
        <f>$AR10*($R10-Klimaatdata!$B$9)*2.63</f>
        <v>0</v>
      </c>
      <c r="AX10" s="89">
        <f>$AR10*($R10-Klimaatdata!$B$10)*2.63</f>
        <v>0</v>
      </c>
      <c r="AY10" s="89">
        <f>$AR10*($R10-Klimaatdata!$B$11)*2.63</f>
        <v>0</v>
      </c>
      <c r="AZ10" s="89">
        <f>$AR10*($R10-Klimaatdata!$B$12)*2.63</f>
        <v>0</v>
      </c>
      <c r="BA10" s="89">
        <f>$AR10*($R10-Klimaatdata!$B$13)*2.63</f>
        <v>0</v>
      </c>
      <c r="BB10" s="89">
        <f>$AR10*($R10-Klimaatdata!$B$14)*2.63</f>
        <v>0</v>
      </c>
      <c r="BC10" s="89">
        <f>$AR10*($R10-Klimaatdata!$B$15)*2.63</f>
        <v>0</v>
      </c>
      <c r="BD10" s="89">
        <f>$AR10*($R10-Klimaatdata!$B$16)*2.63</f>
        <v>0</v>
      </c>
      <c r="BE10" s="89">
        <f>$AR10*($R10-Klimaatdata!$B$17)*2.63</f>
        <v>0</v>
      </c>
      <c r="BF10" s="89">
        <f>$AR10*($R10-Klimaatdata!$B$18)*2.63</f>
        <v>0</v>
      </c>
      <c r="BG10" s="25"/>
      <c r="BH10" s="89">
        <f>INDEX('Verwerking Bouwdelen'!$Y$106:$Y$130,H10)</f>
        <v>0</v>
      </c>
      <c r="BI10" s="89"/>
      <c r="BJ10" s="89">
        <f>INDEX(Klimaatdata!$B$27:$K$38,1,$B10)</f>
        <v>0</v>
      </c>
      <c r="BK10" s="89">
        <f>INDEX(Klimaatdata!$B$27:$K$38,2,$B10)</f>
        <v>0</v>
      </c>
      <c r="BL10" s="89">
        <f>INDEX(Klimaatdata!$B$27:$K$38,3,$B10)</f>
        <v>0</v>
      </c>
      <c r="BM10" s="89">
        <f>INDEX(Klimaatdata!$B$27:$K$38,4,$B10)</f>
        <v>0</v>
      </c>
      <c r="BN10" s="89">
        <f>INDEX(Klimaatdata!$B$27:$K$38,5,$B10)</f>
        <v>0</v>
      </c>
      <c r="BO10" s="89">
        <f>INDEX(Klimaatdata!$B$27:$K$38,6,$B10)</f>
        <v>0</v>
      </c>
      <c r="BP10" s="89">
        <f>INDEX(Klimaatdata!$B$27:$K$38,7,$B10)</f>
        <v>0</v>
      </c>
      <c r="BQ10" s="89">
        <f>INDEX(Klimaatdata!$B$27:$K$38,8,$B10)</f>
        <v>0</v>
      </c>
      <c r="BR10" s="89">
        <f>INDEX(Klimaatdata!$B$27:$K$38,9,$B10)</f>
        <v>0</v>
      </c>
      <c r="BS10" s="89">
        <f>INDEX(Klimaatdata!$B$27:$K$38,10,$B10)</f>
        <v>0</v>
      </c>
      <c r="BT10" s="89">
        <f>INDEX(Klimaatdata!$B$27:$K$38,11,$B10)</f>
        <v>0</v>
      </c>
      <c r="BU10" s="89">
        <f>INDEX(Klimaatdata!$B$27:$K$38,12,$B10)</f>
        <v>0</v>
      </c>
      <c r="BW10">
        <f t="shared" si="2"/>
        <v>1</v>
      </c>
      <c r="BX10">
        <f t="shared" si="3"/>
        <v>1</v>
      </c>
      <c r="BY10">
        <f t="shared" si="4"/>
        <v>1</v>
      </c>
      <c r="BZ10">
        <f t="shared" si="5"/>
        <v>1</v>
      </c>
      <c r="CA10">
        <f t="shared" si="6"/>
        <v>1</v>
      </c>
      <c r="CB10">
        <f t="shared" si="7"/>
        <v>1</v>
      </c>
      <c r="CC10">
        <f t="shared" si="8"/>
        <v>1</v>
      </c>
      <c r="CD10">
        <f t="shared" si="9"/>
        <v>1</v>
      </c>
      <c r="CE10">
        <f t="shared" si="10"/>
        <v>1</v>
      </c>
      <c r="CF10">
        <f t="shared" si="11"/>
        <v>1</v>
      </c>
      <c r="CG10">
        <f t="shared" si="12"/>
        <v>1</v>
      </c>
      <c r="CH10">
        <f t="shared" si="13"/>
        <v>1</v>
      </c>
      <c r="CJ10" s="219">
        <f>Klimaatdata!$D$7*BJ10*BW10*$BH10*$G10*0.75</f>
        <v>0</v>
      </c>
      <c r="CK10" s="219">
        <f>Klimaatdata!$E$7*BK10*BX10*$BH10*$G10*0.75</f>
        <v>0</v>
      </c>
      <c r="CL10" s="219">
        <f>Klimaatdata!$F$7*BL10*BY10*$BH10*$G10*0.75</f>
        <v>0</v>
      </c>
      <c r="CM10" s="219">
        <f>Klimaatdata!$G$7*BM10*BZ10*$BH10*$G10*0.75</f>
        <v>0</v>
      </c>
      <c r="CN10" s="219">
        <f>Klimaatdata!$H$7*BN10*CA10*$BH10*$G10*0.75</f>
        <v>0</v>
      </c>
      <c r="CO10" s="219">
        <f>Klimaatdata!$I$7*BO10*CB10*$BH10*$G10*0.75</f>
        <v>0</v>
      </c>
      <c r="CP10" s="219">
        <f>Klimaatdata!$J$7*BP10*CC10*$BH10*$G10*0.75</f>
        <v>0</v>
      </c>
      <c r="CQ10" s="219">
        <f>Klimaatdata!$K$7*BQ10*CD10*$BH10*$G10*0.75</f>
        <v>0</v>
      </c>
      <c r="CR10" s="219">
        <f>Klimaatdata!$L$7*BR10*CE10*$BH10*$G10*0.75</f>
        <v>0</v>
      </c>
      <c r="CS10" s="219">
        <f>Klimaatdata!$M$7*BS10*CF10*$BH10*$G10*0.75</f>
        <v>0</v>
      </c>
      <c r="CT10" s="219">
        <f>Klimaatdata!$N$7*BT10*CG10*$BH10*$G10*0.75</f>
        <v>0</v>
      </c>
      <c r="CU10" s="219">
        <f>Klimaatdata!$O$7*BU10*CH10*$BH10*$G10*0.75</f>
        <v>0</v>
      </c>
      <c r="CX10">
        <v>1</v>
      </c>
      <c r="CY10">
        <v>1</v>
      </c>
      <c r="CZ10">
        <v>1</v>
      </c>
      <c r="DA10">
        <f>'Invoer Gebouwschil'!Q10</f>
        <v>0</v>
      </c>
      <c r="DC10" s="89">
        <f t="shared" si="24"/>
        <v>0</v>
      </c>
      <c r="DD10" s="89">
        <v>0.13</v>
      </c>
      <c r="DE10" s="89">
        <f t="shared" si="25"/>
        <v>0</v>
      </c>
      <c r="DF10" s="89">
        <f>IF(F10=6,1/((1/1/(DD10+DE10+'Invoer Gebouwschil'!M10))+5),1/(DD10+DE10+'Invoer Gebouwschil'!M10))</f>
        <v>7.6923076923076916</v>
      </c>
      <c r="DG10" s="89">
        <v>0.1</v>
      </c>
      <c r="DH10" s="28">
        <f t="shared" si="26"/>
        <v>1</v>
      </c>
      <c r="DI10" s="89">
        <f t="shared" si="27"/>
        <v>0</v>
      </c>
      <c r="DJ10" s="89">
        <v>19</v>
      </c>
      <c r="DK10" s="89"/>
      <c r="DL10" s="89">
        <f>$DI10*($R10-Klimaatdata!$B$7)*2.63</f>
        <v>0</v>
      </c>
      <c r="DM10" s="89">
        <f>$DI10*($R10-Klimaatdata!$B$8)*2.63</f>
        <v>0</v>
      </c>
      <c r="DN10" s="89">
        <f>$DI10*($R10-Klimaatdata!$B$9)*2.63</f>
        <v>0</v>
      </c>
      <c r="DO10" s="89">
        <f>$DI10*($R10-Klimaatdata!$B$10)*2.63</f>
        <v>0</v>
      </c>
      <c r="DP10" s="89">
        <f>$DI10*($R10-Klimaatdata!$B$11)*2.63</f>
        <v>0</v>
      </c>
      <c r="DQ10" s="89">
        <f>$DI10*($R10-Klimaatdata!$B$12)*2.63</f>
        <v>0</v>
      </c>
      <c r="DR10" s="89">
        <f>$DI10*($R10-Klimaatdata!$B$13)*2.63</f>
        <v>0</v>
      </c>
      <c r="DS10" s="89">
        <f>$DI10*($R10-Klimaatdata!$B$14)*2.63</f>
        <v>0</v>
      </c>
      <c r="DT10" s="89">
        <f>$DI10*($R10-Klimaatdata!$B$15)*2.63</f>
        <v>0</v>
      </c>
      <c r="DU10" s="89">
        <f>$DI10*($R10-Klimaatdata!$B$16)*2.63</f>
        <v>0</v>
      </c>
      <c r="DV10" s="89">
        <f>$DI10*($R10-Klimaatdata!$B$17)*2.63</f>
        <v>0</v>
      </c>
      <c r="DW10" s="89">
        <f>$DI10*($R10-Klimaatdata!$B$18)*2.63</f>
        <v>0</v>
      </c>
      <c r="DX10" s="89"/>
      <c r="DY10" s="89">
        <f t="shared" si="28"/>
        <v>0</v>
      </c>
      <c r="DZ10" s="89">
        <v>0.1</v>
      </c>
      <c r="EA10" s="28">
        <v>1</v>
      </c>
      <c r="EB10" s="89">
        <f t="shared" si="29"/>
        <v>0</v>
      </c>
      <c r="EC10" s="89">
        <v>19</v>
      </c>
      <c r="ED10" s="89"/>
      <c r="EE10" s="89">
        <f>$EB10*($R10-Klimaatdata!$B$7)*2.63</f>
        <v>0</v>
      </c>
      <c r="EF10" s="89">
        <f>$EB10*($R10-Klimaatdata!$B$8)*2.63</f>
        <v>0</v>
      </c>
      <c r="EG10" s="89">
        <f>$EB10*($R10-Klimaatdata!$B$9)*2.63</f>
        <v>0</v>
      </c>
      <c r="EH10" s="89">
        <f>$EB10*($R10-Klimaatdata!$B$10)*2.63</f>
        <v>0</v>
      </c>
      <c r="EI10" s="89">
        <f>$EB10*($R10-Klimaatdata!$B$11)*2.63</f>
        <v>0</v>
      </c>
      <c r="EJ10" s="89">
        <f>$EB10*($R10-Klimaatdata!$B$12)*2.63</f>
        <v>0</v>
      </c>
      <c r="EK10" s="89">
        <f>$EB10*($R10-Klimaatdata!$B$13)*2.63</f>
        <v>0</v>
      </c>
      <c r="EL10" s="89">
        <f>$EB10*($R10-Klimaatdata!$B$14)*2.63</f>
        <v>0</v>
      </c>
      <c r="EM10" s="89">
        <f>$EB10*($R10-Klimaatdata!$B$15)*2.63</f>
        <v>0</v>
      </c>
      <c r="EN10" s="89">
        <f>$EB10*($R10-Klimaatdata!$B$16)*2.63</f>
        <v>0</v>
      </c>
      <c r="EO10" s="89">
        <f>$EB10*($R10-Klimaatdata!$B$17)*2.63</f>
        <v>0</v>
      </c>
      <c r="EP10" s="89">
        <f>$EB10*($R10-Klimaatdata!$B$18)*2.63</f>
        <v>0</v>
      </c>
      <c r="EQ10" s="25"/>
      <c r="ER10" s="89">
        <f t="shared" si="30"/>
        <v>0</v>
      </c>
      <c r="ES10" s="89"/>
      <c r="ET10" s="89">
        <f>INDEX(Klimaatdata!$B$27:$K$38,1,$B10)</f>
        <v>0</v>
      </c>
      <c r="EU10" s="89">
        <f>INDEX(Klimaatdata!$B$27:$K$38,2,$B10)</f>
        <v>0</v>
      </c>
      <c r="EV10" s="89">
        <f>INDEX(Klimaatdata!$B$27:$K$38,3,$B10)</f>
        <v>0</v>
      </c>
      <c r="EW10" s="89">
        <f>INDEX(Klimaatdata!$B$27:$K$38,4,$B10)</f>
        <v>0</v>
      </c>
      <c r="EX10" s="89">
        <f>INDEX(Klimaatdata!$B$27:$K$38,5,$B10)</f>
        <v>0</v>
      </c>
      <c r="EY10" s="89">
        <f>INDEX(Klimaatdata!$B$27:$K$38,6,$B10)</f>
        <v>0</v>
      </c>
      <c r="EZ10" s="89">
        <f>INDEX(Klimaatdata!$B$27:$K$38,7,$B10)</f>
        <v>0</v>
      </c>
      <c r="FA10" s="89">
        <f>INDEX(Klimaatdata!$B$27:$K$38,8,$B10)</f>
        <v>0</v>
      </c>
      <c r="FB10" s="89">
        <f>INDEX(Klimaatdata!$B$27:$K$38,9,$B10)</f>
        <v>0</v>
      </c>
      <c r="FC10" s="89">
        <f>INDEX(Klimaatdata!$B$27:$K$38,10,$B10)</f>
        <v>0</v>
      </c>
      <c r="FD10" s="89">
        <f>INDEX(Klimaatdata!$B$27:$K$38,11,$B10)</f>
        <v>0</v>
      </c>
      <c r="FE10" s="89">
        <f>INDEX(Klimaatdata!$B$27:$K$38,12,$B10)</f>
        <v>0</v>
      </c>
      <c r="FG10">
        <f t="shared" si="31"/>
        <v>1</v>
      </c>
      <c r="FH10">
        <f t="shared" si="32"/>
        <v>1</v>
      </c>
      <c r="FI10">
        <f t="shared" si="33"/>
        <v>1</v>
      </c>
      <c r="FJ10">
        <f t="shared" si="34"/>
        <v>1</v>
      </c>
      <c r="FK10">
        <f t="shared" si="35"/>
        <v>1</v>
      </c>
      <c r="FL10">
        <f t="shared" si="36"/>
        <v>1</v>
      </c>
      <c r="FM10">
        <f t="shared" si="37"/>
        <v>1</v>
      </c>
      <c r="FN10">
        <f t="shared" si="38"/>
        <v>1</v>
      </c>
      <c r="FO10">
        <f t="shared" si="39"/>
        <v>1</v>
      </c>
      <c r="FP10">
        <f t="shared" si="40"/>
        <v>1</v>
      </c>
      <c r="FQ10">
        <f t="shared" si="41"/>
        <v>1</v>
      </c>
      <c r="FR10">
        <f t="shared" si="42"/>
        <v>1</v>
      </c>
      <c r="FT10" s="219">
        <f>Klimaatdata!$D$7*ET10*FG10*$ER10*$G10*0.75</f>
        <v>0</v>
      </c>
      <c r="FU10" s="219">
        <f>Klimaatdata!$E$7*EU10*FH10*$ER10*$G10*0.75</f>
        <v>0</v>
      </c>
      <c r="FV10" s="219">
        <f>Klimaatdata!$F$7*EV10*FI10*$ER10*$G10*0.75</f>
        <v>0</v>
      </c>
      <c r="FW10" s="219">
        <f>Klimaatdata!$G$7*EW10*FJ10*$ER10*$G10*0.75</f>
        <v>0</v>
      </c>
      <c r="FX10" s="219">
        <f>Klimaatdata!$H$7*EX10*FK10*$ER10*$G10*0.75</f>
        <v>0</v>
      </c>
      <c r="FY10" s="219">
        <f>Klimaatdata!$I$7*EY10*FL10*$ER10*$G10*0.75</f>
        <v>0</v>
      </c>
      <c r="FZ10" s="219">
        <f>Klimaatdata!$J$7*EZ10*FM10*$ER10*$G10*0.75</f>
        <v>0</v>
      </c>
      <c r="GA10" s="219">
        <f>Klimaatdata!$K$7*FA10*FN10*$ER10*$G10*0.75</f>
        <v>0</v>
      </c>
      <c r="GB10" s="219">
        <f>Klimaatdata!$L$7*FB10*FO10*$ER10*$G10*0.75</f>
        <v>0</v>
      </c>
      <c r="GC10" s="219">
        <f>Klimaatdata!$M$7*FC10*FP10*$ER10*$G10*0.75</f>
        <v>0</v>
      </c>
      <c r="GD10" s="219">
        <f>Klimaatdata!$N$7*FD10*FQ10*$ER10*$G10*0.75</f>
        <v>0</v>
      </c>
      <c r="GE10" s="219">
        <f>Klimaatdata!$O$7*FE10*FR10*$ER10*$G10*0.75</f>
        <v>0</v>
      </c>
      <c r="GG10">
        <f t="shared" si="43"/>
        <v>0</v>
      </c>
      <c r="GH10">
        <f t="shared" si="44"/>
        <v>0</v>
      </c>
      <c r="GI10">
        <f t="shared" si="45"/>
        <v>0</v>
      </c>
      <c r="GJ10">
        <f t="shared" si="46"/>
        <v>0</v>
      </c>
      <c r="GK10">
        <f t="shared" si="47"/>
        <v>0</v>
      </c>
      <c r="GL10">
        <f t="shared" si="48"/>
        <v>0</v>
      </c>
      <c r="GM10">
        <f t="shared" si="49"/>
        <v>0</v>
      </c>
      <c r="GN10">
        <f t="shared" si="50"/>
        <v>0</v>
      </c>
      <c r="GO10">
        <f>'Invoer Gebouwschil'!Q10</f>
        <v>0</v>
      </c>
      <c r="GP10">
        <f t="shared" si="51"/>
        <v>0</v>
      </c>
      <c r="GR10">
        <f t="shared" si="52"/>
        <v>1</v>
      </c>
      <c r="GS10">
        <f t="shared" si="53"/>
        <v>0</v>
      </c>
      <c r="GT10">
        <f t="shared" si="54"/>
        <v>0</v>
      </c>
      <c r="GU10">
        <f t="shared" si="55"/>
        <v>0</v>
      </c>
      <c r="GV10">
        <f t="shared" si="56"/>
        <v>0</v>
      </c>
      <c r="GW10">
        <f t="shared" si="57"/>
        <v>0</v>
      </c>
      <c r="GX10">
        <f t="shared" si="58"/>
        <v>0</v>
      </c>
      <c r="GZ10" s="12">
        <f t="shared" si="59"/>
        <v>0</v>
      </c>
      <c r="HA10" s="13">
        <f t="shared" si="60"/>
        <v>0</v>
      </c>
      <c r="HB10" s="13">
        <f t="shared" si="61"/>
        <v>0</v>
      </c>
      <c r="HC10" s="14">
        <f t="shared" si="62"/>
        <v>0</v>
      </c>
      <c r="HE10" s="12">
        <f t="shared" si="63"/>
        <v>0</v>
      </c>
      <c r="HF10" s="13">
        <f t="shared" si="64"/>
        <v>0</v>
      </c>
      <c r="HG10" s="13">
        <f t="shared" si="65"/>
        <v>0</v>
      </c>
      <c r="HH10" s="14">
        <f t="shared" si="66"/>
        <v>0</v>
      </c>
    </row>
    <row r="11" spans="1:216" x14ac:dyDescent="0.2">
      <c r="A11">
        <v>1</v>
      </c>
      <c r="B11">
        <v>1</v>
      </c>
      <c r="C11">
        <v>1</v>
      </c>
      <c r="D11">
        <f>'Invoer Gebouwschil'!D11</f>
        <v>0</v>
      </c>
      <c r="E11">
        <v>1</v>
      </c>
      <c r="F11">
        <v>1</v>
      </c>
      <c r="G11">
        <f>'Invoer Gebouwschil'!H11</f>
        <v>0</v>
      </c>
      <c r="H11">
        <v>1</v>
      </c>
      <c r="I11">
        <v>1</v>
      </c>
      <c r="K11" s="89">
        <f>INDEX('Verwerking Bouwdelen'!$R$79:$R$103,'Verwerking Bouwdelen'!E11)</f>
        <v>0</v>
      </c>
      <c r="L11" s="89">
        <v>0.13</v>
      </c>
      <c r="M11" s="89">
        <f t="shared" si="14"/>
        <v>0</v>
      </c>
      <c r="N11" s="89">
        <f>IF(F11=6,1/((1/1/(L12+M12+'Invoer Gebouwschil'!F11))+5),1/(L11+M11+'Invoer Gebouwschil'!F11))</f>
        <v>7.6923076923076916</v>
      </c>
      <c r="O11" s="89">
        <v>0.1</v>
      </c>
      <c r="P11" s="28">
        <f t="shared" si="15"/>
        <v>1</v>
      </c>
      <c r="Q11" s="89">
        <f t="shared" si="0"/>
        <v>0</v>
      </c>
      <c r="R11" s="89">
        <v>19</v>
      </c>
      <c r="S11" s="89"/>
      <c r="T11" s="89">
        <f>$Q11*($R11-Klimaatdata!$B$7)*2.63</f>
        <v>0</v>
      </c>
      <c r="U11" s="89">
        <f>$Q11*($R11-Klimaatdata!$B$8)*2.63</f>
        <v>0</v>
      </c>
      <c r="V11" s="89">
        <f>$Q11*($R11-Klimaatdata!$B$9)*2.63</f>
        <v>0</v>
      </c>
      <c r="W11" s="89">
        <f>$Q11*($R11-Klimaatdata!$B$10)*2.63</f>
        <v>0</v>
      </c>
      <c r="X11" s="89">
        <f>$Q11*($R11-Klimaatdata!$B$11)*2.63</f>
        <v>0</v>
      </c>
      <c r="Y11" s="89">
        <f>$Q11*($R11-Klimaatdata!$B$12)*2.63</f>
        <v>0</v>
      </c>
      <c r="Z11" s="89">
        <f>$Q11*($R11-Klimaatdata!$B$13)*2.63</f>
        <v>0</v>
      </c>
      <c r="AA11" s="89">
        <f>$Q11*($R11-Klimaatdata!$B$14)*2.63</f>
        <v>0</v>
      </c>
      <c r="AB11" s="89">
        <f>$Q11*($R11-Klimaatdata!$B$15)*2.63</f>
        <v>0</v>
      </c>
      <c r="AC11" s="89">
        <f>$Q11*($R11-Klimaatdata!$B$16)*2.63</f>
        <v>0</v>
      </c>
      <c r="AD11" s="89">
        <f>$Q11*($R11-Klimaatdata!$B$17)*2.63</f>
        <v>0</v>
      </c>
      <c r="AE11" s="89">
        <f>$Q11*($R11-Klimaatdata!$B$18)*2.63</f>
        <v>0</v>
      </c>
      <c r="AF11" s="89"/>
      <c r="AG11" s="205">
        <f t="shared" si="16"/>
        <v>0</v>
      </c>
      <c r="AH11" s="25">
        <f t="shared" si="17"/>
        <v>0</v>
      </c>
      <c r="AI11" s="25">
        <f t="shared" si="18"/>
        <v>0</v>
      </c>
      <c r="AJ11" s="206">
        <f t="shared" si="19"/>
        <v>0</v>
      </c>
      <c r="AK11" s="25"/>
      <c r="AL11" s="89">
        <f t="shared" si="20"/>
        <v>1</v>
      </c>
      <c r="AM11" s="89">
        <f t="shared" si="21"/>
        <v>0</v>
      </c>
      <c r="AN11" s="89">
        <f t="shared" si="22"/>
        <v>0</v>
      </c>
      <c r="AO11" s="89">
        <f t="shared" si="23"/>
        <v>0</v>
      </c>
      <c r="AP11" s="89">
        <v>0.1</v>
      </c>
      <c r="AQ11" s="28">
        <v>1</v>
      </c>
      <c r="AR11" s="89">
        <f t="shared" si="1"/>
        <v>0</v>
      </c>
      <c r="AS11" s="89">
        <v>19</v>
      </c>
      <c r="AT11" s="89"/>
      <c r="AU11" s="89">
        <f>$AR11*($R11-Klimaatdata!$B$7)*2.63</f>
        <v>0</v>
      </c>
      <c r="AV11" s="89">
        <f>$AR11*($R11-Klimaatdata!$B$8)*2.63</f>
        <v>0</v>
      </c>
      <c r="AW11" s="89">
        <f>$AR11*($R11-Klimaatdata!$B$9)*2.63</f>
        <v>0</v>
      </c>
      <c r="AX11" s="89">
        <f>$AR11*($R11-Klimaatdata!$B$10)*2.63</f>
        <v>0</v>
      </c>
      <c r="AY11" s="89">
        <f>$AR11*($R11-Klimaatdata!$B$11)*2.63</f>
        <v>0</v>
      </c>
      <c r="AZ11" s="89">
        <f>$AR11*($R11-Klimaatdata!$B$12)*2.63</f>
        <v>0</v>
      </c>
      <c r="BA11" s="89">
        <f>$AR11*($R11-Klimaatdata!$B$13)*2.63</f>
        <v>0</v>
      </c>
      <c r="BB11" s="89">
        <f>$AR11*($R11-Klimaatdata!$B$14)*2.63</f>
        <v>0</v>
      </c>
      <c r="BC11" s="89">
        <f>$AR11*($R11-Klimaatdata!$B$15)*2.63</f>
        <v>0</v>
      </c>
      <c r="BD11" s="89">
        <f>$AR11*($R11-Klimaatdata!$B$16)*2.63</f>
        <v>0</v>
      </c>
      <c r="BE11" s="89">
        <f>$AR11*($R11-Klimaatdata!$B$17)*2.63</f>
        <v>0</v>
      </c>
      <c r="BF11" s="89">
        <f>$AR11*($R11-Klimaatdata!$B$18)*2.63</f>
        <v>0</v>
      </c>
      <c r="BG11" s="25"/>
      <c r="BH11" s="89">
        <f>INDEX('Verwerking Bouwdelen'!$Y$106:$Y$130,H11)</f>
        <v>0</v>
      </c>
      <c r="BI11" s="89"/>
      <c r="BJ11" s="89">
        <f>INDEX(Klimaatdata!$B$27:$K$38,1,$B11)</f>
        <v>0</v>
      </c>
      <c r="BK11" s="89">
        <f>INDEX(Klimaatdata!$B$27:$K$38,2,$B11)</f>
        <v>0</v>
      </c>
      <c r="BL11" s="89">
        <f>INDEX(Klimaatdata!$B$27:$K$38,3,$B11)</f>
        <v>0</v>
      </c>
      <c r="BM11" s="89">
        <f>INDEX(Klimaatdata!$B$27:$K$38,4,$B11)</f>
        <v>0</v>
      </c>
      <c r="BN11" s="89">
        <f>INDEX(Klimaatdata!$B$27:$K$38,5,$B11)</f>
        <v>0</v>
      </c>
      <c r="BO11" s="89">
        <f>INDEX(Klimaatdata!$B$27:$K$38,6,$B11)</f>
        <v>0</v>
      </c>
      <c r="BP11" s="89">
        <f>INDEX(Klimaatdata!$B$27:$K$38,7,$B11)</f>
        <v>0</v>
      </c>
      <c r="BQ11" s="89">
        <f>INDEX(Klimaatdata!$B$27:$K$38,8,$B11)</f>
        <v>0</v>
      </c>
      <c r="BR11" s="89">
        <f>INDEX(Klimaatdata!$B$27:$K$38,9,$B11)</f>
        <v>0</v>
      </c>
      <c r="BS11" s="89">
        <f>INDEX(Klimaatdata!$B$27:$K$38,10,$B11)</f>
        <v>0</v>
      </c>
      <c r="BT11" s="89">
        <f>INDEX(Klimaatdata!$B$27:$K$38,11,$B11)</f>
        <v>0</v>
      </c>
      <c r="BU11" s="89">
        <f>INDEX(Klimaatdata!$B$27:$K$38,12,$B11)</f>
        <v>0</v>
      </c>
      <c r="BW11">
        <f t="shared" si="2"/>
        <v>1</v>
      </c>
      <c r="BX11">
        <f t="shared" si="3"/>
        <v>1</v>
      </c>
      <c r="BY11">
        <f t="shared" si="4"/>
        <v>1</v>
      </c>
      <c r="BZ11">
        <f t="shared" si="5"/>
        <v>1</v>
      </c>
      <c r="CA11">
        <f t="shared" si="6"/>
        <v>1</v>
      </c>
      <c r="CB11">
        <f t="shared" si="7"/>
        <v>1</v>
      </c>
      <c r="CC11">
        <f t="shared" si="8"/>
        <v>1</v>
      </c>
      <c r="CD11">
        <f t="shared" si="9"/>
        <v>1</v>
      </c>
      <c r="CE11">
        <f t="shared" si="10"/>
        <v>1</v>
      </c>
      <c r="CF11">
        <f t="shared" si="11"/>
        <v>1</v>
      </c>
      <c r="CG11">
        <f t="shared" si="12"/>
        <v>1</v>
      </c>
      <c r="CH11">
        <f t="shared" si="13"/>
        <v>1</v>
      </c>
      <c r="CJ11" s="219">
        <f>Klimaatdata!$D$7*BJ11*BW11*$BH11*$G11*0.75</f>
        <v>0</v>
      </c>
      <c r="CK11" s="219">
        <f>Klimaatdata!$E$7*BK11*BX11*$BH11*$G11*0.75</f>
        <v>0</v>
      </c>
      <c r="CL11" s="219">
        <f>Klimaatdata!$F$7*BL11*BY11*$BH11*$G11*0.75</f>
        <v>0</v>
      </c>
      <c r="CM11" s="219">
        <f>Klimaatdata!$G$7*BM11*BZ11*$BH11*$G11*0.75</f>
        <v>0</v>
      </c>
      <c r="CN11" s="219">
        <f>Klimaatdata!$H$7*BN11*CA11*$BH11*$G11*0.75</f>
        <v>0</v>
      </c>
      <c r="CO11" s="219">
        <f>Klimaatdata!$I$7*BO11*CB11*$BH11*$G11*0.75</f>
        <v>0</v>
      </c>
      <c r="CP11" s="219">
        <f>Klimaatdata!$J$7*BP11*CC11*$BH11*$G11*0.75</f>
        <v>0</v>
      </c>
      <c r="CQ11" s="219">
        <f>Klimaatdata!$K$7*BQ11*CD11*$BH11*$G11*0.75</f>
        <v>0</v>
      </c>
      <c r="CR11" s="219">
        <f>Klimaatdata!$L$7*BR11*CE11*$BH11*$G11*0.75</f>
        <v>0</v>
      </c>
      <c r="CS11" s="219">
        <f>Klimaatdata!$M$7*BS11*CF11*$BH11*$G11*0.75</f>
        <v>0</v>
      </c>
      <c r="CT11" s="219">
        <f>Klimaatdata!$N$7*BT11*CG11*$BH11*$G11*0.75</f>
        <v>0</v>
      </c>
      <c r="CU11" s="219">
        <f>Klimaatdata!$O$7*BU11*CH11*$BH11*$G11*0.75</f>
        <v>0</v>
      </c>
      <c r="CX11">
        <v>1</v>
      </c>
      <c r="CY11">
        <v>1</v>
      </c>
      <c r="CZ11">
        <v>1</v>
      </c>
      <c r="DA11">
        <f>'Invoer Gebouwschil'!Q11</f>
        <v>0</v>
      </c>
      <c r="DC11" s="89">
        <f t="shared" si="24"/>
        <v>0</v>
      </c>
      <c r="DD11" s="89">
        <v>0.13</v>
      </c>
      <c r="DE11" s="89">
        <f t="shared" si="25"/>
        <v>0</v>
      </c>
      <c r="DF11" s="89">
        <f>IF(F11=6,1/((1/1/(DD11+DE11+'Invoer Gebouwschil'!M11))+5),1/(DD11+DE11+'Invoer Gebouwschil'!M11))</f>
        <v>7.6923076923076916</v>
      </c>
      <c r="DG11" s="89">
        <v>0.1</v>
      </c>
      <c r="DH11" s="28">
        <f t="shared" si="26"/>
        <v>1</v>
      </c>
      <c r="DI11" s="89">
        <f t="shared" si="27"/>
        <v>0</v>
      </c>
      <c r="DJ11" s="89">
        <v>19</v>
      </c>
      <c r="DK11" s="89"/>
      <c r="DL11" s="89">
        <f>$DI11*($R11-Klimaatdata!$B$7)*2.63</f>
        <v>0</v>
      </c>
      <c r="DM11" s="89">
        <f>$DI11*($R11-Klimaatdata!$B$8)*2.63</f>
        <v>0</v>
      </c>
      <c r="DN11" s="89">
        <f>$DI11*($R11-Klimaatdata!$B$9)*2.63</f>
        <v>0</v>
      </c>
      <c r="DO11" s="89">
        <f>$DI11*($R11-Klimaatdata!$B$10)*2.63</f>
        <v>0</v>
      </c>
      <c r="DP11" s="89">
        <f>$DI11*($R11-Klimaatdata!$B$11)*2.63</f>
        <v>0</v>
      </c>
      <c r="DQ11" s="89">
        <f>$DI11*($R11-Klimaatdata!$B$12)*2.63</f>
        <v>0</v>
      </c>
      <c r="DR11" s="89">
        <f>$DI11*($R11-Klimaatdata!$B$13)*2.63</f>
        <v>0</v>
      </c>
      <c r="DS11" s="89">
        <f>$DI11*($R11-Klimaatdata!$B$14)*2.63</f>
        <v>0</v>
      </c>
      <c r="DT11" s="89">
        <f>$DI11*($R11-Klimaatdata!$B$15)*2.63</f>
        <v>0</v>
      </c>
      <c r="DU11" s="89">
        <f>$DI11*($R11-Klimaatdata!$B$16)*2.63</f>
        <v>0</v>
      </c>
      <c r="DV11" s="89">
        <f>$DI11*($R11-Klimaatdata!$B$17)*2.63</f>
        <v>0</v>
      </c>
      <c r="DW11" s="89">
        <f>$DI11*($R11-Klimaatdata!$B$18)*2.63</f>
        <v>0</v>
      </c>
      <c r="DX11" s="89"/>
      <c r="DY11" s="89">
        <f t="shared" si="28"/>
        <v>0</v>
      </c>
      <c r="DZ11" s="89">
        <v>0.1</v>
      </c>
      <c r="EA11" s="28">
        <v>1</v>
      </c>
      <c r="EB11" s="89">
        <f t="shared" si="29"/>
        <v>0</v>
      </c>
      <c r="EC11" s="89">
        <v>19</v>
      </c>
      <c r="ED11" s="89"/>
      <c r="EE11" s="89">
        <f>$EB11*($R11-Klimaatdata!$B$7)*2.63</f>
        <v>0</v>
      </c>
      <c r="EF11" s="89">
        <f>$EB11*($R11-Klimaatdata!$B$8)*2.63</f>
        <v>0</v>
      </c>
      <c r="EG11" s="89">
        <f>$EB11*($R11-Klimaatdata!$B$9)*2.63</f>
        <v>0</v>
      </c>
      <c r="EH11" s="89">
        <f>$EB11*($R11-Klimaatdata!$B$10)*2.63</f>
        <v>0</v>
      </c>
      <c r="EI11" s="89">
        <f>$EB11*($R11-Klimaatdata!$B$11)*2.63</f>
        <v>0</v>
      </c>
      <c r="EJ11" s="89">
        <f>$EB11*($R11-Klimaatdata!$B$12)*2.63</f>
        <v>0</v>
      </c>
      <c r="EK11" s="89">
        <f>$EB11*($R11-Klimaatdata!$B$13)*2.63</f>
        <v>0</v>
      </c>
      <c r="EL11" s="89">
        <f>$EB11*($R11-Klimaatdata!$B$14)*2.63</f>
        <v>0</v>
      </c>
      <c r="EM11" s="89">
        <f>$EB11*($R11-Klimaatdata!$B$15)*2.63</f>
        <v>0</v>
      </c>
      <c r="EN11" s="89">
        <f>$EB11*($R11-Klimaatdata!$B$16)*2.63</f>
        <v>0</v>
      </c>
      <c r="EO11" s="89">
        <f>$EB11*($R11-Klimaatdata!$B$17)*2.63</f>
        <v>0</v>
      </c>
      <c r="EP11" s="89">
        <f>$EB11*($R11-Klimaatdata!$B$18)*2.63</f>
        <v>0</v>
      </c>
      <c r="EQ11" s="25"/>
      <c r="ER11" s="89">
        <f t="shared" si="30"/>
        <v>0</v>
      </c>
      <c r="ES11" s="89"/>
      <c r="ET11" s="89">
        <f>INDEX(Klimaatdata!$B$27:$K$38,1,$B11)</f>
        <v>0</v>
      </c>
      <c r="EU11" s="89">
        <f>INDEX(Klimaatdata!$B$27:$K$38,2,$B11)</f>
        <v>0</v>
      </c>
      <c r="EV11" s="89">
        <f>INDEX(Klimaatdata!$B$27:$K$38,3,$B11)</f>
        <v>0</v>
      </c>
      <c r="EW11" s="89">
        <f>INDEX(Klimaatdata!$B$27:$K$38,4,$B11)</f>
        <v>0</v>
      </c>
      <c r="EX11" s="89">
        <f>INDEX(Klimaatdata!$B$27:$K$38,5,$B11)</f>
        <v>0</v>
      </c>
      <c r="EY11" s="89">
        <f>INDEX(Klimaatdata!$B$27:$K$38,6,$B11)</f>
        <v>0</v>
      </c>
      <c r="EZ11" s="89">
        <f>INDEX(Klimaatdata!$B$27:$K$38,7,$B11)</f>
        <v>0</v>
      </c>
      <c r="FA11" s="89">
        <f>INDEX(Klimaatdata!$B$27:$K$38,8,$B11)</f>
        <v>0</v>
      </c>
      <c r="FB11" s="89">
        <f>INDEX(Klimaatdata!$B$27:$K$38,9,$B11)</f>
        <v>0</v>
      </c>
      <c r="FC11" s="89">
        <f>INDEX(Klimaatdata!$B$27:$K$38,10,$B11)</f>
        <v>0</v>
      </c>
      <c r="FD11" s="89">
        <f>INDEX(Klimaatdata!$B$27:$K$38,11,$B11)</f>
        <v>0</v>
      </c>
      <c r="FE11" s="89">
        <f>INDEX(Klimaatdata!$B$27:$K$38,12,$B11)</f>
        <v>0</v>
      </c>
      <c r="FG11">
        <f t="shared" si="31"/>
        <v>1</v>
      </c>
      <c r="FH11">
        <f t="shared" si="32"/>
        <v>1</v>
      </c>
      <c r="FI11">
        <f t="shared" si="33"/>
        <v>1</v>
      </c>
      <c r="FJ11">
        <f t="shared" si="34"/>
        <v>1</v>
      </c>
      <c r="FK11">
        <f t="shared" si="35"/>
        <v>1</v>
      </c>
      <c r="FL11">
        <f t="shared" si="36"/>
        <v>1</v>
      </c>
      <c r="FM11">
        <f t="shared" si="37"/>
        <v>1</v>
      </c>
      <c r="FN11">
        <f t="shared" si="38"/>
        <v>1</v>
      </c>
      <c r="FO11">
        <f t="shared" si="39"/>
        <v>1</v>
      </c>
      <c r="FP11">
        <f t="shared" si="40"/>
        <v>1</v>
      </c>
      <c r="FQ11">
        <f t="shared" si="41"/>
        <v>1</v>
      </c>
      <c r="FR11">
        <f t="shared" si="42"/>
        <v>1</v>
      </c>
      <c r="FT11" s="219">
        <f>Klimaatdata!$D$7*ET11*FG11*$ER11*$G11*0.75</f>
        <v>0</v>
      </c>
      <c r="FU11" s="219">
        <f>Klimaatdata!$E$7*EU11*FH11*$ER11*$G11*0.75</f>
        <v>0</v>
      </c>
      <c r="FV11" s="219">
        <f>Klimaatdata!$F$7*EV11*FI11*$ER11*$G11*0.75</f>
        <v>0</v>
      </c>
      <c r="FW11" s="219">
        <f>Klimaatdata!$G$7*EW11*FJ11*$ER11*$G11*0.75</f>
        <v>0</v>
      </c>
      <c r="FX11" s="219">
        <f>Klimaatdata!$H$7*EX11*FK11*$ER11*$G11*0.75</f>
        <v>0</v>
      </c>
      <c r="FY11" s="219">
        <f>Klimaatdata!$I$7*EY11*FL11*$ER11*$G11*0.75</f>
        <v>0</v>
      </c>
      <c r="FZ11" s="219">
        <f>Klimaatdata!$J$7*EZ11*FM11*$ER11*$G11*0.75</f>
        <v>0</v>
      </c>
      <c r="GA11" s="219">
        <f>Klimaatdata!$K$7*FA11*FN11*$ER11*$G11*0.75</f>
        <v>0</v>
      </c>
      <c r="GB11" s="219">
        <f>Klimaatdata!$L$7*FB11*FO11*$ER11*$G11*0.75</f>
        <v>0</v>
      </c>
      <c r="GC11" s="219">
        <f>Klimaatdata!$M$7*FC11*FP11*$ER11*$G11*0.75</f>
        <v>0</v>
      </c>
      <c r="GD11" s="219">
        <f>Klimaatdata!$N$7*FD11*FQ11*$ER11*$G11*0.75</f>
        <v>0</v>
      </c>
      <c r="GE11" s="219">
        <f>Klimaatdata!$O$7*FE11*FR11*$ER11*$G11*0.75</f>
        <v>0</v>
      </c>
      <c r="GG11">
        <f t="shared" si="43"/>
        <v>0</v>
      </c>
      <c r="GH11">
        <f t="shared" si="44"/>
        <v>0</v>
      </c>
      <c r="GI11">
        <f t="shared" si="45"/>
        <v>0</v>
      </c>
      <c r="GJ11">
        <f t="shared" si="46"/>
        <v>0</v>
      </c>
      <c r="GK11">
        <f t="shared" si="47"/>
        <v>0</v>
      </c>
      <c r="GL11">
        <f t="shared" si="48"/>
        <v>0</v>
      </c>
      <c r="GM11">
        <f t="shared" si="49"/>
        <v>0</v>
      </c>
      <c r="GN11">
        <f t="shared" si="50"/>
        <v>0</v>
      </c>
      <c r="GO11">
        <f>'Invoer Gebouwschil'!Q11</f>
        <v>0</v>
      </c>
      <c r="GP11">
        <f t="shared" si="51"/>
        <v>0</v>
      </c>
      <c r="GR11">
        <f t="shared" si="52"/>
        <v>1</v>
      </c>
      <c r="GS11">
        <f t="shared" si="53"/>
        <v>0</v>
      </c>
      <c r="GT11">
        <f t="shared" si="54"/>
        <v>0</v>
      </c>
      <c r="GU11">
        <f t="shared" si="55"/>
        <v>0</v>
      </c>
      <c r="GV11">
        <f t="shared" si="56"/>
        <v>0</v>
      </c>
      <c r="GW11">
        <f t="shared" si="57"/>
        <v>0</v>
      </c>
      <c r="GX11">
        <f t="shared" si="58"/>
        <v>0</v>
      </c>
      <c r="GZ11" s="12">
        <f t="shared" si="59"/>
        <v>0</v>
      </c>
      <c r="HA11" s="13">
        <f t="shared" si="60"/>
        <v>0</v>
      </c>
      <c r="HB11" s="13">
        <f t="shared" si="61"/>
        <v>0</v>
      </c>
      <c r="HC11" s="14">
        <f t="shared" si="62"/>
        <v>0</v>
      </c>
      <c r="HE11" s="12">
        <f t="shared" si="63"/>
        <v>0</v>
      </c>
      <c r="HF11" s="13">
        <f t="shared" si="64"/>
        <v>0</v>
      </c>
      <c r="HG11" s="13">
        <f t="shared" si="65"/>
        <v>0</v>
      </c>
      <c r="HH11" s="14">
        <f t="shared" si="66"/>
        <v>0</v>
      </c>
    </row>
    <row r="12" spans="1:216" x14ac:dyDescent="0.2">
      <c r="A12">
        <v>1</v>
      </c>
      <c r="B12">
        <v>1</v>
      </c>
      <c r="C12">
        <v>1</v>
      </c>
      <c r="D12">
        <f>'Invoer Gebouwschil'!D12</f>
        <v>0</v>
      </c>
      <c r="E12">
        <v>1</v>
      </c>
      <c r="F12">
        <v>1</v>
      </c>
      <c r="G12">
        <f>'Invoer Gebouwschil'!H12</f>
        <v>0</v>
      </c>
      <c r="H12">
        <v>1</v>
      </c>
      <c r="I12">
        <v>1</v>
      </c>
      <c r="K12" s="89">
        <f>INDEX('Verwerking Bouwdelen'!$T$79:$T$103,'Verwerking Bouwdelen'!E12)</f>
        <v>0</v>
      </c>
      <c r="L12" s="89">
        <v>0.13</v>
      </c>
      <c r="M12" s="89">
        <f t="shared" si="14"/>
        <v>0</v>
      </c>
      <c r="N12" s="89">
        <f>IF(F12=6,1/((1/1/(L13+M13+'Invoer Gebouwschil'!F12))+5),1/(L12+M12+'Invoer Gebouwschil'!F12))</f>
        <v>7.6923076923076916</v>
      </c>
      <c r="O12" s="89">
        <v>0.1</v>
      </c>
      <c r="P12" s="28">
        <f t="shared" si="15"/>
        <v>1</v>
      </c>
      <c r="Q12" s="89">
        <f t="shared" si="0"/>
        <v>0</v>
      </c>
      <c r="R12" s="89">
        <v>19</v>
      </c>
      <c r="S12" s="89"/>
      <c r="T12" s="89">
        <f>$Q12*($R12-Klimaatdata!$B$7)*2.63</f>
        <v>0</v>
      </c>
      <c r="U12" s="89">
        <f>$Q12*($R12-Klimaatdata!$B$8)*2.63</f>
        <v>0</v>
      </c>
      <c r="V12" s="89">
        <f>$Q12*($R12-Klimaatdata!$B$9)*2.63</f>
        <v>0</v>
      </c>
      <c r="W12" s="89">
        <f>$Q12*($R12-Klimaatdata!$B$10)*2.63</f>
        <v>0</v>
      </c>
      <c r="X12" s="89">
        <f>$Q12*($R12-Klimaatdata!$B$11)*2.63</f>
        <v>0</v>
      </c>
      <c r="Y12" s="89">
        <f>$Q12*($R12-Klimaatdata!$B$12)*2.63</f>
        <v>0</v>
      </c>
      <c r="Z12" s="89">
        <f>$Q12*($R12-Klimaatdata!$B$13)*2.63</f>
        <v>0</v>
      </c>
      <c r="AA12" s="89">
        <f>$Q12*($R12-Klimaatdata!$B$14)*2.63</f>
        <v>0</v>
      </c>
      <c r="AB12" s="89">
        <f>$Q12*($R12-Klimaatdata!$B$15)*2.63</f>
        <v>0</v>
      </c>
      <c r="AC12" s="89">
        <f>$Q12*($R12-Klimaatdata!$B$16)*2.63</f>
        <v>0</v>
      </c>
      <c r="AD12" s="89">
        <f>$Q12*($R12-Klimaatdata!$B$17)*2.63</f>
        <v>0</v>
      </c>
      <c r="AE12" s="89">
        <f>$Q12*($R12-Klimaatdata!$B$18)*2.63</f>
        <v>0</v>
      </c>
      <c r="AF12" s="89"/>
      <c r="AG12" s="205">
        <f t="shared" si="16"/>
        <v>0</v>
      </c>
      <c r="AH12" s="25">
        <f t="shared" si="17"/>
        <v>0</v>
      </c>
      <c r="AI12" s="25">
        <f t="shared" si="18"/>
        <v>0</v>
      </c>
      <c r="AJ12" s="206">
        <f t="shared" si="19"/>
        <v>0</v>
      </c>
      <c r="AK12" s="25"/>
      <c r="AL12" s="89">
        <f t="shared" si="20"/>
        <v>1</v>
      </c>
      <c r="AM12" s="89">
        <f t="shared" si="21"/>
        <v>0</v>
      </c>
      <c r="AN12" s="89">
        <f t="shared" si="22"/>
        <v>0</v>
      </c>
      <c r="AO12" s="89">
        <f t="shared" si="23"/>
        <v>0</v>
      </c>
      <c r="AP12" s="89">
        <v>0.1</v>
      </c>
      <c r="AQ12" s="28">
        <v>1</v>
      </c>
      <c r="AR12" s="89">
        <f t="shared" si="1"/>
        <v>0</v>
      </c>
      <c r="AS12" s="89">
        <v>19</v>
      </c>
      <c r="AT12" s="89"/>
      <c r="AU12" s="89">
        <f>$AR12*($R12-Klimaatdata!$B$7)*2.63</f>
        <v>0</v>
      </c>
      <c r="AV12" s="89">
        <f>$AR12*($R12-Klimaatdata!$B$8)*2.63</f>
        <v>0</v>
      </c>
      <c r="AW12" s="89">
        <f>$AR12*($R12-Klimaatdata!$B$9)*2.63</f>
        <v>0</v>
      </c>
      <c r="AX12" s="89">
        <f>$AR12*($R12-Klimaatdata!$B$10)*2.63</f>
        <v>0</v>
      </c>
      <c r="AY12" s="89">
        <f>$AR12*($R12-Klimaatdata!$B$11)*2.63</f>
        <v>0</v>
      </c>
      <c r="AZ12" s="89">
        <f>$AR12*($R12-Klimaatdata!$B$12)*2.63</f>
        <v>0</v>
      </c>
      <c r="BA12" s="89">
        <f>$AR12*($R12-Klimaatdata!$B$13)*2.63</f>
        <v>0</v>
      </c>
      <c r="BB12" s="89">
        <f>$AR12*($R12-Klimaatdata!$B$14)*2.63</f>
        <v>0</v>
      </c>
      <c r="BC12" s="89">
        <f>$AR12*($R12-Klimaatdata!$B$15)*2.63</f>
        <v>0</v>
      </c>
      <c r="BD12" s="89">
        <f>$AR12*($R12-Klimaatdata!$B$16)*2.63</f>
        <v>0</v>
      </c>
      <c r="BE12" s="89">
        <f>$AR12*($R12-Klimaatdata!$B$17)*2.63</f>
        <v>0</v>
      </c>
      <c r="BF12" s="89">
        <f>$AR12*($R12-Klimaatdata!$B$18)*2.63</f>
        <v>0</v>
      </c>
      <c r="BG12" s="25"/>
      <c r="BH12" s="89">
        <f>INDEX('Verwerking Bouwdelen'!$Y$106:$Y$130,H12)</f>
        <v>0</v>
      </c>
      <c r="BI12" s="89"/>
      <c r="BJ12" s="89">
        <f>INDEX(Klimaatdata!$B$27:$K$38,1,$B12)</f>
        <v>0</v>
      </c>
      <c r="BK12" s="89">
        <f>INDEX(Klimaatdata!$B$27:$K$38,2,$B12)</f>
        <v>0</v>
      </c>
      <c r="BL12" s="89">
        <f>INDEX(Klimaatdata!$B$27:$K$38,3,$B12)</f>
        <v>0</v>
      </c>
      <c r="BM12" s="89">
        <f>INDEX(Klimaatdata!$B$27:$K$38,4,$B12)</f>
        <v>0</v>
      </c>
      <c r="BN12" s="89">
        <f>INDEX(Klimaatdata!$B$27:$K$38,5,$B12)</f>
        <v>0</v>
      </c>
      <c r="BO12" s="89">
        <f>INDEX(Klimaatdata!$B$27:$K$38,6,$B12)</f>
        <v>0</v>
      </c>
      <c r="BP12" s="89">
        <f>INDEX(Klimaatdata!$B$27:$K$38,7,$B12)</f>
        <v>0</v>
      </c>
      <c r="BQ12" s="89">
        <f>INDEX(Klimaatdata!$B$27:$K$38,8,$B12)</f>
        <v>0</v>
      </c>
      <c r="BR12" s="89">
        <f>INDEX(Klimaatdata!$B$27:$K$38,9,$B12)</f>
        <v>0</v>
      </c>
      <c r="BS12" s="89">
        <f>INDEX(Klimaatdata!$B$27:$K$38,10,$B12)</f>
        <v>0</v>
      </c>
      <c r="BT12" s="89">
        <f>INDEX(Klimaatdata!$B$27:$K$38,11,$B12)</f>
        <v>0</v>
      </c>
      <c r="BU12" s="89">
        <f>INDEX(Klimaatdata!$B$27:$K$38,12,$B12)</f>
        <v>0</v>
      </c>
      <c r="BW12">
        <f t="shared" si="2"/>
        <v>1</v>
      </c>
      <c r="BX12">
        <f t="shared" si="3"/>
        <v>1</v>
      </c>
      <c r="BY12">
        <f t="shared" si="4"/>
        <v>1</v>
      </c>
      <c r="BZ12">
        <f t="shared" si="5"/>
        <v>1</v>
      </c>
      <c r="CA12">
        <f t="shared" si="6"/>
        <v>1</v>
      </c>
      <c r="CB12">
        <f t="shared" si="7"/>
        <v>1</v>
      </c>
      <c r="CC12">
        <f t="shared" si="8"/>
        <v>1</v>
      </c>
      <c r="CD12">
        <f t="shared" si="9"/>
        <v>1</v>
      </c>
      <c r="CE12">
        <f t="shared" si="10"/>
        <v>1</v>
      </c>
      <c r="CF12">
        <f t="shared" si="11"/>
        <v>1</v>
      </c>
      <c r="CG12">
        <f t="shared" si="12"/>
        <v>1</v>
      </c>
      <c r="CH12">
        <f t="shared" si="13"/>
        <v>1</v>
      </c>
      <c r="CJ12" s="219">
        <f>Klimaatdata!$D$7*BJ12*BW12*$BH12*$G12*0.75</f>
        <v>0</v>
      </c>
      <c r="CK12" s="219">
        <f>Klimaatdata!$E$7*BK12*BX12*$BH12*$G12*0.75</f>
        <v>0</v>
      </c>
      <c r="CL12" s="219">
        <f>Klimaatdata!$F$7*BL12*BY12*$BH12*$G12*0.75</f>
        <v>0</v>
      </c>
      <c r="CM12" s="219">
        <f>Klimaatdata!$G$7*BM12*BZ12*$BH12*$G12*0.75</f>
        <v>0</v>
      </c>
      <c r="CN12" s="219">
        <f>Klimaatdata!$H$7*BN12*CA12*$BH12*$G12*0.75</f>
        <v>0</v>
      </c>
      <c r="CO12" s="219">
        <f>Klimaatdata!$I$7*BO12*CB12*$BH12*$G12*0.75</f>
        <v>0</v>
      </c>
      <c r="CP12" s="219">
        <f>Klimaatdata!$J$7*BP12*CC12*$BH12*$G12*0.75</f>
        <v>0</v>
      </c>
      <c r="CQ12" s="219">
        <f>Klimaatdata!$K$7*BQ12*CD12*$BH12*$G12*0.75</f>
        <v>0</v>
      </c>
      <c r="CR12" s="219">
        <f>Klimaatdata!$L$7*BR12*CE12*$BH12*$G12*0.75</f>
        <v>0</v>
      </c>
      <c r="CS12" s="219">
        <f>Klimaatdata!$M$7*BS12*CF12*$BH12*$G12*0.75</f>
        <v>0</v>
      </c>
      <c r="CT12" s="219">
        <f>Klimaatdata!$N$7*BT12*CG12*$BH12*$G12*0.75</f>
        <v>0</v>
      </c>
      <c r="CU12" s="219">
        <f>Klimaatdata!$O$7*BU12*CH12*$BH12*$G12*0.75</f>
        <v>0</v>
      </c>
      <c r="CX12">
        <v>1</v>
      </c>
      <c r="CY12">
        <v>1</v>
      </c>
      <c r="CZ12">
        <v>1</v>
      </c>
      <c r="DA12">
        <f>'Invoer Gebouwschil'!Q12</f>
        <v>0</v>
      </c>
      <c r="DC12" s="89">
        <f t="shared" si="24"/>
        <v>0</v>
      </c>
      <c r="DD12" s="89">
        <v>0.13</v>
      </c>
      <c r="DE12" s="89">
        <f t="shared" si="25"/>
        <v>0</v>
      </c>
      <c r="DF12" s="89">
        <f>IF(F12=6,1/((1/1/(DD12+DE12+'Invoer Gebouwschil'!M12))+5),1/(DD12+DE12+'Invoer Gebouwschil'!M12))</f>
        <v>7.6923076923076916</v>
      </c>
      <c r="DG12" s="89">
        <v>0.1</v>
      </c>
      <c r="DH12" s="28">
        <f t="shared" si="26"/>
        <v>1</v>
      </c>
      <c r="DI12" s="89">
        <f t="shared" si="27"/>
        <v>0</v>
      </c>
      <c r="DJ12" s="89">
        <v>19</v>
      </c>
      <c r="DK12" s="89"/>
      <c r="DL12" s="89">
        <f>$DI12*($R12-Klimaatdata!$B$7)*2.63</f>
        <v>0</v>
      </c>
      <c r="DM12" s="89">
        <f>$DI12*($R12-Klimaatdata!$B$8)*2.63</f>
        <v>0</v>
      </c>
      <c r="DN12" s="89">
        <f>$DI12*($R12-Klimaatdata!$B$9)*2.63</f>
        <v>0</v>
      </c>
      <c r="DO12" s="89">
        <f>$DI12*($R12-Klimaatdata!$B$10)*2.63</f>
        <v>0</v>
      </c>
      <c r="DP12" s="89">
        <f>$DI12*($R12-Klimaatdata!$B$11)*2.63</f>
        <v>0</v>
      </c>
      <c r="DQ12" s="89">
        <f>$DI12*($R12-Klimaatdata!$B$12)*2.63</f>
        <v>0</v>
      </c>
      <c r="DR12" s="89">
        <f>$DI12*($R12-Klimaatdata!$B$13)*2.63</f>
        <v>0</v>
      </c>
      <c r="DS12" s="89">
        <f>$DI12*($R12-Klimaatdata!$B$14)*2.63</f>
        <v>0</v>
      </c>
      <c r="DT12" s="89">
        <f>$DI12*($R12-Klimaatdata!$B$15)*2.63</f>
        <v>0</v>
      </c>
      <c r="DU12" s="89">
        <f>$DI12*($R12-Klimaatdata!$B$16)*2.63</f>
        <v>0</v>
      </c>
      <c r="DV12" s="89">
        <f>$DI12*($R12-Klimaatdata!$B$17)*2.63</f>
        <v>0</v>
      </c>
      <c r="DW12" s="89">
        <f>$DI12*($R12-Klimaatdata!$B$18)*2.63</f>
        <v>0</v>
      </c>
      <c r="DX12" s="89"/>
      <c r="DY12" s="89">
        <f t="shared" si="28"/>
        <v>0</v>
      </c>
      <c r="DZ12" s="89">
        <v>0.1</v>
      </c>
      <c r="EA12" s="28">
        <v>1</v>
      </c>
      <c r="EB12" s="89">
        <f t="shared" si="29"/>
        <v>0</v>
      </c>
      <c r="EC12" s="89">
        <v>19</v>
      </c>
      <c r="ED12" s="89"/>
      <c r="EE12" s="89">
        <f>$EB12*($R12-Klimaatdata!$B$7)*2.63</f>
        <v>0</v>
      </c>
      <c r="EF12" s="89">
        <f>$EB12*($R12-Klimaatdata!$B$8)*2.63</f>
        <v>0</v>
      </c>
      <c r="EG12" s="89">
        <f>$EB12*($R12-Klimaatdata!$B$9)*2.63</f>
        <v>0</v>
      </c>
      <c r="EH12" s="89">
        <f>$EB12*($R12-Klimaatdata!$B$10)*2.63</f>
        <v>0</v>
      </c>
      <c r="EI12" s="89">
        <f>$EB12*($R12-Klimaatdata!$B$11)*2.63</f>
        <v>0</v>
      </c>
      <c r="EJ12" s="89">
        <f>$EB12*($R12-Klimaatdata!$B$12)*2.63</f>
        <v>0</v>
      </c>
      <c r="EK12" s="89">
        <f>$EB12*($R12-Klimaatdata!$B$13)*2.63</f>
        <v>0</v>
      </c>
      <c r="EL12" s="89">
        <f>$EB12*($R12-Klimaatdata!$B$14)*2.63</f>
        <v>0</v>
      </c>
      <c r="EM12" s="89">
        <f>$EB12*($R12-Klimaatdata!$B$15)*2.63</f>
        <v>0</v>
      </c>
      <c r="EN12" s="89">
        <f>$EB12*($R12-Klimaatdata!$B$16)*2.63</f>
        <v>0</v>
      </c>
      <c r="EO12" s="89">
        <f>$EB12*($R12-Klimaatdata!$B$17)*2.63</f>
        <v>0</v>
      </c>
      <c r="EP12" s="89">
        <f>$EB12*($R12-Klimaatdata!$B$18)*2.63</f>
        <v>0</v>
      </c>
      <c r="EQ12" s="25"/>
      <c r="ER12" s="89">
        <f t="shared" si="30"/>
        <v>0</v>
      </c>
      <c r="ES12" s="89"/>
      <c r="ET12" s="89">
        <f>INDEX(Klimaatdata!$B$27:$K$38,1,$B12)</f>
        <v>0</v>
      </c>
      <c r="EU12" s="89">
        <f>INDEX(Klimaatdata!$B$27:$K$38,2,$B12)</f>
        <v>0</v>
      </c>
      <c r="EV12" s="89">
        <f>INDEX(Klimaatdata!$B$27:$K$38,3,$B12)</f>
        <v>0</v>
      </c>
      <c r="EW12" s="89">
        <f>INDEX(Klimaatdata!$B$27:$K$38,4,$B12)</f>
        <v>0</v>
      </c>
      <c r="EX12" s="89">
        <f>INDEX(Klimaatdata!$B$27:$K$38,5,$B12)</f>
        <v>0</v>
      </c>
      <c r="EY12" s="89">
        <f>INDEX(Klimaatdata!$B$27:$K$38,6,$B12)</f>
        <v>0</v>
      </c>
      <c r="EZ12" s="89">
        <f>INDEX(Klimaatdata!$B$27:$K$38,7,$B12)</f>
        <v>0</v>
      </c>
      <c r="FA12" s="89">
        <f>INDEX(Klimaatdata!$B$27:$K$38,8,$B12)</f>
        <v>0</v>
      </c>
      <c r="FB12" s="89">
        <f>INDEX(Klimaatdata!$B$27:$K$38,9,$B12)</f>
        <v>0</v>
      </c>
      <c r="FC12" s="89">
        <f>INDEX(Klimaatdata!$B$27:$K$38,10,$B12)</f>
        <v>0</v>
      </c>
      <c r="FD12" s="89">
        <f>INDEX(Klimaatdata!$B$27:$K$38,11,$B12)</f>
        <v>0</v>
      </c>
      <c r="FE12" s="89">
        <f>INDEX(Klimaatdata!$B$27:$K$38,12,$B12)</f>
        <v>0</v>
      </c>
      <c r="FG12">
        <f t="shared" si="31"/>
        <v>1</v>
      </c>
      <c r="FH12">
        <f t="shared" si="32"/>
        <v>1</v>
      </c>
      <c r="FI12">
        <f t="shared" si="33"/>
        <v>1</v>
      </c>
      <c r="FJ12">
        <f t="shared" si="34"/>
        <v>1</v>
      </c>
      <c r="FK12">
        <f t="shared" si="35"/>
        <v>1</v>
      </c>
      <c r="FL12">
        <f t="shared" si="36"/>
        <v>1</v>
      </c>
      <c r="FM12">
        <f t="shared" si="37"/>
        <v>1</v>
      </c>
      <c r="FN12">
        <f t="shared" si="38"/>
        <v>1</v>
      </c>
      <c r="FO12">
        <f t="shared" si="39"/>
        <v>1</v>
      </c>
      <c r="FP12">
        <f t="shared" si="40"/>
        <v>1</v>
      </c>
      <c r="FQ12">
        <f t="shared" si="41"/>
        <v>1</v>
      </c>
      <c r="FR12">
        <f t="shared" si="42"/>
        <v>1</v>
      </c>
      <c r="FT12" s="219">
        <f>Klimaatdata!$D$7*ET12*FG12*$ER12*$G12*0.75</f>
        <v>0</v>
      </c>
      <c r="FU12" s="219">
        <f>Klimaatdata!$E$7*EU12*FH12*$ER12*$G12*0.75</f>
        <v>0</v>
      </c>
      <c r="FV12" s="219">
        <f>Klimaatdata!$F$7*EV12*FI12*$ER12*$G12*0.75</f>
        <v>0</v>
      </c>
      <c r="FW12" s="219">
        <f>Klimaatdata!$G$7*EW12*FJ12*$ER12*$G12*0.75</f>
        <v>0</v>
      </c>
      <c r="FX12" s="219">
        <f>Klimaatdata!$H$7*EX12*FK12*$ER12*$G12*0.75</f>
        <v>0</v>
      </c>
      <c r="FY12" s="219">
        <f>Klimaatdata!$I$7*EY12*FL12*$ER12*$G12*0.75</f>
        <v>0</v>
      </c>
      <c r="FZ12" s="219">
        <f>Klimaatdata!$J$7*EZ12*FM12*$ER12*$G12*0.75</f>
        <v>0</v>
      </c>
      <c r="GA12" s="219">
        <f>Klimaatdata!$K$7*FA12*FN12*$ER12*$G12*0.75</f>
        <v>0</v>
      </c>
      <c r="GB12" s="219">
        <f>Klimaatdata!$L$7*FB12*FO12*$ER12*$G12*0.75</f>
        <v>0</v>
      </c>
      <c r="GC12" s="219">
        <f>Klimaatdata!$M$7*FC12*FP12*$ER12*$G12*0.75</f>
        <v>0</v>
      </c>
      <c r="GD12" s="219">
        <f>Klimaatdata!$N$7*FD12*FQ12*$ER12*$G12*0.75</f>
        <v>0</v>
      </c>
      <c r="GE12" s="219">
        <f>Klimaatdata!$O$7*FE12*FR12*$ER12*$G12*0.75</f>
        <v>0</v>
      </c>
      <c r="GG12">
        <f t="shared" si="43"/>
        <v>0</v>
      </c>
      <c r="GH12">
        <f t="shared" si="44"/>
        <v>0</v>
      </c>
      <c r="GI12">
        <f t="shared" si="45"/>
        <v>0</v>
      </c>
      <c r="GJ12">
        <f t="shared" si="46"/>
        <v>0</v>
      </c>
      <c r="GK12">
        <f t="shared" si="47"/>
        <v>0</v>
      </c>
      <c r="GL12">
        <f t="shared" si="48"/>
        <v>0</v>
      </c>
      <c r="GM12">
        <f t="shared" si="49"/>
        <v>0</v>
      </c>
      <c r="GN12">
        <f t="shared" si="50"/>
        <v>0</v>
      </c>
      <c r="GO12">
        <f>'Invoer Gebouwschil'!Q12</f>
        <v>0</v>
      </c>
      <c r="GP12">
        <f t="shared" si="51"/>
        <v>0</v>
      </c>
      <c r="GR12">
        <f t="shared" si="52"/>
        <v>1</v>
      </c>
      <c r="GS12">
        <f t="shared" si="53"/>
        <v>0</v>
      </c>
      <c r="GT12">
        <f t="shared" si="54"/>
        <v>0</v>
      </c>
      <c r="GU12">
        <f t="shared" si="55"/>
        <v>0</v>
      </c>
      <c r="GV12">
        <f t="shared" si="56"/>
        <v>0</v>
      </c>
      <c r="GW12">
        <f t="shared" si="57"/>
        <v>0</v>
      </c>
      <c r="GX12">
        <f t="shared" si="58"/>
        <v>0</v>
      </c>
      <c r="GZ12" s="12">
        <f t="shared" si="59"/>
        <v>0</v>
      </c>
      <c r="HA12" s="13">
        <f t="shared" si="60"/>
        <v>0</v>
      </c>
      <c r="HB12" s="13">
        <f t="shared" si="61"/>
        <v>0</v>
      </c>
      <c r="HC12" s="14">
        <f t="shared" si="62"/>
        <v>0</v>
      </c>
      <c r="HE12" s="12">
        <f t="shared" si="63"/>
        <v>0</v>
      </c>
      <c r="HF12" s="13">
        <f t="shared" si="64"/>
        <v>0</v>
      </c>
      <c r="HG12" s="13">
        <f t="shared" si="65"/>
        <v>0</v>
      </c>
      <c r="HH12" s="14">
        <f t="shared" si="66"/>
        <v>0</v>
      </c>
    </row>
    <row r="13" spans="1:216" x14ac:dyDescent="0.2">
      <c r="A13">
        <v>1</v>
      </c>
      <c r="B13">
        <v>1</v>
      </c>
      <c r="C13">
        <v>1</v>
      </c>
      <c r="D13">
        <f>'Invoer Gebouwschil'!D13</f>
        <v>0</v>
      </c>
      <c r="E13">
        <v>1</v>
      </c>
      <c r="F13">
        <v>1</v>
      </c>
      <c r="G13">
        <f>'Invoer Gebouwschil'!H13</f>
        <v>0</v>
      </c>
      <c r="H13">
        <v>1</v>
      </c>
      <c r="I13">
        <v>1</v>
      </c>
      <c r="K13" s="89">
        <f>INDEX('Verwerking Bouwdelen'!$V$79:$V$103,'Verwerking Bouwdelen'!E13)</f>
        <v>0</v>
      </c>
      <c r="L13" s="89">
        <v>0.13</v>
      </c>
      <c r="M13" s="89">
        <f t="shared" si="14"/>
        <v>0</v>
      </c>
      <c r="N13" s="89">
        <f>IF(F13=6,1/((1/1/(L14+M14+'Invoer Gebouwschil'!F13))+5),1/(L13+M13+'Invoer Gebouwschil'!F13))</f>
        <v>7.6923076923076916</v>
      </c>
      <c r="O13" s="89">
        <v>0.1</v>
      </c>
      <c r="P13" s="28">
        <f t="shared" si="15"/>
        <v>1</v>
      </c>
      <c r="Q13" s="89">
        <f t="shared" si="0"/>
        <v>0</v>
      </c>
      <c r="R13" s="89">
        <v>19</v>
      </c>
      <c r="S13" s="89"/>
      <c r="T13" s="89">
        <f>$Q13*($R13-Klimaatdata!$B$7)*2.63</f>
        <v>0</v>
      </c>
      <c r="U13" s="89">
        <f>$Q13*($R13-Klimaatdata!$B$8)*2.63</f>
        <v>0</v>
      </c>
      <c r="V13" s="89">
        <f>$Q13*($R13-Klimaatdata!$B$9)*2.63</f>
        <v>0</v>
      </c>
      <c r="W13" s="89">
        <f>$Q13*($R13-Klimaatdata!$B$10)*2.63</f>
        <v>0</v>
      </c>
      <c r="X13" s="89">
        <f>$Q13*($R13-Klimaatdata!$B$11)*2.63</f>
        <v>0</v>
      </c>
      <c r="Y13" s="89">
        <f>$Q13*($R13-Klimaatdata!$B$12)*2.63</f>
        <v>0</v>
      </c>
      <c r="Z13" s="89">
        <f>$Q13*($R13-Klimaatdata!$B$13)*2.63</f>
        <v>0</v>
      </c>
      <c r="AA13" s="89">
        <f>$Q13*($R13-Klimaatdata!$B$14)*2.63</f>
        <v>0</v>
      </c>
      <c r="AB13" s="89">
        <f>$Q13*($R13-Klimaatdata!$B$15)*2.63</f>
        <v>0</v>
      </c>
      <c r="AC13" s="89">
        <f>$Q13*($R13-Klimaatdata!$B$16)*2.63</f>
        <v>0</v>
      </c>
      <c r="AD13" s="89">
        <f>$Q13*($R13-Klimaatdata!$B$17)*2.63</f>
        <v>0</v>
      </c>
      <c r="AE13" s="89">
        <f>$Q13*($R13-Klimaatdata!$B$18)*2.63</f>
        <v>0</v>
      </c>
      <c r="AF13" s="89"/>
      <c r="AG13" s="205">
        <f t="shared" si="16"/>
        <v>0</v>
      </c>
      <c r="AH13" s="25">
        <f t="shared" si="17"/>
        <v>0</v>
      </c>
      <c r="AI13" s="25">
        <f t="shared" si="18"/>
        <v>0</v>
      </c>
      <c r="AJ13" s="206">
        <f t="shared" si="19"/>
        <v>0</v>
      </c>
      <c r="AK13" s="25"/>
      <c r="AL13" s="89">
        <f t="shared" si="20"/>
        <v>1</v>
      </c>
      <c r="AM13" s="89">
        <f t="shared" si="21"/>
        <v>0</v>
      </c>
      <c r="AN13" s="89">
        <f t="shared" si="22"/>
        <v>0</v>
      </c>
      <c r="AO13" s="89">
        <f t="shared" si="23"/>
        <v>0</v>
      </c>
      <c r="AP13" s="89">
        <v>0.1</v>
      </c>
      <c r="AQ13" s="28">
        <v>1</v>
      </c>
      <c r="AR13" s="89">
        <f t="shared" si="1"/>
        <v>0</v>
      </c>
      <c r="AS13" s="89">
        <v>19</v>
      </c>
      <c r="AT13" s="89"/>
      <c r="AU13" s="89">
        <f>$AR13*($R13-Klimaatdata!$B$7)*2.63</f>
        <v>0</v>
      </c>
      <c r="AV13" s="89">
        <f>$AR13*($R13-Klimaatdata!$B$8)*2.63</f>
        <v>0</v>
      </c>
      <c r="AW13" s="89">
        <f>$AR13*($R13-Klimaatdata!$B$9)*2.63</f>
        <v>0</v>
      </c>
      <c r="AX13" s="89">
        <f>$AR13*($R13-Klimaatdata!$B$10)*2.63</f>
        <v>0</v>
      </c>
      <c r="AY13" s="89">
        <f>$AR13*($R13-Klimaatdata!$B$11)*2.63</f>
        <v>0</v>
      </c>
      <c r="AZ13" s="89">
        <f>$AR13*($R13-Klimaatdata!$B$12)*2.63</f>
        <v>0</v>
      </c>
      <c r="BA13" s="89">
        <f>$AR13*($R13-Klimaatdata!$B$13)*2.63</f>
        <v>0</v>
      </c>
      <c r="BB13" s="89">
        <f>$AR13*($R13-Klimaatdata!$B$14)*2.63</f>
        <v>0</v>
      </c>
      <c r="BC13" s="89">
        <f>$AR13*($R13-Klimaatdata!$B$15)*2.63</f>
        <v>0</v>
      </c>
      <c r="BD13" s="89">
        <f>$AR13*($R13-Klimaatdata!$B$16)*2.63</f>
        <v>0</v>
      </c>
      <c r="BE13" s="89">
        <f>$AR13*($R13-Klimaatdata!$B$17)*2.63</f>
        <v>0</v>
      </c>
      <c r="BF13" s="89">
        <f>$AR13*($R13-Klimaatdata!$B$18)*2.63</f>
        <v>0</v>
      </c>
      <c r="BG13" s="25"/>
      <c r="BH13" s="89">
        <f>INDEX('Verwerking Bouwdelen'!$Y$106:$Y$130,H13)</f>
        <v>0</v>
      </c>
      <c r="BI13" s="89"/>
      <c r="BJ13" s="89">
        <f>INDEX(Klimaatdata!$B$27:$K$38,1,$B13)</f>
        <v>0</v>
      </c>
      <c r="BK13" s="89">
        <f>INDEX(Klimaatdata!$B$27:$K$38,2,$B13)</f>
        <v>0</v>
      </c>
      <c r="BL13" s="89">
        <f>INDEX(Klimaatdata!$B$27:$K$38,3,$B13)</f>
        <v>0</v>
      </c>
      <c r="BM13" s="89">
        <f>INDEX(Klimaatdata!$B$27:$K$38,4,$B13)</f>
        <v>0</v>
      </c>
      <c r="BN13" s="89">
        <f>INDEX(Klimaatdata!$B$27:$K$38,5,$B13)</f>
        <v>0</v>
      </c>
      <c r="BO13" s="89">
        <f>INDEX(Klimaatdata!$B$27:$K$38,6,$B13)</f>
        <v>0</v>
      </c>
      <c r="BP13" s="89">
        <f>INDEX(Klimaatdata!$B$27:$K$38,7,$B13)</f>
        <v>0</v>
      </c>
      <c r="BQ13" s="89">
        <f>INDEX(Klimaatdata!$B$27:$K$38,8,$B13)</f>
        <v>0</v>
      </c>
      <c r="BR13" s="89">
        <f>INDEX(Klimaatdata!$B$27:$K$38,9,$B13)</f>
        <v>0</v>
      </c>
      <c r="BS13" s="89">
        <f>INDEX(Klimaatdata!$B$27:$K$38,10,$B13)</f>
        <v>0</v>
      </c>
      <c r="BT13" s="89">
        <f>INDEX(Klimaatdata!$B$27:$K$38,11,$B13)</f>
        <v>0</v>
      </c>
      <c r="BU13" s="89">
        <f>INDEX(Klimaatdata!$B$27:$K$38,12,$B13)</f>
        <v>0</v>
      </c>
      <c r="BW13">
        <f t="shared" si="2"/>
        <v>1</v>
      </c>
      <c r="BX13">
        <f t="shared" si="3"/>
        <v>1</v>
      </c>
      <c r="BY13">
        <f t="shared" si="4"/>
        <v>1</v>
      </c>
      <c r="BZ13">
        <f t="shared" si="5"/>
        <v>1</v>
      </c>
      <c r="CA13">
        <f t="shared" si="6"/>
        <v>1</v>
      </c>
      <c r="CB13">
        <f t="shared" si="7"/>
        <v>1</v>
      </c>
      <c r="CC13">
        <f t="shared" si="8"/>
        <v>1</v>
      </c>
      <c r="CD13">
        <f t="shared" si="9"/>
        <v>1</v>
      </c>
      <c r="CE13">
        <f t="shared" si="10"/>
        <v>1</v>
      </c>
      <c r="CF13">
        <f t="shared" si="11"/>
        <v>1</v>
      </c>
      <c r="CG13">
        <f t="shared" si="12"/>
        <v>1</v>
      </c>
      <c r="CH13">
        <f t="shared" si="13"/>
        <v>1</v>
      </c>
      <c r="CJ13" s="219">
        <f>Klimaatdata!$D$7*BJ13*BW13*$BH13*$G13*0.75</f>
        <v>0</v>
      </c>
      <c r="CK13" s="219">
        <f>Klimaatdata!$E$7*BK13*BX13*$BH13*$G13*0.75</f>
        <v>0</v>
      </c>
      <c r="CL13" s="219">
        <f>Klimaatdata!$F$7*BL13*BY13*$BH13*$G13*0.75</f>
        <v>0</v>
      </c>
      <c r="CM13" s="219">
        <f>Klimaatdata!$G$7*BM13*BZ13*$BH13*$G13*0.75</f>
        <v>0</v>
      </c>
      <c r="CN13" s="219">
        <f>Klimaatdata!$H$7*BN13*CA13*$BH13*$G13*0.75</f>
        <v>0</v>
      </c>
      <c r="CO13" s="219">
        <f>Klimaatdata!$I$7*BO13*CB13*$BH13*$G13*0.75</f>
        <v>0</v>
      </c>
      <c r="CP13" s="219">
        <f>Klimaatdata!$J$7*BP13*CC13*$BH13*$G13*0.75</f>
        <v>0</v>
      </c>
      <c r="CQ13" s="219">
        <f>Klimaatdata!$K$7*BQ13*CD13*$BH13*$G13*0.75</f>
        <v>0</v>
      </c>
      <c r="CR13" s="219">
        <f>Klimaatdata!$L$7*BR13*CE13*$BH13*$G13*0.75</f>
        <v>0</v>
      </c>
      <c r="CS13" s="219">
        <f>Klimaatdata!$M$7*BS13*CF13*$BH13*$G13*0.75</f>
        <v>0</v>
      </c>
      <c r="CT13" s="219">
        <f>Klimaatdata!$N$7*BT13*CG13*$BH13*$G13*0.75</f>
        <v>0</v>
      </c>
      <c r="CU13" s="219">
        <f>Klimaatdata!$O$7*BU13*CH13*$BH13*$G13*0.75</f>
        <v>0</v>
      </c>
      <c r="CX13">
        <v>1</v>
      </c>
      <c r="CY13">
        <v>1</v>
      </c>
      <c r="CZ13">
        <v>1</v>
      </c>
      <c r="DA13">
        <f>'Invoer Gebouwschil'!Q13</f>
        <v>0</v>
      </c>
      <c r="DC13" s="89">
        <f t="shared" si="24"/>
        <v>0</v>
      </c>
      <c r="DD13" s="89">
        <v>0.13</v>
      </c>
      <c r="DE13" s="89">
        <f t="shared" si="25"/>
        <v>0</v>
      </c>
      <c r="DF13" s="89">
        <f>IF(F13=6,1/((1/1/(DD13+DE13+'Invoer Gebouwschil'!M13))+5),1/(DD13+DE13+'Invoer Gebouwschil'!M13))</f>
        <v>7.6923076923076916</v>
      </c>
      <c r="DG13" s="89">
        <v>0.1</v>
      </c>
      <c r="DH13" s="28">
        <f t="shared" si="26"/>
        <v>1</v>
      </c>
      <c r="DI13" s="89">
        <f t="shared" si="27"/>
        <v>0</v>
      </c>
      <c r="DJ13" s="89">
        <v>19</v>
      </c>
      <c r="DK13" s="89"/>
      <c r="DL13" s="89">
        <f>$DI13*($R13-Klimaatdata!$B$7)*2.63</f>
        <v>0</v>
      </c>
      <c r="DM13" s="89">
        <f>$DI13*($R13-Klimaatdata!$B$8)*2.63</f>
        <v>0</v>
      </c>
      <c r="DN13" s="89">
        <f>$DI13*($R13-Klimaatdata!$B$9)*2.63</f>
        <v>0</v>
      </c>
      <c r="DO13" s="89">
        <f>$DI13*($R13-Klimaatdata!$B$10)*2.63</f>
        <v>0</v>
      </c>
      <c r="DP13" s="89">
        <f>$DI13*($R13-Klimaatdata!$B$11)*2.63</f>
        <v>0</v>
      </c>
      <c r="DQ13" s="89">
        <f>$DI13*($R13-Klimaatdata!$B$12)*2.63</f>
        <v>0</v>
      </c>
      <c r="DR13" s="89">
        <f>$DI13*($R13-Klimaatdata!$B$13)*2.63</f>
        <v>0</v>
      </c>
      <c r="DS13" s="89">
        <f>$DI13*($R13-Klimaatdata!$B$14)*2.63</f>
        <v>0</v>
      </c>
      <c r="DT13" s="89">
        <f>$DI13*($R13-Klimaatdata!$B$15)*2.63</f>
        <v>0</v>
      </c>
      <c r="DU13" s="89">
        <f>$DI13*($R13-Klimaatdata!$B$16)*2.63</f>
        <v>0</v>
      </c>
      <c r="DV13" s="89">
        <f>$DI13*($R13-Klimaatdata!$B$17)*2.63</f>
        <v>0</v>
      </c>
      <c r="DW13" s="89">
        <f>$DI13*($R13-Klimaatdata!$B$18)*2.63</f>
        <v>0</v>
      </c>
      <c r="DX13" s="89"/>
      <c r="DY13" s="89">
        <f t="shared" si="28"/>
        <v>0</v>
      </c>
      <c r="DZ13" s="89">
        <v>0.1</v>
      </c>
      <c r="EA13" s="28">
        <v>1</v>
      </c>
      <c r="EB13" s="89">
        <f t="shared" si="29"/>
        <v>0</v>
      </c>
      <c r="EC13" s="89">
        <v>19</v>
      </c>
      <c r="ED13" s="89"/>
      <c r="EE13" s="89">
        <f>$EB13*($R13-Klimaatdata!$B$7)*2.63</f>
        <v>0</v>
      </c>
      <c r="EF13" s="89">
        <f>$EB13*($R13-Klimaatdata!$B$8)*2.63</f>
        <v>0</v>
      </c>
      <c r="EG13" s="89">
        <f>$EB13*($R13-Klimaatdata!$B$9)*2.63</f>
        <v>0</v>
      </c>
      <c r="EH13" s="89">
        <f>$EB13*($R13-Klimaatdata!$B$10)*2.63</f>
        <v>0</v>
      </c>
      <c r="EI13" s="89">
        <f>$EB13*($R13-Klimaatdata!$B$11)*2.63</f>
        <v>0</v>
      </c>
      <c r="EJ13" s="89">
        <f>$EB13*($R13-Klimaatdata!$B$12)*2.63</f>
        <v>0</v>
      </c>
      <c r="EK13" s="89">
        <f>$EB13*($R13-Klimaatdata!$B$13)*2.63</f>
        <v>0</v>
      </c>
      <c r="EL13" s="89">
        <f>$EB13*($R13-Klimaatdata!$B$14)*2.63</f>
        <v>0</v>
      </c>
      <c r="EM13" s="89">
        <f>$EB13*($R13-Klimaatdata!$B$15)*2.63</f>
        <v>0</v>
      </c>
      <c r="EN13" s="89">
        <f>$EB13*($R13-Klimaatdata!$B$16)*2.63</f>
        <v>0</v>
      </c>
      <c r="EO13" s="89">
        <f>$EB13*($R13-Klimaatdata!$B$17)*2.63</f>
        <v>0</v>
      </c>
      <c r="EP13" s="89">
        <f>$EB13*($R13-Klimaatdata!$B$18)*2.63</f>
        <v>0</v>
      </c>
      <c r="EQ13" s="25"/>
      <c r="ER13" s="89">
        <f t="shared" si="30"/>
        <v>0</v>
      </c>
      <c r="ES13" s="89"/>
      <c r="ET13" s="89">
        <f>INDEX(Klimaatdata!$B$27:$K$38,1,$B13)</f>
        <v>0</v>
      </c>
      <c r="EU13" s="89">
        <f>INDEX(Klimaatdata!$B$27:$K$38,2,$B13)</f>
        <v>0</v>
      </c>
      <c r="EV13" s="89">
        <f>INDEX(Klimaatdata!$B$27:$K$38,3,$B13)</f>
        <v>0</v>
      </c>
      <c r="EW13" s="89">
        <f>INDEX(Klimaatdata!$B$27:$K$38,4,$B13)</f>
        <v>0</v>
      </c>
      <c r="EX13" s="89">
        <f>INDEX(Klimaatdata!$B$27:$K$38,5,$B13)</f>
        <v>0</v>
      </c>
      <c r="EY13" s="89">
        <f>INDEX(Klimaatdata!$B$27:$K$38,6,$B13)</f>
        <v>0</v>
      </c>
      <c r="EZ13" s="89">
        <f>INDEX(Klimaatdata!$B$27:$K$38,7,$B13)</f>
        <v>0</v>
      </c>
      <c r="FA13" s="89">
        <f>INDEX(Klimaatdata!$B$27:$K$38,8,$B13)</f>
        <v>0</v>
      </c>
      <c r="FB13" s="89">
        <f>INDEX(Klimaatdata!$B$27:$K$38,9,$B13)</f>
        <v>0</v>
      </c>
      <c r="FC13" s="89">
        <f>INDEX(Klimaatdata!$B$27:$K$38,10,$B13)</f>
        <v>0</v>
      </c>
      <c r="FD13" s="89">
        <f>INDEX(Klimaatdata!$B$27:$K$38,11,$B13)</f>
        <v>0</v>
      </c>
      <c r="FE13" s="89">
        <f>INDEX(Klimaatdata!$B$27:$K$38,12,$B13)</f>
        <v>0</v>
      </c>
      <c r="FG13">
        <f t="shared" si="31"/>
        <v>1</v>
      </c>
      <c r="FH13">
        <f t="shared" si="32"/>
        <v>1</v>
      </c>
      <c r="FI13">
        <f t="shared" si="33"/>
        <v>1</v>
      </c>
      <c r="FJ13">
        <f t="shared" si="34"/>
        <v>1</v>
      </c>
      <c r="FK13">
        <f t="shared" si="35"/>
        <v>1</v>
      </c>
      <c r="FL13">
        <f t="shared" si="36"/>
        <v>1</v>
      </c>
      <c r="FM13">
        <f t="shared" si="37"/>
        <v>1</v>
      </c>
      <c r="FN13">
        <f t="shared" si="38"/>
        <v>1</v>
      </c>
      <c r="FO13">
        <f t="shared" si="39"/>
        <v>1</v>
      </c>
      <c r="FP13">
        <f t="shared" si="40"/>
        <v>1</v>
      </c>
      <c r="FQ13">
        <f t="shared" si="41"/>
        <v>1</v>
      </c>
      <c r="FR13">
        <f t="shared" si="42"/>
        <v>1</v>
      </c>
      <c r="FT13" s="219">
        <f>Klimaatdata!$D$7*ET13*FG13*$ER13*$G13*0.75</f>
        <v>0</v>
      </c>
      <c r="FU13" s="219">
        <f>Klimaatdata!$E$7*EU13*FH13*$ER13*$G13*0.75</f>
        <v>0</v>
      </c>
      <c r="FV13" s="219">
        <f>Klimaatdata!$F$7*EV13*FI13*$ER13*$G13*0.75</f>
        <v>0</v>
      </c>
      <c r="FW13" s="219">
        <f>Klimaatdata!$G$7*EW13*FJ13*$ER13*$G13*0.75</f>
        <v>0</v>
      </c>
      <c r="FX13" s="219">
        <f>Klimaatdata!$H$7*EX13*FK13*$ER13*$G13*0.75</f>
        <v>0</v>
      </c>
      <c r="FY13" s="219">
        <f>Klimaatdata!$I$7*EY13*FL13*$ER13*$G13*0.75</f>
        <v>0</v>
      </c>
      <c r="FZ13" s="219">
        <f>Klimaatdata!$J$7*EZ13*FM13*$ER13*$G13*0.75</f>
        <v>0</v>
      </c>
      <c r="GA13" s="219">
        <f>Klimaatdata!$K$7*FA13*FN13*$ER13*$G13*0.75</f>
        <v>0</v>
      </c>
      <c r="GB13" s="219">
        <f>Klimaatdata!$L$7*FB13*FO13*$ER13*$G13*0.75</f>
        <v>0</v>
      </c>
      <c r="GC13" s="219">
        <f>Klimaatdata!$M$7*FC13*FP13*$ER13*$G13*0.75</f>
        <v>0</v>
      </c>
      <c r="GD13" s="219">
        <f>Klimaatdata!$N$7*FD13*FQ13*$ER13*$G13*0.75</f>
        <v>0</v>
      </c>
      <c r="GE13" s="219">
        <f>Klimaatdata!$O$7*FE13*FR13*$ER13*$G13*0.75</f>
        <v>0</v>
      </c>
      <c r="GG13">
        <f t="shared" si="43"/>
        <v>0</v>
      </c>
      <c r="GH13">
        <f t="shared" si="44"/>
        <v>0</v>
      </c>
      <c r="GI13">
        <f t="shared" si="45"/>
        <v>0</v>
      </c>
      <c r="GJ13">
        <f t="shared" si="46"/>
        <v>0</v>
      </c>
      <c r="GK13">
        <f t="shared" si="47"/>
        <v>0</v>
      </c>
      <c r="GL13">
        <f t="shared" si="48"/>
        <v>0</v>
      </c>
      <c r="GM13">
        <f t="shared" si="49"/>
        <v>0</v>
      </c>
      <c r="GN13">
        <f t="shared" si="50"/>
        <v>0</v>
      </c>
      <c r="GO13">
        <f>'Invoer Gebouwschil'!Q13</f>
        <v>0</v>
      </c>
      <c r="GP13">
        <f t="shared" si="51"/>
        <v>0</v>
      </c>
      <c r="GR13">
        <f t="shared" si="52"/>
        <v>1</v>
      </c>
      <c r="GS13">
        <f t="shared" si="53"/>
        <v>0</v>
      </c>
      <c r="GT13">
        <f t="shared" si="54"/>
        <v>0</v>
      </c>
      <c r="GU13">
        <f t="shared" si="55"/>
        <v>0</v>
      </c>
      <c r="GV13">
        <f t="shared" si="56"/>
        <v>0</v>
      </c>
      <c r="GW13">
        <f t="shared" si="57"/>
        <v>0</v>
      </c>
      <c r="GX13">
        <f t="shared" si="58"/>
        <v>0</v>
      </c>
      <c r="GZ13" s="12">
        <f t="shared" si="59"/>
        <v>0</v>
      </c>
      <c r="HA13" s="13">
        <f t="shared" si="60"/>
        <v>0</v>
      </c>
      <c r="HB13" s="13">
        <f t="shared" si="61"/>
        <v>0</v>
      </c>
      <c r="HC13" s="14">
        <f t="shared" si="62"/>
        <v>0</v>
      </c>
      <c r="HE13" s="12">
        <f t="shared" si="63"/>
        <v>0</v>
      </c>
      <c r="HF13" s="13">
        <f t="shared" si="64"/>
        <v>0</v>
      </c>
      <c r="HG13" s="13">
        <f t="shared" si="65"/>
        <v>0</v>
      </c>
      <c r="HH13" s="14">
        <f t="shared" si="66"/>
        <v>0</v>
      </c>
    </row>
    <row r="14" spans="1:216" x14ac:dyDescent="0.2">
      <c r="A14">
        <v>1</v>
      </c>
      <c r="B14">
        <v>1</v>
      </c>
      <c r="C14">
        <v>1</v>
      </c>
      <c r="D14">
        <f>'Invoer Gebouwschil'!D14</f>
        <v>0</v>
      </c>
      <c r="E14">
        <v>1</v>
      </c>
      <c r="F14">
        <v>1</v>
      </c>
      <c r="G14">
        <f>'Invoer Gebouwschil'!H14</f>
        <v>0</v>
      </c>
      <c r="H14">
        <v>1</v>
      </c>
      <c r="I14">
        <v>1</v>
      </c>
      <c r="K14" s="89">
        <f>INDEX('Verwerking Bouwdelen'!$X$79:$X$103,'Verwerking Bouwdelen'!E14)</f>
        <v>0</v>
      </c>
      <c r="L14" s="89">
        <v>0.13</v>
      </c>
      <c r="M14" s="89">
        <f t="shared" si="14"/>
        <v>0</v>
      </c>
      <c r="N14" s="89">
        <f>IF(F14=6,1/((1/1/(L15+M15+'Invoer Gebouwschil'!F14))+5),1/(L14+M14+'Invoer Gebouwschil'!F14))</f>
        <v>7.6923076923076916</v>
      </c>
      <c r="O14" s="89">
        <v>0.1</v>
      </c>
      <c r="P14" s="28">
        <f t="shared" si="15"/>
        <v>1</v>
      </c>
      <c r="Q14" s="89">
        <f t="shared" si="0"/>
        <v>0</v>
      </c>
      <c r="R14" s="89">
        <v>19</v>
      </c>
      <c r="S14" s="89"/>
      <c r="T14" s="89">
        <f>$Q14*($R14-Klimaatdata!$B$7)*2.63</f>
        <v>0</v>
      </c>
      <c r="U14" s="89">
        <f>$Q14*($R14-Klimaatdata!$B$8)*2.63</f>
        <v>0</v>
      </c>
      <c r="V14" s="89">
        <f>$Q14*($R14-Klimaatdata!$B$9)*2.63</f>
        <v>0</v>
      </c>
      <c r="W14" s="89">
        <f>$Q14*($R14-Klimaatdata!$B$10)*2.63</f>
        <v>0</v>
      </c>
      <c r="X14" s="89">
        <f>$Q14*($R14-Klimaatdata!$B$11)*2.63</f>
        <v>0</v>
      </c>
      <c r="Y14" s="89">
        <f>$Q14*($R14-Klimaatdata!$B$12)*2.63</f>
        <v>0</v>
      </c>
      <c r="Z14" s="89">
        <f>$Q14*($R14-Klimaatdata!$B$13)*2.63</f>
        <v>0</v>
      </c>
      <c r="AA14" s="89">
        <f>$Q14*($R14-Klimaatdata!$B$14)*2.63</f>
        <v>0</v>
      </c>
      <c r="AB14" s="89">
        <f>$Q14*($R14-Klimaatdata!$B$15)*2.63</f>
        <v>0</v>
      </c>
      <c r="AC14" s="89">
        <f>$Q14*($R14-Klimaatdata!$B$16)*2.63</f>
        <v>0</v>
      </c>
      <c r="AD14" s="89">
        <f>$Q14*($R14-Klimaatdata!$B$17)*2.63</f>
        <v>0</v>
      </c>
      <c r="AE14" s="89">
        <f>$Q14*($R14-Klimaatdata!$B$18)*2.63</f>
        <v>0</v>
      </c>
      <c r="AF14" s="89"/>
      <c r="AG14" s="205">
        <f t="shared" si="16"/>
        <v>0</v>
      </c>
      <c r="AH14" s="25">
        <f t="shared" si="17"/>
        <v>0</v>
      </c>
      <c r="AI14" s="25">
        <f t="shared" si="18"/>
        <v>0</v>
      </c>
      <c r="AJ14" s="206">
        <f t="shared" si="19"/>
        <v>0</v>
      </c>
      <c r="AK14" s="25"/>
      <c r="AL14" s="89">
        <f t="shared" si="20"/>
        <v>1</v>
      </c>
      <c r="AM14" s="89">
        <f t="shared" si="21"/>
        <v>0</v>
      </c>
      <c r="AN14" s="89">
        <f t="shared" si="22"/>
        <v>0</v>
      </c>
      <c r="AO14" s="89">
        <f t="shared" si="23"/>
        <v>0</v>
      </c>
      <c r="AP14" s="89">
        <v>0.1</v>
      </c>
      <c r="AQ14" s="28">
        <v>1</v>
      </c>
      <c r="AR14" s="89">
        <f t="shared" si="1"/>
        <v>0</v>
      </c>
      <c r="AS14" s="89">
        <v>19</v>
      </c>
      <c r="AT14" s="89"/>
      <c r="AU14" s="89">
        <f>$AR14*($R14-Klimaatdata!$B$7)*2.63</f>
        <v>0</v>
      </c>
      <c r="AV14" s="89">
        <f>$AR14*($R14-Klimaatdata!$B$8)*2.63</f>
        <v>0</v>
      </c>
      <c r="AW14" s="89">
        <f>$AR14*($R14-Klimaatdata!$B$9)*2.63</f>
        <v>0</v>
      </c>
      <c r="AX14" s="89">
        <f>$AR14*($R14-Klimaatdata!$B$10)*2.63</f>
        <v>0</v>
      </c>
      <c r="AY14" s="89">
        <f>$AR14*($R14-Klimaatdata!$B$11)*2.63</f>
        <v>0</v>
      </c>
      <c r="AZ14" s="89">
        <f>$AR14*($R14-Klimaatdata!$B$12)*2.63</f>
        <v>0</v>
      </c>
      <c r="BA14" s="89">
        <f>$AR14*($R14-Klimaatdata!$B$13)*2.63</f>
        <v>0</v>
      </c>
      <c r="BB14" s="89">
        <f>$AR14*($R14-Klimaatdata!$B$14)*2.63</f>
        <v>0</v>
      </c>
      <c r="BC14" s="89">
        <f>$AR14*($R14-Klimaatdata!$B$15)*2.63</f>
        <v>0</v>
      </c>
      <c r="BD14" s="89">
        <f>$AR14*($R14-Klimaatdata!$B$16)*2.63</f>
        <v>0</v>
      </c>
      <c r="BE14" s="89">
        <f>$AR14*($R14-Klimaatdata!$B$17)*2.63</f>
        <v>0</v>
      </c>
      <c r="BF14" s="89">
        <f>$AR14*($R14-Klimaatdata!$B$18)*2.63</f>
        <v>0</v>
      </c>
      <c r="BG14" s="25"/>
      <c r="BH14" s="89">
        <f>INDEX('Verwerking Bouwdelen'!$Y$106:$Y$130,H14)</f>
        <v>0</v>
      </c>
      <c r="BI14" s="89"/>
      <c r="BJ14" s="89">
        <f>INDEX(Klimaatdata!$B$27:$K$38,1,$B14)</f>
        <v>0</v>
      </c>
      <c r="BK14" s="89">
        <f>INDEX(Klimaatdata!$B$27:$K$38,2,$B14)</f>
        <v>0</v>
      </c>
      <c r="BL14" s="89">
        <f>INDEX(Klimaatdata!$B$27:$K$38,3,$B14)</f>
        <v>0</v>
      </c>
      <c r="BM14" s="89">
        <f>INDEX(Klimaatdata!$B$27:$K$38,4,$B14)</f>
        <v>0</v>
      </c>
      <c r="BN14" s="89">
        <f>INDEX(Klimaatdata!$B$27:$K$38,5,$B14)</f>
        <v>0</v>
      </c>
      <c r="BO14" s="89">
        <f>INDEX(Klimaatdata!$B$27:$K$38,6,$B14)</f>
        <v>0</v>
      </c>
      <c r="BP14" s="89">
        <f>INDEX(Klimaatdata!$B$27:$K$38,7,$B14)</f>
        <v>0</v>
      </c>
      <c r="BQ14" s="89">
        <f>INDEX(Klimaatdata!$B$27:$K$38,8,$B14)</f>
        <v>0</v>
      </c>
      <c r="BR14" s="89">
        <f>INDEX(Klimaatdata!$B$27:$K$38,9,$B14)</f>
        <v>0</v>
      </c>
      <c r="BS14" s="89">
        <f>INDEX(Klimaatdata!$B$27:$K$38,10,$B14)</f>
        <v>0</v>
      </c>
      <c r="BT14" s="89">
        <f>INDEX(Klimaatdata!$B$27:$K$38,11,$B14)</f>
        <v>0</v>
      </c>
      <c r="BU14" s="89">
        <f>INDEX(Klimaatdata!$B$27:$K$38,12,$B14)</f>
        <v>0</v>
      </c>
      <c r="BW14">
        <f t="shared" si="2"/>
        <v>1</v>
      </c>
      <c r="BX14">
        <f t="shared" si="3"/>
        <v>1</v>
      </c>
      <c r="BY14">
        <f t="shared" si="4"/>
        <v>1</v>
      </c>
      <c r="BZ14">
        <f t="shared" si="5"/>
        <v>1</v>
      </c>
      <c r="CA14">
        <f t="shared" si="6"/>
        <v>1</v>
      </c>
      <c r="CB14">
        <f t="shared" si="7"/>
        <v>1</v>
      </c>
      <c r="CC14">
        <f t="shared" si="8"/>
        <v>1</v>
      </c>
      <c r="CD14">
        <f t="shared" si="9"/>
        <v>1</v>
      </c>
      <c r="CE14">
        <f t="shared" si="10"/>
        <v>1</v>
      </c>
      <c r="CF14">
        <f t="shared" si="11"/>
        <v>1</v>
      </c>
      <c r="CG14">
        <f t="shared" si="12"/>
        <v>1</v>
      </c>
      <c r="CH14">
        <f t="shared" si="13"/>
        <v>1</v>
      </c>
      <c r="CJ14" s="219">
        <f>Klimaatdata!$D$7*BJ14*BW14*$BH14*$G14*0.75</f>
        <v>0</v>
      </c>
      <c r="CK14" s="219">
        <f>Klimaatdata!$E$7*BK14*BX14*$BH14*$G14*0.75</f>
        <v>0</v>
      </c>
      <c r="CL14" s="219">
        <f>Klimaatdata!$F$7*BL14*BY14*$BH14*$G14*0.75</f>
        <v>0</v>
      </c>
      <c r="CM14" s="219">
        <f>Klimaatdata!$G$7*BM14*BZ14*$BH14*$G14*0.75</f>
        <v>0</v>
      </c>
      <c r="CN14" s="219">
        <f>Klimaatdata!$H$7*BN14*CA14*$BH14*$G14*0.75</f>
        <v>0</v>
      </c>
      <c r="CO14" s="219">
        <f>Klimaatdata!$I$7*BO14*CB14*$BH14*$G14*0.75</f>
        <v>0</v>
      </c>
      <c r="CP14" s="219">
        <f>Klimaatdata!$J$7*BP14*CC14*$BH14*$G14*0.75</f>
        <v>0</v>
      </c>
      <c r="CQ14" s="219">
        <f>Klimaatdata!$K$7*BQ14*CD14*$BH14*$G14*0.75</f>
        <v>0</v>
      </c>
      <c r="CR14" s="219">
        <f>Klimaatdata!$L$7*BR14*CE14*$BH14*$G14*0.75</f>
        <v>0</v>
      </c>
      <c r="CS14" s="219">
        <f>Klimaatdata!$M$7*BS14*CF14*$BH14*$G14*0.75</f>
        <v>0</v>
      </c>
      <c r="CT14" s="219">
        <f>Klimaatdata!$N$7*BT14*CG14*$BH14*$G14*0.75</f>
        <v>0</v>
      </c>
      <c r="CU14" s="219">
        <f>Klimaatdata!$O$7*BU14*CH14*$BH14*$G14*0.75</f>
        <v>0</v>
      </c>
      <c r="CX14">
        <v>1</v>
      </c>
      <c r="CY14">
        <v>1</v>
      </c>
      <c r="CZ14">
        <v>1</v>
      </c>
      <c r="DA14">
        <f>'Invoer Gebouwschil'!Q14</f>
        <v>0</v>
      </c>
      <c r="DC14" s="89">
        <f t="shared" si="24"/>
        <v>0</v>
      </c>
      <c r="DD14" s="89">
        <v>0.13</v>
      </c>
      <c r="DE14" s="89">
        <f t="shared" si="25"/>
        <v>0</v>
      </c>
      <c r="DF14" s="89">
        <f>IF(F14=6,1/((1/1/(DD14+DE14+'Invoer Gebouwschil'!M14))+5),1/(DD14+DE14+'Invoer Gebouwschil'!M14))</f>
        <v>7.6923076923076916</v>
      </c>
      <c r="DG14" s="89">
        <v>0.1</v>
      </c>
      <c r="DH14" s="28">
        <f t="shared" si="26"/>
        <v>1</v>
      </c>
      <c r="DI14" s="89">
        <f t="shared" si="27"/>
        <v>0</v>
      </c>
      <c r="DJ14" s="89">
        <v>19</v>
      </c>
      <c r="DK14" s="89"/>
      <c r="DL14" s="89">
        <f>$DI14*($R14-Klimaatdata!$B$7)*2.63</f>
        <v>0</v>
      </c>
      <c r="DM14" s="89">
        <f>$DI14*($R14-Klimaatdata!$B$8)*2.63</f>
        <v>0</v>
      </c>
      <c r="DN14" s="89">
        <f>$DI14*($R14-Klimaatdata!$B$9)*2.63</f>
        <v>0</v>
      </c>
      <c r="DO14" s="89">
        <f>$DI14*($R14-Klimaatdata!$B$10)*2.63</f>
        <v>0</v>
      </c>
      <c r="DP14" s="89">
        <f>$DI14*($R14-Klimaatdata!$B$11)*2.63</f>
        <v>0</v>
      </c>
      <c r="DQ14" s="89">
        <f>$DI14*($R14-Klimaatdata!$B$12)*2.63</f>
        <v>0</v>
      </c>
      <c r="DR14" s="89">
        <f>$DI14*($R14-Klimaatdata!$B$13)*2.63</f>
        <v>0</v>
      </c>
      <c r="DS14" s="89">
        <f>$DI14*($R14-Klimaatdata!$B$14)*2.63</f>
        <v>0</v>
      </c>
      <c r="DT14" s="89">
        <f>$DI14*($R14-Klimaatdata!$B$15)*2.63</f>
        <v>0</v>
      </c>
      <c r="DU14" s="89">
        <f>$DI14*($R14-Klimaatdata!$B$16)*2.63</f>
        <v>0</v>
      </c>
      <c r="DV14" s="89">
        <f>$DI14*($R14-Klimaatdata!$B$17)*2.63</f>
        <v>0</v>
      </c>
      <c r="DW14" s="89">
        <f>$DI14*($R14-Klimaatdata!$B$18)*2.63</f>
        <v>0</v>
      </c>
      <c r="DX14" s="89"/>
      <c r="DY14" s="89">
        <f t="shared" si="28"/>
        <v>0</v>
      </c>
      <c r="DZ14" s="89">
        <v>0.1</v>
      </c>
      <c r="EA14" s="28">
        <v>1</v>
      </c>
      <c r="EB14" s="89">
        <f t="shared" si="29"/>
        <v>0</v>
      </c>
      <c r="EC14" s="89">
        <v>19</v>
      </c>
      <c r="ED14" s="89"/>
      <c r="EE14" s="89">
        <f>$EB14*($R14-Klimaatdata!$B$7)*2.63</f>
        <v>0</v>
      </c>
      <c r="EF14" s="89">
        <f>$EB14*($R14-Klimaatdata!$B$8)*2.63</f>
        <v>0</v>
      </c>
      <c r="EG14" s="89">
        <f>$EB14*($R14-Klimaatdata!$B$9)*2.63</f>
        <v>0</v>
      </c>
      <c r="EH14" s="89">
        <f>$EB14*($R14-Klimaatdata!$B$10)*2.63</f>
        <v>0</v>
      </c>
      <c r="EI14" s="89">
        <f>$EB14*($R14-Klimaatdata!$B$11)*2.63</f>
        <v>0</v>
      </c>
      <c r="EJ14" s="89">
        <f>$EB14*($R14-Klimaatdata!$B$12)*2.63</f>
        <v>0</v>
      </c>
      <c r="EK14" s="89">
        <f>$EB14*($R14-Klimaatdata!$B$13)*2.63</f>
        <v>0</v>
      </c>
      <c r="EL14" s="89">
        <f>$EB14*($R14-Klimaatdata!$B$14)*2.63</f>
        <v>0</v>
      </c>
      <c r="EM14" s="89">
        <f>$EB14*($R14-Klimaatdata!$B$15)*2.63</f>
        <v>0</v>
      </c>
      <c r="EN14" s="89">
        <f>$EB14*($R14-Klimaatdata!$B$16)*2.63</f>
        <v>0</v>
      </c>
      <c r="EO14" s="89">
        <f>$EB14*($R14-Klimaatdata!$B$17)*2.63</f>
        <v>0</v>
      </c>
      <c r="EP14" s="89">
        <f>$EB14*($R14-Klimaatdata!$B$18)*2.63</f>
        <v>0</v>
      </c>
      <c r="EQ14" s="25"/>
      <c r="ER14" s="89">
        <f t="shared" si="30"/>
        <v>0</v>
      </c>
      <c r="ES14" s="89"/>
      <c r="ET14" s="89">
        <f>INDEX(Klimaatdata!$B$27:$K$38,1,$B14)</f>
        <v>0</v>
      </c>
      <c r="EU14" s="89">
        <f>INDEX(Klimaatdata!$B$27:$K$38,2,$B14)</f>
        <v>0</v>
      </c>
      <c r="EV14" s="89">
        <f>INDEX(Klimaatdata!$B$27:$K$38,3,$B14)</f>
        <v>0</v>
      </c>
      <c r="EW14" s="89">
        <f>INDEX(Klimaatdata!$B$27:$K$38,4,$B14)</f>
        <v>0</v>
      </c>
      <c r="EX14" s="89">
        <f>INDEX(Klimaatdata!$B$27:$K$38,5,$B14)</f>
        <v>0</v>
      </c>
      <c r="EY14" s="89">
        <f>INDEX(Klimaatdata!$B$27:$K$38,6,$B14)</f>
        <v>0</v>
      </c>
      <c r="EZ14" s="89">
        <f>INDEX(Klimaatdata!$B$27:$K$38,7,$B14)</f>
        <v>0</v>
      </c>
      <c r="FA14" s="89">
        <f>INDEX(Klimaatdata!$B$27:$K$38,8,$B14)</f>
        <v>0</v>
      </c>
      <c r="FB14" s="89">
        <f>INDEX(Klimaatdata!$B$27:$K$38,9,$B14)</f>
        <v>0</v>
      </c>
      <c r="FC14" s="89">
        <f>INDEX(Klimaatdata!$B$27:$K$38,10,$B14)</f>
        <v>0</v>
      </c>
      <c r="FD14" s="89">
        <f>INDEX(Klimaatdata!$B$27:$K$38,11,$B14)</f>
        <v>0</v>
      </c>
      <c r="FE14" s="89">
        <f>INDEX(Klimaatdata!$B$27:$K$38,12,$B14)</f>
        <v>0</v>
      </c>
      <c r="FG14">
        <f t="shared" si="31"/>
        <v>1</v>
      </c>
      <c r="FH14">
        <f t="shared" si="32"/>
        <v>1</v>
      </c>
      <c r="FI14">
        <f t="shared" si="33"/>
        <v>1</v>
      </c>
      <c r="FJ14">
        <f t="shared" si="34"/>
        <v>1</v>
      </c>
      <c r="FK14">
        <f t="shared" si="35"/>
        <v>1</v>
      </c>
      <c r="FL14">
        <f t="shared" si="36"/>
        <v>1</v>
      </c>
      <c r="FM14">
        <f t="shared" si="37"/>
        <v>1</v>
      </c>
      <c r="FN14">
        <f t="shared" si="38"/>
        <v>1</v>
      </c>
      <c r="FO14">
        <f t="shared" si="39"/>
        <v>1</v>
      </c>
      <c r="FP14">
        <f t="shared" si="40"/>
        <v>1</v>
      </c>
      <c r="FQ14">
        <f t="shared" si="41"/>
        <v>1</v>
      </c>
      <c r="FR14">
        <f t="shared" si="42"/>
        <v>1</v>
      </c>
      <c r="FT14" s="219">
        <f>Klimaatdata!$D$7*ET14*FG14*$ER14*$G14*0.75</f>
        <v>0</v>
      </c>
      <c r="FU14" s="219">
        <f>Klimaatdata!$E$7*EU14*FH14*$ER14*$G14*0.75</f>
        <v>0</v>
      </c>
      <c r="FV14" s="219">
        <f>Klimaatdata!$F$7*EV14*FI14*$ER14*$G14*0.75</f>
        <v>0</v>
      </c>
      <c r="FW14" s="219">
        <f>Klimaatdata!$G$7*EW14*FJ14*$ER14*$G14*0.75</f>
        <v>0</v>
      </c>
      <c r="FX14" s="219">
        <f>Klimaatdata!$H$7*EX14*FK14*$ER14*$G14*0.75</f>
        <v>0</v>
      </c>
      <c r="FY14" s="219">
        <f>Klimaatdata!$I$7*EY14*FL14*$ER14*$G14*0.75</f>
        <v>0</v>
      </c>
      <c r="FZ14" s="219">
        <f>Klimaatdata!$J$7*EZ14*FM14*$ER14*$G14*0.75</f>
        <v>0</v>
      </c>
      <c r="GA14" s="219">
        <f>Klimaatdata!$K$7*FA14*FN14*$ER14*$G14*0.75</f>
        <v>0</v>
      </c>
      <c r="GB14" s="219">
        <f>Klimaatdata!$L$7*FB14*FO14*$ER14*$G14*0.75</f>
        <v>0</v>
      </c>
      <c r="GC14" s="219">
        <f>Klimaatdata!$M$7*FC14*FP14*$ER14*$G14*0.75</f>
        <v>0</v>
      </c>
      <c r="GD14" s="219">
        <f>Klimaatdata!$N$7*FD14*FQ14*$ER14*$G14*0.75</f>
        <v>0</v>
      </c>
      <c r="GE14" s="219">
        <f>Klimaatdata!$O$7*FE14*FR14*$ER14*$G14*0.75</f>
        <v>0</v>
      </c>
      <c r="GG14">
        <f t="shared" si="43"/>
        <v>0</v>
      </c>
      <c r="GH14">
        <f t="shared" si="44"/>
        <v>0</v>
      </c>
      <c r="GI14">
        <f t="shared" si="45"/>
        <v>0</v>
      </c>
      <c r="GJ14">
        <f t="shared" si="46"/>
        <v>0</v>
      </c>
      <c r="GK14">
        <f t="shared" si="47"/>
        <v>0</v>
      </c>
      <c r="GL14">
        <f t="shared" si="48"/>
        <v>0</v>
      </c>
      <c r="GM14">
        <f t="shared" si="49"/>
        <v>0</v>
      </c>
      <c r="GN14">
        <f t="shared" si="50"/>
        <v>0</v>
      </c>
      <c r="GO14">
        <f>'Invoer Gebouwschil'!Q14</f>
        <v>0</v>
      </c>
      <c r="GP14">
        <f t="shared" si="51"/>
        <v>0</v>
      </c>
      <c r="GR14">
        <f t="shared" si="52"/>
        <v>1</v>
      </c>
      <c r="GS14">
        <f t="shared" si="53"/>
        <v>0</v>
      </c>
      <c r="GT14">
        <f t="shared" si="54"/>
        <v>0</v>
      </c>
      <c r="GU14">
        <f t="shared" si="55"/>
        <v>0</v>
      </c>
      <c r="GV14">
        <f t="shared" si="56"/>
        <v>0</v>
      </c>
      <c r="GW14">
        <f t="shared" si="57"/>
        <v>0</v>
      </c>
      <c r="GX14">
        <f t="shared" si="58"/>
        <v>0</v>
      </c>
      <c r="GZ14" s="12">
        <f t="shared" si="59"/>
        <v>0</v>
      </c>
      <c r="HA14" s="13">
        <f t="shared" si="60"/>
        <v>0</v>
      </c>
      <c r="HB14" s="13">
        <f t="shared" si="61"/>
        <v>0</v>
      </c>
      <c r="HC14" s="14">
        <f t="shared" si="62"/>
        <v>0</v>
      </c>
      <c r="HE14" s="12">
        <f t="shared" si="63"/>
        <v>0</v>
      </c>
      <c r="HF14" s="13">
        <f t="shared" si="64"/>
        <v>0</v>
      </c>
      <c r="HG14" s="13">
        <f t="shared" si="65"/>
        <v>0</v>
      </c>
      <c r="HH14" s="14">
        <f t="shared" si="66"/>
        <v>0</v>
      </c>
    </row>
    <row r="15" spans="1:216" x14ac:dyDescent="0.2">
      <c r="A15">
        <v>1</v>
      </c>
      <c r="B15">
        <v>1</v>
      </c>
      <c r="C15">
        <v>1</v>
      </c>
      <c r="D15">
        <f>'Invoer Gebouwschil'!D15</f>
        <v>0</v>
      </c>
      <c r="E15">
        <v>1</v>
      </c>
      <c r="F15">
        <v>1</v>
      </c>
      <c r="G15">
        <f>'Invoer Gebouwschil'!H15</f>
        <v>0</v>
      </c>
      <c r="H15">
        <v>1</v>
      </c>
      <c r="I15">
        <v>1</v>
      </c>
      <c r="K15" s="89">
        <f>INDEX('Verwerking Bouwdelen'!$Z$79:$Z$103,'Verwerking Bouwdelen'!E15)</f>
        <v>0</v>
      </c>
      <c r="L15" s="89">
        <v>0.13</v>
      </c>
      <c r="M15" s="89">
        <f t="shared" si="14"/>
        <v>0</v>
      </c>
      <c r="N15" s="89">
        <f>IF(F15=6,1/((1/1/(L16+M16+'Invoer Gebouwschil'!F15))+5),1/(L15+M15+'Invoer Gebouwschil'!F15))</f>
        <v>7.6923076923076916</v>
      </c>
      <c r="O15" s="89">
        <v>0.1</v>
      </c>
      <c r="P15" s="28">
        <f t="shared" si="15"/>
        <v>1</v>
      </c>
      <c r="Q15" s="89">
        <f t="shared" si="0"/>
        <v>0</v>
      </c>
      <c r="R15" s="89">
        <v>19</v>
      </c>
      <c r="S15" s="89"/>
      <c r="T15" s="89">
        <f>$Q15*($R15-Klimaatdata!$B$7)*2.63</f>
        <v>0</v>
      </c>
      <c r="U15" s="89">
        <f>$Q15*($R15-Klimaatdata!$B$8)*2.63</f>
        <v>0</v>
      </c>
      <c r="V15" s="89">
        <f>$Q15*($R15-Klimaatdata!$B$9)*2.63</f>
        <v>0</v>
      </c>
      <c r="W15" s="89">
        <f>$Q15*($R15-Klimaatdata!$B$10)*2.63</f>
        <v>0</v>
      </c>
      <c r="X15" s="89">
        <f>$Q15*($R15-Klimaatdata!$B$11)*2.63</f>
        <v>0</v>
      </c>
      <c r="Y15" s="89">
        <f>$Q15*($R15-Klimaatdata!$B$12)*2.63</f>
        <v>0</v>
      </c>
      <c r="Z15" s="89">
        <f>$Q15*($R15-Klimaatdata!$B$13)*2.63</f>
        <v>0</v>
      </c>
      <c r="AA15" s="89">
        <f>$Q15*($R15-Klimaatdata!$B$14)*2.63</f>
        <v>0</v>
      </c>
      <c r="AB15" s="89">
        <f>$Q15*($R15-Klimaatdata!$B$15)*2.63</f>
        <v>0</v>
      </c>
      <c r="AC15" s="89">
        <f>$Q15*($R15-Klimaatdata!$B$16)*2.63</f>
        <v>0</v>
      </c>
      <c r="AD15" s="89">
        <f>$Q15*($R15-Klimaatdata!$B$17)*2.63</f>
        <v>0</v>
      </c>
      <c r="AE15" s="89">
        <f>$Q15*($R15-Klimaatdata!$B$18)*2.63</f>
        <v>0</v>
      </c>
      <c r="AF15" s="89"/>
      <c r="AG15" s="205">
        <f t="shared" si="16"/>
        <v>0</v>
      </c>
      <c r="AH15" s="25">
        <f t="shared" si="17"/>
        <v>0</v>
      </c>
      <c r="AI15" s="25">
        <f t="shared" si="18"/>
        <v>0</v>
      </c>
      <c r="AJ15" s="206">
        <f t="shared" si="19"/>
        <v>0</v>
      </c>
      <c r="AK15" s="25"/>
      <c r="AL15" s="89">
        <f t="shared" si="20"/>
        <v>1</v>
      </c>
      <c r="AM15" s="89">
        <f t="shared" si="21"/>
        <v>0</v>
      </c>
      <c r="AN15" s="89">
        <f t="shared" si="22"/>
        <v>0</v>
      </c>
      <c r="AO15" s="89">
        <f t="shared" si="23"/>
        <v>0</v>
      </c>
      <c r="AP15" s="89">
        <v>0.1</v>
      </c>
      <c r="AQ15" s="28">
        <v>1</v>
      </c>
      <c r="AR15" s="89">
        <f t="shared" si="1"/>
        <v>0</v>
      </c>
      <c r="AS15" s="89">
        <v>19</v>
      </c>
      <c r="AT15" s="89"/>
      <c r="AU15" s="89">
        <f>$AR15*($R15-Klimaatdata!$B$7)*2.63</f>
        <v>0</v>
      </c>
      <c r="AV15" s="89">
        <f>$AR15*($R15-Klimaatdata!$B$8)*2.63</f>
        <v>0</v>
      </c>
      <c r="AW15" s="89">
        <f>$AR15*($R15-Klimaatdata!$B$9)*2.63</f>
        <v>0</v>
      </c>
      <c r="AX15" s="89">
        <f>$AR15*($R15-Klimaatdata!$B$10)*2.63</f>
        <v>0</v>
      </c>
      <c r="AY15" s="89">
        <f>$AR15*($R15-Klimaatdata!$B$11)*2.63</f>
        <v>0</v>
      </c>
      <c r="AZ15" s="89">
        <f>$AR15*($R15-Klimaatdata!$B$12)*2.63</f>
        <v>0</v>
      </c>
      <c r="BA15" s="89">
        <f>$AR15*($R15-Klimaatdata!$B$13)*2.63</f>
        <v>0</v>
      </c>
      <c r="BB15" s="89">
        <f>$AR15*($R15-Klimaatdata!$B$14)*2.63</f>
        <v>0</v>
      </c>
      <c r="BC15" s="89">
        <f>$AR15*($R15-Klimaatdata!$B$15)*2.63</f>
        <v>0</v>
      </c>
      <c r="BD15" s="89">
        <f>$AR15*($R15-Klimaatdata!$B$16)*2.63</f>
        <v>0</v>
      </c>
      <c r="BE15" s="89">
        <f>$AR15*($R15-Klimaatdata!$B$17)*2.63</f>
        <v>0</v>
      </c>
      <c r="BF15" s="89">
        <f>$AR15*($R15-Klimaatdata!$B$18)*2.63</f>
        <v>0</v>
      </c>
      <c r="BG15" s="25"/>
      <c r="BH15" s="89">
        <f>INDEX('Verwerking Bouwdelen'!$Y$106:$Y$130,H15)</f>
        <v>0</v>
      </c>
      <c r="BI15" s="89"/>
      <c r="BJ15" s="89">
        <f>INDEX(Klimaatdata!$B$27:$K$38,1,$B15)</f>
        <v>0</v>
      </c>
      <c r="BK15" s="89">
        <f>INDEX(Klimaatdata!$B$27:$K$38,2,$B15)</f>
        <v>0</v>
      </c>
      <c r="BL15" s="89">
        <f>INDEX(Klimaatdata!$B$27:$K$38,3,$B15)</f>
        <v>0</v>
      </c>
      <c r="BM15" s="89">
        <f>INDEX(Klimaatdata!$B$27:$K$38,4,$B15)</f>
        <v>0</v>
      </c>
      <c r="BN15" s="89">
        <f>INDEX(Klimaatdata!$B$27:$K$38,5,$B15)</f>
        <v>0</v>
      </c>
      <c r="BO15" s="89">
        <f>INDEX(Klimaatdata!$B$27:$K$38,6,$B15)</f>
        <v>0</v>
      </c>
      <c r="BP15" s="89">
        <f>INDEX(Klimaatdata!$B$27:$K$38,7,$B15)</f>
        <v>0</v>
      </c>
      <c r="BQ15" s="89">
        <f>INDEX(Klimaatdata!$B$27:$K$38,8,$B15)</f>
        <v>0</v>
      </c>
      <c r="BR15" s="89">
        <f>INDEX(Klimaatdata!$B$27:$K$38,9,$B15)</f>
        <v>0</v>
      </c>
      <c r="BS15" s="89">
        <f>INDEX(Klimaatdata!$B$27:$K$38,10,$B15)</f>
        <v>0</v>
      </c>
      <c r="BT15" s="89">
        <f>INDEX(Klimaatdata!$B$27:$K$38,11,$B15)</f>
        <v>0</v>
      </c>
      <c r="BU15" s="89">
        <f>INDEX(Klimaatdata!$B$27:$K$38,12,$B15)</f>
        <v>0</v>
      </c>
      <c r="BW15">
        <f t="shared" si="2"/>
        <v>1</v>
      </c>
      <c r="BX15">
        <f t="shared" si="3"/>
        <v>1</v>
      </c>
      <c r="BY15">
        <f t="shared" si="4"/>
        <v>1</v>
      </c>
      <c r="BZ15">
        <f t="shared" si="5"/>
        <v>1</v>
      </c>
      <c r="CA15">
        <f t="shared" si="6"/>
        <v>1</v>
      </c>
      <c r="CB15">
        <f t="shared" si="7"/>
        <v>1</v>
      </c>
      <c r="CC15">
        <f t="shared" si="8"/>
        <v>1</v>
      </c>
      <c r="CD15">
        <f t="shared" si="9"/>
        <v>1</v>
      </c>
      <c r="CE15">
        <f t="shared" si="10"/>
        <v>1</v>
      </c>
      <c r="CF15">
        <f t="shared" si="11"/>
        <v>1</v>
      </c>
      <c r="CG15">
        <f t="shared" si="12"/>
        <v>1</v>
      </c>
      <c r="CH15">
        <f t="shared" si="13"/>
        <v>1</v>
      </c>
      <c r="CJ15" s="219">
        <f>Klimaatdata!$D$7*BJ15*BW15*$BH15*$G15*0.75</f>
        <v>0</v>
      </c>
      <c r="CK15" s="219">
        <f>Klimaatdata!$E$7*BK15*BX15*$BH15*$G15*0.75</f>
        <v>0</v>
      </c>
      <c r="CL15" s="219">
        <f>Klimaatdata!$F$7*BL15*BY15*$BH15*$G15*0.75</f>
        <v>0</v>
      </c>
      <c r="CM15" s="219">
        <f>Klimaatdata!$G$7*BM15*BZ15*$BH15*$G15*0.75</f>
        <v>0</v>
      </c>
      <c r="CN15" s="219">
        <f>Klimaatdata!$H$7*BN15*CA15*$BH15*$G15*0.75</f>
        <v>0</v>
      </c>
      <c r="CO15" s="219">
        <f>Klimaatdata!$I$7*BO15*CB15*$BH15*$G15*0.75</f>
        <v>0</v>
      </c>
      <c r="CP15" s="219">
        <f>Klimaatdata!$J$7*BP15*CC15*$BH15*$G15*0.75</f>
        <v>0</v>
      </c>
      <c r="CQ15" s="219">
        <f>Klimaatdata!$K$7*BQ15*CD15*$BH15*$G15*0.75</f>
        <v>0</v>
      </c>
      <c r="CR15" s="219">
        <f>Klimaatdata!$L$7*BR15*CE15*$BH15*$G15*0.75</f>
        <v>0</v>
      </c>
      <c r="CS15" s="219">
        <f>Klimaatdata!$M$7*BS15*CF15*$BH15*$G15*0.75</f>
        <v>0</v>
      </c>
      <c r="CT15" s="219">
        <f>Klimaatdata!$N$7*BT15*CG15*$BH15*$G15*0.75</f>
        <v>0</v>
      </c>
      <c r="CU15" s="219">
        <f>Klimaatdata!$O$7*BU15*CH15*$BH15*$G15*0.75</f>
        <v>0</v>
      </c>
      <c r="CX15">
        <v>1</v>
      </c>
      <c r="CY15">
        <v>1</v>
      </c>
      <c r="CZ15">
        <v>1</v>
      </c>
      <c r="DA15">
        <f>'Invoer Gebouwschil'!Q15</f>
        <v>0</v>
      </c>
      <c r="DC15" s="89">
        <f t="shared" si="24"/>
        <v>0</v>
      </c>
      <c r="DD15" s="89">
        <v>0.13</v>
      </c>
      <c r="DE15" s="89">
        <f t="shared" si="25"/>
        <v>0</v>
      </c>
      <c r="DF15" s="89">
        <f>IF(F15=6,1/((1/1/(DD15+DE15+'Invoer Gebouwschil'!M15))+5),1/(DD15+DE15+'Invoer Gebouwschil'!M15))</f>
        <v>7.6923076923076916</v>
      </c>
      <c r="DG15" s="89">
        <v>0.1</v>
      </c>
      <c r="DH15" s="28">
        <f t="shared" si="26"/>
        <v>1</v>
      </c>
      <c r="DI15" s="89">
        <f t="shared" si="27"/>
        <v>0</v>
      </c>
      <c r="DJ15" s="89">
        <v>19</v>
      </c>
      <c r="DK15" s="89"/>
      <c r="DL15" s="89">
        <f>$DI15*($R15-Klimaatdata!$B$7)*2.63</f>
        <v>0</v>
      </c>
      <c r="DM15" s="89">
        <f>$DI15*($R15-Klimaatdata!$B$8)*2.63</f>
        <v>0</v>
      </c>
      <c r="DN15" s="89">
        <f>$DI15*($R15-Klimaatdata!$B$9)*2.63</f>
        <v>0</v>
      </c>
      <c r="DO15" s="89">
        <f>$DI15*($R15-Klimaatdata!$B$10)*2.63</f>
        <v>0</v>
      </c>
      <c r="DP15" s="89">
        <f>$DI15*($R15-Klimaatdata!$B$11)*2.63</f>
        <v>0</v>
      </c>
      <c r="DQ15" s="89">
        <f>$DI15*($R15-Klimaatdata!$B$12)*2.63</f>
        <v>0</v>
      </c>
      <c r="DR15" s="89">
        <f>$DI15*($R15-Klimaatdata!$B$13)*2.63</f>
        <v>0</v>
      </c>
      <c r="DS15" s="89">
        <f>$DI15*($R15-Klimaatdata!$B$14)*2.63</f>
        <v>0</v>
      </c>
      <c r="DT15" s="89">
        <f>$DI15*($R15-Klimaatdata!$B$15)*2.63</f>
        <v>0</v>
      </c>
      <c r="DU15" s="89">
        <f>$DI15*($R15-Klimaatdata!$B$16)*2.63</f>
        <v>0</v>
      </c>
      <c r="DV15" s="89">
        <f>$DI15*($R15-Klimaatdata!$B$17)*2.63</f>
        <v>0</v>
      </c>
      <c r="DW15" s="89">
        <f>$DI15*($R15-Klimaatdata!$B$18)*2.63</f>
        <v>0</v>
      </c>
      <c r="DX15" s="89"/>
      <c r="DY15" s="89">
        <f t="shared" si="28"/>
        <v>0</v>
      </c>
      <c r="DZ15" s="89">
        <v>0.1</v>
      </c>
      <c r="EA15" s="28">
        <v>1</v>
      </c>
      <c r="EB15" s="89">
        <f t="shared" si="29"/>
        <v>0</v>
      </c>
      <c r="EC15" s="89">
        <v>19</v>
      </c>
      <c r="ED15" s="89"/>
      <c r="EE15" s="89">
        <f>$EB15*($R15-Klimaatdata!$B$7)*2.63</f>
        <v>0</v>
      </c>
      <c r="EF15" s="89">
        <f>$EB15*($R15-Klimaatdata!$B$8)*2.63</f>
        <v>0</v>
      </c>
      <c r="EG15" s="89">
        <f>$EB15*($R15-Klimaatdata!$B$9)*2.63</f>
        <v>0</v>
      </c>
      <c r="EH15" s="89">
        <f>$EB15*($R15-Klimaatdata!$B$10)*2.63</f>
        <v>0</v>
      </c>
      <c r="EI15" s="89">
        <f>$EB15*($R15-Klimaatdata!$B$11)*2.63</f>
        <v>0</v>
      </c>
      <c r="EJ15" s="89">
        <f>$EB15*($R15-Klimaatdata!$B$12)*2.63</f>
        <v>0</v>
      </c>
      <c r="EK15" s="89">
        <f>$EB15*($R15-Klimaatdata!$B$13)*2.63</f>
        <v>0</v>
      </c>
      <c r="EL15" s="89">
        <f>$EB15*($R15-Klimaatdata!$B$14)*2.63</f>
        <v>0</v>
      </c>
      <c r="EM15" s="89">
        <f>$EB15*($R15-Klimaatdata!$B$15)*2.63</f>
        <v>0</v>
      </c>
      <c r="EN15" s="89">
        <f>$EB15*($R15-Klimaatdata!$B$16)*2.63</f>
        <v>0</v>
      </c>
      <c r="EO15" s="89">
        <f>$EB15*($R15-Klimaatdata!$B$17)*2.63</f>
        <v>0</v>
      </c>
      <c r="EP15" s="89">
        <f>$EB15*($R15-Klimaatdata!$B$18)*2.63</f>
        <v>0</v>
      </c>
      <c r="EQ15" s="25"/>
      <c r="ER15" s="89">
        <f t="shared" si="30"/>
        <v>0</v>
      </c>
      <c r="ES15" s="89"/>
      <c r="ET15" s="89">
        <f>INDEX(Klimaatdata!$B$27:$K$38,1,$B15)</f>
        <v>0</v>
      </c>
      <c r="EU15" s="89">
        <f>INDEX(Klimaatdata!$B$27:$K$38,2,$B15)</f>
        <v>0</v>
      </c>
      <c r="EV15" s="89">
        <f>INDEX(Klimaatdata!$B$27:$K$38,3,$B15)</f>
        <v>0</v>
      </c>
      <c r="EW15" s="89">
        <f>INDEX(Klimaatdata!$B$27:$K$38,4,$B15)</f>
        <v>0</v>
      </c>
      <c r="EX15" s="89">
        <f>INDEX(Klimaatdata!$B$27:$K$38,5,$B15)</f>
        <v>0</v>
      </c>
      <c r="EY15" s="89">
        <f>INDEX(Klimaatdata!$B$27:$K$38,6,$B15)</f>
        <v>0</v>
      </c>
      <c r="EZ15" s="89">
        <f>INDEX(Klimaatdata!$B$27:$K$38,7,$B15)</f>
        <v>0</v>
      </c>
      <c r="FA15" s="89">
        <f>INDEX(Klimaatdata!$B$27:$K$38,8,$B15)</f>
        <v>0</v>
      </c>
      <c r="FB15" s="89">
        <f>INDEX(Klimaatdata!$B$27:$K$38,9,$B15)</f>
        <v>0</v>
      </c>
      <c r="FC15" s="89">
        <f>INDEX(Klimaatdata!$B$27:$K$38,10,$B15)</f>
        <v>0</v>
      </c>
      <c r="FD15" s="89">
        <f>INDEX(Klimaatdata!$B$27:$K$38,11,$B15)</f>
        <v>0</v>
      </c>
      <c r="FE15" s="89">
        <f>INDEX(Klimaatdata!$B$27:$K$38,12,$B15)</f>
        <v>0</v>
      </c>
      <c r="FG15">
        <f t="shared" si="31"/>
        <v>1</v>
      </c>
      <c r="FH15">
        <f t="shared" si="32"/>
        <v>1</v>
      </c>
      <c r="FI15">
        <f t="shared" si="33"/>
        <v>1</v>
      </c>
      <c r="FJ15">
        <f t="shared" si="34"/>
        <v>1</v>
      </c>
      <c r="FK15">
        <f t="shared" si="35"/>
        <v>1</v>
      </c>
      <c r="FL15">
        <f t="shared" si="36"/>
        <v>1</v>
      </c>
      <c r="FM15">
        <f t="shared" si="37"/>
        <v>1</v>
      </c>
      <c r="FN15">
        <f t="shared" si="38"/>
        <v>1</v>
      </c>
      <c r="FO15">
        <f t="shared" si="39"/>
        <v>1</v>
      </c>
      <c r="FP15">
        <f t="shared" si="40"/>
        <v>1</v>
      </c>
      <c r="FQ15">
        <f t="shared" si="41"/>
        <v>1</v>
      </c>
      <c r="FR15">
        <f t="shared" si="42"/>
        <v>1</v>
      </c>
      <c r="FT15" s="219">
        <f>Klimaatdata!$D$7*ET15*FG15*$ER15*$G15*0.75</f>
        <v>0</v>
      </c>
      <c r="FU15" s="219">
        <f>Klimaatdata!$E$7*EU15*FH15*$ER15*$G15*0.75</f>
        <v>0</v>
      </c>
      <c r="FV15" s="219">
        <f>Klimaatdata!$F$7*EV15*FI15*$ER15*$G15*0.75</f>
        <v>0</v>
      </c>
      <c r="FW15" s="219">
        <f>Klimaatdata!$G$7*EW15*FJ15*$ER15*$G15*0.75</f>
        <v>0</v>
      </c>
      <c r="FX15" s="219">
        <f>Klimaatdata!$H$7*EX15*FK15*$ER15*$G15*0.75</f>
        <v>0</v>
      </c>
      <c r="FY15" s="219">
        <f>Klimaatdata!$I$7*EY15*FL15*$ER15*$G15*0.75</f>
        <v>0</v>
      </c>
      <c r="FZ15" s="219">
        <f>Klimaatdata!$J$7*EZ15*FM15*$ER15*$G15*0.75</f>
        <v>0</v>
      </c>
      <c r="GA15" s="219">
        <f>Klimaatdata!$K$7*FA15*FN15*$ER15*$G15*0.75</f>
        <v>0</v>
      </c>
      <c r="GB15" s="219">
        <f>Klimaatdata!$L$7*FB15*FO15*$ER15*$G15*0.75</f>
        <v>0</v>
      </c>
      <c r="GC15" s="219">
        <f>Klimaatdata!$M$7*FC15*FP15*$ER15*$G15*0.75</f>
        <v>0</v>
      </c>
      <c r="GD15" s="219">
        <f>Klimaatdata!$N$7*FD15*FQ15*$ER15*$G15*0.75</f>
        <v>0</v>
      </c>
      <c r="GE15" s="219">
        <f>Klimaatdata!$O$7*FE15*FR15*$ER15*$G15*0.75</f>
        <v>0</v>
      </c>
      <c r="GG15">
        <f t="shared" si="43"/>
        <v>0</v>
      </c>
      <c r="GH15">
        <f t="shared" si="44"/>
        <v>0</v>
      </c>
      <c r="GI15">
        <f t="shared" si="45"/>
        <v>0</v>
      </c>
      <c r="GJ15">
        <f t="shared" si="46"/>
        <v>0</v>
      </c>
      <c r="GK15">
        <f t="shared" si="47"/>
        <v>0</v>
      </c>
      <c r="GL15">
        <f t="shared" si="48"/>
        <v>0</v>
      </c>
      <c r="GM15">
        <f t="shared" si="49"/>
        <v>0</v>
      </c>
      <c r="GN15">
        <f t="shared" si="50"/>
        <v>0</v>
      </c>
      <c r="GO15">
        <f>'Invoer Gebouwschil'!Q15</f>
        <v>0</v>
      </c>
      <c r="GP15">
        <f t="shared" si="51"/>
        <v>0</v>
      </c>
      <c r="GR15">
        <f t="shared" si="52"/>
        <v>1</v>
      </c>
      <c r="GS15">
        <f t="shared" si="53"/>
        <v>0</v>
      </c>
      <c r="GT15">
        <f t="shared" si="54"/>
        <v>0</v>
      </c>
      <c r="GU15">
        <f t="shared" si="55"/>
        <v>0</v>
      </c>
      <c r="GV15">
        <f t="shared" si="56"/>
        <v>0</v>
      </c>
      <c r="GW15">
        <f t="shared" si="57"/>
        <v>0</v>
      </c>
      <c r="GX15">
        <f t="shared" si="58"/>
        <v>0</v>
      </c>
      <c r="GZ15" s="12">
        <f t="shared" si="59"/>
        <v>0</v>
      </c>
      <c r="HA15" s="13">
        <f t="shared" si="60"/>
        <v>0</v>
      </c>
      <c r="HB15" s="13">
        <f t="shared" si="61"/>
        <v>0</v>
      </c>
      <c r="HC15" s="14">
        <f t="shared" si="62"/>
        <v>0</v>
      </c>
      <c r="HE15" s="12">
        <f t="shared" si="63"/>
        <v>0</v>
      </c>
      <c r="HF15" s="13">
        <f t="shared" si="64"/>
        <v>0</v>
      </c>
      <c r="HG15" s="13">
        <f t="shared" si="65"/>
        <v>0</v>
      </c>
      <c r="HH15" s="14">
        <f t="shared" si="66"/>
        <v>0</v>
      </c>
    </row>
    <row r="16" spans="1:216" x14ac:dyDescent="0.2">
      <c r="A16">
        <v>1</v>
      </c>
      <c r="B16">
        <v>1</v>
      </c>
      <c r="C16">
        <v>1</v>
      </c>
      <c r="D16">
        <f>'Invoer Gebouwschil'!D16</f>
        <v>0</v>
      </c>
      <c r="E16">
        <v>1</v>
      </c>
      <c r="F16">
        <v>1</v>
      </c>
      <c r="G16">
        <f>'Invoer Gebouwschil'!H16</f>
        <v>0</v>
      </c>
      <c r="H16">
        <v>1</v>
      </c>
      <c r="I16">
        <v>1</v>
      </c>
      <c r="K16" s="89">
        <f>INDEX('Verwerking Bouwdelen'!$AB$79:$AB$103,'Verwerking Bouwdelen'!E16)</f>
        <v>0</v>
      </c>
      <c r="L16" s="89">
        <v>0.13</v>
      </c>
      <c r="M16" s="89">
        <f t="shared" si="14"/>
        <v>0</v>
      </c>
      <c r="N16" s="89">
        <f>IF(F16=6,1/((1/1/(L17+M17+'Invoer Gebouwschil'!F16))+5),1/(L16+M16+'Invoer Gebouwschil'!F16))</f>
        <v>7.6923076923076916</v>
      </c>
      <c r="O16" s="89">
        <v>0.1</v>
      </c>
      <c r="P16" s="28">
        <f t="shared" si="15"/>
        <v>1</v>
      </c>
      <c r="Q16" s="89">
        <f t="shared" si="0"/>
        <v>0</v>
      </c>
      <c r="R16" s="89">
        <v>19</v>
      </c>
      <c r="S16" s="89"/>
      <c r="T16" s="89">
        <f>$Q16*($R16-Klimaatdata!$B$7)*2.63</f>
        <v>0</v>
      </c>
      <c r="U16" s="89">
        <f>$Q16*($R16-Klimaatdata!$B$8)*2.63</f>
        <v>0</v>
      </c>
      <c r="V16" s="89">
        <f>$Q16*($R16-Klimaatdata!$B$9)*2.63</f>
        <v>0</v>
      </c>
      <c r="W16" s="89">
        <f>$Q16*($R16-Klimaatdata!$B$10)*2.63</f>
        <v>0</v>
      </c>
      <c r="X16" s="89">
        <f>$Q16*($R16-Klimaatdata!$B$11)*2.63</f>
        <v>0</v>
      </c>
      <c r="Y16" s="89">
        <f>$Q16*($R16-Klimaatdata!$B$12)*2.63</f>
        <v>0</v>
      </c>
      <c r="Z16" s="89">
        <f>$Q16*($R16-Klimaatdata!$B$13)*2.63</f>
        <v>0</v>
      </c>
      <c r="AA16" s="89">
        <f>$Q16*($R16-Klimaatdata!$B$14)*2.63</f>
        <v>0</v>
      </c>
      <c r="AB16" s="89">
        <f>$Q16*($R16-Klimaatdata!$B$15)*2.63</f>
        <v>0</v>
      </c>
      <c r="AC16" s="89">
        <f>$Q16*($R16-Klimaatdata!$B$16)*2.63</f>
        <v>0</v>
      </c>
      <c r="AD16" s="89">
        <f>$Q16*($R16-Klimaatdata!$B$17)*2.63</f>
        <v>0</v>
      </c>
      <c r="AE16" s="89">
        <f>$Q16*($R16-Klimaatdata!$B$18)*2.63</f>
        <v>0</v>
      </c>
      <c r="AF16" s="89"/>
      <c r="AG16" s="205">
        <f t="shared" si="16"/>
        <v>0</v>
      </c>
      <c r="AH16" s="25">
        <f t="shared" si="17"/>
        <v>0</v>
      </c>
      <c r="AI16" s="25">
        <f t="shared" si="18"/>
        <v>0</v>
      </c>
      <c r="AJ16" s="206">
        <f t="shared" si="19"/>
        <v>0</v>
      </c>
      <c r="AK16" s="25"/>
      <c r="AL16" s="89">
        <f t="shared" si="20"/>
        <v>1</v>
      </c>
      <c r="AM16" s="89">
        <f t="shared" si="21"/>
        <v>0</v>
      </c>
      <c r="AN16" s="89">
        <f t="shared" si="22"/>
        <v>0</v>
      </c>
      <c r="AO16" s="89">
        <f t="shared" si="23"/>
        <v>0</v>
      </c>
      <c r="AP16" s="89">
        <v>0.1</v>
      </c>
      <c r="AQ16" s="28">
        <v>1</v>
      </c>
      <c r="AR16" s="89">
        <f t="shared" si="1"/>
        <v>0</v>
      </c>
      <c r="AS16" s="89">
        <v>19</v>
      </c>
      <c r="AT16" s="89"/>
      <c r="AU16" s="89">
        <f>$AR16*($R16-Klimaatdata!$B$7)*2.63</f>
        <v>0</v>
      </c>
      <c r="AV16" s="89">
        <f>$AR16*($R16-Klimaatdata!$B$8)*2.63</f>
        <v>0</v>
      </c>
      <c r="AW16" s="89">
        <f>$AR16*($R16-Klimaatdata!$B$9)*2.63</f>
        <v>0</v>
      </c>
      <c r="AX16" s="89">
        <f>$AR16*($R16-Klimaatdata!$B$10)*2.63</f>
        <v>0</v>
      </c>
      <c r="AY16" s="89">
        <f>$AR16*($R16-Klimaatdata!$B$11)*2.63</f>
        <v>0</v>
      </c>
      <c r="AZ16" s="89">
        <f>$AR16*($R16-Klimaatdata!$B$12)*2.63</f>
        <v>0</v>
      </c>
      <c r="BA16" s="89">
        <f>$AR16*($R16-Klimaatdata!$B$13)*2.63</f>
        <v>0</v>
      </c>
      <c r="BB16" s="89">
        <f>$AR16*($R16-Klimaatdata!$B$14)*2.63</f>
        <v>0</v>
      </c>
      <c r="BC16" s="89">
        <f>$AR16*($R16-Klimaatdata!$B$15)*2.63</f>
        <v>0</v>
      </c>
      <c r="BD16" s="89">
        <f>$AR16*($R16-Klimaatdata!$B$16)*2.63</f>
        <v>0</v>
      </c>
      <c r="BE16" s="89">
        <f>$AR16*($R16-Klimaatdata!$B$17)*2.63</f>
        <v>0</v>
      </c>
      <c r="BF16" s="89">
        <f>$AR16*($R16-Klimaatdata!$B$18)*2.63</f>
        <v>0</v>
      </c>
      <c r="BG16" s="25"/>
      <c r="BH16" s="89">
        <f>INDEX('Verwerking Bouwdelen'!$Y$106:$Y$130,H16)</f>
        <v>0</v>
      </c>
      <c r="BI16" s="89"/>
      <c r="BJ16" s="89">
        <f>INDEX(Klimaatdata!$B$27:$K$38,1,$B16)</f>
        <v>0</v>
      </c>
      <c r="BK16" s="89">
        <f>INDEX(Klimaatdata!$B$27:$K$38,2,$B16)</f>
        <v>0</v>
      </c>
      <c r="BL16" s="89">
        <f>INDEX(Klimaatdata!$B$27:$K$38,3,$B16)</f>
        <v>0</v>
      </c>
      <c r="BM16" s="89">
        <f>INDEX(Klimaatdata!$B$27:$K$38,4,$B16)</f>
        <v>0</v>
      </c>
      <c r="BN16" s="89">
        <f>INDEX(Klimaatdata!$B$27:$K$38,5,$B16)</f>
        <v>0</v>
      </c>
      <c r="BO16" s="89">
        <f>INDEX(Klimaatdata!$B$27:$K$38,6,$B16)</f>
        <v>0</v>
      </c>
      <c r="BP16" s="89">
        <f>INDEX(Klimaatdata!$B$27:$K$38,7,$B16)</f>
        <v>0</v>
      </c>
      <c r="BQ16" s="89">
        <f>INDEX(Klimaatdata!$B$27:$K$38,8,$B16)</f>
        <v>0</v>
      </c>
      <c r="BR16" s="89">
        <f>INDEX(Klimaatdata!$B$27:$K$38,9,$B16)</f>
        <v>0</v>
      </c>
      <c r="BS16" s="89">
        <f>INDEX(Klimaatdata!$B$27:$K$38,10,$B16)</f>
        <v>0</v>
      </c>
      <c r="BT16" s="89">
        <f>INDEX(Klimaatdata!$B$27:$K$38,11,$B16)</f>
        <v>0</v>
      </c>
      <c r="BU16" s="89">
        <f>INDEX(Klimaatdata!$B$27:$K$38,12,$B16)</f>
        <v>0</v>
      </c>
      <c r="BW16">
        <f t="shared" si="2"/>
        <v>1</v>
      </c>
      <c r="BX16">
        <f t="shared" si="3"/>
        <v>1</v>
      </c>
      <c r="BY16">
        <f t="shared" si="4"/>
        <v>1</v>
      </c>
      <c r="BZ16">
        <f t="shared" si="5"/>
        <v>1</v>
      </c>
      <c r="CA16">
        <f t="shared" si="6"/>
        <v>1</v>
      </c>
      <c r="CB16">
        <f t="shared" si="7"/>
        <v>1</v>
      </c>
      <c r="CC16">
        <f t="shared" si="8"/>
        <v>1</v>
      </c>
      <c r="CD16">
        <f t="shared" si="9"/>
        <v>1</v>
      </c>
      <c r="CE16">
        <f t="shared" si="10"/>
        <v>1</v>
      </c>
      <c r="CF16">
        <f t="shared" si="11"/>
        <v>1</v>
      </c>
      <c r="CG16">
        <f t="shared" si="12"/>
        <v>1</v>
      </c>
      <c r="CH16">
        <f t="shared" si="13"/>
        <v>1</v>
      </c>
      <c r="CJ16" s="219">
        <f>Klimaatdata!$D$7*BJ16*BW16*$BH16*$G16*0.75</f>
        <v>0</v>
      </c>
      <c r="CK16" s="219">
        <f>Klimaatdata!$E$7*BK16*BX16*$BH16*$G16*0.75</f>
        <v>0</v>
      </c>
      <c r="CL16" s="219">
        <f>Klimaatdata!$F$7*BL16*BY16*$BH16*$G16*0.75</f>
        <v>0</v>
      </c>
      <c r="CM16" s="219">
        <f>Klimaatdata!$G$7*BM16*BZ16*$BH16*$G16*0.75</f>
        <v>0</v>
      </c>
      <c r="CN16" s="219">
        <f>Klimaatdata!$H$7*BN16*CA16*$BH16*$G16*0.75</f>
        <v>0</v>
      </c>
      <c r="CO16" s="219">
        <f>Klimaatdata!$I$7*BO16*CB16*$BH16*$G16*0.75</f>
        <v>0</v>
      </c>
      <c r="CP16" s="219">
        <f>Klimaatdata!$J$7*BP16*CC16*$BH16*$G16*0.75</f>
        <v>0</v>
      </c>
      <c r="CQ16" s="219">
        <f>Klimaatdata!$K$7*BQ16*CD16*$BH16*$G16*0.75</f>
        <v>0</v>
      </c>
      <c r="CR16" s="219">
        <f>Klimaatdata!$L$7*BR16*CE16*$BH16*$G16*0.75</f>
        <v>0</v>
      </c>
      <c r="CS16" s="219">
        <f>Klimaatdata!$M$7*BS16*CF16*$BH16*$G16*0.75</f>
        <v>0</v>
      </c>
      <c r="CT16" s="219">
        <f>Klimaatdata!$N$7*BT16*CG16*$BH16*$G16*0.75</f>
        <v>0</v>
      </c>
      <c r="CU16" s="219">
        <f>Klimaatdata!$O$7*BU16*CH16*$BH16*$G16*0.75</f>
        <v>0</v>
      </c>
      <c r="CX16">
        <v>1</v>
      </c>
      <c r="CY16">
        <v>1</v>
      </c>
      <c r="CZ16">
        <v>1</v>
      </c>
      <c r="DA16">
        <f>'Invoer Gebouwschil'!Q16</f>
        <v>0</v>
      </c>
      <c r="DC16" s="89">
        <f t="shared" si="24"/>
        <v>0</v>
      </c>
      <c r="DD16" s="89">
        <v>0.13</v>
      </c>
      <c r="DE16" s="89">
        <f t="shared" si="25"/>
        <v>0</v>
      </c>
      <c r="DF16" s="89">
        <f>IF(F16=6,1/((1/1/(DD16+DE16+'Invoer Gebouwschil'!M16))+5),1/(DD16+DE16+'Invoer Gebouwschil'!M16))</f>
        <v>7.6923076923076916</v>
      </c>
      <c r="DG16" s="89">
        <v>0.1</v>
      </c>
      <c r="DH16" s="28">
        <f t="shared" si="26"/>
        <v>1</v>
      </c>
      <c r="DI16" s="89">
        <f t="shared" si="27"/>
        <v>0</v>
      </c>
      <c r="DJ16" s="89">
        <v>19</v>
      </c>
      <c r="DK16" s="89"/>
      <c r="DL16" s="89">
        <f>$DI16*($R16-Klimaatdata!$B$7)*2.63</f>
        <v>0</v>
      </c>
      <c r="DM16" s="89">
        <f>$DI16*($R16-Klimaatdata!$B$8)*2.63</f>
        <v>0</v>
      </c>
      <c r="DN16" s="89">
        <f>$DI16*($R16-Klimaatdata!$B$9)*2.63</f>
        <v>0</v>
      </c>
      <c r="DO16" s="89">
        <f>$DI16*($R16-Klimaatdata!$B$10)*2.63</f>
        <v>0</v>
      </c>
      <c r="DP16" s="89">
        <f>$DI16*($R16-Klimaatdata!$B$11)*2.63</f>
        <v>0</v>
      </c>
      <c r="DQ16" s="89">
        <f>$DI16*($R16-Klimaatdata!$B$12)*2.63</f>
        <v>0</v>
      </c>
      <c r="DR16" s="89">
        <f>$DI16*($R16-Klimaatdata!$B$13)*2.63</f>
        <v>0</v>
      </c>
      <c r="DS16" s="89">
        <f>$DI16*($R16-Klimaatdata!$B$14)*2.63</f>
        <v>0</v>
      </c>
      <c r="DT16" s="89">
        <f>$DI16*($R16-Klimaatdata!$B$15)*2.63</f>
        <v>0</v>
      </c>
      <c r="DU16" s="89">
        <f>$DI16*($R16-Klimaatdata!$B$16)*2.63</f>
        <v>0</v>
      </c>
      <c r="DV16" s="89">
        <f>$DI16*($R16-Klimaatdata!$B$17)*2.63</f>
        <v>0</v>
      </c>
      <c r="DW16" s="89">
        <f>$DI16*($R16-Klimaatdata!$B$18)*2.63</f>
        <v>0</v>
      </c>
      <c r="DX16" s="89"/>
      <c r="DY16" s="89">
        <f t="shared" si="28"/>
        <v>0</v>
      </c>
      <c r="DZ16" s="89">
        <v>0.1</v>
      </c>
      <c r="EA16" s="28">
        <v>1</v>
      </c>
      <c r="EB16" s="89">
        <f t="shared" si="29"/>
        <v>0</v>
      </c>
      <c r="EC16" s="89">
        <v>19</v>
      </c>
      <c r="ED16" s="89"/>
      <c r="EE16" s="89">
        <f>$EB16*($R16-Klimaatdata!$B$7)*2.63</f>
        <v>0</v>
      </c>
      <c r="EF16" s="89">
        <f>$EB16*($R16-Klimaatdata!$B$8)*2.63</f>
        <v>0</v>
      </c>
      <c r="EG16" s="89">
        <f>$EB16*($R16-Klimaatdata!$B$9)*2.63</f>
        <v>0</v>
      </c>
      <c r="EH16" s="89">
        <f>$EB16*($R16-Klimaatdata!$B$10)*2.63</f>
        <v>0</v>
      </c>
      <c r="EI16" s="89">
        <f>$EB16*($R16-Klimaatdata!$B$11)*2.63</f>
        <v>0</v>
      </c>
      <c r="EJ16" s="89">
        <f>$EB16*($R16-Klimaatdata!$B$12)*2.63</f>
        <v>0</v>
      </c>
      <c r="EK16" s="89">
        <f>$EB16*($R16-Klimaatdata!$B$13)*2.63</f>
        <v>0</v>
      </c>
      <c r="EL16" s="89">
        <f>$EB16*($R16-Klimaatdata!$B$14)*2.63</f>
        <v>0</v>
      </c>
      <c r="EM16" s="89">
        <f>$EB16*($R16-Klimaatdata!$B$15)*2.63</f>
        <v>0</v>
      </c>
      <c r="EN16" s="89">
        <f>$EB16*($R16-Klimaatdata!$B$16)*2.63</f>
        <v>0</v>
      </c>
      <c r="EO16" s="89">
        <f>$EB16*($R16-Klimaatdata!$B$17)*2.63</f>
        <v>0</v>
      </c>
      <c r="EP16" s="89">
        <f>$EB16*($R16-Klimaatdata!$B$18)*2.63</f>
        <v>0</v>
      </c>
      <c r="EQ16" s="25"/>
      <c r="ER16" s="89">
        <f t="shared" si="30"/>
        <v>0</v>
      </c>
      <c r="ES16" s="89"/>
      <c r="ET16" s="89">
        <f>INDEX(Klimaatdata!$B$27:$K$38,1,$B16)</f>
        <v>0</v>
      </c>
      <c r="EU16" s="89">
        <f>INDEX(Klimaatdata!$B$27:$K$38,2,$B16)</f>
        <v>0</v>
      </c>
      <c r="EV16" s="89">
        <f>INDEX(Klimaatdata!$B$27:$K$38,3,$B16)</f>
        <v>0</v>
      </c>
      <c r="EW16" s="89">
        <f>INDEX(Klimaatdata!$B$27:$K$38,4,$B16)</f>
        <v>0</v>
      </c>
      <c r="EX16" s="89">
        <f>INDEX(Klimaatdata!$B$27:$K$38,5,$B16)</f>
        <v>0</v>
      </c>
      <c r="EY16" s="89">
        <f>INDEX(Klimaatdata!$B$27:$K$38,6,$B16)</f>
        <v>0</v>
      </c>
      <c r="EZ16" s="89">
        <f>INDEX(Klimaatdata!$B$27:$K$38,7,$B16)</f>
        <v>0</v>
      </c>
      <c r="FA16" s="89">
        <f>INDEX(Klimaatdata!$B$27:$K$38,8,$B16)</f>
        <v>0</v>
      </c>
      <c r="FB16" s="89">
        <f>INDEX(Klimaatdata!$B$27:$K$38,9,$B16)</f>
        <v>0</v>
      </c>
      <c r="FC16" s="89">
        <f>INDEX(Klimaatdata!$B$27:$K$38,10,$B16)</f>
        <v>0</v>
      </c>
      <c r="FD16" s="89">
        <f>INDEX(Klimaatdata!$B$27:$K$38,11,$B16)</f>
        <v>0</v>
      </c>
      <c r="FE16" s="89">
        <f>INDEX(Klimaatdata!$B$27:$K$38,12,$B16)</f>
        <v>0</v>
      </c>
      <c r="FG16">
        <f t="shared" si="31"/>
        <v>1</v>
      </c>
      <c r="FH16">
        <f t="shared" si="32"/>
        <v>1</v>
      </c>
      <c r="FI16">
        <f t="shared" si="33"/>
        <v>1</v>
      </c>
      <c r="FJ16">
        <f t="shared" si="34"/>
        <v>1</v>
      </c>
      <c r="FK16">
        <f t="shared" si="35"/>
        <v>1</v>
      </c>
      <c r="FL16">
        <f t="shared" si="36"/>
        <v>1</v>
      </c>
      <c r="FM16">
        <f t="shared" si="37"/>
        <v>1</v>
      </c>
      <c r="FN16">
        <f t="shared" si="38"/>
        <v>1</v>
      </c>
      <c r="FO16">
        <f t="shared" si="39"/>
        <v>1</v>
      </c>
      <c r="FP16">
        <f t="shared" si="40"/>
        <v>1</v>
      </c>
      <c r="FQ16">
        <f t="shared" si="41"/>
        <v>1</v>
      </c>
      <c r="FR16">
        <f t="shared" si="42"/>
        <v>1</v>
      </c>
      <c r="FT16" s="219">
        <f>Klimaatdata!$D$7*ET16*FG16*$ER16*$G16*0.75</f>
        <v>0</v>
      </c>
      <c r="FU16" s="219">
        <f>Klimaatdata!$E$7*EU16*FH16*$ER16*$G16*0.75</f>
        <v>0</v>
      </c>
      <c r="FV16" s="219">
        <f>Klimaatdata!$F$7*EV16*FI16*$ER16*$G16*0.75</f>
        <v>0</v>
      </c>
      <c r="FW16" s="219">
        <f>Klimaatdata!$G$7*EW16*FJ16*$ER16*$G16*0.75</f>
        <v>0</v>
      </c>
      <c r="FX16" s="219">
        <f>Klimaatdata!$H$7*EX16*FK16*$ER16*$G16*0.75</f>
        <v>0</v>
      </c>
      <c r="FY16" s="219">
        <f>Klimaatdata!$I$7*EY16*FL16*$ER16*$G16*0.75</f>
        <v>0</v>
      </c>
      <c r="FZ16" s="219">
        <f>Klimaatdata!$J$7*EZ16*FM16*$ER16*$G16*0.75</f>
        <v>0</v>
      </c>
      <c r="GA16" s="219">
        <f>Klimaatdata!$K$7*FA16*FN16*$ER16*$G16*0.75</f>
        <v>0</v>
      </c>
      <c r="GB16" s="219">
        <f>Klimaatdata!$L$7*FB16*FO16*$ER16*$G16*0.75</f>
        <v>0</v>
      </c>
      <c r="GC16" s="219">
        <f>Klimaatdata!$M$7*FC16*FP16*$ER16*$G16*0.75</f>
        <v>0</v>
      </c>
      <c r="GD16" s="219">
        <f>Klimaatdata!$N$7*FD16*FQ16*$ER16*$G16*0.75</f>
        <v>0</v>
      </c>
      <c r="GE16" s="219">
        <f>Klimaatdata!$O$7*FE16*FR16*$ER16*$G16*0.75</f>
        <v>0</v>
      </c>
      <c r="GG16">
        <f t="shared" si="43"/>
        <v>0</v>
      </c>
      <c r="GH16">
        <f t="shared" si="44"/>
        <v>0</v>
      </c>
      <c r="GI16">
        <f t="shared" si="45"/>
        <v>0</v>
      </c>
      <c r="GJ16">
        <f t="shared" si="46"/>
        <v>0</v>
      </c>
      <c r="GK16">
        <f t="shared" si="47"/>
        <v>0</v>
      </c>
      <c r="GL16">
        <f t="shared" si="48"/>
        <v>0</v>
      </c>
      <c r="GM16">
        <f t="shared" si="49"/>
        <v>0</v>
      </c>
      <c r="GN16">
        <f t="shared" si="50"/>
        <v>0</v>
      </c>
      <c r="GO16">
        <f>'Invoer Gebouwschil'!Q16</f>
        <v>0</v>
      </c>
      <c r="GP16">
        <f t="shared" si="51"/>
        <v>0</v>
      </c>
      <c r="GR16">
        <f t="shared" si="52"/>
        <v>1</v>
      </c>
      <c r="GS16">
        <f t="shared" si="53"/>
        <v>0</v>
      </c>
      <c r="GT16">
        <f t="shared" si="54"/>
        <v>0</v>
      </c>
      <c r="GU16">
        <f t="shared" si="55"/>
        <v>0</v>
      </c>
      <c r="GV16">
        <f t="shared" si="56"/>
        <v>0</v>
      </c>
      <c r="GW16">
        <f t="shared" si="57"/>
        <v>0</v>
      </c>
      <c r="GX16">
        <f t="shared" si="58"/>
        <v>0</v>
      </c>
      <c r="GZ16" s="12">
        <f t="shared" si="59"/>
        <v>0</v>
      </c>
      <c r="HA16" s="13">
        <f t="shared" si="60"/>
        <v>0</v>
      </c>
      <c r="HB16" s="13">
        <f t="shared" si="61"/>
        <v>0</v>
      </c>
      <c r="HC16" s="14">
        <f t="shared" si="62"/>
        <v>0</v>
      </c>
      <c r="HE16" s="12">
        <f t="shared" si="63"/>
        <v>0</v>
      </c>
      <c r="HF16" s="13">
        <f t="shared" si="64"/>
        <v>0</v>
      </c>
      <c r="HG16" s="13">
        <f t="shared" si="65"/>
        <v>0</v>
      </c>
      <c r="HH16" s="14">
        <f t="shared" si="66"/>
        <v>0</v>
      </c>
    </row>
    <row r="17" spans="1:216" x14ac:dyDescent="0.2">
      <c r="A17">
        <v>1</v>
      </c>
      <c r="B17">
        <v>1</v>
      </c>
      <c r="C17">
        <v>1</v>
      </c>
      <c r="D17">
        <f>'Invoer Gebouwschil'!D17</f>
        <v>0</v>
      </c>
      <c r="E17">
        <v>1</v>
      </c>
      <c r="F17">
        <v>1</v>
      </c>
      <c r="G17">
        <f>'Invoer Gebouwschil'!H17</f>
        <v>0</v>
      </c>
      <c r="H17">
        <v>1</v>
      </c>
      <c r="I17">
        <v>1</v>
      </c>
      <c r="K17" s="89">
        <f>INDEX('Verwerking Bouwdelen'!$AD$79:$AD$103,'Verwerking Bouwdelen'!E17)</f>
        <v>0</v>
      </c>
      <c r="L17" s="89">
        <v>0.13</v>
      </c>
      <c r="M17" s="89">
        <f t="shared" si="14"/>
        <v>0</v>
      </c>
      <c r="N17" s="89">
        <f>IF(F17=6,1/((1/1/(L18+M18+'Invoer Gebouwschil'!F17))+5),1/(L17+M17+'Invoer Gebouwschil'!F17))</f>
        <v>7.6923076923076916</v>
      </c>
      <c r="O17" s="89">
        <v>0.1</v>
      </c>
      <c r="P17" s="28">
        <f t="shared" si="15"/>
        <v>1</v>
      </c>
      <c r="Q17" s="89">
        <f t="shared" si="0"/>
        <v>0</v>
      </c>
      <c r="R17" s="89">
        <v>19</v>
      </c>
      <c r="S17" s="89"/>
      <c r="T17" s="89">
        <f>$Q17*($R17-Klimaatdata!$B$7)*2.63</f>
        <v>0</v>
      </c>
      <c r="U17" s="89">
        <f>$Q17*($R17-Klimaatdata!$B$8)*2.63</f>
        <v>0</v>
      </c>
      <c r="V17" s="89">
        <f>$Q17*($R17-Klimaatdata!$B$9)*2.63</f>
        <v>0</v>
      </c>
      <c r="W17" s="89">
        <f>$Q17*($R17-Klimaatdata!$B$10)*2.63</f>
        <v>0</v>
      </c>
      <c r="X17" s="89">
        <f>$Q17*($R17-Klimaatdata!$B$11)*2.63</f>
        <v>0</v>
      </c>
      <c r="Y17" s="89">
        <f>$Q17*($R17-Klimaatdata!$B$12)*2.63</f>
        <v>0</v>
      </c>
      <c r="Z17" s="89">
        <f>$Q17*($R17-Klimaatdata!$B$13)*2.63</f>
        <v>0</v>
      </c>
      <c r="AA17" s="89">
        <f>$Q17*($R17-Klimaatdata!$B$14)*2.63</f>
        <v>0</v>
      </c>
      <c r="AB17" s="89">
        <f>$Q17*($R17-Klimaatdata!$B$15)*2.63</f>
        <v>0</v>
      </c>
      <c r="AC17" s="89">
        <f>$Q17*($R17-Klimaatdata!$B$16)*2.63</f>
        <v>0</v>
      </c>
      <c r="AD17" s="89">
        <f>$Q17*($R17-Klimaatdata!$B$17)*2.63</f>
        <v>0</v>
      </c>
      <c r="AE17" s="89">
        <f>$Q17*($R17-Klimaatdata!$B$18)*2.63</f>
        <v>0</v>
      </c>
      <c r="AF17" s="89"/>
      <c r="AG17" s="205">
        <f t="shared" si="16"/>
        <v>0</v>
      </c>
      <c r="AH17" s="25">
        <f t="shared" si="17"/>
        <v>0</v>
      </c>
      <c r="AI17" s="25">
        <f t="shared" si="18"/>
        <v>0</v>
      </c>
      <c r="AJ17" s="206">
        <f t="shared" si="19"/>
        <v>0</v>
      </c>
      <c r="AK17" s="25"/>
      <c r="AL17" s="89">
        <f t="shared" si="20"/>
        <v>1</v>
      </c>
      <c r="AM17" s="89">
        <f t="shared" si="21"/>
        <v>0</v>
      </c>
      <c r="AN17" s="89">
        <f t="shared" si="22"/>
        <v>0</v>
      </c>
      <c r="AO17" s="89">
        <f t="shared" si="23"/>
        <v>0</v>
      </c>
      <c r="AP17" s="89">
        <v>0.1</v>
      </c>
      <c r="AQ17" s="28">
        <v>1</v>
      </c>
      <c r="AR17" s="89">
        <f t="shared" si="1"/>
        <v>0</v>
      </c>
      <c r="AS17" s="89">
        <v>19</v>
      </c>
      <c r="AT17" s="89"/>
      <c r="AU17" s="89">
        <f>$AR17*($R17-Klimaatdata!$B$7)*2.63</f>
        <v>0</v>
      </c>
      <c r="AV17" s="89">
        <f>$AR17*($R17-Klimaatdata!$B$8)*2.63</f>
        <v>0</v>
      </c>
      <c r="AW17" s="89">
        <f>$AR17*($R17-Klimaatdata!$B$9)*2.63</f>
        <v>0</v>
      </c>
      <c r="AX17" s="89">
        <f>$AR17*($R17-Klimaatdata!$B$10)*2.63</f>
        <v>0</v>
      </c>
      <c r="AY17" s="89">
        <f>$AR17*($R17-Klimaatdata!$B$11)*2.63</f>
        <v>0</v>
      </c>
      <c r="AZ17" s="89">
        <f>$AR17*($R17-Klimaatdata!$B$12)*2.63</f>
        <v>0</v>
      </c>
      <c r="BA17" s="89">
        <f>$AR17*($R17-Klimaatdata!$B$13)*2.63</f>
        <v>0</v>
      </c>
      <c r="BB17" s="89">
        <f>$AR17*($R17-Klimaatdata!$B$14)*2.63</f>
        <v>0</v>
      </c>
      <c r="BC17" s="89">
        <f>$AR17*($R17-Klimaatdata!$B$15)*2.63</f>
        <v>0</v>
      </c>
      <c r="BD17" s="89">
        <f>$AR17*($R17-Klimaatdata!$B$16)*2.63</f>
        <v>0</v>
      </c>
      <c r="BE17" s="89">
        <f>$AR17*($R17-Klimaatdata!$B$17)*2.63</f>
        <v>0</v>
      </c>
      <c r="BF17" s="89">
        <f>$AR17*($R17-Klimaatdata!$B$18)*2.63</f>
        <v>0</v>
      </c>
      <c r="BG17" s="25"/>
      <c r="BH17" s="89">
        <f>INDEX('Verwerking Bouwdelen'!$Y$106:$Y$130,H17)</f>
        <v>0</v>
      </c>
      <c r="BI17" s="89"/>
      <c r="BJ17" s="89">
        <f>INDEX(Klimaatdata!$B$27:$K$38,1,$B17)</f>
        <v>0</v>
      </c>
      <c r="BK17" s="89">
        <f>INDEX(Klimaatdata!$B$27:$K$38,2,$B17)</f>
        <v>0</v>
      </c>
      <c r="BL17" s="89">
        <f>INDEX(Klimaatdata!$B$27:$K$38,3,$B17)</f>
        <v>0</v>
      </c>
      <c r="BM17" s="89">
        <f>INDEX(Klimaatdata!$B$27:$K$38,4,$B17)</f>
        <v>0</v>
      </c>
      <c r="BN17" s="89">
        <f>INDEX(Klimaatdata!$B$27:$K$38,5,$B17)</f>
        <v>0</v>
      </c>
      <c r="BO17" s="89">
        <f>INDEX(Klimaatdata!$B$27:$K$38,6,$B17)</f>
        <v>0</v>
      </c>
      <c r="BP17" s="89">
        <f>INDEX(Klimaatdata!$B$27:$K$38,7,$B17)</f>
        <v>0</v>
      </c>
      <c r="BQ17" s="89">
        <f>INDEX(Klimaatdata!$B$27:$K$38,8,$B17)</f>
        <v>0</v>
      </c>
      <c r="BR17" s="89">
        <f>INDEX(Klimaatdata!$B$27:$K$38,9,$B17)</f>
        <v>0</v>
      </c>
      <c r="BS17" s="89">
        <f>INDEX(Klimaatdata!$B$27:$K$38,10,$B17)</f>
        <v>0</v>
      </c>
      <c r="BT17" s="89">
        <f>INDEX(Klimaatdata!$B$27:$K$38,11,$B17)</f>
        <v>0</v>
      </c>
      <c r="BU17" s="89">
        <f>INDEX(Klimaatdata!$B$27:$K$38,12,$B17)</f>
        <v>0</v>
      </c>
      <c r="BW17">
        <f t="shared" si="2"/>
        <v>1</v>
      </c>
      <c r="BX17">
        <f t="shared" si="3"/>
        <v>1</v>
      </c>
      <c r="BY17">
        <f t="shared" si="4"/>
        <v>1</v>
      </c>
      <c r="BZ17">
        <f t="shared" si="5"/>
        <v>1</v>
      </c>
      <c r="CA17">
        <f t="shared" si="6"/>
        <v>1</v>
      </c>
      <c r="CB17">
        <f t="shared" si="7"/>
        <v>1</v>
      </c>
      <c r="CC17">
        <f t="shared" si="8"/>
        <v>1</v>
      </c>
      <c r="CD17">
        <f t="shared" si="9"/>
        <v>1</v>
      </c>
      <c r="CE17">
        <f t="shared" si="10"/>
        <v>1</v>
      </c>
      <c r="CF17">
        <f t="shared" si="11"/>
        <v>1</v>
      </c>
      <c r="CG17">
        <f t="shared" si="12"/>
        <v>1</v>
      </c>
      <c r="CH17">
        <f t="shared" si="13"/>
        <v>1</v>
      </c>
      <c r="CJ17" s="219">
        <f>Klimaatdata!$D$7*BJ17*BW17*$BH17*$G17*0.75</f>
        <v>0</v>
      </c>
      <c r="CK17" s="219">
        <f>Klimaatdata!$E$7*BK17*BX17*$BH17*$G17*0.75</f>
        <v>0</v>
      </c>
      <c r="CL17" s="219">
        <f>Klimaatdata!$F$7*BL17*BY17*$BH17*$G17*0.75</f>
        <v>0</v>
      </c>
      <c r="CM17" s="219">
        <f>Klimaatdata!$G$7*BM17*BZ17*$BH17*$G17*0.75</f>
        <v>0</v>
      </c>
      <c r="CN17" s="219">
        <f>Klimaatdata!$H$7*BN17*CA17*$BH17*$G17*0.75</f>
        <v>0</v>
      </c>
      <c r="CO17" s="219">
        <f>Klimaatdata!$I$7*BO17*CB17*$BH17*$G17*0.75</f>
        <v>0</v>
      </c>
      <c r="CP17" s="219">
        <f>Klimaatdata!$J$7*BP17*CC17*$BH17*$G17*0.75</f>
        <v>0</v>
      </c>
      <c r="CQ17" s="219">
        <f>Klimaatdata!$K$7*BQ17*CD17*$BH17*$G17*0.75</f>
        <v>0</v>
      </c>
      <c r="CR17" s="219">
        <f>Klimaatdata!$L$7*BR17*CE17*$BH17*$G17*0.75</f>
        <v>0</v>
      </c>
      <c r="CS17" s="219">
        <f>Klimaatdata!$M$7*BS17*CF17*$BH17*$G17*0.75</f>
        <v>0</v>
      </c>
      <c r="CT17" s="219">
        <f>Klimaatdata!$N$7*BT17*CG17*$BH17*$G17*0.75</f>
        <v>0</v>
      </c>
      <c r="CU17" s="219">
        <f>Klimaatdata!$O$7*BU17*CH17*$BH17*$G17*0.75</f>
        <v>0</v>
      </c>
      <c r="CX17">
        <v>1</v>
      </c>
      <c r="CY17">
        <v>1</v>
      </c>
      <c r="CZ17">
        <v>1</v>
      </c>
      <c r="DA17">
        <f>'Invoer Gebouwschil'!Q17</f>
        <v>0</v>
      </c>
      <c r="DC17" s="89">
        <f t="shared" si="24"/>
        <v>0</v>
      </c>
      <c r="DD17" s="89">
        <v>0.13</v>
      </c>
      <c r="DE17" s="89">
        <f t="shared" si="25"/>
        <v>0</v>
      </c>
      <c r="DF17" s="89">
        <f>IF(F17=6,1/((1/1/(DD17+DE17+'Invoer Gebouwschil'!M17))+5),1/(DD17+DE17+'Invoer Gebouwschil'!M17))</f>
        <v>7.6923076923076916</v>
      </c>
      <c r="DG17" s="89">
        <v>0.1</v>
      </c>
      <c r="DH17" s="28">
        <f t="shared" si="26"/>
        <v>1</v>
      </c>
      <c r="DI17" s="89">
        <f t="shared" si="27"/>
        <v>0</v>
      </c>
      <c r="DJ17" s="89">
        <v>19</v>
      </c>
      <c r="DK17" s="89"/>
      <c r="DL17" s="89">
        <f>$DI17*($R17-Klimaatdata!$B$7)*2.63</f>
        <v>0</v>
      </c>
      <c r="DM17" s="89">
        <f>$DI17*($R17-Klimaatdata!$B$8)*2.63</f>
        <v>0</v>
      </c>
      <c r="DN17" s="89">
        <f>$DI17*($R17-Klimaatdata!$B$9)*2.63</f>
        <v>0</v>
      </c>
      <c r="DO17" s="89">
        <f>$DI17*($R17-Klimaatdata!$B$10)*2.63</f>
        <v>0</v>
      </c>
      <c r="DP17" s="89">
        <f>$DI17*($R17-Klimaatdata!$B$11)*2.63</f>
        <v>0</v>
      </c>
      <c r="DQ17" s="89">
        <f>$DI17*($R17-Klimaatdata!$B$12)*2.63</f>
        <v>0</v>
      </c>
      <c r="DR17" s="89">
        <f>$DI17*($R17-Klimaatdata!$B$13)*2.63</f>
        <v>0</v>
      </c>
      <c r="DS17" s="89">
        <f>$DI17*($R17-Klimaatdata!$B$14)*2.63</f>
        <v>0</v>
      </c>
      <c r="DT17" s="89">
        <f>$DI17*($R17-Klimaatdata!$B$15)*2.63</f>
        <v>0</v>
      </c>
      <c r="DU17" s="89">
        <f>$DI17*($R17-Klimaatdata!$B$16)*2.63</f>
        <v>0</v>
      </c>
      <c r="DV17" s="89">
        <f>$DI17*($R17-Klimaatdata!$B$17)*2.63</f>
        <v>0</v>
      </c>
      <c r="DW17" s="89">
        <f>$DI17*($R17-Klimaatdata!$B$18)*2.63</f>
        <v>0</v>
      </c>
      <c r="DX17" s="89"/>
      <c r="DY17" s="89">
        <f t="shared" si="28"/>
        <v>0</v>
      </c>
      <c r="DZ17" s="89">
        <v>0.1</v>
      </c>
      <c r="EA17" s="28">
        <v>1</v>
      </c>
      <c r="EB17" s="89">
        <f t="shared" si="29"/>
        <v>0</v>
      </c>
      <c r="EC17" s="89">
        <v>19</v>
      </c>
      <c r="ED17" s="89"/>
      <c r="EE17" s="89">
        <f>$EB17*($R17-Klimaatdata!$B$7)*2.63</f>
        <v>0</v>
      </c>
      <c r="EF17" s="89">
        <f>$EB17*($R17-Klimaatdata!$B$8)*2.63</f>
        <v>0</v>
      </c>
      <c r="EG17" s="89">
        <f>$EB17*($R17-Klimaatdata!$B$9)*2.63</f>
        <v>0</v>
      </c>
      <c r="EH17" s="89">
        <f>$EB17*($R17-Klimaatdata!$B$10)*2.63</f>
        <v>0</v>
      </c>
      <c r="EI17" s="89">
        <f>$EB17*($R17-Klimaatdata!$B$11)*2.63</f>
        <v>0</v>
      </c>
      <c r="EJ17" s="89">
        <f>$EB17*($R17-Klimaatdata!$B$12)*2.63</f>
        <v>0</v>
      </c>
      <c r="EK17" s="89">
        <f>$EB17*($R17-Klimaatdata!$B$13)*2.63</f>
        <v>0</v>
      </c>
      <c r="EL17" s="89">
        <f>$EB17*($R17-Klimaatdata!$B$14)*2.63</f>
        <v>0</v>
      </c>
      <c r="EM17" s="89">
        <f>$EB17*($R17-Klimaatdata!$B$15)*2.63</f>
        <v>0</v>
      </c>
      <c r="EN17" s="89">
        <f>$EB17*($R17-Klimaatdata!$B$16)*2.63</f>
        <v>0</v>
      </c>
      <c r="EO17" s="89">
        <f>$EB17*($R17-Klimaatdata!$B$17)*2.63</f>
        <v>0</v>
      </c>
      <c r="EP17" s="89">
        <f>$EB17*($R17-Klimaatdata!$B$18)*2.63</f>
        <v>0</v>
      </c>
      <c r="EQ17" s="25"/>
      <c r="ER17" s="89">
        <f t="shared" si="30"/>
        <v>0</v>
      </c>
      <c r="ES17" s="89"/>
      <c r="ET17" s="89">
        <f>INDEX(Klimaatdata!$B$27:$K$38,1,$B17)</f>
        <v>0</v>
      </c>
      <c r="EU17" s="89">
        <f>INDEX(Klimaatdata!$B$27:$K$38,2,$B17)</f>
        <v>0</v>
      </c>
      <c r="EV17" s="89">
        <f>INDEX(Klimaatdata!$B$27:$K$38,3,$B17)</f>
        <v>0</v>
      </c>
      <c r="EW17" s="89">
        <f>INDEX(Klimaatdata!$B$27:$K$38,4,$B17)</f>
        <v>0</v>
      </c>
      <c r="EX17" s="89">
        <f>INDEX(Klimaatdata!$B$27:$K$38,5,$B17)</f>
        <v>0</v>
      </c>
      <c r="EY17" s="89">
        <f>INDEX(Klimaatdata!$B$27:$K$38,6,$B17)</f>
        <v>0</v>
      </c>
      <c r="EZ17" s="89">
        <f>INDEX(Klimaatdata!$B$27:$K$38,7,$B17)</f>
        <v>0</v>
      </c>
      <c r="FA17" s="89">
        <f>INDEX(Klimaatdata!$B$27:$K$38,8,$B17)</f>
        <v>0</v>
      </c>
      <c r="FB17" s="89">
        <f>INDEX(Klimaatdata!$B$27:$K$38,9,$B17)</f>
        <v>0</v>
      </c>
      <c r="FC17" s="89">
        <f>INDEX(Klimaatdata!$B$27:$K$38,10,$B17)</f>
        <v>0</v>
      </c>
      <c r="FD17" s="89">
        <f>INDEX(Klimaatdata!$B$27:$K$38,11,$B17)</f>
        <v>0</v>
      </c>
      <c r="FE17" s="89">
        <f>INDEX(Klimaatdata!$B$27:$K$38,12,$B17)</f>
        <v>0</v>
      </c>
      <c r="FG17">
        <f t="shared" si="31"/>
        <v>1</v>
      </c>
      <c r="FH17">
        <f t="shared" si="32"/>
        <v>1</v>
      </c>
      <c r="FI17">
        <f t="shared" si="33"/>
        <v>1</v>
      </c>
      <c r="FJ17">
        <f t="shared" si="34"/>
        <v>1</v>
      </c>
      <c r="FK17">
        <f t="shared" si="35"/>
        <v>1</v>
      </c>
      <c r="FL17">
        <f t="shared" si="36"/>
        <v>1</v>
      </c>
      <c r="FM17">
        <f t="shared" si="37"/>
        <v>1</v>
      </c>
      <c r="FN17">
        <f t="shared" si="38"/>
        <v>1</v>
      </c>
      <c r="FO17">
        <f t="shared" si="39"/>
        <v>1</v>
      </c>
      <c r="FP17">
        <f t="shared" si="40"/>
        <v>1</v>
      </c>
      <c r="FQ17">
        <f t="shared" si="41"/>
        <v>1</v>
      </c>
      <c r="FR17">
        <f t="shared" si="42"/>
        <v>1</v>
      </c>
      <c r="FT17" s="219">
        <f>Klimaatdata!$D$7*ET17*FG17*$ER17*$G17*0.75</f>
        <v>0</v>
      </c>
      <c r="FU17" s="219">
        <f>Klimaatdata!$E$7*EU17*FH17*$ER17*$G17*0.75</f>
        <v>0</v>
      </c>
      <c r="FV17" s="219">
        <f>Klimaatdata!$F$7*EV17*FI17*$ER17*$G17*0.75</f>
        <v>0</v>
      </c>
      <c r="FW17" s="219">
        <f>Klimaatdata!$G$7*EW17*FJ17*$ER17*$G17*0.75</f>
        <v>0</v>
      </c>
      <c r="FX17" s="219">
        <f>Klimaatdata!$H$7*EX17*FK17*$ER17*$G17*0.75</f>
        <v>0</v>
      </c>
      <c r="FY17" s="219">
        <f>Klimaatdata!$I$7*EY17*FL17*$ER17*$G17*0.75</f>
        <v>0</v>
      </c>
      <c r="FZ17" s="219">
        <f>Klimaatdata!$J$7*EZ17*FM17*$ER17*$G17*0.75</f>
        <v>0</v>
      </c>
      <c r="GA17" s="219">
        <f>Klimaatdata!$K$7*FA17*FN17*$ER17*$G17*0.75</f>
        <v>0</v>
      </c>
      <c r="GB17" s="219">
        <f>Klimaatdata!$L$7*FB17*FO17*$ER17*$G17*0.75</f>
        <v>0</v>
      </c>
      <c r="GC17" s="219">
        <f>Klimaatdata!$M$7*FC17*FP17*$ER17*$G17*0.75</f>
        <v>0</v>
      </c>
      <c r="GD17" s="219">
        <f>Klimaatdata!$N$7*FD17*FQ17*$ER17*$G17*0.75</f>
        <v>0</v>
      </c>
      <c r="GE17" s="219">
        <f>Klimaatdata!$O$7*FE17*FR17*$ER17*$G17*0.75</f>
        <v>0</v>
      </c>
      <c r="GG17">
        <f t="shared" si="43"/>
        <v>0</v>
      </c>
      <c r="GH17">
        <f t="shared" si="44"/>
        <v>0</v>
      </c>
      <c r="GI17">
        <f t="shared" si="45"/>
        <v>0</v>
      </c>
      <c r="GJ17">
        <f t="shared" si="46"/>
        <v>0</v>
      </c>
      <c r="GK17">
        <f t="shared" si="47"/>
        <v>0</v>
      </c>
      <c r="GL17">
        <f t="shared" si="48"/>
        <v>0</v>
      </c>
      <c r="GM17">
        <f t="shared" si="49"/>
        <v>0</v>
      </c>
      <c r="GN17">
        <f t="shared" si="50"/>
        <v>0</v>
      </c>
      <c r="GO17">
        <f>'Invoer Gebouwschil'!Q17</f>
        <v>0</v>
      </c>
      <c r="GP17">
        <f t="shared" si="51"/>
        <v>0</v>
      </c>
      <c r="GR17">
        <f t="shared" si="52"/>
        <v>1</v>
      </c>
      <c r="GS17">
        <f t="shared" si="53"/>
        <v>0</v>
      </c>
      <c r="GT17">
        <f t="shared" si="54"/>
        <v>0</v>
      </c>
      <c r="GU17">
        <f t="shared" si="55"/>
        <v>0</v>
      </c>
      <c r="GV17">
        <f t="shared" si="56"/>
        <v>0</v>
      </c>
      <c r="GW17">
        <f t="shared" si="57"/>
        <v>0</v>
      </c>
      <c r="GX17">
        <f t="shared" si="58"/>
        <v>0</v>
      </c>
      <c r="GZ17" s="12">
        <f t="shared" si="59"/>
        <v>0</v>
      </c>
      <c r="HA17" s="13">
        <f t="shared" si="60"/>
        <v>0</v>
      </c>
      <c r="HB17" s="13">
        <f t="shared" si="61"/>
        <v>0</v>
      </c>
      <c r="HC17" s="14">
        <f t="shared" si="62"/>
        <v>0</v>
      </c>
      <c r="HE17" s="12">
        <f t="shared" si="63"/>
        <v>0</v>
      </c>
      <c r="HF17" s="13">
        <f t="shared" si="64"/>
        <v>0</v>
      </c>
      <c r="HG17" s="13">
        <f t="shared" si="65"/>
        <v>0</v>
      </c>
      <c r="HH17" s="14">
        <f t="shared" si="66"/>
        <v>0</v>
      </c>
    </row>
    <row r="18" spans="1:216" x14ac:dyDescent="0.2">
      <c r="A18">
        <v>1</v>
      </c>
      <c r="B18">
        <v>1</v>
      </c>
      <c r="C18">
        <v>1</v>
      </c>
      <c r="D18">
        <f>'Invoer Gebouwschil'!D18</f>
        <v>0</v>
      </c>
      <c r="E18">
        <v>1</v>
      </c>
      <c r="F18">
        <v>1</v>
      </c>
      <c r="G18">
        <f>'Invoer Gebouwschil'!H18</f>
        <v>0</v>
      </c>
      <c r="H18">
        <v>1</v>
      </c>
      <c r="I18">
        <v>1</v>
      </c>
      <c r="K18" s="89">
        <f>INDEX('Verwerking Bouwdelen'!$AF$79:$AF$103,'Verwerking Bouwdelen'!E18)</f>
        <v>0</v>
      </c>
      <c r="L18" s="89">
        <v>0.13</v>
      </c>
      <c r="M18" s="89">
        <f t="shared" si="14"/>
        <v>0</v>
      </c>
      <c r="N18" s="89">
        <f>IF(F18=6,1/((1/1/(L19+M19+'Invoer Gebouwschil'!F18))+5),1/(L18+M18+'Invoer Gebouwschil'!F18))</f>
        <v>7.6923076923076916</v>
      </c>
      <c r="O18" s="89">
        <v>0.1</v>
      </c>
      <c r="P18" s="28">
        <f t="shared" si="15"/>
        <v>1</v>
      </c>
      <c r="Q18" s="89">
        <f t="shared" si="0"/>
        <v>0</v>
      </c>
      <c r="R18" s="89">
        <v>19</v>
      </c>
      <c r="S18" s="89"/>
      <c r="T18" s="89">
        <f>$Q18*($R18-Klimaatdata!$B$7)*2.63</f>
        <v>0</v>
      </c>
      <c r="U18" s="89">
        <f>$Q18*($R18-Klimaatdata!$B$8)*2.63</f>
        <v>0</v>
      </c>
      <c r="V18" s="89">
        <f>$Q18*($R18-Klimaatdata!$B$9)*2.63</f>
        <v>0</v>
      </c>
      <c r="W18" s="89">
        <f>$Q18*($R18-Klimaatdata!$B$10)*2.63</f>
        <v>0</v>
      </c>
      <c r="X18" s="89">
        <f>$Q18*($R18-Klimaatdata!$B$11)*2.63</f>
        <v>0</v>
      </c>
      <c r="Y18" s="89">
        <f>$Q18*($R18-Klimaatdata!$B$12)*2.63</f>
        <v>0</v>
      </c>
      <c r="Z18" s="89">
        <f>$Q18*($R18-Klimaatdata!$B$13)*2.63</f>
        <v>0</v>
      </c>
      <c r="AA18" s="89">
        <f>$Q18*($R18-Klimaatdata!$B$14)*2.63</f>
        <v>0</v>
      </c>
      <c r="AB18" s="89">
        <f>$Q18*($R18-Klimaatdata!$B$15)*2.63</f>
        <v>0</v>
      </c>
      <c r="AC18" s="89">
        <f>$Q18*($R18-Klimaatdata!$B$16)*2.63</f>
        <v>0</v>
      </c>
      <c r="AD18" s="89">
        <f>$Q18*($R18-Klimaatdata!$B$17)*2.63</f>
        <v>0</v>
      </c>
      <c r="AE18" s="89">
        <f>$Q18*($R18-Klimaatdata!$B$18)*2.63</f>
        <v>0</v>
      </c>
      <c r="AF18" s="89"/>
      <c r="AG18" s="205">
        <f t="shared" si="16"/>
        <v>0</v>
      </c>
      <c r="AH18" s="25">
        <f t="shared" si="17"/>
        <v>0</v>
      </c>
      <c r="AI18" s="25">
        <f t="shared" si="18"/>
        <v>0</v>
      </c>
      <c r="AJ18" s="206">
        <f t="shared" si="19"/>
        <v>0</v>
      </c>
      <c r="AK18" s="25"/>
      <c r="AL18" s="89">
        <f t="shared" si="20"/>
        <v>1</v>
      </c>
      <c r="AM18" s="89">
        <f t="shared" si="21"/>
        <v>0</v>
      </c>
      <c r="AN18" s="89">
        <f t="shared" si="22"/>
        <v>0</v>
      </c>
      <c r="AO18" s="89">
        <f t="shared" si="23"/>
        <v>0</v>
      </c>
      <c r="AP18" s="89">
        <v>0.1</v>
      </c>
      <c r="AQ18" s="28">
        <v>1</v>
      </c>
      <c r="AR18" s="89">
        <f t="shared" si="1"/>
        <v>0</v>
      </c>
      <c r="AS18" s="89">
        <v>19</v>
      </c>
      <c r="AT18" s="89"/>
      <c r="AU18" s="89">
        <f>$AR18*($R18-Klimaatdata!$B$7)*2.63</f>
        <v>0</v>
      </c>
      <c r="AV18" s="89">
        <f>$AR18*($R18-Klimaatdata!$B$8)*2.63</f>
        <v>0</v>
      </c>
      <c r="AW18" s="89">
        <f>$AR18*($R18-Klimaatdata!$B$9)*2.63</f>
        <v>0</v>
      </c>
      <c r="AX18" s="89">
        <f>$AR18*($R18-Klimaatdata!$B$10)*2.63</f>
        <v>0</v>
      </c>
      <c r="AY18" s="89">
        <f>$AR18*($R18-Klimaatdata!$B$11)*2.63</f>
        <v>0</v>
      </c>
      <c r="AZ18" s="89">
        <f>$AR18*($R18-Klimaatdata!$B$12)*2.63</f>
        <v>0</v>
      </c>
      <c r="BA18" s="89">
        <f>$AR18*($R18-Klimaatdata!$B$13)*2.63</f>
        <v>0</v>
      </c>
      <c r="BB18" s="89">
        <f>$AR18*($R18-Klimaatdata!$B$14)*2.63</f>
        <v>0</v>
      </c>
      <c r="BC18" s="89">
        <f>$AR18*($R18-Klimaatdata!$B$15)*2.63</f>
        <v>0</v>
      </c>
      <c r="BD18" s="89">
        <f>$AR18*($R18-Klimaatdata!$B$16)*2.63</f>
        <v>0</v>
      </c>
      <c r="BE18" s="89">
        <f>$AR18*($R18-Klimaatdata!$B$17)*2.63</f>
        <v>0</v>
      </c>
      <c r="BF18" s="89">
        <f>$AR18*($R18-Klimaatdata!$B$18)*2.63</f>
        <v>0</v>
      </c>
      <c r="BG18" s="25"/>
      <c r="BH18" s="89">
        <f>INDEX('Verwerking Bouwdelen'!$Y$106:$Y$130,H18)</f>
        <v>0</v>
      </c>
      <c r="BI18" s="89"/>
      <c r="BJ18" s="89">
        <f>INDEX(Klimaatdata!$B$27:$K$38,1,$B18)</f>
        <v>0</v>
      </c>
      <c r="BK18" s="89">
        <f>INDEX(Klimaatdata!$B$27:$K$38,2,$B18)</f>
        <v>0</v>
      </c>
      <c r="BL18" s="89">
        <f>INDEX(Klimaatdata!$B$27:$K$38,3,$B18)</f>
        <v>0</v>
      </c>
      <c r="BM18" s="89">
        <f>INDEX(Klimaatdata!$B$27:$K$38,4,$B18)</f>
        <v>0</v>
      </c>
      <c r="BN18" s="89">
        <f>INDEX(Klimaatdata!$B$27:$K$38,5,$B18)</f>
        <v>0</v>
      </c>
      <c r="BO18" s="89">
        <f>INDEX(Klimaatdata!$B$27:$K$38,6,$B18)</f>
        <v>0</v>
      </c>
      <c r="BP18" s="89">
        <f>INDEX(Klimaatdata!$B$27:$K$38,7,$B18)</f>
        <v>0</v>
      </c>
      <c r="BQ18" s="89">
        <f>INDEX(Klimaatdata!$B$27:$K$38,8,$B18)</f>
        <v>0</v>
      </c>
      <c r="BR18" s="89">
        <f>INDEX(Klimaatdata!$B$27:$K$38,9,$B18)</f>
        <v>0</v>
      </c>
      <c r="BS18" s="89">
        <f>INDEX(Klimaatdata!$B$27:$K$38,10,$B18)</f>
        <v>0</v>
      </c>
      <c r="BT18" s="89">
        <f>INDEX(Klimaatdata!$B$27:$K$38,11,$B18)</f>
        <v>0</v>
      </c>
      <c r="BU18" s="89">
        <f>INDEX(Klimaatdata!$B$27:$K$38,12,$B18)</f>
        <v>0</v>
      </c>
      <c r="BW18">
        <f t="shared" si="2"/>
        <v>1</v>
      </c>
      <c r="BX18">
        <f t="shared" si="3"/>
        <v>1</v>
      </c>
      <c r="BY18">
        <f t="shared" si="4"/>
        <v>1</v>
      </c>
      <c r="BZ18">
        <f t="shared" si="5"/>
        <v>1</v>
      </c>
      <c r="CA18">
        <f t="shared" si="6"/>
        <v>1</v>
      </c>
      <c r="CB18">
        <f t="shared" si="7"/>
        <v>1</v>
      </c>
      <c r="CC18">
        <f t="shared" si="8"/>
        <v>1</v>
      </c>
      <c r="CD18">
        <f t="shared" si="9"/>
        <v>1</v>
      </c>
      <c r="CE18">
        <f t="shared" si="10"/>
        <v>1</v>
      </c>
      <c r="CF18">
        <f t="shared" si="11"/>
        <v>1</v>
      </c>
      <c r="CG18">
        <f t="shared" si="12"/>
        <v>1</v>
      </c>
      <c r="CH18">
        <f t="shared" si="13"/>
        <v>1</v>
      </c>
      <c r="CJ18" s="219">
        <f>Klimaatdata!$D$7*BJ18*BW18*$BH18*$G18*0.75</f>
        <v>0</v>
      </c>
      <c r="CK18" s="219">
        <f>Klimaatdata!$E$7*BK18*BX18*$BH18*$G18*0.75</f>
        <v>0</v>
      </c>
      <c r="CL18" s="219">
        <f>Klimaatdata!$F$7*BL18*BY18*$BH18*$G18*0.75</f>
        <v>0</v>
      </c>
      <c r="CM18" s="219">
        <f>Klimaatdata!$G$7*BM18*BZ18*$BH18*$G18*0.75</f>
        <v>0</v>
      </c>
      <c r="CN18" s="219">
        <f>Klimaatdata!$H$7*BN18*CA18*$BH18*$G18*0.75</f>
        <v>0</v>
      </c>
      <c r="CO18" s="219">
        <f>Klimaatdata!$I$7*BO18*CB18*$BH18*$G18*0.75</f>
        <v>0</v>
      </c>
      <c r="CP18" s="219">
        <f>Klimaatdata!$J$7*BP18*CC18*$BH18*$G18*0.75</f>
        <v>0</v>
      </c>
      <c r="CQ18" s="219">
        <f>Klimaatdata!$K$7*BQ18*CD18*$BH18*$G18*0.75</f>
        <v>0</v>
      </c>
      <c r="CR18" s="219">
        <f>Klimaatdata!$L$7*BR18*CE18*$BH18*$G18*0.75</f>
        <v>0</v>
      </c>
      <c r="CS18" s="219">
        <f>Klimaatdata!$M$7*BS18*CF18*$BH18*$G18*0.75</f>
        <v>0</v>
      </c>
      <c r="CT18" s="219">
        <f>Klimaatdata!$N$7*BT18*CG18*$BH18*$G18*0.75</f>
        <v>0</v>
      </c>
      <c r="CU18" s="219">
        <f>Klimaatdata!$O$7*BU18*CH18*$BH18*$G18*0.75</f>
        <v>0</v>
      </c>
      <c r="CX18">
        <v>1</v>
      </c>
      <c r="CY18">
        <v>1</v>
      </c>
      <c r="CZ18">
        <v>1</v>
      </c>
      <c r="DA18">
        <f>'Invoer Gebouwschil'!Q18</f>
        <v>0</v>
      </c>
      <c r="DC18" s="89">
        <f t="shared" si="24"/>
        <v>0</v>
      </c>
      <c r="DD18" s="89">
        <v>0.13</v>
      </c>
      <c r="DE18" s="89">
        <f t="shared" si="25"/>
        <v>0</v>
      </c>
      <c r="DF18" s="89">
        <f>IF(F18=6,1/((1/1/(DD18+DE18+'Invoer Gebouwschil'!M18))+5),1/(DD18+DE18+'Invoer Gebouwschil'!M18))</f>
        <v>7.6923076923076916</v>
      </c>
      <c r="DG18" s="89">
        <v>0.1</v>
      </c>
      <c r="DH18" s="28">
        <f t="shared" si="26"/>
        <v>1</v>
      </c>
      <c r="DI18" s="89">
        <f t="shared" si="27"/>
        <v>0</v>
      </c>
      <c r="DJ18" s="89">
        <v>19</v>
      </c>
      <c r="DK18" s="89"/>
      <c r="DL18" s="89">
        <f>$DI18*($R18-Klimaatdata!$B$7)*2.63</f>
        <v>0</v>
      </c>
      <c r="DM18" s="89">
        <f>$DI18*($R18-Klimaatdata!$B$8)*2.63</f>
        <v>0</v>
      </c>
      <c r="DN18" s="89">
        <f>$DI18*($R18-Klimaatdata!$B$9)*2.63</f>
        <v>0</v>
      </c>
      <c r="DO18" s="89">
        <f>$DI18*($R18-Klimaatdata!$B$10)*2.63</f>
        <v>0</v>
      </c>
      <c r="DP18" s="89">
        <f>$DI18*($R18-Klimaatdata!$B$11)*2.63</f>
        <v>0</v>
      </c>
      <c r="DQ18" s="89">
        <f>$DI18*($R18-Klimaatdata!$B$12)*2.63</f>
        <v>0</v>
      </c>
      <c r="DR18" s="89">
        <f>$DI18*($R18-Klimaatdata!$B$13)*2.63</f>
        <v>0</v>
      </c>
      <c r="DS18" s="89">
        <f>$DI18*($R18-Klimaatdata!$B$14)*2.63</f>
        <v>0</v>
      </c>
      <c r="DT18" s="89">
        <f>$DI18*($R18-Klimaatdata!$B$15)*2.63</f>
        <v>0</v>
      </c>
      <c r="DU18" s="89">
        <f>$DI18*($R18-Klimaatdata!$B$16)*2.63</f>
        <v>0</v>
      </c>
      <c r="DV18" s="89">
        <f>$DI18*($R18-Klimaatdata!$B$17)*2.63</f>
        <v>0</v>
      </c>
      <c r="DW18" s="89">
        <f>$DI18*($R18-Klimaatdata!$B$18)*2.63</f>
        <v>0</v>
      </c>
      <c r="DX18" s="89"/>
      <c r="DY18" s="89">
        <f t="shared" si="28"/>
        <v>0</v>
      </c>
      <c r="DZ18" s="89">
        <v>0.1</v>
      </c>
      <c r="EA18" s="28">
        <v>1</v>
      </c>
      <c r="EB18" s="89">
        <f t="shared" si="29"/>
        <v>0</v>
      </c>
      <c r="EC18" s="89">
        <v>19</v>
      </c>
      <c r="ED18" s="89"/>
      <c r="EE18" s="89">
        <f>$EB18*($R18-Klimaatdata!$B$7)*2.63</f>
        <v>0</v>
      </c>
      <c r="EF18" s="89">
        <f>$EB18*($R18-Klimaatdata!$B$8)*2.63</f>
        <v>0</v>
      </c>
      <c r="EG18" s="89">
        <f>$EB18*($R18-Klimaatdata!$B$9)*2.63</f>
        <v>0</v>
      </c>
      <c r="EH18" s="89">
        <f>$EB18*($R18-Klimaatdata!$B$10)*2.63</f>
        <v>0</v>
      </c>
      <c r="EI18" s="89">
        <f>$EB18*($R18-Klimaatdata!$B$11)*2.63</f>
        <v>0</v>
      </c>
      <c r="EJ18" s="89">
        <f>$EB18*($R18-Klimaatdata!$B$12)*2.63</f>
        <v>0</v>
      </c>
      <c r="EK18" s="89">
        <f>$EB18*($R18-Klimaatdata!$B$13)*2.63</f>
        <v>0</v>
      </c>
      <c r="EL18" s="89">
        <f>$EB18*($R18-Klimaatdata!$B$14)*2.63</f>
        <v>0</v>
      </c>
      <c r="EM18" s="89">
        <f>$EB18*($R18-Klimaatdata!$B$15)*2.63</f>
        <v>0</v>
      </c>
      <c r="EN18" s="89">
        <f>$EB18*($R18-Klimaatdata!$B$16)*2.63</f>
        <v>0</v>
      </c>
      <c r="EO18" s="89">
        <f>$EB18*($R18-Klimaatdata!$B$17)*2.63</f>
        <v>0</v>
      </c>
      <c r="EP18" s="89">
        <f>$EB18*($R18-Klimaatdata!$B$18)*2.63</f>
        <v>0</v>
      </c>
      <c r="EQ18" s="25"/>
      <c r="ER18" s="89">
        <f t="shared" si="30"/>
        <v>0</v>
      </c>
      <c r="ES18" s="89"/>
      <c r="ET18" s="89">
        <f>INDEX(Klimaatdata!$B$27:$K$38,1,$B18)</f>
        <v>0</v>
      </c>
      <c r="EU18" s="89">
        <f>INDEX(Klimaatdata!$B$27:$K$38,2,$B18)</f>
        <v>0</v>
      </c>
      <c r="EV18" s="89">
        <f>INDEX(Klimaatdata!$B$27:$K$38,3,$B18)</f>
        <v>0</v>
      </c>
      <c r="EW18" s="89">
        <f>INDEX(Klimaatdata!$B$27:$K$38,4,$B18)</f>
        <v>0</v>
      </c>
      <c r="EX18" s="89">
        <f>INDEX(Klimaatdata!$B$27:$K$38,5,$B18)</f>
        <v>0</v>
      </c>
      <c r="EY18" s="89">
        <f>INDEX(Klimaatdata!$B$27:$K$38,6,$B18)</f>
        <v>0</v>
      </c>
      <c r="EZ18" s="89">
        <f>INDEX(Klimaatdata!$B$27:$K$38,7,$B18)</f>
        <v>0</v>
      </c>
      <c r="FA18" s="89">
        <f>INDEX(Klimaatdata!$B$27:$K$38,8,$B18)</f>
        <v>0</v>
      </c>
      <c r="FB18" s="89">
        <f>INDEX(Klimaatdata!$B$27:$K$38,9,$B18)</f>
        <v>0</v>
      </c>
      <c r="FC18" s="89">
        <f>INDEX(Klimaatdata!$B$27:$K$38,10,$B18)</f>
        <v>0</v>
      </c>
      <c r="FD18" s="89">
        <f>INDEX(Klimaatdata!$B$27:$K$38,11,$B18)</f>
        <v>0</v>
      </c>
      <c r="FE18" s="89">
        <f>INDEX(Klimaatdata!$B$27:$K$38,12,$B18)</f>
        <v>0</v>
      </c>
      <c r="FG18">
        <f t="shared" si="31"/>
        <v>1</v>
      </c>
      <c r="FH18">
        <f t="shared" si="32"/>
        <v>1</v>
      </c>
      <c r="FI18">
        <f t="shared" si="33"/>
        <v>1</v>
      </c>
      <c r="FJ18">
        <f t="shared" si="34"/>
        <v>1</v>
      </c>
      <c r="FK18">
        <f t="shared" si="35"/>
        <v>1</v>
      </c>
      <c r="FL18">
        <f t="shared" si="36"/>
        <v>1</v>
      </c>
      <c r="FM18">
        <f t="shared" si="37"/>
        <v>1</v>
      </c>
      <c r="FN18">
        <f t="shared" si="38"/>
        <v>1</v>
      </c>
      <c r="FO18">
        <f t="shared" si="39"/>
        <v>1</v>
      </c>
      <c r="FP18">
        <f t="shared" si="40"/>
        <v>1</v>
      </c>
      <c r="FQ18">
        <f t="shared" si="41"/>
        <v>1</v>
      </c>
      <c r="FR18">
        <f t="shared" si="42"/>
        <v>1</v>
      </c>
      <c r="FT18" s="219">
        <f>Klimaatdata!$D$7*ET18*FG18*$ER18*$G18*0.75</f>
        <v>0</v>
      </c>
      <c r="FU18" s="219">
        <f>Klimaatdata!$E$7*EU18*FH18*$ER18*$G18*0.75</f>
        <v>0</v>
      </c>
      <c r="FV18" s="219">
        <f>Klimaatdata!$F$7*EV18*FI18*$ER18*$G18*0.75</f>
        <v>0</v>
      </c>
      <c r="FW18" s="219">
        <f>Klimaatdata!$G$7*EW18*FJ18*$ER18*$G18*0.75</f>
        <v>0</v>
      </c>
      <c r="FX18" s="219">
        <f>Klimaatdata!$H$7*EX18*FK18*$ER18*$G18*0.75</f>
        <v>0</v>
      </c>
      <c r="FY18" s="219">
        <f>Klimaatdata!$I$7*EY18*FL18*$ER18*$G18*0.75</f>
        <v>0</v>
      </c>
      <c r="FZ18" s="219">
        <f>Klimaatdata!$J$7*EZ18*FM18*$ER18*$G18*0.75</f>
        <v>0</v>
      </c>
      <c r="GA18" s="219">
        <f>Klimaatdata!$K$7*FA18*FN18*$ER18*$G18*0.75</f>
        <v>0</v>
      </c>
      <c r="GB18" s="219">
        <f>Klimaatdata!$L$7*FB18*FO18*$ER18*$G18*0.75</f>
        <v>0</v>
      </c>
      <c r="GC18" s="219">
        <f>Klimaatdata!$M$7*FC18*FP18*$ER18*$G18*0.75</f>
        <v>0</v>
      </c>
      <c r="GD18" s="219">
        <f>Klimaatdata!$N$7*FD18*FQ18*$ER18*$G18*0.75</f>
        <v>0</v>
      </c>
      <c r="GE18" s="219">
        <f>Klimaatdata!$O$7*FE18*FR18*$ER18*$G18*0.75</f>
        <v>0</v>
      </c>
      <c r="GG18">
        <f t="shared" si="43"/>
        <v>0</v>
      </c>
      <c r="GH18">
        <f t="shared" si="44"/>
        <v>0</v>
      </c>
      <c r="GI18">
        <f t="shared" si="45"/>
        <v>0</v>
      </c>
      <c r="GJ18">
        <f t="shared" si="46"/>
        <v>0</v>
      </c>
      <c r="GK18">
        <f t="shared" si="47"/>
        <v>0</v>
      </c>
      <c r="GL18">
        <f t="shared" si="48"/>
        <v>0</v>
      </c>
      <c r="GM18">
        <f t="shared" si="49"/>
        <v>0</v>
      </c>
      <c r="GN18">
        <f t="shared" si="50"/>
        <v>0</v>
      </c>
      <c r="GO18">
        <f>'Invoer Gebouwschil'!Q18</f>
        <v>0</v>
      </c>
      <c r="GP18">
        <f t="shared" si="51"/>
        <v>0</v>
      </c>
      <c r="GR18">
        <f t="shared" si="52"/>
        <v>1</v>
      </c>
      <c r="GS18">
        <f t="shared" si="53"/>
        <v>0</v>
      </c>
      <c r="GT18">
        <f t="shared" si="54"/>
        <v>0</v>
      </c>
      <c r="GU18">
        <f t="shared" si="55"/>
        <v>0</v>
      </c>
      <c r="GV18">
        <f t="shared" si="56"/>
        <v>0</v>
      </c>
      <c r="GW18">
        <f t="shared" si="57"/>
        <v>0</v>
      </c>
      <c r="GX18">
        <f t="shared" si="58"/>
        <v>0</v>
      </c>
      <c r="GZ18" s="12">
        <f t="shared" si="59"/>
        <v>0</v>
      </c>
      <c r="HA18" s="13">
        <f t="shared" si="60"/>
        <v>0</v>
      </c>
      <c r="HB18" s="13">
        <f t="shared" si="61"/>
        <v>0</v>
      </c>
      <c r="HC18" s="14">
        <f t="shared" si="62"/>
        <v>0</v>
      </c>
      <c r="HE18" s="12">
        <f t="shared" si="63"/>
        <v>0</v>
      </c>
      <c r="HF18" s="13">
        <f t="shared" si="64"/>
        <v>0</v>
      </c>
      <c r="HG18" s="13">
        <f t="shared" si="65"/>
        <v>0</v>
      </c>
      <c r="HH18" s="14">
        <f t="shared" si="66"/>
        <v>0</v>
      </c>
    </row>
    <row r="19" spans="1:216" x14ac:dyDescent="0.2">
      <c r="A19">
        <v>1</v>
      </c>
      <c r="B19">
        <v>1</v>
      </c>
      <c r="C19">
        <v>1</v>
      </c>
      <c r="D19">
        <f>'Invoer Gebouwschil'!D19</f>
        <v>0</v>
      </c>
      <c r="E19">
        <v>1</v>
      </c>
      <c r="F19">
        <v>1</v>
      </c>
      <c r="G19">
        <f>'Invoer Gebouwschil'!H19</f>
        <v>0</v>
      </c>
      <c r="H19">
        <v>1</v>
      </c>
      <c r="I19">
        <v>1</v>
      </c>
      <c r="K19" s="89">
        <f>INDEX('Verwerking Bouwdelen'!$AH$79:$AH$103,'Verwerking Bouwdelen'!E19)</f>
        <v>0</v>
      </c>
      <c r="L19" s="89">
        <v>0.13</v>
      </c>
      <c r="M19" s="89">
        <f t="shared" si="14"/>
        <v>0</v>
      </c>
      <c r="N19" s="89">
        <f>IF(F19=6,1/((1/1/(L20+M20+'Invoer Gebouwschil'!F19))+5),1/(L19+M19+'Invoer Gebouwschil'!F19))</f>
        <v>7.6923076923076916</v>
      </c>
      <c r="O19" s="89">
        <v>0.1</v>
      </c>
      <c r="P19" s="28">
        <f t="shared" si="15"/>
        <v>1</v>
      </c>
      <c r="Q19" s="89">
        <f t="shared" si="0"/>
        <v>0</v>
      </c>
      <c r="R19" s="89">
        <v>19</v>
      </c>
      <c r="S19" s="89"/>
      <c r="T19" s="89">
        <f>$Q19*($R19-Klimaatdata!$B$7)*2.63</f>
        <v>0</v>
      </c>
      <c r="U19" s="89">
        <f>$Q19*($R19-Klimaatdata!$B$8)*2.63</f>
        <v>0</v>
      </c>
      <c r="V19" s="89">
        <f>$Q19*($R19-Klimaatdata!$B$9)*2.63</f>
        <v>0</v>
      </c>
      <c r="W19" s="89">
        <f>$Q19*($R19-Klimaatdata!$B$10)*2.63</f>
        <v>0</v>
      </c>
      <c r="X19" s="89">
        <f>$Q19*($R19-Klimaatdata!$B$11)*2.63</f>
        <v>0</v>
      </c>
      <c r="Y19" s="89">
        <f>$Q19*($R19-Klimaatdata!$B$12)*2.63</f>
        <v>0</v>
      </c>
      <c r="Z19" s="89">
        <f>$Q19*($R19-Klimaatdata!$B$13)*2.63</f>
        <v>0</v>
      </c>
      <c r="AA19" s="89">
        <f>$Q19*($R19-Klimaatdata!$B$14)*2.63</f>
        <v>0</v>
      </c>
      <c r="AB19" s="89">
        <f>$Q19*($R19-Klimaatdata!$B$15)*2.63</f>
        <v>0</v>
      </c>
      <c r="AC19" s="89">
        <f>$Q19*($R19-Klimaatdata!$B$16)*2.63</f>
        <v>0</v>
      </c>
      <c r="AD19" s="89">
        <f>$Q19*($R19-Klimaatdata!$B$17)*2.63</f>
        <v>0</v>
      </c>
      <c r="AE19" s="89">
        <f>$Q19*($R19-Klimaatdata!$B$18)*2.63</f>
        <v>0</v>
      </c>
      <c r="AF19" s="89"/>
      <c r="AG19" s="205">
        <f t="shared" si="16"/>
        <v>0</v>
      </c>
      <c r="AH19" s="25">
        <f t="shared" si="17"/>
        <v>0</v>
      </c>
      <c r="AI19" s="25">
        <f t="shared" si="18"/>
        <v>0</v>
      </c>
      <c r="AJ19" s="206">
        <f t="shared" si="19"/>
        <v>0</v>
      </c>
      <c r="AK19" s="25"/>
      <c r="AL19" s="89">
        <f t="shared" si="20"/>
        <v>1</v>
      </c>
      <c r="AM19" s="89">
        <f t="shared" si="21"/>
        <v>0</v>
      </c>
      <c r="AN19" s="89">
        <f t="shared" si="22"/>
        <v>0</v>
      </c>
      <c r="AO19" s="89">
        <f t="shared" si="23"/>
        <v>0</v>
      </c>
      <c r="AP19" s="89">
        <v>0.1</v>
      </c>
      <c r="AQ19" s="28">
        <v>1</v>
      </c>
      <c r="AR19" s="89">
        <f t="shared" si="1"/>
        <v>0</v>
      </c>
      <c r="AS19" s="89">
        <v>19</v>
      </c>
      <c r="AT19" s="89"/>
      <c r="AU19" s="89">
        <f>$AR19*($R19-Klimaatdata!$B$7)*2.63</f>
        <v>0</v>
      </c>
      <c r="AV19" s="89">
        <f>$AR19*($R19-Klimaatdata!$B$8)*2.63</f>
        <v>0</v>
      </c>
      <c r="AW19" s="89">
        <f>$AR19*($R19-Klimaatdata!$B$9)*2.63</f>
        <v>0</v>
      </c>
      <c r="AX19" s="89">
        <f>$AR19*($R19-Klimaatdata!$B$10)*2.63</f>
        <v>0</v>
      </c>
      <c r="AY19" s="89">
        <f>$AR19*($R19-Klimaatdata!$B$11)*2.63</f>
        <v>0</v>
      </c>
      <c r="AZ19" s="89">
        <f>$AR19*($R19-Klimaatdata!$B$12)*2.63</f>
        <v>0</v>
      </c>
      <c r="BA19" s="89">
        <f>$AR19*($R19-Klimaatdata!$B$13)*2.63</f>
        <v>0</v>
      </c>
      <c r="BB19" s="89">
        <f>$AR19*($R19-Klimaatdata!$B$14)*2.63</f>
        <v>0</v>
      </c>
      <c r="BC19" s="89">
        <f>$AR19*($R19-Klimaatdata!$B$15)*2.63</f>
        <v>0</v>
      </c>
      <c r="BD19" s="89">
        <f>$AR19*($R19-Klimaatdata!$B$16)*2.63</f>
        <v>0</v>
      </c>
      <c r="BE19" s="89">
        <f>$AR19*($R19-Klimaatdata!$B$17)*2.63</f>
        <v>0</v>
      </c>
      <c r="BF19" s="89">
        <f>$AR19*($R19-Klimaatdata!$B$18)*2.63</f>
        <v>0</v>
      </c>
      <c r="BG19" s="25"/>
      <c r="BH19" s="89">
        <f>INDEX('Verwerking Bouwdelen'!$Y$106:$Y$130,H19)</f>
        <v>0</v>
      </c>
      <c r="BI19" s="89"/>
      <c r="BJ19" s="89">
        <f>INDEX(Klimaatdata!$B$27:$K$38,1,$B19)</f>
        <v>0</v>
      </c>
      <c r="BK19" s="89">
        <f>INDEX(Klimaatdata!$B$27:$K$38,2,$B19)</f>
        <v>0</v>
      </c>
      <c r="BL19" s="89">
        <f>INDEX(Klimaatdata!$B$27:$K$38,3,$B19)</f>
        <v>0</v>
      </c>
      <c r="BM19" s="89">
        <f>INDEX(Klimaatdata!$B$27:$K$38,4,$B19)</f>
        <v>0</v>
      </c>
      <c r="BN19" s="89">
        <f>INDEX(Klimaatdata!$B$27:$K$38,5,$B19)</f>
        <v>0</v>
      </c>
      <c r="BO19" s="89">
        <f>INDEX(Klimaatdata!$B$27:$K$38,6,$B19)</f>
        <v>0</v>
      </c>
      <c r="BP19" s="89">
        <f>INDEX(Klimaatdata!$B$27:$K$38,7,$B19)</f>
        <v>0</v>
      </c>
      <c r="BQ19" s="89">
        <f>INDEX(Klimaatdata!$B$27:$K$38,8,$B19)</f>
        <v>0</v>
      </c>
      <c r="BR19" s="89">
        <f>INDEX(Klimaatdata!$B$27:$K$38,9,$B19)</f>
        <v>0</v>
      </c>
      <c r="BS19" s="89">
        <f>INDEX(Klimaatdata!$B$27:$K$38,10,$B19)</f>
        <v>0</v>
      </c>
      <c r="BT19" s="89">
        <f>INDEX(Klimaatdata!$B$27:$K$38,11,$B19)</f>
        <v>0</v>
      </c>
      <c r="BU19" s="89">
        <f>INDEX(Klimaatdata!$B$27:$K$38,12,$B19)</f>
        <v>0</v>
      </c>
      <c r="BW19">
        <f t="shared" si="2"/>
        <v>1</v>
      </c>
      <c r="BX19">
        <f t="shared" si="3"/>
        <v>1</v>
      </c>
      <c r="BY19">
        <f t="shared" si="4"/>
        <v>1</v>
      </c>
      <c r="BZ19">
        <f t="shared" si="5"/>
        <v>1</v>
      </c>
      <c r="CA19">
        <f t="shared" si="6"/>
        <v>1</v>
      </c>
      <c r="CB19">
        <f t="shared" si="7"/>
        <v>1</v>
      </c>
      <c r="CC19">
        <f t="shared" si="8"/>
        <v>1</v>
      </c>
      <c r="CD19">
        <f t="shared" si="9"/>
        <v>1</v>
      </c>
      <c r="CE19">
        <f t="shared" si="10"/>
        <v>1</v>
      </c>
      <c r="CF19">
        <f t="shared" si="11"/>
        <v>1</v>
      </c>
      <c r="CG19">
        <f t="shared" si="12"/>
        <v>1</v>
      </c>
      <c r="CH19">
        <f t="shared" si="13"/>
        <v>1</v>
      </c>
      <c r="CJ19" s="219">
        <f>Klimaatdata!$D$7*BJ19*BW19*$BH19*$G19*0.75</f>
        <v>0</v>
      </c>
      <c r="CK19" s="219">
        <f>Klimaatdata!$E$7*BK19*BX19*$BH19*$G19*0.75</f>
        <v>0</v>
      </c>
      <c r="CL19" s="219">
        <f>Klimaatdata!$F$7*BL19*BY19*$BH19*$G19*0.75</f>
        <v>0</v>
      </c>
      <c r="CM19" s="219">
        <f>Klimaatdata!$G$7*BM19*BZ19*$BH19*$G19*0.75</f>
        <v>0</v>
      </c>
      <c r="CN19" s="219">
        <f>Klimaatdata!$H$7*BN19*CA19*$BH19*$G19*0.75</f>
        <v>0</v>
      </c>
      <c r="CO19" s="219">
        <f>Klimaatdata!$I$7*BO19*CB19*$BH19*$G19*0.75</f>
        <v>0</v>
      </c>
      <c r="CP19" s="219">
        <f>Klimaatdata!$J$7*BP19*CC19*$BH19*$G19*0.75</f>
        <v>0</v>
      </c>
      <c r="CQ19" s="219">
        <f>Klimaatdata!$K$7*BQ19*CD19*$BH19*$G19*0.75</f>
        <v>0</v>
      </c>
      <c r="CR19" s="219">
        <f>Klimaatdata!$L$7*BR19*CE19*$BH19*$G19*0.75</f>
        <v>0</v>
      </c>
      <c r="CS19" s="219">
        <f>Klimaatdata!$M$7*BS19*CF19*$BH19*$G19*0.75</f>
        <v>0</v>
      </c>
      <c r="CT19" s="219">
        <f>Klimaatdata!$N$7*BT19*CG19*$BH19*$G19*0.75</f>
        <v>0</v>
      </c>
      <c r="CU19" s="219">
        <f>Klimaatdata!$O$7*BU19*CH19*$BH19*$G19*0.75</f>
        <v>0</v>
      </c>
      <c r="CX19">
        <v>1</v>
      </c>
      <c r="CY19">
        <v>1</v>
      </c>
      <c r="CZ19">
        <v>1</v>
      </c>
      <c r="DA19">
        <f>'Invoer Gebouwschil'!Q19</f>
        <v>0</v>
      </c>
      <c r="DC19" s="89">
        <f t="shared" si="24"/>
        <v>0</v>
      </c>
      <c r="DD19" s="89">
        <v>0.13</v>
      </c>
      <c r="DE19" s="89">
        <f t="shared" si="25"/>
        <v>0</v>
      </c>
      <c r="DF19" s="89">
        <f>IF(F19=6,1/((1/1/(DD19+DE19+'Invoer Gebouwschil'!M19))+5),1/(DD19+DE19+'Invoer Gebouwschil'!M19))</f>
        <v>7.6923076923076916</v>
      </c>
      <c r="DG19" s="89">
        <v>0.1</v>
      </c>
      <c r="DH19" s="28">
        <f t="shared" si="26"/>
        <v>1</v>
      </c>
      <c r="DI19" s="89">
        <f t="shared" si="27"/>
        <v>0</v>
      </c>
      <c r="DJ19" s="89">
        <v>19</v>
      </c>
      <c r="DK19" s="89"/>
      <c r="DL19" s="89">
        <f>$DI19*($R19-Klimaatdata!$B$7)*2.63</f>
        <v>0</v>
      </c>
      <c r="DM19" s="89">
        <f>$DI19*($R19-Klimaatdata!$B$8)*2.63</f>
        <v>0</v>
      </c>
      <c r="DN19" s="89">
        <f>$DI19*($R19-Klimaatdata!$B$9)*2.63</f>
        <v>0</v>
      </c>
      <c r="DO19" s="89">
        <f>$DI19*($R19-Klimaatdata!$B$10)*2.63</f>
        <v>0</v>
      </c>
      <c r="DP19" s="89">
        <f>$DI19*($R19-Klimaatdata!$B$11)*2.63</f>
        <v>0</v>
      </c>
      <c r="DQ19" s="89">
        <f>$DI19*($R19-Klimaatdata!$B$12)*2.63</f>
        <v>0</v>
      </c>
      <c r="DR19" s="89">
        <f>$DI19*($R19-Klimaatdata!$B$13)*2.63</f>
        <v>0</v>
      </c>
      <c r="DS19" s="89">
        <f>$DI19*($R19-Klimaatdata!$B$14)*2.63</f>
        <v>0</v>
      </c>
      <c r="DT19" s="89">
        <f>$DI19*($R19-Klimaatdata!$B$15)*2.63</f>
        <v>0</v>
      </c>
      <c r="DU19" s="89">
        <f>$DI19*($R19-Klimaatdata!$B$16)*2.63</f>
        <v>0</v>
      </c>
      <c r="DV19" s="89">
        <f>$DI19*($R19-Klimaatdata!$B$17)*2.63</f>
        <v>0</v>
      </c>
      <c r="DW19" s="89">
        <f>$DI19*($R19-Klimaatdata!$B$18)*2.63</f>
        <v>0</v>
      </c>
      <c r="DX19" s="89"/>
      <c r="DY19" s="89">
        <f t="shared" si="28"/>
        <v>0</v>
      </c>
      <c r="DZ19" s="89">
        <v>0.1</v>
      </c>
      <c r="EA19" s="28">
        <v>1</v>
      </c>
      <c r="EB19" s="89">
        <f t="shared" si="29"/>
        <v>0</v>
      </c>
      <c r="EC19" s="89">
        <v>19</v>
      </c>
      <c r="ED19" s="89"/>
      <c r="EE19" s="89">
        <f>$EB19*($R19-Klimaatdata!$B$7)*2.63</f>
        <v>0</v>
      </c>
      <c r="EF19" s="89">
        <f>$EB19*($R19-Klimaatdata!$B$8)*2.63</f>
        <v>0</v>
      </c>
      <c r="EG19" s="89">
        <f>$EB19*($R19-Klimaatdata!$B$9)*2.63</f>
        <v>0</v>
      </c>
      <c r="EH19" s="89">
        <f>$EB19*($R19-Klimaatdata!$B$10)*2.63</f>
        <v>0</v>
      </c>
      <c r="EI19" s="89">
        <f>$EB19*($R19-Klimaatdata!$B$11)*2.63</f>
        <v>0</v>
      </c>
      <c r="EJ19" s="89">
        <f>$EB19*($R19-Klimaatdata!$B$12)*2.63</f>
        <v>0</v>
      </c>
      <c r="EK19" s="89">
        <f>$EB19*($R19-Klimaatdata!$B$13)*2.63</f>
        <v>0</v>
      </c>
      <c r="EL19" s="89">
        <f>$EB19*($R19-Klimaatdata!$B$14)*2.63</f>
        <v>0</v>
      </c>
      <c r="EM19" s="89">
        <f>$EB19*($R19-Klimaatdata!$B$15)*2.63</f>
        <v>0</v>
      </c>
      <c r="EN19" s="89">
        <f>$EB19*($R19-Klimaatdata!$B$16)*2.63</f>
        <v>0</v>
      </c>
      <c r="EO19" s="89">
        <f>$EB19*($R19-Klimaatdata!$B$17)*2.63</f>
        <v>0</v>
      </c>
      <c r="EP19" s="89">
        <f>$EB19*($R19-Klimaatdata!$B$18)*2.63</f>
        <v>0</v>
      </c>
      <c r="EQ19" s="25"/>
      <c r="ER19" s="89">
        <f t="shared" si="30"/>
        <v>0</v>
      </c>
      <c r="ES19" s="89"/>
      <c r="ET19" s="89">
        <f>INDEX(Klimaatdata!$B$27:$K$38,1,$B19)</f>
        <v>0</v>
      </c>
      <c r="EU19" s="89">
        <f>INDEX(Klimaatdata!$B$27:$K$38,2,$B19)</f>
        <v>0</v>
      </c>
      <c r="EV19" s="89">
        <f>INDEX(Klimaatdata!$B$27:$K$38,3,$B19)</f>
        <v>0</v>
      </c>
      <c r="EW19" s="89">
        <f>INDEX(Klimaatdata!$B$27:$K$38,4,$B19)</f>
        <v>0</v>
      </c>
      <c r="EX19" s="89">
        <f>INDEX(Klimaatdata!$B$27:$K$38,5,$B19)</f>
        <v>0</v>
      </c>
      <c r="EY19" s="89">
        <f>INDEX(Klimaatdata!$B$27:$K$38,6,$B19)</f>
        <v>0</v>
      </c>
      <c r="EZ19" s="89">
        <f>INDEX(Klimaatdata!$B$27:$K$38,7,$B19)</f>
        <v>0</v>
      </c>
      <c r="FA19" s="89">
        <f>INDEX(Klimaatdata!$B$27:$K$38,8,$B19)</f>
        <v>0</v>
      </c>
      <c r="FB19" s="89">
        <f>INDEX(Klimaatdata!$B$27:$K$38,9,$B19)</f>
        <v>0</v>
      </c>
      <c r="FC19" s="89">
        <f>INDEX(Klimaatdata!$B$27:$K$38,10,$B19)</f>
        <v>0</v>
      </c>
      <c r="FD19" s="89">
        <f>INDEX(Klimaatdata!$B$27:$K$38,11,$B19)</f>
        <v>0</v>
      </c>
      <c r="FE19" s="89">
        <f>INDEX(Klimaatdata!$B$27:$K$38,12,$B19)</f>
        <v>0</v>
      </c>
      <c r="FG19">
        <f t="shared" si="31"/>
        <v>1</v>
      </c>
      <c r="FH19">
        <f t="shared" si="32"/>
        <v>1</v>
      </c>
      <c r="FI19">
        <f t="shared" si="33"/>
        <v>1</v>
      </c>
      <c r="FJ19">
        <f t="shared" si="34"/>
        <v>1</v>
      </c>
      <c r="FK19">
        <f t="shared" si="35"/>
        <v>1</v>
      </c>
      <c r="FL19">
        <f t="shared" si="36"/>
        <v>1</v>
      </c>
      <c r="FM19">
        <f t="shared" si="37"/>
        <v>1</v>
      </c>
      <c r="FN19">
        <f t="shared" si="38"/>
        <v>1</v>
      </c>
      <c r="FO19">
        <f t="shared" si="39"/>
        <v>1</v>
      </c>
      <c r="FP19">
        <f t="shared" si="40"/>
        <v>1</v>
      </c>
      <c r="FQ19">
        <f t="shared" si="41"/>
        <v>1</v>
      </c>
      <c r="FR19">
        <f t="shared" si="42"/>
        <v>1</v>
      </c>
      <c r="FT19" s="219">
        <f>Klimaatdata!$D$7*ET19*FG19*$ER19*$G19*0.75</f>
        <v>0</v>
      </c>
      <c r="FU19" s="219">
        <f>Klimaatdata!$E$7*EU19*FH19*$ER19*$G19*0.75</f>
        <v>0</v>
      </c>
      <c r="FV19" s="219">
        <f>Klimaatdata!$F$7*EV19*FI19*$ER19*$G19*0.75</f>
        <v>0</v>
      </c>
      <c r="FW19" s="219">
        <f>Klimaatdata!$G$7*EW19*FJ19*$ER19*$G19*0.75</f>
        <v>0</v>
      </c>
      <c r="FX19" s="219">
        <f>Klimaatdata!$H$7*EX19*FK19*$ER19*$G19*0.75</f>
        <v>0</v>
      </c>
      <c r="FY19" s="219">
        <f>Klimaatdata!$I$7*EY19*FL19*$ER19*$G19*0.75</f>
        <v>0</v>
      </c>
      <c r="FZ19" s="219">
        <f>Klimaatdata!$J$7*EZ19*FM19*$ER19*$G19*0.75</f>
        <v>0</v>
      </c>
      <c r="GA19" s="219">
        <f>Klimaatdata!$K$7*FA19*FN19*$ER19*$G19*0.75</f>
        <v>0</v>
      </c>
      <c r="GB19" s="219">
        <f>Klimaatdata!$L$7*FB19*FO19*$ER19*$G19*0.75</f>
        <v>0</v>
      </c>
      <c r="GC19" s="219">
        <f>Klimaatdata!$M$7*FC19*FP19*$ER19*$G19*0.75</f>
        <v>0</v>
      </c>
      <c r="GD19" s="219">
        <f>Klimaatdata!$N$7*FD19*FQ19*$ER19*$G19*0.75</f>
        <v>0</v>
      </c>
      <c r="GE19" s="219">
        <f>Klimaatdata!$O$7*FE19*FR19*$ER19*$G19*0.75</f>
        <v>0</v>
      </c>
      <c r="GG19">
        <f t="shared" si="43"/>
        <v>0</v>
      </c>
      <c r="GH19">
        <f t="shared" si="44"/>
        <v>0</v>
      </c>
      <c r="GI19">
        <f t="shared" si="45"/>
        <v>0</v>
      </c>
      <c r="GJ19">
        <f t="shared" si="46"/>
        <v>0</v>
      </c>
      <c r="GK19">
        <f t="shared" si="47"/>
        <v>0</v>
      </c>
      <c r="GL19">
        <f t="shared" si="48"/>
        <v>0</v>
      </c>
      <c r="GM19">
        <f t="shared" si="49"/>
        <v>0</v>
      </c>
      <c r="GN19">
        <f t="shared" si="50"/>
        <v>0</v>
      </c>
      <c r="GO19">
        <f>'Invoer Gebouwschil'!Q19</f>
        <v>0</v>
      </c>
      <c r="GP19">
        <f t="shared" si="51"/>
        <v>0</v>
      </c>
      <c r="GR19">
        <f t="shared" si="52"/>
        <v>1</v>
      </c>
      <c r="GS19">
        <f t="shared" si="53"/>
        <v>0</v>
      </c>
      <c r="GT19">
        <f t="shared" si="54"/>
        <v>0</v>
      </c>
      <c r="GU19">
        <f t="shared" si="55"/>
        <v>0</v>
      </c>
      <c r="GV19">
        <f t="shared" si="56"/>
        <v>0</v>
      </c>
      <c r="GW19">
        <f t="shared" si="57"/>
        <v>0</v>
      </c>
      <c r="GX19">
        <f t="shared" si="58"/>
        <v>0</v>
      </c>
      <c r="GZ19" s="12">
        <f t="shared" si="59"/>
        <v>0</v>
      </c>
      <c r="HA19" s="13">
        <f t="shared" si="60"/>
        <v>0</v>
      </c>
      <c r="HB19" s="13">
        <f t="shared" si="61"/>
        <v>0</v>
      </c>
      <c r="HC19" s="14">
        <f t="shared" si="62"/>
        <v>0</v>
      </c>
      <c r="HE19" s="12">
        <f t="shared" si="63"/>
        <v>0</v>
      </c>
      <c r="HF19" s="13">
        <f t="shared" si="64"/>
        <v>0</v>
      </c>
      <c r="HG19" s="13">
        <f t="shared" si="65"/>
        <v>0</v>
      </c>
      <c r="HH19" s="14">
        <f t="shared" si="66"/>
        <v>0</v>
      </c>
    </row>
    <row r="20" spans="1:216" x14ac:dyDescent="0.2">
      <c r="A20">
        <v>1</v>
      </c>
      <c r="B20">
        <v>1</v>
      </c>
      <c r="C20">
        <v>1</v>
      </c>
      <c r="D20">
        <f>'Invoer Gebouwschil'!D20</f>
        <v>0</v>
      </c>
      <c r="E20">
        <v>1</v>
      </c>
      <c r="F20">
        <v>1</v>
      </c>
      <c r="G20">
        <f>'Invoer Gebouwschil'!H20</f>
        <v>0</v>
      </c>
      <c r="H20">
        <v>1</v>
      </c>
      <c r="I20">
        <v>1</v>
      </c>
      <c r="K20" s="89">
        <f>INDEX('Verwerking Bouwdelen'!$AJ$79:$AJ$103,'Verwerking Bouwdelen'!E20)</f>
        <v>0</v>
      </c>
      <c r="L20" s="89">
        <v>0.13</v>
      </c>
      <c r="M20" s="89">
        <f t="shared" si="14"/>
        <v>0</v>
      </c>
      <c r="N20" s="89">
        <f>IF(F20=6,1/((1/1/(L21+M21+'Invoer Gebouwschil'!F20))+5),1/(L20+M20+'Invoer Gebouwschil'!F20))</f>
        <v>7.6923076923076916</v>
      </c>
      <c r="O20" s="89">
        <v>0.1</v>
      </c>
      <c r="P20" s="28">
        <f t="shared" si="15"/>
        <v>1</v>
      </c>
      <c r="Q20" s="89">
        <f t="shared" si="0"/>
        <v>0</v>
      </c>
      <c r="R20" s="89">
        <v>19</v>
      </c>
      <c r="S20" s="89"/>
      <c r="T20" s="89">
        <f>$Q20*($R20-Klimaatdata!$B$7)*2.63</f>
        <v>0</v>
      </c>
      <c r="U20" s="89">
        <f>$Q20*($R20-Klimaatdata!$B$8)*2.63</f>
        <v>0</v>
      </c>
      <c r="V20" s="89">
        <f>$Q20*($R20-Klimaatdata!$B$9)*2.63</f>
        <v>0</v>
      </c>
      <c r="W20" s="89">
        <f>$Q20*($R20-Klimaatdata!$B$10)*2.63</f>
        <v>0</v>
      </c>
      <c r="X20" s="89">
        <f>$Q20*($R20-Klimaatdata!$B$11)*2.63</f>
        <v>0</v>
      </c>
      <c r="Y20" s="89">
        <f>$Q20*($R20-Klimaatdata!$B$12)*2.63</f>
        <v>0</v>
      </c>
      <c r="Z20" s="89">
        <f>$Q20*($R20-Klimaatdata!$B$13)*2.63</f>
        <v>0</v>
      </c>
      <c r="AA20" s="89">
        <f>$Q20*($R20-Klimaatdata!$B$14)*2.63</f>
        <v>0</v>
      </c>
      <c r="AB20" s="89">
        <f>$Q20*($R20-Klimaatdata!$B$15)*2.63</f>
        <v>0</v>
      </c>
      <c r="AC20" s="89">
        <f>$Q20*($R20-Klimaatdata!$B$16)*2.63</f>
        <v>0</v>
      </c>
      <c r="AD20" s="89">
        <f>$Q20*($R20-Klimaatdata!$B$17)*2.63</f>
        <v>0</v>
      </c>
      <c r="AE20" s="89">
        <f>$Q20*($R20-Klimaatdata!$B$18)*2.63</f>
        <v>0</v>
      </c>
      <c r="AF20" s="89"/>
      <c r="AG20" s="205">
        <f t="shared" si="16"/>
        <v>0</v>
      </c>
      <c r="AH20" s="25">
        <f t="shared" si="17"/>
        <v>0</v>
      </c>
      <c r="AI20" s="25">
        <f t="shared" si="18"/>
        <v>0</v>
      </c>
      <c r="AJ20" s="206">
        <f t="shared" si="19"/>
        <v>0</v>
      </c>
      <c r="AK20" s="25"/>
      <c r="AL20" s="89">
        <f t="shared" si="20"/>
        <v>1</v>
      </c>
      <c r="AM20" s="89">
        <f t="shared" si="21"/>
        <v>0</v>
      </c>
      <c r="AN20" s="89">
        <f t="shared" si="22"/>
        <v>0</v>
      </c>
      <c r="AO20" s="89">
        <f t="shared" si="23"/>
        <v>0</v>
      </c>
      <c r="AP20" s="89">
        <v>0.1</v>
      </c>
      <c r="AQ20" s="28">
        <v>1</v>
      </c>
      <c r="AR20" s="89">
        <f t="shared" si="1"/>
        <v>0</v>
      </c>
      <c r="AS20" s="89">
        <v>19</v>
      </c>
      <c r="AT20" s="89"/>
      <c r="AU20" s="89">
        <f>$AR20*($R20-Klimaatdata!$B$7)*2.63</f>
        <v>0</v>
      </c>
      <c r="AV20" s="89">
        <f>$AR20*($R20-Klimaatdata!$B$8)*2.63</f>
        <v>0</v>
      </c>
      <c r="AW20" s="89">
        <f>$AR20*($R20-Klimaatdata!$B$9)*2.63</f>
        <v>0</v>
      </c>
      <c r="AX20" s="89">
        <f>$AR20*($R20-Klimaatdata!$B$10)*2.63</f>
        <v>0</v>
      </c>
      <c r="AY20" s="89">
        <f>$AR20*($R20-Klimaatdata!$B$11)*2.63</f>
        <v>0</v>
      </c>
      <c r="AZ20" s="89">
        <f>$AR20*($R20-Klimaatdata!$B$12)*2.63</f>
        <v>0</v>
      </c>
      <c r="BA20" s="89">
        <f>$AR20*($R20-Klimaatdata!$B$13)*2.63</f>
        <v>0</v>
      </c>
      <c r="BB20" s="89">
        <f>$AR20*($R20-Klimaatdata!$B$14)*2.63</f>
        <v>0</v>
      </c>
      <c r="BC20" s="89">
        <f>$AR20*($R20-Klimaatdata!$B$15)*2.63</f>
        <v>0</v>
      </c>
      <c r="BD20" s="89">
        <f>$AR20*($R20-Klimaatdata!$B$16)*2.63</f>
        <v>0</v>
      </c>
      <c r="BE20" s="89">
        <f>$AR20*($R20-Klimaatdata!$B$17)*2.63</f>
        <v>0</v>
      </c>
      <c r="BF20" s="89">
        <f>$AR20*($R20-Klimaatdata!$B$18)*2.63</f>
        <v>0</v>
      </c>
      <c r="BG20" s="25"/>
      <c r="BH20" s="89">
        <f>INDEX('Verwerking Bouwdelen'!$Y$106:$Y$130,H20)</f>
        <v>0</v>
      </c>
      <c r="BI20" s="89"/>
      <c r="BJ20" s="89">
        <f>INDEX(Klimaatdata!$B$27:$K$38,1,$B20)</f>
        <v>0</v>
      </c>
      <c r="BK20" s="89">
        <f>INDEX(Klimaatdata!$B$27:$K$38,2,$B20)</f>
        <v>0</v>
      </c>
      <c r="BL20" s="89">
        <f>INDEX(Klimaatdata!$B$27:$K$38,3,$B20)</f>
        <v>0</v>
      </c>
      <c r="BM20" s="89">
        <f>INDEX(Klimaatdata!$B$27:$K$38,4,$B20)</f>
        <v>0</v>
      </c>
      <c r="BN20" s="89">
        <f>INDEX(Klimaatdata!$B$27:$K$38,5,$B20)</f>
        <v>0</v>
      </c>
      <c r="BO20" s="89">
        <f>INDEX(Klimaatdata!$B$27:$K$38,6,$B20)</f>
        <v>0</v>
      </c>
      <c r="BP20" s="89">
        <f>INDEX(Klimaatdata!$B$27:$K$38,7,$B20)</f>
        <v>0</v>
      </c>
      <c r="BQ20" s="89">
        <f>INDEX(Klimaatdata!$B$27:$K$38,8,$B20)</f>
        <v>0</v>
      </c>
      <c r="BR20" s="89">
        <f>INDEX(Klimaatdata!$B$27:$K$38,9,$B20)</f>
        <v>0</v>
      </c>
      <c r="BS20" s="89">
        <f>INDEX(Klimaatdata!$B$27:$K$38,10,$B20)</f>
        <v>0</v>
      </c>
      <c r="BT20" s="89">
        <f>INDEX(Klimaatdata!$B$27:$K$38,11,$B20)</f>
        <v>0</v>
      </c>
      <c r="BU20" s="89">
        <f>INDEX(Klimaatdata!$B$27:$K$38,12,$B20)</f>
        <v>0</v>
      </c>
      <c r="BW20">
        <f t="shared" si="2"/>
        <v>1</v>
      </c>
      <c r="BX20">
        <f t="shared" si="3"/>
        <v>1</v>
      </c>
      <c r="BY20">
        <f t="shared" si="4"/>
        <v>1</v>
      </c>
      <c r="BZ20">
        <f t="shared" si="5"/>
        <v>1</v>
      </c>
      <c r="CA20">
        <f t="shared" si="6"/>
        <v>1</v>
      </c>
      <c r="CB20">
        <f t="shared" si="7"/>
        <v>1</v>
      </c>
      <c r="CC20">
        <f t="shared" si="8"/>
        <v>1</v>
      </c>
      <c r="CD20">
        <f t="shared" si="9"/>
        <v>1</v>
      </c>
      <c r="CE20">
        <f t="shared" si="10"/>
        <v>1</v>
      </c>
      <c r="CF20">
        <f t="shared" si="11"/>
        <v>1</v>
      </c>
      <c r="CG20">
        <f t="shared" si="12"/>
        <v>1</v>
      </c>
      <c r="CH20">
        <f t="shared" si="13"/>
        <v>1</v>
      </c>
      <c r="CJ20" s="219">
        <f>Klimaatdata!$D$7*BJ20*BW20*$BH20*$G20*0.75</f>
        <v>0</v>
      </c>
      <c r="CK20" s="219">
        <f>Klimaatdata!$E$7*BK20*BX20*$BH20*$G20*0.75</f>
        <v>0</v>
      </c>
      <c r="CL20" s="219">
        <f>Klimaatdata!$F$7*BL20*BY20*$BH20*$G20*0.75</f>
        <v>0</v>
      </c>
      <c r="CM20" s="219">
        <f>Klimaatdata!$G$7*BM20*BZ20*$BH20*$G20*0.75</f>
        <v>0</v>
      </c>
      <c r="CN20" s="219">
        <f>Klimaatdata!$H$7*BN20*CA20*$BH20*$G20*0.75</f>
        <v>0</v>
      </c>
      <c r="CO20" s="219">
        <f>Klimaatdata!$I$7*BO20*CB20*$BH20*$G20*0.75</f>
        <v>0</v>
      </c>
      <c r="CP20" s="219">
        <f>Klimaatdata!$J$7*BP20*CC20*$BH20*$G20*0.75</f>
        <v>0</v>
      </c>
      <c r="CQ20" s="219">
        <f>Klimaatdata!$K$7*BQ20*CD20*$BH20*$G20*0.75</f>
        <v>0</v>
      </c>
      <c r="CR20" s="219">
        <f>Klimaatdata!$L$7*BR20*CE20*$BH20*$G20*0.75</f>
        <v>0</v>
      </c>
      <c r="CS20" s="219">
        <f>Klimaatdata!$M$7*BS20*CF20*$BH20*$G20*0.75</f>
        <v>0</v>
      </c>
      <c r="CT20" s="219">
        <f>Klimaatdata!$N$7*BT20*CG20*$BH20*$G20*0.75</f>
        <v>0</v>
      </c>
      <c r="CU20" s="219">
        <f>Klimaatdata!$O$7*BU20*CH20*$BH20*$G20*0.75</f>
        <v>0</v>
      </c>
      <c r="CX20">
        <v>1</v>
      </c>
      <c r="CY20">
        <v>1</v>
      </c>
      <c r="CZ20">
        <v>1</v>
      </c>
      <c r="DA20">
        <f>'Invoer Gebouwschil'!Q20</f>
        <v>0</v>
      </c>
      <c r="DC20" s="89">
        <f t="shared" si="24"/>
        <v>0</v>
      </c>
      <c r="DD20" s="89">
        <v>0.13</v>
      </c>
      <c r="DE20" s="89">
        <f t="shared" si="25"/>
        <v>0</v>
      </c>
      <c r="DF20" s="89">
        <f>IF(F20=6,1/((1/1/(DD20+DE20+'Invoer Gebouwschil'!M20))+5),1/(DD20+DE20+'Invoer Gebouwschil'!M20))</f>
        <v>7.6923076923076916</v>
      </c>
      <c r="DG20" s="89">
        <v>0.1</v>
      </c>
      <c r="DH20" s="28">
        <f t="shared" si="26"/>
        <v>1</v>
      </c>
      <c r="DI20" s="89">
        <f t="shared" si="27"/>
        <v>0</v>
      </c>
      <c r="DJ20" s="89">
        <v>19</v>
      </c>
      <c r="DK20" s="89"/>
      <c r="DL20" s="89">
        <f>$DI20*($R20-Klimaatdata!$B$7)*2.63</f>
        <v>0</v>
      </c>
      <c r="DM20" s="89">
        <f>$DI20*($R20-Klimaatdata!$B$8)*2.63</f>
        <v>0</v>
      </c>
      <c r="DN20" s="89">
        <f>$DI20*($R20-Klimaatdata!$B$9)*2.63</f>
        <v>0</v>
      </c>
      <c r="DO20" s="89">
        <f>$DI20*($R20-Klimaatdata!$B$10)*2.63</f>
        <v>0</v>
      </c>
      <c r="DP20" s="89">
        <f>$DI20*($R20-Klimaatdata!$B$11)*2.63</f>
        <v>0</v>
      </c>
      <c r="DQ20" s="89">
        <f>$DI20*($R20-Klimaatdata!$B$12)*2.63</f>
        <v>0</v>
      </c>
      <c r="DR20" s="89">
        <f>$DI20*($R20-Klimaatdata!$B$13)*2.63</f>
        <v>0</v>
      </c>
      <c r="DS20" s="89">
        <f>$DI20*($R20-Klimaatdata!$B$14)*2.63</f>
        <v>0</v>
      </c>
      <c r="DT20" s="89">
        <f>$DI20*($R20-Klimaatdata!$B$15)*2.63</f>
        <v>0</v>
      </c>
      <c r="DU20" s="89">
        <f>$DI20*($R20-Klimaatdata!$B$16)*2.63</f>
        <v>0</v>
      </c>
      <c r="DV20" s="89">
        <f>$DI20*($R20-Klimaatdata!$B$17)*2.63</f>
        <v>0</v>
      </c>
      <c r="DW20" s="89">
        <f>$DI20*($R20-Klimaatdata!$B$18)*2.63</f>
        <v>0</v>
      </c>
      <c r="DX20" s="89"/>
      <c r="DY20" s="89">
        <f t="shared" si="28"/>
        <v>0</v>
      </c>
      <c r="DZ20" s="89">
        <v>0.1</v>
      </c>
      <c r="EA20" s="28">
        <v>1</v>
      </c>
      <c r="EB20" s="89">
        <f t="shared" si="29"/>
        <v>0</v>
      </c>
      <c r="EC20" s="89">
        <v>19</v>
      </c>
      <c r="ED20" s="89"/>
      <c r="EE20" s="89">
        <f>$EB20*($R20-Klimaatdata!$B$7)*2.63</f>
        <v>0</v>
      </c>
      <c r="EF20" s="89">
        <f>$EB20*($R20-Klimaatdata!$B$8)*2.63</f>
        <v>0</v>
      </c>
      <c r="EG20" s="89">
        <f>$EB20*($R20-Klimaatdata!$B$9)*2.63</f>
        <v>0</v>
      </c>
      <c r="EH20" s="89">
        <f>$EB20*($R20-Klimaatdata!$B$10)*2.63</f>
        <v>0</v>
      </c>
      <c r="EI20" s="89">
        <f>$EB20*($R20-Klimaatdata!$B$11)*2.63</f>
        <v>0</v>
      </c>
      <c r="EJ20" s="89">
        <f>$EB20*($R20-Klimaatdata!$B$12)*2.63</f>
        <v>0</v>
      </c>
      <c r="EK20" s="89">
        <f>$EB20*($R20-Klimaatdata!$B$13)*2.63</f>
        <v>0</v>
      </c>
      <c r="EL20" s="89">
        <f>$EB20*($R20-Klimaatdata!$B$14)*2.63</f>
        <v>0</v>
      </c>
      <c r="EM20" s="89">
        <f>$EB20*($R20-Klimaatdata!$B$15)*2.63</f>
        <v>0</v>
      </c>
      <c r="EN20" s="89">
        <f>$EB20*($R20-Klimaatdata!$B$16)*2.63</f>
        <v>0</v>
      </c>
      <c r="EO20" s="89">
        <f>$EB20*($R20-Klimaatdata!$B$17)*2.63</f>
        <v>0</v>
      </c>
      <c r="EP20" s="89">
        <f>$EB20*($R20-Klimaatdata!$B$18)*2.63</f>
        <v>0</v>
      </c>
      <c r="EQ20" s="25"/>
      <c r="ER20" s="89">
        <f t="shared" si="30"/>
        <v>0</v>
      </c>
      <c r="ES20" s="89"/>
      <c r="ET20" s="89">
        <f>INDEX(Klimaatdata!$B$27:$K$38,1,$B20)</f>
        <v>0</v>
      </c>
      <c r="EU20" s="89">
        <f>INDEX(Klimaatdata!$B$27:$K$38,2,$B20)</f>
        <v>0</v>
      </c>
      <c r="EV20" s="89">
        <f>INDEX(Klimaatdata!$B$27:$K$38,3,$B20)</f>
        <v>0</v>
      </c>
      <c r="EW20" s="89">
        <f>INDEX(Klimaatdata!$B$27:$K$38,4,$B20)</f>
        <v>0</v>
      </c>
      <c r="EX20" s="89">
        <f>INDEX(Klimaatdata!$B$27:$K$38,5,$B20)</f>
        <v>0</v>
      </c>
      <c r="EY20" s="89">
        <f>INDEX(Klimaatdata!$B$27:$K$38,6,$B20)</f>
        <v>0</v>
      </c>
      <c r="EZ20" s="89">
        <f>INDEX(Klimaatdata!$B$27:$K$38,7,$B20)</f>
        <v>0</v>
      </c>
      <c r="FA20" s="89">
        <f>INDEX(Klimaatdata!$B$27:$K$38,8,$B20)</f>
        <v>0</v>
      </c>
      <c r="FB20" s="89">
        <f>INDEX(Klimaatdata!$B$27:$K$38,9,$B20)</f>
        <v>0</v>
      </c>
      <c r="FC20" s="89">
        <f>INDEX(Klimaatdata!$B$27:$K$38,10,$B20)</f>
        <v>0</v>
      </c>
      <c r="FD20" s="89">
        <f>INDEX(Klimaatdata!$B$27:$K$38,11,$B20)</f>
        <v>0</v>
      </c>
      <c r="FE20" s="89">
        <f>INDEX(Klimaatdata!$B$27:$K$38,12,$B20)</f>
        <v>0</v>
      </c>
      <c r="FG20">
        <f t="shared" si="31"/>
        <v>1</v>
      </c>
      <c r="FH20">
        <f t="shared" si="32"/>
        <v>1</v>
      </c>
      <c r="FI20">
        <f t="shared" si="33"/>
        <v>1</v>
      </c>
      <c r="FJ20">
        <f t="shared" si="34"/>
        <v>1</v>
      </c>
      <c r="FK20">
        <f t="shared" si="35"/>
        <v>1</v>
      </c>
      <c r="FL20">
        <f t="shared" si="36"/>
        <v>1</v>
      </c>
      <c r="FM20">
        <f t="shared" si="37"/>
        <v>1</v>
      </c>
      <c r="FN20">
        <f t="shared" si="38"/>
        <v>1</v>
      </c>
      <c r="FO20">
        <f t="shared" si="39"/>
        <v>1</v>
      </c>
      <c r="FP20">
        <f t="shared" si="40"/>
        <v>1</v>
      </c>
      <c r="FQ20">
        <f t="shared" si="41"/>
        <v>1</v>
      </c>
      <c r="FR20">
        <f t="shared" si="42"/>
        <v>1</v>
      </c>
      <c r="FT20" s="219">
        <f>Klimaatdata!$D$7*ET20*FG20*$ER20*$G20*0.75</f>
        <v>0</v>
      </c>
      <c r="FU20" s="219">
        <f>Klimaatdata!$E$7*EU20*FH20*$ER20*$G20*0.75</f>
        <v>0</v>
      </c>
      <c r="FV20" s="219">
        <f>Klimaatdata!$F$7*EV20*FI20*$ER20*$G20*0.75</f>
        <v>0</v>
      </c>
      <c r="FW20" s="219">
        <f>Klimaatdata!$G$7*EW20*FJ20*$ER20*$G20*0.75</f>
        <v>0</v>
      </c>
      <c r="FX20" s="219">
        <f>Klimaatdata!$H$7*EX20*FK20*$ER20*$G20*0.75</f>
        <v>0</v>
      </c>
      <c r="FY20" s="219">
        <f>Klimaatdata!$I$7*EY20*FL20*$ER20*$G20*0.75</f>
        <v>0</v>
      </c>
      <c r="FZ20" s="219">
        <f>Klimaatdata!$J$7*EZ20*FM20*$ER20*$G20*0.75</f>
        <v>0</v>
      </c>
      <c r="GA20" s="219">
        <f>Klimaatdata!$K$7*FA20*FN20*$ER20*$G20*0.75</f>
        <v>0</v>
      </c>
      <c r="GB20" s="219">
        <f>Klimaatdata!$L$7*FB20*FO20*$ER20*$G20*0.75</f>
        <v>0</v>
      </c>
      <c r="GC20" s="219">
        <f>Klimaatdata!$M$7*FC20*FP20*$ER20*$G20*0.75</f>
        <v>0</v>
      </c>
      <c r="GD20" s="219">
        <f>Klimaatdata!$N$7*FD20*FQ20*$ER20*$G20*0.75</f>
        <v>0</v>
      </c>
      <c r="GE20" s="219">
        <f>Klimaatdata!$O$7*FE20*FR20*$ER20*$G20*0.75</f>
        <v>0</v>
      </c>
      <c r="GG20">
        <f t="shared" si="43"/>
        <v>0</v>
      </c>
      <c r="GH20">
        <f t="shared" si="44"/>
        <v>0</v>
      </c>
      <c r="GI20">
        <f t="shared" si="45"/>
        <v>0</v>
      </c>
      <c r="GJ20">
        <f t="shared" si="46"/>
        <v>0</v>
      </c>
      <c r="GK20">
        <f t="shared" si="47"/>
        <v>0</v>
      </c>
      <c r="GL20">
        <f t="shared" si="48"/>
        <v>0</v>
      </c>
      <c r="GM20">
        <f t="shared" si="49"/>
        <v>0</v>
      </c>
      <c r="GN20">
        <f t="shared" si="50"/>
        <v>0</v>
      </c>
      <c r="GO20">
        <f>'Invoer Gebouwschil'!Q20</f>
        <v>0</v>
      </c>
      <c r="GP20">
        <f t="shared" si="51"/>
        <v>0</v>
      </c>
      <c r="GR20">
        <f t="shared" si="52"/>
        <v>1</v>
      </c>
      <c r="GS20">
        <f t="shared" si="53"/>
        <v>0</v>
      </c>
      <c r="GT20">
        <f t="shared" si="54"/>
        <v>0</v>
      </c>
      <c r="GU20">
        <f t="shared" si="55"/>
        <v>0</v>
      </c>
      <c r="GV20">
        <f t="shared" si="56"/>
        <v>0</v>
      </c>
      <c r="GW20">
        <f t="shared" si="57"/>
        <v>0</v>
      </c>
      <c r="GX20">
        <f t="shared" si="58"/>
        <v>0</v>
      </c>
      <c r="GZ20" s="12">
        <f t="shared" si="59"/>
        <v>0</v>
      </c>
      <c r="HA20" s="13">
        <f t="shared" si="60"/>
        <v>0</v>
      </c>
      <c r="HB20" s="13">
        <f t="shared" si="61"/>
        <v>0</v>
      </c>
      <c r="HC20" s="14">
        <f t="shared" si="62"/>
        <v>0</v>
      </c>
      <c r="HE20" s="12">
        <f t="shared" si="63"/>
        <v>0</v>
      </c>
      <c r="HF20" s="13">
        <f t="shared" si="64"/>
        <v>0</v>
      </c>
      <c r="HG20" s="13">
        <f t="shared" si="65"/>
        <v>0</v>
      </c>
      <c r="HH20" s="14">
        <f t="shared" si="66"/>
        <v>0</v>
      </c>
    </row>
    <row r="21" spans="1:216" x14ac:dyDescent="0.2">
      <c r="A21">
        <v>1</v>
      </c>
      <c r="B21">
        <v>1</v>
      </c>
      <c r="C21">
        <v>1</v>
      </c>
      <c r="D21">
        <f>'Invoer Gebouwschil'!D21</f>
        <v>0</v>
      </c>
      <c r="E21">
        <v>1</v>
      </c>
      <c r="F21">
        <v>1</v>
      </c>
      <c r="G21">
        <f>'Invoer Gebouwschil'!H21</f>
        <v>0</v>
      </c>
      <c r="H21">
        <v>1</v>
      </c>
      <c r="I21">
        <v>1</v>
      </c>
      <c r="K21" s="89">
        <f>INDEX('Verwerking Bouwdelen'!$AL$79:$AL$103,'Verwerking Bouwdelen'!E21)</f>
        <v>0</v>
      </c>
      <c r="L21" s="89">
        <v>0.13</v>
      </c>
      <c r="M21" s="89">
        <f t="shared" si="14"/>
        <v>0</v>
      </c>
      <c r="N21" s="89">
        <f>IF(F21=6,1/((1/1/(L22+M22+'Invoer Gebouwschil'!F21))+5),1/(L21+M21+'Invoer Gebouwschil'!F21))</f>
        <v>7.6923076923076916</v>
      </c>
      <c r="O21" s="89">
        <v>0.1</v>
      </c>
      <c r="P21" s="28">
        <f t="shared" si="15"/>
        <v>1</v>
      </c>
      <c r="Q21" s="89">
        <f t="shared" si="0"/>
        <v>0</v>
      </c>
      <c r="R21" s="89">
        <v>19</v>
      </c>
      <c r="S21" s="89"/>
      <c r="T21" s="89">
        <f>$Q21*($R21-Klimaatdata!$B$7)*2.63</f>
        <v>0</v>
      </c>
      <c r="U21" s="89">
        <f>$Q21*($R21-Klimaatdata!$B$8)*2.63</f>
        <v>0</v>
      </c>
      <c r="V21" s="89">
        <f>$Q21*($R21-Klimaatdata!$B$9)*2.63</f>
        <v>0</v>
      </c>
      <c r="W21" s="89">
        <f>$Q21*($R21-Klimaatdata!$B$10)*2.63</f>
        <v>0</v>
      </c>
      <c r="X21" s="89">
        <f>$Q21*($R21-Klimaatdata!$B$11)*2.63</f>
        <v>0</v>
      </c>
      <c r="Y21" s="89">
        <f>$Q21*($R21-Klimaatdata!$B$12)*2.63</f>
        <v>0</v>
      </c>
      <c r="Z21" s="89">
        <f>$Q21*($R21-Klimaatdata!$B$13)*2.63</f>
        <v>0</v>
      </c>
      <c r="AA21" s="89">
        <f>$Q21*($R21-Klimaatdata!$B$14)*2.63</f>
        <v>0</v>
      </c>
      <c r="AB21" s="89">
        <f>$Q21*($R21-Klimaatdata!$B$15)*2.63</f>
        <v>0</v>
      </c>
      <c r="AC21" s="89">
        <f>$Q21*($R21-Klimaatdata!$B$16)*2.63</f>
        <v>0</v>
      </c>
      <c r="AD21" s="89">
        <f>$Q21*($R21-Klimaatdata!$B$17)*2.63</f>
        <v>0</v>
      </c>
      <c r="AE21" s="89">
        <f>$Q21*($R21-Klimaatdata!$B$18)*2.63</f>
        <v>0</v>
      </c>
      <c r="AF21" s="89"/>
      <c r="AG21" s="205">
        <f t="shared" si="16"/>
        <v>0</v>
      </c>
      <c r="AH21" s="25">
        <f t="shared" si="17"/>
        <v>0</v>
      </c>
      <c r="AI21" s="25">
        <f t="shared" si="18"/>
        <v>0</v>
      </c>
      <c r="AJ21" s="206">
        <f t="shared" si="19"/>
        <v>0</v>
      </c>
      <c r="AK21" s="25"/>
      <c r="AL21" s="89">
        <f t="shared" si="20"/>
        <v>1</v>
      </c>
      <c r="AM21" s="89">
        <f t="shared" si="21"/>
        <v>0</v>
      </c>
      <c r="AN21" s="89">
        <f t="shared" si="22"/>
        <v>0</v>
      </c>
      <c r="AO21" s="89">
        <f t="shared" si="23"/>
        <v>0</v>
      </c>
      <c r="AP21" s="89">
        <v>0.1</v>
      </c>
      <c r="AQ21" s="28">
        <v>1</v>
      </c>
      <c r="AR21" s="89">
        <f t="shared" si="1"/>
        <v>0</v>
      </c>
      <c r="AS21" s="89">
        <v>19</v>
      </c>
      <c r="AT21" s="89"/>
      <c r="AU21" s="89">
        <f>$AR21*($R21-Klimaatdata!$B$7)*2.63</f>
        <v>0</v>
      </c>
      <c r="AV21" s="89">
        <f>$AR21*($R21-Klimaatdata!$B$8)*2.63</f>
        <v>0</v>
      </c>
      <c r="AW21" s="89">
        <f>$AR21*($R21-Klimaatdata!$B$9)*2.63</f>
        <v>0</v>
      </c>
      <c r="AX21" s="89">
        <f>$AR21*($R21-Klimaatdata!$B$10)*2.63</f>
        <v>0</v>
      </c>
      <c r="AY21" s="89">
        <f>$AR21*($R21-Klimaatdata!$B$11)*2.63</f>
        <v>0</v>
      </c>
      <c r="AZ21" s="89">
        <f>$AR21*($R21-Klimaatdata!$B$12)*2.63</f>
        <v>0</v>
      </c>
      <c r="BA21" s="89">
        <f>$AR21*($R21-Klimaatdata!$B$13)*2.63</f>
        <v>0</v>
      </c>
      <c r="BB21" s="89">
        <f>$AR21*($R21-Klimaatdata!$B$14)*2.63</f>
        <v>0</v>
      </c>
      <c r="BC21" s="89">
        <f>$AR21*($R21-Klimaatdata!$B$15)*2.63</f>
        <v>0</v>
      </c>
      <c r="BD21" s="89">
        <f>$AR21*($R21-Klimaatdata!$B$16)*2.63</f>
        <v>0</v>
      </c>
      <c r="BE21" s="89">
        <f>$AR21*($R21-Klimaatdata!$B$17)*2.63</f>
        <v>0</v>
      </c>
      <c r="BF21" s="89">
        <f>$AR21*($R21-Klimaatdata!$B$18)*2.63</f>
        <v>0</v>
      </c>
      <c r="BG21" s="25"/>
      <c r="BH21" s="89">
        <f>INDEX('Verwerking Bouwdelen'!$Y$106:$Y$130,H21)</f>
        <v>0</v>
      </c>
      <c r="BI21" s="89"/>
      <c r="BJ21" s="89">
        <f>INDEX(Klimaatdata!$B$27:$K$38,1,$B21)</f>
        <v>0</v>
      </c>
      <c r="BK21" s="89">
        <f>INDEX(Klimaatdata!$B$27:$K$38,2,$B21)</f>
        <v>0</v>
      </c>
      <c r="BL21" s="89">
        <f>INDEX(Klimaatdata!$B$27:$K$38,3,$B21)</f>
        <v>0</v>
      </c>
      <c r="BM21" s="89">
        <f>INDEX(Klimaatdata!$B$27:$K$38,4,$B21)</f>
        <v>0</v>
      </c>
      <c r="BN21" s="89">
        <f>INDEX(Klimaatdata!$B$27:$K$38,5,$B21)</f>
        <v>0</v>
      </c>
      <c r="BO21" s="89">
        <f>INDEX(Klimaatdata!$B$27:$K$38,6,$B21)</f>
        <v>0</v>
      </c>
      <c r="BP21" s="89">
        <f>INDEX(Klimaatdata!$B$27:$K$38,7,$B21)</f>
        <v>0</v>
      </c>
      <c r="BQ21" s="89">
        <f>INDEX(Klimaatdata!$B$27:$K$38,8,$B21)</f>
        <v>0</v>
      </c>
      <c r="BR21" s="89">
        <f>INDEX(Klimaatdata!$B$27:$K$38,9,$B21)</f>
        <v>0</v>
      </c>
      <c r="BS21" s="89">
        <f>INDEX(Klimaatdata!$B$27:$K$38,10,$B21)</f>
        <v>0</v>
      </c>
      <c r="BT21" s="89">
        <f>INDEX(Klimaatdata!$B$27:$K$38,11,$B21)</f>
        <v>0</v>
      </c>
      <c r="BU21" s="89">
        <f>INDEX(Klimaatdata!$B$27:$K$38,12,$B21)</f>
        <v>0</v>
      </c>
      <c r="BW21">
        <f t="shared" si="2"/>
        <v>1</v>
      </c>
      <c r="BX21">
        <f t="shared" si="3"/>
        <v>1</v>
      </c>
      <c r="BY21">
        <f t="shared" si="4"/>
        <v>1</v>
      </c>
      <c r="BZ21">
        <f t="shared" si="5"/>
        <v>1</v>
      </c>
      <c r="CA21">
        <f t="shared" si="6"/>
        <v>1</v>
      </c>
      <c r="CB21">
        <f t="shared" si="7"/>
        <v>1</v>
      </c>
      <c r="CC21">
        <f t="shared" si="8"/>
        <v>1</v>
      </c>
      <c r="CD21">
        <f t="shared" si="9"/>
        <v>1</v>
      </c>
      <c r="CE21">
        <f t="shared" si="10"/>
        <v>1</v>
      </c>
      <c r="CF21">
        <f t="shared" si="11"/>
        <v>1</v>
      </c>
      <c r="CG21">
        <f t="shared" si="12"/>
        <v>1</v>
      </c>
      <c r="CH21">
        <f t="shared" si="13"/>
        <v>1</v>
      </c>
      <c r="CJ21" s="219">
        <f>Klimaatdata!$D$7*BJ21*BW21*$BH21*$G21*0.75</f>
        <v>0</v>
      </c>
      <c r="CK21" s="219">
        <f>Klimaatdata!$E$7*BK21*BX21*$BH21*$G21*0.75</f>
        <v>0</v>
      </c>
      <c r="CL21" s="219">
        <f>Klimaatdata!$F$7*BL21*BY21*$BH21*$G21*0.75</f>
        <v>0</v>
      </c>
      <c r="CM21" s="219">
        <f>Klimaatdata!$G$7*BM21*BZ21*$BH21*$G21*0.75</f>
        <v>0</v>
      </c>
      <c r="CN21" s="219">
        <f>Klimaatdata!$H$7*BN21*CA21*$BH21*$G21*0.75</f>
        <v>0</v>
      </c>
      <c r="CO21" s="219">
        <f>Klimaatdata!$I$7*BO21*CB21*$BH21*$G21*0.75</f>
        <v>0</v>
      </c>
      <c r="CP21" s="219">
        <f>Klimaatdata!$J$7*BP21*CC21*$BH21*$G21*0.75</f>
        <v>0</v>
      </c>
      <c r="CQ21" s="219">
        <f>Klimaatdata!$K$7*BQ21*CD21*$BH21*$G21*0.75</f>
        <v>0</v>
      </c>
      <c r="CR21" s="219">
        <f>Klimaatdata!$L$7*BR21*CE21*$BH21*$G21*0.75</f>
        <v>0</v>
      </c>
      <c r="CS21" s="219">
        <f>Klimaatdata!$M$7*BS21*CF21*$BH21*$G21*0.75</f>
        <v>0</v>
      </c>
      <c r="CT21" s="219">
        <f>Klimaatdata!$N$7*BT21*CG21*$BH21*$G21*0.75</f>
        <v>0</v>
      </c>
      <c r="CU21" s="219">
        <f>Klimaatdata!$O$7*BU21*CH21*$BH21*$G21*0.75</f>
        <v>0</v>
      </c>
      <c r="CX21">
        <v>1</v>
      </c>
      <c r="CY21">
        <v>1</v>
      </c>
      <c r="CZ21">
        <v>1</v>
      </c>
      <c r="DA21">
        <f>'Invoer Gebouwschil'!Q21</f>
        <v>0</v>
      </c>
      <c r="DC21" s="89">
        <f t="shared" si="24"/>
        <v>0</v>
      </c>
      <c r="DD21" s="89">
        <v>0.13</v>
      </c>
      <c r="DE21" s="89">
        <f t="shared" si="25"/>
        <v>0</v>
      </c>
      <c r="DF21" s="89">
        <f>IF(F21=6,1/((1/1/(DD21+DE21+'Invoer Gebouwschil'!M21))+5),1/(DD21+DE21+'Invoer Gebouwschil'!M21))</f>
        <v>7.6923076923076916</v>
      </c>
      <c r="DG21" s="89">
        <v>0.1</v>
      </c>
      <c r="DH21" s="28">
        <f t="shared" si="26"/>
        <v>1</v>
      </c>
      <c r="DI21" s="89">
        <f t="shared" si="27"/>
        <v>0</v>
      </c>
      <c r="DJ21" s="89">
        <v>19</v>
      </c>
      <c r="DK21" s="89"/>
      <c r="DL21" s="89">
        <f>$DI21*($R21-Klimaatdata!$B$7)*2.63</f>
        <v>0</v>
      </c>
      <c r="DM21" s="89">
        <f>$DI21*($R21-Klimaatdata!$B$8)*2.63</f>
        <v>0</v>
      </c>
      <c r="DN21" s="89">
        <f>$DI21*($R21-Klimaatdata!$B$9)*2.63</f>
        <v>0</v>
      </c>
      <c r="DO21" s="89">
        <f>$DI21*($R21-Klimaatdata!$B$10)*2.63</f>
        <v>0</v>
      </c>
      <c r="DP21" s="89">
        <f>$DI21*($R21-Klimaatdata!$B$11)*2.63</f>
        <v>0</v>
      </c>
      <c r="DQ21" s="89">
        <f>$DI21*($R21-Klimaatdata!$B$12)*2.63</f>
        <v>0</v>
      </c>
      <c r="DR21" s="89">
        <f>$DI21*($R21-Klimaatdata!$B$13)*2.63</f>
        <v>0</v>
      </c>
      <c r="DS21" s="89">
        <f>$DI21*($R21-Klimaatdata!$B$14)*2.63</f>
        <v>0</v>
      </c>
      <c r="DT21" s="89">
        <f>$DI21*($R21-Klimaatdata!$B$15)*2.63</f>
        <v>0</v>
      </c>
      <c r="DU21" s="89">
        <f>$DI21*($R21-Klimaatdata!$B$16)*2.63</f>
        <v>0</v>
      </c>
      <c r="DV21" s="89">
        <f>$DI21*($R21-Klimaatdata!$B$17)*2.63</f>
        <v>0</v>
      </c>
      <c r="DW21" s="89">
        <f>$DI21*($R21-Klimaatdata!$B$18)*2.63</f>
        <v>0</v>
      </c>
      <c r="DX21" s="89"/>
      <c r="DY21" s="89">
        <f t="shared" si="28"/>
        <v>0</v>
      </c>
      <c r="DZ21" s="89">
        <v>0.1</v>
      </c>
      <c r="EA21" s="28">
        <v>1</v>
      </c>
      <c r="EB21" s="89">
        <f t="shared" si="29"/>
        <v>0</v>
      </c>
      <c r="EC21" s="89">
        <v>19</v>
      </c>
      <c r="ED21" s="89"/>
      <c r="EE21" s="89">
        <f>$EB21*($R21-Klimaatdata!$B$7)*2.63</f>
        <v>0</v>
      </c>
      <c r="EF21" s="89">
        <f>$EB21*($R21-Klimaatdata!$B$8)*2.63</f>
        <v>0</v>
      </c>
      <c r="EG21" s="89">
        <f>$EB21*($R21-Klimaatdata!$B$9)*2.63</f>
        <v>0</v>
      </c>
      <c r="EH21" s="89">
        <f>$EB21*($R21-Klimaatdata!$B$10)*2.63</f>
        <v>0</v>
      </c>
      <c r="EI21" s="89">
        <f>$EB21*($R21-Klimaatdata!$B$11)*2.63</f>
        <v>0</v>
      </c>
      <c r="EJ21" s="89">
        <f>$EB21*($R21-Klimaatdata!$B$12)*2.63</f>
        <v>0</v>
      </c>
      <c r="EK21" s="89">
        <f>$EB21*($R21-Klimaatdata!$B$13)*2.63</f>
        <v>0</v>
      </c>
      <c r="EL21" s="89">
        <f>$EB21*($R21-Klimaatdata!$B$14)*2.63</f>
        <v>0</v>
      </c>
      <c r="EM21" s="89">
        <f>$EB21*($R21-Klimaatdata!$B$15)*2.63</f>
        <v>0</v>
      </c>
      <c r="EN21" s="89">
        <f>$EB21*($R21-Klimaatdata!$B$16)*2.63</f>
        <v>0</v>
      </c>
      <c r="EO21" s="89">
        <f>$EB21*($R21-Klimaatdata!$B$17)*2.63</f>
        <v>0</v>
      </c>
      <c r="EP21" s="89">
        <f>$EB21*($R21-Klimaatdata!$B$18)*2.63</f>
        <v>0</v>
      </c>
      <c r="EQ21" s="25"/>
      <c r="ER21" s="89">
        <f t="shared" si="30"/>
        <v>0</v>
      </c>
      <c r="ES21" s="89"/>
      <c r="ET21" s="89">
        <f>INDEX(Klimaatdata!$B$27:$K$38,1,$B21)</f>
        <v>0</v>
      </c>
      <c r="EU21" s="89">
        <f>INDEX(Klimaatdata!$B$27:$K$38,2,$B21)</f>
        <v>0</v>
      </c>
      <c r="EV21" s="89">
        <f>INDEX(Klimaatdata!$B$27:$K$38,3,$B21)</f>
        <v>0</v>
      </c>
      <c r="EW21" s="89">
        <f>INDEX(Klimaatdata!$B$27:$K$38,4,$B21)</f>
        <v>0</v>
      </c>
      <c r="EX21" s="89">
        <f>INDEX(Klimaatdata!$B$27:$K$38,5,$B21)</f>
        <v>0</v>
      </c>
      <c r="EY21" s="89">
        <f>INDEX(Klimaatdata!$B$27:$K$38,6,$B21)</f>
        <v>0</v>
      </c>
      <c r="EZ21" s="89">
        <f>INDEX(Klimaatdata!$B$27:$K$38,7,$B21)</f>
        <v>0</v>
      </c>
      <c r="FA21" s="89">
        <f>INDEX(Klimaatdata!$B$27:$K$38,8,$B21)</f>
        <v>0</v>
      </c>
      <c r="FB21" s="89">
        <f>INDEX(Klimaatdata!$B$27:$K$38,9,$B21)</f>
        <v>0</v>
      </c>
      <c r="FC21" s="89">
        <f>INDEX(Klimaatdata!$B$27:$K$38,10,$B21)</f>
        <v>0</v>
      </c>
      <c r="FD21" s="89">
        <f>INDEX(Klimaatdata!$B$27:$K$38,11,$B21)</f>
        <v>0</v>
      </c>
      <c r="FE21" s="89">
        <f>INDEX(Klimaatdata!$B$27:$K$38,12,$B21)</f>
        <v>0</v>
      </c>
      <c r="FG21">
        <f t="shared" si="31"/>
        <v>1</v>
      </c>
      <c r="FH21">
        <f t="shared" si="32"/>
        <v>1</v>
      </c>
      <c r="FI21">
        <f t="shared" si="33"/>
        <v>1</v>
      </c>
      <c r="FJ21">
        <f t="shared" si="34"/>
        <v>1</v>
      </c>
      <c r="FK21">
        <f t="shared" si="35"/>
        <v>1</v>
      </c>
      <c r="FL21">
        <f t="shared" si="36"/>
        <v>1</v>
      </c>
      <c r="FM21">
        <f t="shared" si="37"/>
        <v>1</v>
      </c>
      <c r="FN21">
        <f t="shared" si="38"/>
        <v>1</v>
      </c>
      <c r="FO21">
        <f t="shared" si="39"/>
        <v>1</v>
      </c>
      <c r="FP21">
        <f t="shared" si="40"/>
        <v>1</v>
      </c>
      <c r="FQ21">
        <f t="shared" si="41"/>
        <v>1</v>
      </c>
      <c r="FR21">
        <f t="shared" si="42"/>
        <v>1</v>
      </c>
      <c r="FT21" s="219">
        <f>Klimaatdata!$D$7*ET21*FG21*$ER21*$G21*0.75</f>
        <v>0</v>
      </c>
      <c r="FU21" s="219">
        <f>Klimaatdata!$E$7*EU21*FH21*$ER21*$G21*0.75</f>
        <v>0</v>
      </c>
      <c r="FV21" s="219">
        <f>Klimaatdata!$F$7*EV21*FI21*$ER21*$G21*0.75</f>
        <v>0</v>
      </c>
      <c r="FW21" s="219">
        <f>Klimaatdata!$G$7*EW21*FJ21*$ER21*$G21*0.75</f>
        <v>0</v>
      </c>
      <c r="FX21" s="219">
        <f>Klimaatdata!$H$7*EX21*FK21*$ER21*$G21*0.75</f>
        <v>0</v>
      </c>
      <c r="FY21" s="219">
        <f>Klimaatdata!$I$7*EY21*FL21*$ER21*$G21*0.75</f>
        <v>0</v>
      </c>
      <c r="FZ21" s="219">
        <f>Klimaatdata!$J$7*EZ21*FM21*$ER21*$G21*0.75</f>
        <v>0</v>
      </c>
      <c r="GA21" s="219">
        <f>Klimaatdata!$K$7*FA21*FN21*$ER21*$G21*0.75</f>
        <v>0</v>
      </c>
      <c r="GB21" s="219">
        <f>Klimaatdata!$L$7*FB21*FO21*$ER21*$G21*0.75</f>
        <v>0</v>
      </c>
      <c r="GC21" s="219">
        <f>Klimaatdata!$M$7*FC21*FP21*$ER21*$G21*0.75</f>
        <v>0</v>
      </c>
      <c r="GD21" s="219">
        <f>Klimaatdata!$N$7*FD21*FQ21*$ER21*$G21*0.75</f>
        <v>0</v>
      </c>
      <c r="GE21" s="219">
        <f>Klimaatdata!$O$7*FE21*FR21*$ER21*$G21*0.75</f>
        <v>0</v>
      </c>
      <c r="GG21">
        <f t="shared" si="43"/>
        <v>0</v>
      </c>
      <c r="GH21">
        <f t="shared" si="44"/>
        <v>0</v>
      </c>
      <c r="GI21">
        <f t="shared" si="45"/>
        <v>0</v>
      </c>
      <c r="GJ21">
        <f t="shared" si="46"/>
        <v>0</v>
      </c>
      <c r="GK21">
        <f t="shared" si="47"/>
        <v>0</v>
      </c>
      <c r="GL21">
        <f t="shared" si="48"/>
        <v>0</v>
      </c>
      <c r="GM21">
        <f t="shared" si="49"/>
        <v>0</v>
      </c>
      <c r="GN21">
        <f t="shared" si="50"/>
        <v>0</v>
      </c>
      <c r="GO21">
        <f>'Invoer Gebouwschil'!Q21</f>
        <v>0</v>
      </c>
      <c r="GP21">
        <f t="shared" si="51"/>
        <v>0</v>
      </c>
      <c r="GR21">
        <f t="shared" si="52"/>
        <v>1</v>
      </c>
      <c r="GS21">
        <f t="shared" si="53"/>
        <v>0</v>
      </c>
      <c r="GT21">
        <f t="shared" si="54"/>
        <v>0</v>
      </c>
      <c r="GU21">
        <f t="shared" si="55"/>
        <v>0</v>
      </c>
      <c r="GV21">
        <f t="shared" si="56"/>
        <v>0</v>
      </c>
      <c r="GW21">
        <f t="shared" si="57"/>
        <v>0</v>
      </c>
      <c r="GX21">
        <f t="shared" si="58"/>
        <v>0</v>
      </c>
      <c r="GZ21" s="12">
        <f t="shared" si="59"/>
        <v>0</v>
      </c>
      <c r="HA21" s="13">
        <f t="shared" si="60"/>
        <v>0</v>
      </c>
      <c r="HB21" s="13">
        <f t="shared" si="61"/>
        <v>0</v>
      </c>
      <c r="HC21" s="14">
        <f t="shared" si="62"/>
        <v>0</v>
      </c>
      <c r="HE21" s="12">
        <f t="shared" si="63"/>
        <v>0</v>
      </c>
      <c r="HF21" s="13">
        <f t="shared" si="64"/>
        <v>0</v>
      </c>
      <c r="HG21" s="13">
        <f t="shared" si="65"/>
        <v>0</v>
      </c>
      <c r="HH21" s="14">
        <f t="shared" si="66"/>
        <v>0</v>
      </c>
    </row>
    <row r="22" spans="1:216" x14ac:dyDescent="0.2">
      <c r="A22">
        <v>1</v>
      </c>
      <c r="B22">
        <v>1</v>
      </c>
      <c r="C22">
        <v>1</v>
      </c>
      <c r="D22">
        <f>'Invoer Gebouwschil'!D22</f>
        <v>0</v>
      </c>
      <c r="E22">
        <v>1</v>
      </c>
      <c r="F22">
        <v>1</v>
      </c>
      <c r="G22">
        <f>'Invoer Gebouwschil'!H22</f>
        <v>0</v>
      </c>
      <c r="H22">
        <v>1</v>
      </c>
      <c r="I22">
        <v>1</v>
      </c>
      <c r="K22" s="89">
        <f>INDEX('Verwerking Bouwdelen'!$AN$79:$AN$103,'Verwerking Bouwdelen'!E22)</f>
        <v>0</v>
      </c>
      <c r="L22" s="89">
        <v>0.13</v>
      </c>
      <c r="M22" s="89">
        <f t="shared" si="14"/>
        <v>0</v>
      </c>
      <c r="N22" s="89">
        <f>IF(F22=6,1/((1/1/(L23+M23+'Invoer Gebouwschil'!F22))+5),1/(L22+M22+'Invoer Gebouwschil'!F22))</f>
        <v>7.6923076923076916</v>
      </c>
      <c r="O22" s="89">
        <v>0.1</v>
      </c>
      <c r="P22" s="28">
        <f t="shared" si="15"/>
        <v>1</v>
      </c>
      <c r="Q22" s="89">
        <f t="shared" si="0"/>
        <v>0</v>
      </c>
      <c r="R22" s="89">
        <v>19</v>
      </c>
      <c r="S22" s="89"/>
      <c r="T22" s="89">
        <f>$Q22*($R22-Klimaatdata!$B$7)*2.63</f>
        <v>0</v>
      </c>
      <c r="U22" s="89">
        <f>$Q22*($R22-Klimaatdata!$B$8)*2.63</f>
        <v>0</v>
      </c>
      <c r="V22" s="89">
        <f>$Q22*($R22-Klimaatdata!$B$9)*2.63</f>
        <v>0</v>
      </c>
      <c r="W22" s="89">
        <f>$Q22*($R22-Klimaatdata!$B$10)*2.63</f>
        <v>0</v>
      </c>
      <c r="X22" s="89">
        <f>$Q22*($R22-Klimaatdata!$B$11)*2.63</f>
        <v>0</v>
      </c>
      <c r="Y22" s="89">
        <f>$Q22*($R22-Klimaatdata!$B$12)*2.63</f>
        <v>0</v>
      </c>
      <c r="Z22" s="89">
        <f>$Q22*($R22-Klimaatdata!$B$13)*2.63</f>
        <v>0</v>
      </c>
      <c r="AA22" s="89">
        <f>$Q22*($R22-Klimaatdata!$B$14)*2.63</f>
        <v>0</v>
      </c>
      <c r="AB22" s="89">
        <f>$Q22*($R22-Klimaatdata!$B$15)*2.63</f>
        <v>0</v>
      </c>
      <c r="AC22" s="89">
        <f>$Q22*($R22-Klimaatdata!$B$16)*2.63</f>
        <v>0</v>
      </c>
      <c r="AD22" s="89">
        <f>$Q22*($R22-Klimaatdata!$B$17)*2.63</f>
        <v>0</v>
      </c>
      <c r="AE22" s="89">
        <f>$Q22*($R22-Klimaatdata!$B$18)*2.63</f>
        <v>0</v>
      </c>
      <c r="AF22" s="89"/>
      <c r="AG22" s="205">
        <f t="shared" si="16"/>
        <v>0</v>
      </c>
      <c r="AH22" s="25">
        <f t="shared" si="17"/>
        <v>0</v>
      </c>
      <c r="AI22" s="25">
        <f t="shared" si="18"/>
        <v>0</v>
      </c>
      <c r="AJ22" s="206">
        <f t="shared" si="19"/>
        <v>0</v>
      </c>
      <c r="AK22" s="25"/>
      <c r="AL22" s="89">
        <f t="shared" si="20"/>
        <v>1</v>
      </c>
      <c r="AM22" s="89">
        <f t="shared" si="21"/>
        <v>0</v>
      </c>
      <c r="AN22" s="89">
        <f t="shared" si="22"/>
        <v>0</v>
      </c>
      <c r="AO22" s="89">
        <f t="shared" si="23"/>
        <v>0</v>
      </c>
      <c r="AP22" s="89">
        <v>0.1</v>
      </c>
      <c r="AQ22" s="28">
        <v>1</v>
      </c>
      <c r="AR22" s="89">
        <f t="shared" si="1"/>
        <v>0</v>
      </c>
      <c r="AS22" s="89">
        <v>19</v>
      </c>
      <c r="AT22" s="89"/>
      <c r="AU22" s="89">
        <f>$AR22*($R22-Klimaatdata!$B$7)*2.63</f>
        <v>0</v>
      </c>
      <c r="AV22" s="89">
        <f>$AR22*($R22-Klimaatdata!$B$8)*2.63</f>
        <v>0</v>
      </c>
      <c r="AW22" s="89">
        <f>$AR22*($R22-Klimaatdata!$B$9)*2.63</f>
        <v>0</v>
      </c>
      <c r="AX22" s="89">
        <f>$AR22*($R22-Klimaatdata!$B$10)*2.63</f>
        <v>0</v>
      </c>
      <c r="AY22" s="89">
        <f>$AR22*($R22-Klimaatdata!$B$11)*2.63</f>
        <v>0</v>
      </c>
      <c r="AZ22" s="89">
        <f>$AR22*($R22-Klimaatdata!$B$12)*2.63</f>
        <v>0</v>
      </c>
      <c r="BA22" s="89">
        <f>$AR22*($R22-Klimaatdata!$B$13)*2.63</f>
        <v>0</v>
      </c>
      <c r="BB22" s="89">
        <f>$AR22*($R22-Klimaatdata!$B$14)*2.63</f>
        <v>0</v>
      </c>
      <c r="BC22" s="89">
        <f>$AR22*($R22-Klimaatdata!$B$15)*2.63</f>
        <v>0</v>
      </c>
      <c r="BD22" s="89">
        <f>$AR22*($R22-Klimaatdata!$B$16)*2.63</f>
        <v>0</v>
      </c>
      <c r="BE22" s="89">
        <f>$AR22*($R22-Klimaatdata!$B$17)*2.63</f>
        <v>0</v>
      </c>
      <c r="BF22" s="89">
        <f>$AR22*($R22-Klimaatdata!$B$18)*2.63</f>
        <v>0</v>
      </c>
      <c r="BG22" s="25"/>
      <c r="BH22" s="89">
        <f>INDEX('Verwerking Bouwdelen'!$Y$106:$Y$130,H22)</f>
        <v>0</v>
      </c>
      <c r="BI22" s="89"/>
      <c r="BJ22" s="89">
        <f>INDEX(Klimaatdata!$B$27:$K$38,1,$B22)</f>
        <v>0</v>
      </c>
      <c r="BK22" s="89">
        <f>INDEX(Klimaatdata!$B$27:$K$38,2,$B22)</f>
        <v>0</v>
      </c>
      <c r="BL22" s="89">
        <f>INDEX(Klimaatdata!$B$27:$K$38,3,$B22)</f>
        <v>0</v>
      </c>
      <c r="BM22" s="89">
        <f>INDEX(Klimaatdata!$B$27:$K$38,4,$B22)</f>
        <v>0</v>
      </c>
      <c r="BN22" s="89">
        <f>INDEX(Klimaatdata!$B$27:$K$38,5,$B22)</f>
        <v>0</v>
      </c>
      <c r="BO22" s="89">
        <f>INDEX(Klimaatdata!$B$27:$K$38,6,$B22)</f>
        <v>0</v>
      </c>
      <c r="BP22" s="89">
        <f>INDEX(Klimaatdata!$B$27:$K$38,7,$B22)</f>
        <v>0</v>
      </c>
      <c r="BQ22" s="89">
        <f>INDEX(Klimaatdata!$B$27:$K$38,8,$B22)</f>
        <v>0</v>
      </c>
      <c r="BR22" s="89">
        <f>INDEX(Klimaatdata!$B$27:$K$38,9,$B22)</f>
        <v>0</v>
      </c>
      <c r="BS22" s="89">
        <f>INDEX(Klimaatdata!$B$27:$K$38,10,$B22)</f>
        <v>0</v>
      </c>
      <c r="BT22" s="89">
        <f>INDEX(Klimaatdata!$B$27:$K$38,11,$B22)</f>
        <v>0</v>
      </c>
      <c r="BU22" s="89">
        <f>INDEX(Klimaatdata!$B$27:$K$38,12,$B22)</f>
        <v>0</v>
      </c>
      <c r="BW22">
        <f t="shared" si="2"/>
        <v>1</v>
      </c>
      <c r="BX22">
        <f t="shared" si="3"/>
        <v>1</v>
      </c>
      <c r="BY22">
        <f t="shared" si="4"/>
        <v>1</v>
      </c>
      <c r="BZ22">
        <f t="shared" si="5"/>
        <v>1</v>
      </c>
      <c r="CA22">
        <f t="shared" si="6"/>
        <v>1</v>
      </c>
      <c r="CB22">
        <f t="shared" si="7"/>
        <v>1</v>
      </c>
      <c r="CC22">
        <f t="shared" si="8"/>
        <v>1</v>
      </c>
      <c r="CD22">
        <f t="shared" si="9"/>
        <v>1</v>
      </c>
      <c r="CE22">
        <f t="shared" si="10"/>
        <v>1</v>
      </c>
      <c r="CF22">
        <f t="shared" si="11"/>
        <v>1</v>
      </c>
      <c r="CG22">
        <f t="shared" si="12"/>
        <v>1</v>
      </c>
      <c r="CH22">
        <f t="shared" si="13"/>
        <v>1</v>
      </c>
      <c r="CJ22" s="219">
        <f>Klimaatdata!$D$7*BJ22*BW22*$BH22*$G22*0.75</f>
        <v>0</v>
      </c>
      <c r="CK22" s="219">
        <f>Klimaatdata!$E$7*BK22*BX22*$BH22*$G22*0.75</f>
        <v>0</v>
      </c>
      <c r="CL22" s="219">
        <f>Klimaatdata!$F$7*BL22*BY22*$BH22*$G22*0.75</f>
        <v>0</v>
      </c>
      <c r="CM22" s="219">
        <f>Klimaatdata!$G$7*BM22*BZ22*$BH22*$G22*0.75</f>
        <v>0</v>
      </c>
      <c r="CN22" s="219">
        <f>Klimaatdata!$H$7*BN22*CA22*$BH22*$G22*0.75</f>
        <v>0</v>
      </c>
      <c r="CO22" s="219">
        <f>Klimaatdata!$I$7*BO22*CB22*$BH22*$G22*0.75</f>
        <v>0</v>
      </c>
      <c r="CP22" s="219">
        <f>Klimaatdata!$J$7*BP22*CC22*$BH22*$G22*0.75</f>
        <v>0</v>
      </c>
      <c r="CQ22" s="219">
        <f>Klimaatdata!$K$7*BQ22*CD22*$BH22*$G22*0.75</f>
        <v>0</v>
      </c>
      <c r="CR22" s="219">
        <f>Klimaatdata!$L$7*BR22*CE22*$BH22*$G22*0.75</f>
        <v>0</v>
      </c>
      <c r="CS22" s="219">
        <f>Klimaatdata!$M$7*BS22*CF22*$BH22*$G22*0.75</f>
        <v>0</v>
      </c>
      <c r="CT22" s="219">
        <f>Klimaatdata!$N$7*BT22*CG22*$BH22*$G22*0.75</f>
        <v>0</v>
      </c>
      <c r="CU22" s="219">
        <f>Klimaatdata!$O$7*BU22*CH22*$BH22*$G22*0.75</f>
        <v>0</v>
      </c>
      <c r="CX22">
        <v>1</v>
      </c>
      <c r="CY22">
        <v>1</v>
      </c>
      <c r="CZ22">
        <v>1</v>
      </c>
      <c r="DA22">
        <f>'Invoer Gebouwschil'!Q22</f>
        <v>0</v>
      </c>
      <c r="DC22" s="89">
        <f t="shared" si="24"/>
        <v>0</v>
      </c>
      <c r="DD22" s="89">
        <v>0.13</v>
      </c>
      <c r="DE22" s="89">
        <f t="shared" si="25"/>
        <v>0</v>
      </c>
      <c r="DF22" s="89">
        <f>IF(F22=6,1/((1/1/(DD22+DE22+'Invoer Gebouwschil'!M22))+5),1/(DD22+DE22+'Invoer Gebouwschil'!M22))</f>
        <v>7.6923076923076916</v>
      </c>
      <c r="DG22" s="89">
        <v>0.1</v>
      </c>
      <c r="DH22" s="28">
        <f t="shared" si="26"/>
        <v>1</v>
      </c>
      <c r="DI22" s="89">
        <f t="shared" si="27"/>
        <v>0</v>
      </c>
      <c r="DJ22" s="89">
        <v>19</v>
      </c>
      <c r="DK22" s="89"/>
      <c r="DL22" s="89">
        <f>$DI22*($R22-Klimaatdata!$B$7)*2.63</f>
        <v>0</v>
      </c>
      <c r="DM22" s="89">
        <f>$DI22*($R22-Klimaatdata!$B$8)*2.63</f>
        <v>0</v>
      </c>
      <c r="DN22" s="89">
        <f>$DI22*($R22-Klimaatdata!$B$9)*2.63</f>
        <v>0</v>
      </c>
      <c r="DO22" s="89">
        <f>$DI22*($R22-Klimaatdata!$B$10)*2.63</f>
        <v>0</v>
      </c>
      <c r="DP22" s="89">
        <f>$DI22*($R22-Klimaatdata!$B$11)*2.63</f>
        <v>0</v>
      </c>
      <c r="DQ22" s="89">
        <f>$DI22*($R22-Klimaatdata!$B$12)*2.63</f>
        <v>0</v>
      </c>
      <c r="DR22" s="89">
        <f>$DI22*($R22-Klimaatdata!$B$13)*2.63</f>
        <v>0</v>
      </c>
      <c r="DS22" s="89">
        <f>$DI22*($R22-Klimaatdata!$B$14)*2.63</f>
        <v>0</v>
      </c>
      <c r="DT22" s="89">
        <f>$DI22*($R22-Klimaatdata!$B$15)*2.63</f>
        <v>0</v>
      </c>
      <c r="DU22" s="89">
        <f>$DI22*($R22-Klimaatdata!$B$16)*2.63</f>
        <v>0</v>
      </c>
      <c r="DV22" s="89">
        <f>$DI22*($R22-Klimaatdata!$B$17)*2.63</f>
        <v>0</v>
      </c>
      <c r="DW22" s="89">
        <f>$DI22*($R22-Klimaatdata!$B$18)*2.63</f>
        <v>0</v>
      </c>
      <c r="DX22" s="89"/>
      <c r="DY22" s="89">
        <f t="shared" si="28"/>
        <v>0</v>
      </c>
      <c r="DZ22" s="89">
        <v>0.1</v>
      </c>
      <c r="EA22" s="28">
        <v>1</v>
      </c>
      <c r="EB22" s="89">
        <f t="shared" si="29"/>
        <v>0</v>
      </c>
      <c r="EC22" s="89">
        <v>19</v>
      </c>
      <c r="ED22" s="89"/>
      <c r="EE22" s="89">
        <f>$EB22*($R22-Klimaatdata!$B$7)*2.63</f>
        <v>0</v>
      </c>
      <c r="EF22" s="89">
        <f>$EB22*($R22-Klimaatdata!$B$8)*2.63</f>
        <v>0</v>
      </c>
      <c r="EG22" s="89">
        <f>$EB22*($R22-Klimaatdata!$B$9)*2.63</f>
        <v>0</v>
      </c>
      <c r="EH22" s="89">
        <f>$EB22*($R22-Klimaatdata!$B$10)*2.63</f>
        <v>0</v>
      </c>
      <c r="EI22" s="89">
        <f>$EB22*($R22-Klimaatdata!$B$11)*2.63</f>
        <v>0</v>
      </c>
      <c r="EJ22" s="89">
        <f>$EB22*($R22-Klimaatdata!$B$12)*2.63</f>
        <v>0</v>
      </c>
      <c r="EK22" s="89">
        <f>$EB22*($R22-Klimaatdata!$B$13)*2.63</f>
        <v>0</v>
      </c>
      <c r="EL22" s="89">
        <f>$EB22*($R22-Klimaatdata!$B$14)*2.63</f>
        <v>0</v>
      </c>
      <c r="EM22" s="89">
        <f>$EB22*($R22-Klimaatdata!$B$15)*2.63</f>
        <v>0</v>
      </c>
      <c r="EN22" s="89">
        <f>$EB22*($R22-Klimaatdata!$B$16)*2.63</f>
        <v>0</v>
      </c>
      <c r="EO22" s="89">
        <f>$EB22*($R22-Klimaatdata!$B$17)*2.63</f>
        <v>0</v>
      </c>
      <c r="EP22" s="89">
        <f>$EB22*($R22-Klimaatdata!$B$18)*2.63</f>
        <v>0</v>
      </c>
      <c r="EQ22" s="25"/>
      <c r="ER22" s="89">
        <f t="shared" si="30"/>
        <v>0</v>
      </c>
      <c r="ES22" s="89"/>
      <c r="ET22" s="89">
        <f>INDEX(Klimaatdata!$B$27:$K$38,1,$B22)</f>
        <v>0</v>
      </c>
      <c r="EU22" s="89">
        <f>INDEX(Klimaatdata!$B$27:$K$38,2,$B22)</f>
        <v>0</v>
      </c>
      <c r="EV22" s="89">
        <f>INDEX(Klimaatdata!$B$27:$K$38,3,$B22)</f>
        <v>0</v>
      </c>
      <c r="EW22" s="89">
        <f>INDEX(Klimaatdata!$B$27:$K$38,4,$B22)</f>
        <v>0</v>
      </c>
      <c r="EX22" s="89">
        <f>INDEX(Klimaatdata!$B$27:$K$38,5,$B22)</f>
        <v>0</v>
      </c>
      <c r="EY22" s="89">
        <f>INDEX(Klimaatdata!$B$27:$K$38,6,$B22)</f>
        <v>0</v>
      </c>
      <c r="EZ22" s="89">
        <f>INDEX(Klimaatdata!$B$27:$K$38,7,$B22)</f>
        <v>0</v>
      </c>
      <c r="FA22" s="89">
        <f>INDEX(Klimaatdata!$B$27:$K$38,8,$B22)</f>
        <v>0</v>
      </c>
      <c r="FB22" s="89">
        <f>INDEX(Klimaatdata!$B$27:$K$38,9,$B22)</f>
        <v>0</v>
      </c>
      <c r="FC22" s="89">
        <f>INDEX(Klimaatdata!$B$27:$K$38,10,$B22)</f>
        <v>0</v>
      </c>
      <c r="FD22" s="89">
        <f>INDEX(Klimaatdata!$B$27:$K$38,11,$B22)</f>
        <v>0</v>
      </c>
      <c r="FE22" s="89">
        <f>INDEX(Klimaatdata!$B$27:$K$38,12,$B22)</f>
        <v>0</v>
      </c>
      <c r="FG22">
        <f t="shared" si="31"/>
        <v>1</v>
      </c>
      <c r="FH22">
        <f t="shared" si="32"/>
        <v>1</v>
      </c>
      <c r="FI22">
        <f t="shared" si="33"/>
        <v>1</v>
      </c>
      <c r="FJ22">
        <f t="shared" si="34"/>
        <v>1</v>
      </c>
      <c r="FK22">
        <f t="shared" si="35"/>
        <v>1</v>
      </c>
      <c r="FL22">
        <f t="shared" si="36"/>
        <v>1</v>
      </c>
      <c r="FM22">
        <f t="shared" si="37"/>
        <v>1</v>
      </c>
      <c r="FN22">
        <f t="shared" si="38"/>
        <v>1</v>
      </c>
      <c r="FO22">
        <f t="shared" si="39"/>
        <v>1</v>
      </c>
      <c r="FP22">
        <f t="shared" si="40"/>
        <v>1</v>
      </c>
      <c r="FQ22">
        <f t="shared" si="41"/>
        <v>1</v>
      </c>
      <c r="FR22">
        <f t="shared" si="42"/>
        <v>1</v>
      </c>
      <c r="FT22" s="219">
        <f>Klimaatdata!$D$7*ET22*FG22*$ER22*$G22*0.75</f>
        <v>0</v>
      </c>
      <c r="FU22" s="219">
        <f>Klimaatdata!$E$7*EU22*FH22*$ER22*$G22*0.75</f>
        <v>0</v>
      </c>
      <c r="FV22" s="219">
        <f>Klimaatdata!$F$7*EV22*FI22*$ER22*$G22*0.75</f>
        <v>0</v>
      </c>
      <c r="FW22" s="219">
        <f>Klimaatdata!$G$7*EW22*FJ22*$ER22*$G22*0.75</f>
        <v>0</v>
      </c>
      <c r="FX22" s="219">
        <f>Klimaatdata!$H$7*EX22*FK22*$ER22*$G22*0.75</f>
        <v>0</v>
      </c>
      <c r="FY22" s="219">
        <f>Klimaatdata!$I$7*EY22*FL22*$ER22*$G22*0.75</f>
        <v>0</v>
      </c>
      <c r="FZ22" s="219">
        <f>Klimaatdata!$J$7*EZ22*FM22*$ER22*$G22*0.75</f>
        <v>0</v>
      </c>
      <c r="GA22" s="219">
        <f>Klimaatdata!$K$7*FA22*FN22*$ER22*$G22*0.75</f>
        <v>0</v>
      </c>
      <c r="GB22" s="219">
        <f>Klimaatdata!$L$7*FB22*FO22*$ER22*$G22*0.75</f>
        <v>0</v>
      </c>
      <c r="GC22" s="219">
        <f>Klimaatdata!$M$7*FC22*FP22*$ER22*$G22*0.75</f>
        <v>0</v>
      </c>
      <c r="GD22" s="219">
        <f>Klimaatdata!$N$7*FD22*FQ22*$ER22*$G22*0.75</f>
        <v>0</v>
      </c>
      <c r="GE22" s="219">
        <f>Klimaatdata!$O$7*FE22*FR22*$ER22*$G22*0.75</f>
        <v>0</v>
      </c>
      <c r="GG22">
        <f t="shared" si="43"/>
        <v>0</v>
      </c>
      <c r="GH22">
        <f t="shared" si="44"/>
        <v>0</v>
      </c>
      <c r="GI22">
        <f t="shared" si="45"/>
        <v>0</v>
      </c>
      <c r="GJ22">
        <f t="shared" si="46"/>
        <v>0</v>
      </c>
      <c r="GK22">
        <f t="shared" si="47"/>
        <v>0</v>
      </c>
      <c r="GL22">
        <f t="shared" si="48"/>
        <v>0</v>
      </c>
      <c r="GM22">
        <f t="shared" si="49"/>
        <v>0</v>
      </c>
      <c r="GN22">
        <f t="shared" si="50"/>
        <v>0</v>
      </c>
      <c r="GO22">
        <f>'Invoer Gebouwschil'!Q22</f>
        <v>0</v>
      </c>
      <c r="GP22">
        <f t="shared" si="51"/>
        <v>0</v>
      </c>
      <c r="GR22">
        <f t="shared" si="52"/>
        <v>1</v>
      </c>
      <c r="GS22">
        <f t="shared" si="53"/>
        <v>0</v>
      </c>
      <c r="GT22">
        <f t="shared" si="54"/>
        <v>0</v>
      </c>
      <c r="GU22">
        <f t="shared" si="55"/>
        <v>0</v>
      </c>
      <c r="GV22">
        <f t="shared" si="56"/>
        <v>0</v>
      </c>
      <c r="GW22">
        <f t="shared" si="57"/>
        <v>0</v>
      </c>
      <c r="GX22">
        <f t="shared" si="58"/>
        <v>0</v>
      </c>
      <c r="GZ22" s="12">
        <f t="shared" si="59"/>
        <v>0</v>
      </c>
      <c r="HA22" s="13">
        <f t="shared" si="60"/>
        <v>0</v>
      </c>
      <c r="HB22" s="13">
        <f t="shared" si="61"/>
        <v>0</v>
      </c>
      <c r="HC22" s="14">
        <f t="shared" si="62"/>
        <v>0</v>
      </c>
      <c r="HE22" s="12">
        <f t="shared" si="63"/>
        <v>0</v>
      </c>
      <c r="HF22" s="13">
        <f t="shared" si="64"/>
        <v>0</v>
      </c>
      <c r="HG22" s="13">
        <f t="shared" si="65"/>
        <v>0</v>
      </c>
      <c r="HH22" s="14">
        <f t="shared" si="66"/>
        <v>0</v>
      </c>
    </row>
    <row r="23" spans="1:216" x14ac:dyDescent="0.2">
      <c r="A23">
        <v>1</v>
      </c>
      <c r="B23">
        <v>1</v>
      </c>
      <c r="C23">
        <v>1</v>
      </c>
      <c r="D23">
        <f>'Invoer Gebouwschil'!D23</f>
        <v>0</v>
      </c>
      <c r="E23">
        <v>1</v>
      </c>
      <c r="F23">
        <v>1</v>
      </c>
      <c r="G23">
        <f>'Invoer Gebouwschil'!H23</f>
        <v>0</v>
      </c>
      <c r="H23">
        <v>1</v>
      </c>
      <c r="I23">
        <v>1</v>
      </c>
      <c r="K23" s="89">
        <f>INDEX('Verwerking Bouwdelen'!$AP$79:$AP$103,'Verwerking Bouwdelen'!E23)</f>
        <v>0</v>
      </c>
      <c r="L23" s="89">
        <v>0.13</v>
      </c>
      <c r="M23" s="89">
        <f t="shared" si="14"/>
        <v>0</v>
      </c>
      <c r="N23" s="89">
        <f>IF(F23=6,1/((1/1/(L24+M24+'Invoer Gebouwschil'!F23))+5),1/(L23+M23+'Invoer Gebouwschil'!F23))</f>
        <v>7.6923076923076916</v>
      </c>
      <c r="O23" s="89">
        <v>0.1</v>
      </c>
      <c r="P23" s="28">
        <f t="shared" si="15"/>
        <v>1</v>
      </c>
      <c r="Q23" s="89">
        <f t="shared" si="0"/>
        <v>0</v>
      </c>
      <c r="R23" s="89">
        <v>19</v>
      </c>
      <c r="S23" s="89"/>
      <c r="T23" s="89">
        <f>$Q23*($R23-Klimaatdata!$B$7)*2.63</f>
        <v>0</v>
      </c>
      <c r="U23" s="89">
        <f>$Q23*($R23-Klimaatdata!$B$8)*2.63</f>
        <v>0</v>
      </c>
      <c r="V23" s="89">
        <f>$Q23*($R23-Klimaatdata!$B$9)*2.63</f>
        <v>0</v>
      </c>
      <c r="W23" s="89">
        <f>$Q23*($R23-Klimaatdata!$B$10)*2.63</f>
        <v>0</v>
      </c>
      <c r="X23" s="89">
        <f>$Q23*($R23-Klimaatdata!$B$11)*2.63</f>
        <v>0</v>
      </c>
      <c r="Y23" s="89">
        <f>$Q23*($R23-Klimaatdata!$B$12)*2.63</f>
        <v>0</v>
      </c>
      <c r="Z23" s="89">
        <f>$Q23*($R23-Klimaatdata!$B$13)*2.63</f>
        <v>0</v>
      </c>
      <c r="AA23" s="89">
        <f>$Q23*($R23-Klimaatdata!$B$14)*2.63</f>
        <v>0</v>
      </c>
      <c r="AB23" s="89">
        <f>$Q23*($R23-Klimaatdata!$B$15)*2.63</f>
        <v>0</v>
      </c>
      <c r="AC23" s="89">
        <f>$Q23*($R23-Klimaatdata!$B$16)*2.63</f>
        <v>0</v>
      </c>
      <c r="AD23" s="89">
        <f>$Q23*($R23-Klimaatdata!$B$17)*2.63</f>
        <v>0</v>
      </c>
      <c r="AE23" s="89">
        <f>$Q23*($R23-Klimaatdata!$B$18)*2.63</f>
        <v>0</v>
      </c>
      <c r="AF23" s="89"/>
      <c r="AG23" s="205">
        <f t="shared" si="16"/>
        <v>0</v>
      </c>
      <c r="AH23" s="25">
        <f t="shared" si="17"/>
        <v>0</v>
      </c>
      <c r="AI23" s="25">
        <f t="shared" si="18"/>
        <v>0</v>
      </c>
      <c r="AJ23" s="206">
        <f t="shared" si="19"/>
        <v>0</v>
      </c>
      <c r="AK23" s="25"/>
      <c r="AL23" s="89">
        <f t="shared" si="20"/>
        <v>1</v>
      </c>
      <c r="AM23" s="89">
        <f t="shared" si="21"/>
        <v>0</v>
      </c>
      <c r="AN23" s="89">
        <f t="shared" si="22"/>
        <v>0</v>
      </c>
      <c r="AO23" s="89">
        <f t="shared" si="23"/>
        <v>0</v>
      </c>
      <c r="AP23" s="89">
        <v>0.1</v>
      </c>
      <c r="AQ23" s="28">
        <v>1</v>
      </c>
      <c r="AR23" s="89">
        <f t="shared" si="1"/>
        <v>0</v>
      </c>
      <c r="AS23" s="89">
        <v>19</v>
      </c>
      <c r="AT23" s="89"/>
      <c r="AU23" s="89">
        <f>$AR23*($R23-Klimaatdata!$B$7)*2.63</f>
        <v>0</v>
      </c>
      <c r="AV23" s="89">
        <f>$AR23*($R23-Klimaatdata!$B$8)*2.63</f>
        <v>0</v>
      </c>
      <c r="AW23" s="89">
        <f>$AR23*($R23-Klimaatdata!$B$9)*2.63</f>
        <v>0</v>
      </c>
      <c r="AX23" s="89">
        <f>$AR23*($R23-Klimaatdata!$B$10)*2.63</f>
        <v>0</v>
      </c>
      <c r="AY23" s="89">
        <f>$AR23*($R23-Klimaatdata!$B$11)*2.63</f>
        <v>0</v>
      </c>
      <c r="AZ23" s="89">
        <f>$AR23*($R23-Klimaatdata!$B$12)*2.63</f>
        <v>0</v>
      </c>
      <c r="BA23" s="89">
        <f>$AR23*($R23-Klimaatdata!$B$13)*2.63</f>
        <v>0</v>
      </c>
      <c r="BB23" s="89">
        <f>$AR23*($R23-Klimaatdata!$B$14)*2.63</f>
        <v>0</v>
      </c>
      <c r="BC23" s="89">
        <f>$AR23*($R23-Klimaatdata!$B$15)*2.63</f>
        <v>0</v>
      </c>
      <c r="BD23" s="89">
        <f>$AR23*($R23-Klimaatdata!$B$16)*2.63</f>
        <v>0</v>
      </c>
      <c r="BE23" s="89">
        <f>$AR23*($R23-Klimaatdata!$B$17)*2.63</f>
        <v>0</v>
      </c>
      <c r="BF23" s="89">
        <f>$AR23*($R23-Klimaatdata!$B$18)*2.63</f>
        <v>0</v>
      </c>
      <c r="BG23" s="25"/>
      <c r="BH23" s="89">
        <f>INDEX('Verwerking Bouwdelen'!$Y$106:$Y$130,H23)</f>
        <v>0</v>
      </c>
      <c r="BI23" s="89"/>
      <c r="BJ23" s="89">
        <f>INDEX(Klimaatdata!$B$27:$K$38,1,$B23)</f>
        <v>0</v>
      </c>
      <c r="BK23" s="89">
        <f>INDEX(Klimaatdata!$B$27:$K$38,2,$B23)</f>
        <v>0</v>
      </c>
      <c r="BL23" s="89">
        <f>INDEX(Klimaatdata!$B$27:$K$38,3,$B23)</f>
        <v>0</v>
      </c>
      <c r="BM23" s="89">
        <f>INDEX(Klimaatdata!$B$27:$K$38,4,$B23)</f>
        <v>0</v>
      </c>
      <c r="BN23" s="89">
        <f>INDEX(Klimaatdata!$B$27:$K$38,5,$B23)</f>
        <v>0</v>
      </c>
      <c r="BO23" s="89">
        <f>INDEX(Klimaatdata!$B$27:$K$38,6,$B23)</f>
        <v>0</v>
      </c>
      <c r="BP23" s="89">
        <f>INDEX(Klimaatdata!$B$27:$K$38,7,$B23)</f>
        <v>0</v>
      </c>
      <c r="BQ23" s="89">
        <f>INDEX(Klimaatdata!$B$27:$K$38,8,$B23)</f>
        <v>0</v>
      </c>
      <c r="BR23" s="89">
        <f>INDEX(Klimaatdata!$B$27:$K$38,9,$B23)</f>
        <v>0</v>
      </c>
      <c r="BS23" s="89">
        <f>INDEX(Klimaatdata!$B$27:$K$38,10,$B23)</f>
        <v>0</v>
      </c>
      <c r="BT23" s="89">
        <f>INDEX(Klimaatdata!$B$27:$K$38,11,$B23)</f>
        <v>0</v>
      </c>
      <c r="BU23" s="89">
        <f>INDEX(Klimaatdata!$B$27:$K$38,12,$B23)</f>
        <v>0</v>
      </c>
      <c r="BW23">
        <f t="shared" si="2"/>
        <v>1</v>
      </c>
      <c r="BX23">
        <f t="shared" si="3"/>
        <v>1</v>
      </c>
      <c r="BY23">
        <f t="shared" si="4"/>
        <v>1</v>
      </c>
      <c r="BZ23">
        <f t="shared" si="5"/>
        <v>1</v>
      </c>
      <c r="CA23">
        <f t="shared" si="6"/>
        <v>1</v>
      </c>
      <c r="CB23">
        <f t="shared" si="7"/>
        <v>1</v>
      </c>
      <c r="CC23">
        <f t="shared" si="8"/>
        <v>1</v>
      </c>
      <c r="CD23">
        <f t="shared" si="9"/>
        <v>1</v>
      </c>
      <c r="CE23">
        <f t="shared" si="10"/>
        <v>1</v>
      </c>
      <c r="CF23">
        <f t="shared" si="11"/>
        <v>1</v>
      </c>
      <c r="CG23">
        <f t="shared" si="12"/>
        <v>1</v>
      </c>
      <c r="CH23">
        <f t="shared" si="13"/>
        <v>1</v>
      </c>
      <c r="CJ23" s="219">
        <f>Klimaatdata!$D$7*BJ23*BW23*$BH23*$G23*0.75</f>
        <v>0</v>
      </c>
      <c r="CK23" s="219">
        <f>Klimaatdata!$E$7*BK23*BX23*$BH23*$G23*0.75</f>
        <v>0</v>
      </c>
      <c r="CL23" s="219">
        <f>Klimaatdata!$F$7*BL23*BY23*$BH23*$G23*0.75</f>
        <v>0</v>
      </c>
      <c r="CM23" s="219">
        <f>Klimaatdata!$G$7*BM23*BZ23*$BH23*$G23*0.75</f>
        <v>0</v>
      </c>
      <c r="CN23" s="219">
        <f>Klimaatdata!$H$7*BN23*CA23*$BH23*$G23*0.75</f>
        <v>0</v>
      </c>
      <c r="CO23" s="219">
        <f>Klimaatdata!$I$7*BO23*CB23*$BH23*$G23*0.75</f>
        <v>0</v>
      </c>
      <c r="CP23" s="219">
        <f>Klimaatdata!$J$7*BP23*CC23*$BH23*$G23*0.75</f>
        <v>0</v>
      </c>
      <c r="CQ23" s="219">
        <f>Klimaatdata!$K$7*BQ23*CD23*$BH23*$G23*0.75</f>
        <v>0</v>
      </c>
      <c r="CR23" s="219">
        <f>Klimaatdata!$L$7*BR23*CE23*$BH23*$G23*0.75</f>
        <v>0</v>
      </c>
      <c r="CS23" s="219">
        <f>Klimaatdata!$M$7*BS23*CF23*$BH23*$G23*0.75</f>
        <v>0</v>
      </c>
      <c r="CT23" s="219">
        <f>Klimaatdata!$N$7*BT23*CG23*$BH23*$G23*0.75</f>
        <v>0</v>
      </c>
      <c r="CU23" s="219">
        <f>Klimaatdata!$O$7*BU23*CH23*$BH23*$G23*0.75</f>
        <v>0</v>
      </c>
      <c r="CX23">
        <v>1</v>
      </c>
      <c r="CY23">
        <v>1</v>
      </c>
      <c r="CZ23">
        <v>1</v>
      </c>
      <c r="DA23">
        <f>'Invoer Gebouwschil'!Q23</f>
        <v>0</v>
      </c>
      <c r="DC23" s="89">
        <f t="shared" si="24"/>
        <v>0</v>
      </c>
      <c r="DD23" s="89">
        <v>0.13</v>
      </c>
      <c r="DE23" s="89">
        <f t="shared" si="25"/>
        <v>0</v>
      </c>
      <c r="DF23" s="89">
        <f>IF(F23=6,1/((1/1/(DD23+DE23+'Invoer Gebouwschil'!M23))+5),1/(DD23+DE23+'Invoer Gebouwschil'!M23))</f>
        <v>7.6923076923076916</v>
      </c>
      <c r="DG23" s="89">
        <v>0.1</v>
      </c>
      <c r="DH23" s="28">
        <f t="shared" si="26"/>
        <v>1</v>
      </c>
      <c r="DI23" s="89">
        <f t="shared" si="27"/>
        <v>0</v>
      </c>
      <c r="DJ23" s="89">
        <v>19</v>
      </c>
      <c r="DK23" s="89"/>
      <c r="DL23" s="89">
        <f>$DI23*($R23-Klimaatdata!$B$7)*2.63</f>
        <v>0</v>
      </c>
      <c r="DM23" s="89">
        <f>$DI23*($R23-Klimaatdata!$B$8)*2.63</f>
        <v>0</v>
      </c>
      <c r="DN23" s="89">
        <f>$DI23*($R23-Klimaatdata!$B$9)*2.63</f>
        <v>0</v>
      </c>
      <c r="DO23" s="89">
        <f>$DI23*($R23-Klimaatdata!$B$10)*2.63</f>
        <v>0</v>
      </c>
      <c r="DP23" s="89">
        <f>$DI23*($R23-Klimaatdata!$B$11)*2.63</f>
        <v>0</v>
      </c>
      <c r="DQ23" s="89">
        <f>$DI23*($R23-Klimaatdata!$B$12)*2.63</f>
        <v>0</v>
      </c>
      <c r="DR23" s="89">
        <f>$DI23*($R23-Klimaatdata!$B$13)*2.63</f>
        <v>0</v>
      </c>
      <c r="DS23" s="89">
        <f>$DI23*($R23-Klimaatdata!$B$14)*2.63</f>
        <v>0</v>
      </c>
      <c r="DT23" s="89">
        <f>$DI23*($R23-Klimaatdata!$B$15)*2.63</f>
        <v>0</v>
      </c>
      <c r="DU23" s="89">
        <f>$DI23*($R23-Klimaatdata!$B$16)*2.63</f>
        <v>0</v>
      </c>
      <c r="DV23" s="89">
        <f>$DI23*($R23-Klimaatdata!$B$17)*2.63</f>
        <v>0</v>
      </c>
      <c r="DW23" s="89">
        <f>$DI23*($R23-Klimaatdata!$B$18)*2.63</f>
        <v>0</v>
      </c>
      <c r="DX23" s="89"/>
      <c r="DY23" s="89">
        <f t="shared" si="28"/>
        <v>0</v>
      </c>
      <c r="DZ23" s="89">
        <v>0.1</v>
      </c>
      <c r="EA23" s="28">
        <v>1</v>
      </c>
      <c r="EB23" s="89">
        <f t="shared" si="29"/>
        <v>0</v>
      </c>
      <c r="EC23" s="89">
        <v>19</v>
      </c>
      <c r="ED23" s="89"/>
      <c r="EE23" s="89">
        <f>$EB23*($R23-Klimaatdata!$B$7)*2.63</f>
        <v>0</v>
      </c>
      <c r="EF23" s="89">
        <f>$EB23*($R23-Klimaatdata!$B$8)*2.63</f>
        <v>0</v>
      </c>
      <c r="EG23" s="89">
        <f>$EB23*($R23-Klimaatdata!$B$9)*2.63</f>
        <v>0</v>
      </c>
      <c r="EH23" s="89">
        <f>$EB23*($R23-Klimaatdata!$B$10)*2.63</f>
        <v>0</v>
      </c>
      <c r="EI23" s="89">
        <f>$EB23*($R23-Klimaatdata!$B$11)*2.63</f>
        <v>0</v>
      </c>
      <c r="EJ23" s="89">
        <f>$EB23*($R23-Klimaatdata!$B$12)*2.63</f>
        <v>0</v>
      </c>
      <c r="EK23" s="89">
        <f>$EB23*($R23-Klimaatdata!$B$13)*2.63</f>
        <v>0</v>
      </c>
      <c r="EL23" s="89">
        <f>$EB23*($R23-Klimaatdata!$B$14)*2.63</f>
        <v>0</v>
      </c>
      <c r="EM23" s="89">
        <f>$EB23*($R23-Klimaatdata!$B$15)*2.63</f>
        <v>0</v>
      </c>
      <c r="EN23" s="89">
        <f>$EB23*($R23-Klimaatdata!$B$16)*2.63</f>
        <v>0</v>
      </c>
      <c r="EO23" s="89">
        <f>$EB23*($R23-Klimaatdata!$B$17)*2.63</f>
        <v>0</v>
      </c>
      <c r="EP23" s="89">
        <f>$EB23*($R23-Klimaatdata!$B$18)*2.63</f>
        <v>0</v>
      </c>
      <c r="EQ23" s="25"/>
      <c r="ER23" s="89">
        <f t="shared" si="30"/>
        <v>0</v>
      </c>
      <c r="ES23" s="89"/>
      <c r="ET23" s="89">
        <f>INDEX(Klimaatdata!$B$27:$K$38,1,$B23)</f>
        <v>0</v>
      </c>
      <c r="EU23" s="89">
        <f>INDEX(Klimaatdata!$B$27:$K$38,2,$B23)</f>
        <v>0</v>
      </c>
      <c r="EV23" s="89">
        <f>INDEX(Klimaatdata!$B$27:$K$38,3,$B23)</f>
        <v>0</v>
      </c>
      <c r="EW23" s="89">
        <f>INDEX(Klimaatdata!$B$27:$K$38,4,$B23)</f>
        <v>0</v>
      </c>
      <c r="EX23" s="89">
        <f>INDEX(Klimaatdata!$B$27:$K$38,5,$B23)</f>
        <v>0</v>
      </c>
      <c r="EY23" s="89">
        <f>INDEX(Klimaatdata!$B$27:$K$38,6,$B23)</f>
        <v>0</v>
      </c>
      <c r="EZ23" s="89">
        <f>INDEX(Klimaatdata!$B$27:$K$38,7,$B23)</f>
        <v>0</v>
      </c>
      <c r="FA23" s="89">
        <f>INDEX(Klimaatdata!$B$27:$K$38,8,$B23)</f>
        <v>0</v>
      </c>
      <c r="FB23" s="89">
        <f>INDEX(Klimaatdata!$B$27:$K$38,9,$B23)</f>
        <v>0</v>
      </c>
      <c r="FC23" s="89">
        <f>INDEX(Klimaatdata!$B$27:$K$38,10,$B23)</f>
        <v>0</v>
      </c>
      <c r="FD23" s="89">
        <f>INDEX(Klimaatdata!$B$27:$K$38,11,$B23)</f>
        <v>0</v>
      </c>
      <c r="FE23" s="89">
        <f>INDEX(Klimaatdata!$B$27:$K$38,12,$B23)</f>
        <v>0</v>
      </c>
      <c r="FG23">
        <f t="shared" si="31"/>
        <v>1</v>
      </c>
      <c r="FH23">
        <f t="shared" si="32"/>
        <v>1</v>
      </c>
      <c r="FI23">
        <f t="shared" si="33"/>
        <v>1</v>
      </c>
      <c r="FJ23">
        <f t="shared" si="34"/>
        <v>1</v>
      </c>
      <c r="FK23">
        <f t="shared" si="35"/>
        <v>1</v>
      </c>
      <c r="FL23">
        <f t="shared" si="36"/>
        <v>1</v>
      </c>
      <c r="FM23">
        <f t="shared" si="37"/>
        <v>1</v>
      </c>
      <c r="FN23">
        <f t="shared" si="38"/>
        <v>1</v>
      </c>
      <c r="FO23">
        <f t="shared" si="39"/>
        <v>1</v>
      </c>
      <c r="FP23">
        <f t="shared" si="40"/>
        <v>1</v>
      </c>
      <c r="FQ23">
        <f t="shared" si="41"/>
        <v>1</v>
      </c>
      <c r="FR23">
        <f t="shared" si="42"/>
        <v>1</v>
      </c>
      <c r="FT23" s="219">
        <f>Klimaatdata!$D$7*ET23*FG23*$ER23*$G23*0.75</f>
        <v>0</v>
      </c>
      <c r="FU23" s="219">
        <f>Klimaatdata!$E$7*EU23*FH23*$ER23*$G23*0.75</f>
        <v>0</v>
      </c>
      <c r="FV23" s="219">
        <f>Klimaatdata!$F$7*EV23*FI23*$ER23*$G23*0.75</f>
        <v>0</v>
      </c>
      <c r="FW23" s="219">
        <f>Klimaatdata!$G$7*EW23*FJ23*$ER23*$G23*0.75</f>
        <v>0</v>
      </c>
      <c r="FX23" s="219">
        <f>Klimaatdata!$H$7*EX23*FK23*$ER23*$G23*0.75</f>
        <v>0</v>
      </c>
      <c r="FY23" s="219">
        <f>Klimaatdata!$I$7*EY23*FL23*$ER23*$G23*0.75</f>
        <v>0</v>
      </c>
      <c r="FZ23" s="219">
        <f>Klimaatdata!$J$7*EZ23*FM23*$ER23*$G23*0.75</f>
        <v>0</v>
      </c>
      <c r="GA23" s="219">
        <f>Klimaatdata!$K$7*FA23*FN23*$ER23*$G23*0.75</f>
        <v>0</v>
      </c>
      <c r="GB23" s="219">
        <f>Klimaatdata!$L$7*FB23*FO23*$ER23*$G23*0.75</f>
        <v>0</v>
      </c>
      <c r="GC23" s="219">
        <f>Klimaatdata!$M$7*FC23*FP23*$ER23*$G23*0.75</f>
        <v>0</v>
      </c>
      <c r="GD23" s="219">
        <f>Klimaatdata!$N$7*FD23*FQ23*$ER23*$G23*0.75</f>
        <v>0</v>
      </c>
      <c r="GE23" s="219">
        <f>Klimaatdata!$O$7*FE23*FR23*$ER23*$G23*0.75</f>
        <v>0</v>
      </c>
      <c r="GG23">
        <f t="shared" si="43"/>
        <v>0</v>
      </c>
      <c r="GH23">
        <f t="shared" si="44"/>
        <v>0</v>
      </c>
      <c r="GI23">
        <f t="shared" si="45"/>
        <v>0</v>
      </c>
      <c r="GJ23">
        <f t="shared" si="46"/>
        <v>0</v>
      </c>
      <c r="GK23">
        <f t="shared" si="47"/>
        <v>0</v>
      </c>
      <c r="GL23">
        <f t="shared" si="48"/>
        <v>0</v>
      </c>
      <c r="GM23">
        <f t="shared" si="49"/>
        <v>0</v>
      </c>
      <c r="GN23">
        <f t="shared" si="50"/>
        <v>0</v>
      </c>
      <c r="GO23">
        <f>'Invoer Gebouwschil'!Q23</f>
        <v>0</v>
      </c>
      <c r="GP23">
        <f t="shared" si="51"/>
        <v>0</v>
      </c>
      <c r="GR23">
        <f t="shared" si="52"/>
        <v>1</v>
      </c>
      <c r="GS23">
        <f t="shared" si="53"/>
        <v>0</v>
      </c>
      <c r="GT23">
        <f t="shared" si="54"/>
        <v>0</v>
      </c>
      <c r="GU23">
        <f t="shared" si="55"/>
        <v>0</v>
      </c>
      <c r="GV23">
        <f t="shared" si="56"/>
        <v>0</v>
      </c>
      <c r="GW23">
        <f t="shared" si="57"/>
        <v>0</v>
      </c>
      <c r="GX23">
        <f t="shared" si="58"/>
        <v>0</v>
      </c>
      <c r="GZ23" s="12">
        <f t="shared" si="59"/>
        <v>0</v>
      </c>
      <c r="HA23" s="13">
        <f t="shared" si="60"/>
        <v>0</v>
      </c>
      <c r="HB23" s="13">
        <f t="shared" si="61"/>
        <v>0</v>
      </c>
      <c r="HC23" s="14">
        <f t="shared" si="62"/>
        <v>0</v>
      </c>
      <c r="HE23" s="12">
        <f t="shared" si="63"/>
        <v>0</v>
      </c>
      <c r="HF23" s="13">
        <f t="shared" si="64"/>
        <v>0</v>
      </c>
      <c r="HG23" s="13">
        <f t="shared" si="65"/>
        <v>0</v>
      </c>
      <c r="HH23" s="14">
        <f t="shared" si="66"/>
        <v>0</v>
      </c>
    </row>
    <row r="24" spans="1:216" x14ac:dyDescent="0.2">
      <c r="A24">
        <v>1</v>
      </c>
      <c r="B24">
        <v>1</v>
      </c>
      <c r="C24">
        <v>1</v>
      </c>
      <c r="D24">
        <f>'Invoer Gebouwschil'!D24</f>
        <v>0</v>
      </c>
      <c r="E24">
        <v>1</v>
      </c>
      <c r="F24">
        <v>1</v>
      </c>
      <c r="G24">
        <f>'Invoer Gebouwschil'!H24</f>
        <v>0</v>
      </c>
      <c r="H24">
        <v>1</v>
      </c>
      <c r="I24">
        <v>1</v>
      </c>
      <c r="K24" s="89">
        <f>INDEX('Verwerking Bouwdelen'!$AR$79:$AR$103,'Verwerking Bouwdelen'!E24)</f>
        <v>0</v>
      </c>
      <c r="L24" s="89">
        <v>0.13</v>
      </c>
      <c r="M24" s="89">
        <f t="shared" si="14"/>
        <v>0</v>
      </c>
      <c r="N24" s="89">
        <f>IF(F24=6,1/((1/1/(L25+M25+'Invoer Gebouwschil'!F24))+5),1/(L24+M24+'Invoer Gebouwschil'!F24))</f>
        <v>7.6923076923076916</v>
      </c>
      <c r="O24" s="89">
        <v>0.1</v>
      </c>
      <c r="P24" s="28">
        <f t="shared" si="15"/>
        <v>1</v>
      </c>
      <c r="Q24" s="89">
        <f t="shared" si="0"/>
        <v>0</v>
      </c>
      <c r="R24" s="89">
        <v>19</v>
      </c>
      <c r="S24" s="89"/>
      <c r="T24" s="89">
        <f>$Q24*($R24-Klimaatdata!$B$7)*2.63</f>
        <v>0</v>
      </c>
      <c r="U24" s="89">
        <f>$Q24*($R24-Klimaatdata!$B$8)*2.63</f>
        <v>0</v>
      </c>
      <c r="V24" s="89">
        <f>$Q24*($R24-Klimaatdata!$B$9)*2.63</f>
        <v>0</v>
      </c>
      <c r="W24" s="89">
        <f>$Q24*($R24-Klimaatdata!$B$10)*2.63</f>
        <v>0</v>
      </c>
      <c r="X24" s="89">
        <f>$Q24*($R24-Klimaatdata!$B$11)*2.63</f>
        <v>0</v>
      </c>
      <c r="Y24" s="89">
        <f>$Q24*($R24-Klimaatdata!$B$12)*2.63</f>
        <v>0</v>
      </c>
      <c r="Z24" s="89">
        <f>$Q24*($R24-Klimaatdata!$B$13)*2.63</f>
        <v>0</v>
      </c>
      <c r="AA24" s="89">
        <f>$Q24*($R24-Klimaatdata!$B$14)*2.63</f>
        <v>0</v>
      </c>
      <c r="AB24" s="89">
        <f>$Q24*($R24-Klimaatdata!$B$15)*2.63</f>
        <v>0</v>
      </c>
      <c r="AC24" s="89">
        <f>$Q24*($R24-Klimaatdata!$B$16)*2.63</f>
        <v>0</v>
      </c>
      <c r="AD24" s="89">
        <f>$Q24*($R24-Klimaatdata!$B$17)*2.63</f>
        <v>0</v>
      </c>
      <c r="AE24" s="89">
        <f>$Q24*($R24-Klimaatdata!$B$18)*2.63</f>
        <v>0</v>
      </c>
      <c r="AF24" s="89"/>
      <c r="AG24" s="205">
        <f t="shared" si="16"/>
        <v>0</v>
      </c>
      <c r="AH24" s="25">
        <f t="shared" si="17"/>
        <v>0</v>
      </c>
      <c r="AI24" s="25">
        <f t="shared" si="18"/>
        <v>0</v>
      </c>
      <c r="AJ24" s="206">
        <f t="shared" si="19"/>
        <v>0</v>
      </c>
      <c r="AK24" s="25"/>
      <c r="AL24" s="89">
        <f t="shared" si="20"/>
        <v>1</v>
      </c>
      <c r="AM24" s="89">
        <f t="shared" si="21"/>
        <v>0</v>
      </c>
      <c r="AN24" s="89">
        <f t="shared" si="22"/>
        <v>0</v>
      </c>
      <c r="AO24" s="89">
        <f t="shared" si="23"/>
        <v>0</v>
      </c>
      <c r="AP24" s="89">
        <v>0.1</v>
      </c>
      <c r="AQ24" s="28">
        <v>1</v>
      </c>
      <c r="AR24" s="89">
        <f t="shared" si="1"/>
        <v>0</v>
      </c>
      <c r="AS24" s="89">
        <v>19</v>
      </c>
      <c r="AT24" s="89"/>
      <c r="AU24" s="89">
        <f>$AR24*($R24-Klimaatdata!$B$7)*2.63</f>
        <v>0</v>
      </c>
      <c r="AV24" s="89">
        <f>$AR24*($R24-Klimaatdata!$B$8)*2.63</f>
        <v>0</v>
      </c>
      <c r="AW24" s="89">
        <f>$AR24*($R24-Klimaatdata!$B$9)*2.63</f>
        <v>0</v>
      </c>
      <c r="AX24" s="89">
        <f>$AR24*($R24-Klimaatdata!$B$10)*2.63</f>
        <v>0</v>
      </c>
      <c r="AY24" s="89">
        <f>$AR24*($R24-Klimaatdata!$B$11)*2.63</f>
        <v>0</v>
      </c>
      <c r="AZ24" s="89">
        <f>$AR24*($R24-Klimaatdata!$B$12)*2.63</f>
        <v>0</v>
      </c>
      <c r="BA24" s="89">
        <f>$AR24*($R24-Klimaatdata!$B$13)*2.63</f>
        <v>0</v>
      </c>
      <c r="BB24" s="89">
        <f>$AR24*($R24-Klimaatdata!$B$14)*2.63</f>
        <v>0</v>
      </c>
      <c r="BC24" s="89">
        <f>$AR24*($R24-Klimaatdata!$B$15)*2.63</f>
        <v>0</v>
      </c>
      <c r="BD24" s="89">
        <f>$AR24*($R24-Klimaatdata!$B$16)*2.63</f>
        <v>0</v>
      </c>
      <c r="BE24" s="89">
        <f>$AR24*($R24-Klimaatdata!$B$17)*2.63</f>
        <v>0</v>
      </c>
      <c r="BF24" s="89">
        <f>$AR24*($R24-Klimaatdata!$B$18)*2.63</f>
        <v>0</v>
      </c>
      <c r="BG24" s="25"/>
      <c r="BH24" s="89">
        <f>INDEX('Verwerking Bouwdelen'!$Y$106:$Y$130,H24)</f>
        <v>0</v>
      </c>
      <c r="BI24" s="89"/>
      <c r="BJ24" s="89">
        <f>INDEX(Klimaatdata!$B$27:$K$38,1,$B24)</f>
        <v>0</v>
      </c>
      <c r="BK24" s="89">
        <f>INDEX(Klimaatdata!$B$27:$K$38,2,$B24)</f>
        <v>0</v>
      </c>
      <c r="BL24" s="89">
        <f>INDEX(Klimaatdata!$B$27:$K$38,3,$B24)</f>
        <v>0</v>
      </c>
      <c r="BM24" s="89">
        <f>INDEX(Klimaatdata!$B$27:$K$38,4,$B24)</f>
        <v>0</v>
      </c>
      <c r="BN24" s="89">
        <f>INDEX(Klimaatdata!$B$27:$K$38,5,$B24)</f>
        <v>0</v>
      </c>
      <c r="BO24" s="89">
        <f>INDEX(Klimaatdata!$B$27:$K$38,6,$B24)</f>
        <v>0</v>
      </c>
      <c r="BP24" s="89">
        <f>INDEX(Klimaatdata!$B$27:$K$38,7,$B24)</f>
        <v>0</v>
      </c>
      <c r="BQ24" s="89">
        <f>INDEX(Klimaatdata!$B$27:$K$38,8,$B24)</f>
        <v>0</v>
      </c>
      <c r="BR24" s="89">
        <f>INDEX(Klimaatdata!$B$27:$K$38,9,$B24)</f>
        <v>0</v>
      </c>
      <c r="BS24" s="89">
        <f>INDEX(Klimaatdata!$B$27:$K$38,10,$B24)</f>
        <v>0</v>
      </c>
      <c r="BT24" s="89">
        <f>INDEX(Klimaatdata!$B$27:$K$38,11,$B24)</f>
        <v>0</v>
      </c>
      <c r="BU24" s="89">
        <f>INDEX(Klimaatdata!$B$27:$K$38,12,$B24)</f>
        <v>0</v>
      </c>
      <c r="BW24">
        <f t="shared" si="2"/>
        <v>1</v>
      </c>
      <c r="BX24">
        <f t="shared" si="3"/>
        <v>1</v>
      </c>
      <c r="BY24">
        <f t="shared" si="4"/>
        <v>1</v>
      </c>
      <c r="BZ24">
        <f t="shared" si="5"/>
        <v>1</v>
      </c>
      <c r="CA24">
        <f t="shared" si="6"/>
        <v>1</v>
      </c>
      <c r="CB24">
        <f t="shared" si="7"/>
        <v>1</v>
      </c>
      <c r="CC24">
        <f t="shared" si="8"/>
        <v>1</v>
      </c>
      <c r="CD24">
        <f t="shared" si="9"/>
        <v>1</v>
      </c>
      <c r="CE24">
        <f t="shared" si="10"/>
        <v>1</v>
      </c>
      <c r="CF24">
        <f t="shared" si="11"/>
        <v>1</v>
      </c>
      <c r="CG24">
        <f t="shared" si="12"/>
        <v>1</v>
      </c>
      <c r="CH24">
        <f t="shared" si="13"/>
        <v>1</v>
      </c>
      <c r="CJ24" s="219">
        <f>Klimaatdata!$D$7*BJ24*BW24*$BH24*$G24*0.75</f>
        <v>0</v>
      </c>
      <c r="CK24" s="219">
        <f>Klimaatdata!$E$7*BK24*BX24*$BH24*$G24*0.75</f>
        <v>0</v>
      </c>
      <c r="CL24" s="219">
        <f>Klimaatdata!$F$7*BL24*BY24*$BH24*$G24*0.75</f>
        <v>0</v>
      </c>
      <c r="CM24" s="219">
        <f>Klimaatdata!$G$7*BM24*BZ24*$BH24*$G24*0.75</f>
        <v>0</v>
      </c>
      <c r="CN24" s="219">
        <f>Klimaatdata!$H$7*BN24*CA24*$BH24*$G24*0.75</f>
        <v>0</v>
      </c>
      <c r="CO24" s="219">
        <f>Klimaatdata!$I$7*BO24*CB24*$BH24*$G24*0.75</f>
        <v>0</v>
      </c>
      <c r="CP24" s="219">
        <f>Klimaatdata!$J$7*BP24*CC24*$BH24*$G24*0.75</f>
        <v>0</v>
      </c>
      <c r="CQ24" s="219">
        <f>Klimaatdata!$K$7*BQ24*CD24*$BH24*$G24*0.75</f>
        <v>0</v>
      </c>
      <c r="CR24" s="219">
        <f>Klimaatdata!$L$7*BR24*CE24*$BH24*$G24*0.75</f>
        <v>0</v>
      </c>
      <c r="CS24" s="219">
        <f>Klimaatdata!$M$7*BS24*CF24*$BH24*$G24*0.75</f>
        <v>0</v>
      </c>
      <c r="CT24" s="219">
        <f>Klimaatdata!$N$7*BT24*CG24*$BH24*$G24*0.75</f>
        <v>0</v>
      </c>
      <c r="CU24" s="219">
        <f>Klimaatdata!$O$7*BU24*CH24*$BH24*$G24*0.75</f>
        <v>0</v>
      </c>
      <c r="CX24">
        <v>1</v>
      </c>
      <c r="CY24">
        <v>1</v>
      </c>
      <c r="CZ24">
        <v>1</v>
      </c>
      <c r="DA24">
        <f>'Invoer Gebouwschil'!Q24</f>
        <v>0</v>
      </c>
      <c r="DC24" s="89">
        <f t="shared" si="24"/>
        <v>0</v>
      </c>
      <c r="DD24" s="89">
        <v>0.13</v>
      </c>
      <c r="DE24" s="89">
        <f t="shared" si="25"/>
        <v>0</v>
      </c>
      <c r="DF24" s="89">
        <f>IF(F24=6,1/((1/1/(DD24+DE24+'Invoer Gebouwschil'!M24))+5),1/(DD24+DE24+'Invoer Gebouwschil'!M24))</f>
        <v>7.6923076923076916</v>
      </c>
      <c r="DG24" s="89">
        <v>0.1</v>
      </c>
      <c r="DH24" s="28">
        <f t="shared" ref="DH24:DH44" si="67">IF(F24&lt;3,1,IF(F24=3,1/(1+((DF24)/10)),IF(F24=4,1/(1+((DF24)/3)),(1/(1+DF24)))))</f>
        <v>1</v>
      </c>
      <c r="DI24" s="89">
        <f t="shared" ref="DI24:DI44" si="68">(D24-G24)*DH24*(DF24+DG24)</f>
        <v>0</v>
      </c>
      <c r="DJ24" s="89">
        <v>19</v>
      </c>
      <c r="DK24" s="89"/>
      <c r="DL24" s="89">
        <f>$DI24*($R24-Klimaatdata!$B$7)*2.63</f>
        <v>0</v>
      </c>
      <c r="DM24" s="89">
        <f>$DI24*($R24-Klimaatdata!$B$8)*2.63</f>
        <v>0</v>
      </c>
      <c r="DN24" s="89">
        <f>$DI24*($R24-Klimaatdata!$B$9)*2.63</f>
        <v>0</v>
      </c>
      <c r="DO24" s="89">
        <f>$DI24*($R24-Klimaatdata!$B$10)*2.63</f>
        <v>0</v>
      </c>
      <c r="DP24" s="89">
        <f>$DI24*($R24-Klimaatdata!$B$11)*2.63</f>
        <v>0</v>
      </c>
      <c r="DQ24" s="89">
        <f>$DI24*($R24-Klimaatdata!$B$12)*2.63</f>
        <v>0</v>
      </c>
      <c r="DR24" s="89">
        <f>$DI24*($R24-Klimaatdata!$B$13)*2.63</f>
        <v>0</v>
      </c>
      <c r="DS24" s="89">
        <f>$DI24*($R24-Klimaatdata!$B$14)*2.63</f>
        <v>0</v>
      </c>
      <c r="DT24" s="89">
        <f>$DI24*($R24-Klimaatdata!$B$15)*2.63</f>
        <v>0</v>
      </c>
      <c r="DU24" s="89">
        <f>$DI24*($R24-Klimaatdata!$B$16)*2.63</f>
        <v>0</v>
      </c>
      <c r="DV24" s="89">
        <f>$DI24*($R24-Klimaatdata!$B$17)*2.63</f>
        <v>0</v>
      </c>
      <c r="DW24" s="89">
        <f>$DI24*($R24-Klimaatdata!$B$18)*2.63</f>
        <v>0</v>
      </c>
      <c r="DX24" s="89"/>
      <c r="DY24" s="89">
        <f t="shared" ref="DY24:DY44" si="69">IF(CY24=1,AO24,INDEX($AH$59:$AH$62,CY24))</f>
        <v>0</v>
      </c>
      <c r="DZ24" s="89">
        <v>0.1</v>
      </c>
      <c r="EA24" s="28">
        <v>1</v>
      </c>
      <c r="EB24" s="89">
        <f t="shared" ref="EB24:EB44" si="70">G24*EA24*(DY24+DZ24)</f>
        <v>0</v>
      </c>
      <c r="EC24" s="89">
        <v>19</v>
      </c>
      <c r="ED24" s="89"/>
      <c r="EE24" s="89">
        <f>$EB24*($R24-Klimaatdata!$B$7)*2.63</f>
        <v>0</v>
      </c>
      <c r="EF24" s="89">
        <f>$EB24*($R24-Klimaatdata!$B$8)*2.63</f>
        <v>0</v>
      </c>
      <c r="EG24" s="89">
        <f>$EB24*($R24-Klimaatdata!$B$9)*2.63</f>
        <v>0</v>
      </c>
      <c r="EH24" s="89">
        <f>$EB24*($R24-Klimaatdata!$B$10)*2.63</f>
        <v>0</v>
      </c>
      <c r="EI24" s="89">
        <f>$EB24*($R24-Klimaatdata!$B$11)*2.63</f>
        <v>0</v>
      </c>
      <c r="EJ24" s="89">
        <f>$EB24*($R24-Klimaatdata!$B$12)*2.63</f>
        <v>0</v>
      </c>
      <c r="EK24" s="89">
        <f>$EB24*($R24-Klimaatdata!$B$13)*2.63</f>
        <v>0</v>
      </c>
      <c r="EL24" s="89">
        <f>$EB24*($R24-Klimaatdata!$B$14)*2.63</f>
        <v>0</v>
      </c>
      <c r="EM24" s="89">
        <f>$EB24*($R24-Klimaatdata!$B$15)*2.63</f>
        <v>0</v>
      </c>
      <c r="EN24" s="89">
        <f>$EB24*($R24-Klimaatdata!$B$16)*2.63</f>
        <v>0</v>
      </c>
      <c r="EO24" s="89">
        <f>$EB24*($R24-Klimaatdata!$B$17)*2.63</f>
        <v>0</v>
      </c>
      <c r="EP24" s="89">
        <f>$EB24*($R24-Klimaatdata!$B$18)*2.63</f>
        <v>0</v>
      </c>
      <c r="EQ24" s="25"/>
      <c r="ER24" s="89">
        <f t="shared" si="30"/>
        <v>0</v>
      </c>
      <c r="ES24" s="89"/>
      <c r="ET24" s="89">
        <f>INDEX(Klimaatdata!$B$27:$K$38,1,$B24)</f>
        <v>0</v>
      </c>
      <c r="EU24" s="89">
        <f>INDEX(Klimaatdata!$B$27:$K$38,2,$B24)</f>
        <v>0</v>
      </c>
      <c r="EV24" s="89">
        <f>INDEX(Klimaatdata!$B$27:$K$38,3,$B24)</f>
        <v>0</v>
      </c>
      <c r="EW24" s="89">
        <f>INDEX(Klimaatdata!$B$27:$K$38,4,$B24)</f>
        <v>0</v>
      </c>
      <c r="EX24" s="89">
        <f>INDEX(Klimaatdata!$B$27:$K$38,5,$B24)</f>
        <v>0</v>
      </c>
      <c r="EY24" s="89">
        <f>INDEX(Klimaatdata!$B$27:$K$38,6,$B24)</f>
        <v>0</v>
      </c>
      <c r="EZ24" s="89">
        <f>INDEX(Klimaatdata!$B$27:$K$38,7,$B24)</f>
        <v>0</v>
      </c>
      <c r="FA24" s="89">
        <f>INDEX(Klimaatdata!$B$27:$K$38,8,$B24)</f>
        <v>0</v>
      </c>
      <c r="FB24" s="89">
        <f>INDEX(Klimaatdata!$B$27:$K$38,9,$B24)</f>
        <v>0</v>
      </c>
      <c r="FC24" s="89">
        <f>INDEX(Klimaatdata!$B$27:$K$38,10,$B24)</f>
        <v>0</v>
      </c>
      <c r="FD24" s="89">
        <f>INDEX(Klimaatdata!$B$27:$K$38,11,$B24)</f>
        <v>0</v>
      </c>
      <c r="FE24" s="89">
        <f>INDEX(Klimaatdata!$B$27:$K$38,12,$B24)</f>
        <v>0</v>
      </c>
      <c r="FG24">
        <f t="shared" ref="FG24:FG43" si="71">IF(CZ24=1,BW24,INDEX($AO$59:$AZ$62,$CZ24,1))</f>
        <v>1</v>
      </c>
      <c r="FH24">
        <f t="shared" ref="FH24:FH43" si="72">IF(CZ24=1,BX24,INDEX($AO$59:$AZ$62,$CZ24,2))</f>
        <v>1</v>
      </c>
      <c r="FI24">
        <f t="shared" ref="FI24:FI43" si="73">IF(CZ24=1,BY24,INDEX($AO$59:$AZ$62,$CZ24,3))</f>
        <v>1</v>
      </c>
      <c r="FJ24">
        <f t="shared" ref="FJ24:FJ43" si="74">IF(CZ24=1,BZ24,INDEX($AO$59:$AZ$62,$CZ24,4))</f>
        <v>1</v>
      </c>
      <c r="FK24">
        <f t="shared" ref="FK24:FK43" si="75">IF(CZ24=1,CA24,INDEX($AO$59:$AZ$62,$CZ24,5))</f>
        <v>1</v>
      </c>
      <c r="FL24">
        <f t="shared" ref="FL24:FL43" si="76">IF(CZ24=1,CB24,INDEX($AO$59:$AZ$62,$CZ24,6))</f>
        <v>1</v>
      </c>
      <c r="FM24">
        <f t="shared" ref="FM24:FM43" si="77">IF(CZ24=1,CC24,INDEX($AO$59:$AZ$62,$CZ24,7))</f>
        <v>1</v>
      </c>
      <c r="FN24">
        <f t="shared" ref="FN24:FN43" si="78">IF(CZ24=1,CD24,INDEX($AO$59:$AZ$62,$CZ24,8))</f>
        <v>1</v>
      </c>
      <c r="FO24">
        <f t="shared" ref="FO24:FO43" si="79">IF(CZ24=1,CE24,INDEX($AO$59:$AZ$62,$CZ24,9))</f>
        <v>1</v>
      </c>
      <c r="FP24">
        <f t="shared" ref="FP24:FP43" si="80">IF(CZ24=1,CF24,INDEX($AO$59:$AZ$62,$CZ24,10))</f>
        <v>1</v>
      </c>
      <c r="FQ24">
        <f t="shared" ref="FQ24:FQ43" si="81">IF(CZ24=1,CG24,INDEX($AO$59:$AZ$62,$CZ24,11))</f>
        <v>1</v>
      </c>
      <c r="FR24">
        <f t="shared" ref="FR24:FR43" si="82">IF(CZ24=1,CH24,INDEX($AO$59:$AZ$62,$CZ24,12))</f>
        <v>1</v>
      </c>
      <c r="FT24" s="219">
        <f>Klimaatdata!$D$7*ET24*FG24*$ER24*$G24*0.75</f>
        <v>0</v>
      </c>
      <c r="FU24" s="219">
        <f>Klimaatdata!$E$7*EU24*FH24*$ER24*$G24*0.75</f>
        <v>0</v>
      </c>
      <c r="FV24" s="219">
        <f>Klimaatdata!$F$7*EV24*FI24*$ER24*$G24*0.75</f>
        <v>0</v>
      </c>
      <c r="FW24" s="219">
        <f>Klimaatdata!$G$7*EW24*FJ24*$ER24*$G24*0.75</f>
        <v>0</v>
      </c>
      <c r="FX24" s="219">
        <f>Klimaatdata!$H$7*EX24*FK24*$ER24*$G24*0.75</f>
        <v>0</v>
      </c>
      <c r="FY24" s="219">
        <f>Klimaatdata!$I$7*EY24*FL24*$ER24*$G24*0.75</f>
        <v>0</v>
      </c>
      <c r="FZ24" s="219">
        <f>Klimaatdata!$J$7*EZ24*FM24*$ER24*$G24*0.75</f>
        <v>0</v>
      </c>
      <c r="GA24" s="219">
        <f>Klimaatdata!$K$7*FA24*FN24*$ER24*$G24*0.75</f>
        <v>0</v>
      </c>
      <c r="GB24" s="219">
        <f>Klimaatdata!$L$7*FB24*FO24*$ER24*$G24*0.75</f>
        <v>0</v>
      </c>
      <c r="GC24" s="219">
        <f>Klimaatdata!$M$7*FC24*FP24*$ER24*$G24*0.75</f>
        <v>0</v>
      </c>
      <c r="GD24" s="219">
        <f>Klimaatdata!$N$7*FD24*FQ24*$ER24*$G24*0.75</f>
        <v>0</v>
      </c>
      <c r="GE24" s="219">
        <f>Klimaatdata!$O$7*FE24*FR24*$ER24*$G24*0.75</f>
        <v>0</v>
      </c>
      <c r="GG24">
        <f t="shared" si="43"/>
        <v>0</v>
      </c>
      <c r="GH24">
        <f t="shared" si="44"/>
        <v>0</v>
      </c>
      <c r="GI24">
        <f t="shared" ref="GI24:GI43" si="83">IF(CX24=3,$AD$61*D24,IF(CX24=6,D24*$AD$64,0))</f>
        <v>0</v>
      </c>
      <c r="GJ24">
        <f t="shared" ref="GJ24:GJ43" si="84">INDEX($AJ$59:$AJ$62,CY24)</f>
        <v>0</v>
      </c>
      <c r="GK24">
        <f t="shared" ref="GK24:GK43" si="85">GJ24*G24</f>
        <v>0</v>
      </c>
      <c r="GL24">
        <f t="shared" ref="GL24:GL43" si="86">IF(OR(CY24=3,CY24=4),0.6*G24*130,0)</f>
        <v>0</v>
      </c>
      <c r="GM24">
        <f t="shared" ref="GM24:GM43" si="87">INDEX($AK$59:$AK$62,CY24)</f>
        <v>0</v>
      </c>
      <c r="GN24">
        <f t="shared" ref="GN24:GN43" si="88">INDEX($BB$59:$BB$62,CZ24)</f>
        <v>0</v>
      </c>
      <c r="GO24">
        <f>'Invoer Gebouwschil'!Q24</f>
        <v>0</v>
      </c>
      <c r="GP24">
        <f t="shared" ref="GP24:GP43" si="89">GN24*GO24</f>
        <v>0</v>
      </c>
      <c r="GR24">
        <f t="shared" ref="GR24:GR43" si="90">A24</f>
        <v>1</v>
      </c>
      <c r="GS24">
        <f t="shared" ref="GS24:GS43" si="91">Q24</f>
        <v>0</v>
      </c>
      <c r="GT24">
        <f t="shared" ref="GT24:GT43" si="92">AR24</f>
        <v>0</v>
      </c>
      <c r="GU24">
        <f t="shared" ref="GU24:GU43" si="93">GS24+GT24</f>
        <v>0</v>
      </c>
      <c r="GV24">
        <f t="shared" ref="GV24:GV43" si="94">DI24</f>
        <v>0</v>
      </c>
      <c r="GW24">
        <f t="shared" ref="GW24:GW43" si="95">EB24</f>
        <v>0</v>
      </c>
      <c r="GX24">
        <f t="shared" ref="GX24:GX43" si="96">GV24+GW24</f>
        <v>0</v>
      </c>
      <c r="GZ24" s="12">
        <f t="shared" si="59"/>
        <v>0</v>
      </c>
      <c r="HA24" s="13">
        <f t="shared" si="60"/>
        <v>0</v>
      </c>
      <c r="HB24" s="13">
        <f t="shared" si="61"/>
        <v>0</v>
      </c>
      <c r="HC24" s="14">
        <f t="shared" si="62"/>
        <v>0</v>
      </c>
      <c r="HE24" s="12">
        <f t="shared" si="63"/>
        <v>0</v>
      </c>
      <c r="HF24" s="13">
        <f t="shared" si="64"/>
        <v>0</v>
      </c>
      <c r="HG24" s="13">
        <f t="shared" si="65"/>
        <v>0</v>
      </c>
      <c r="HH24" s="14">
        <f t="shared" si="66"/>
        <v>0</v>
      </c>
    </row>
    <row r="25" spans="1:216" x14ac:dyDescent="0.2">
      <c r="A25">
        <v>1</v>
      </c>
      <c r="B25">
        <v>1</v>
      </c>
      <c r="C25">
        <v>1</v>
      </c>
      <c r="D25">
        <f>'Invoer Gebouwschil'!D25</f>
        <v>0</v>
      </c>
      <c r="E25">
        <v>1</v>
      </c>
      <c r="F25">
        <v>1</v>
      </c>
      <c r="G25">
        <f>'Invoer Gebouwschil'!H25</f>
        <v>0</v>
      </c>
      <c r="H25">
        <v>1</v>
      </c>
      <c r="I25">
        <v>1</v>
      </c>
      <c r="K25" s="89">
        <f>INDEX('Verwerking Bouwdelen'!$AT$79:$AT$103,'Verwerking Bouwdelen'!E25)</f>
        <v>0</v>
      </c>
      <c r="L25" s="89">
        <v>0.13</v>
      </c>
      <c r="M25" s="89">
        <f t="shared" si="14"/>
        <v>0</v>
      </c>
      <c r="N25" s="89">
        <f>IF(F25=6,1/((1/1/(L26+M26+'Invoer Gebouwschil'!F25))+5),1/(L25+M25+'Invoer Gebouwschil'!F25))</f>
        <v>7.6923076923076916</v>
      </c>
      <c r="O25" s="89">
        <v>0.1</v>
      </c>
      <c r="P25" s="28">
        <f t="shared" si="15"/>
        <v>1</v>
      </c>
      <c r="Q25" s="89">
        <f t="shared" si="0"/>
        <v>0</v>
      </c>
      <c r="R25" s="89">
        <v>19</v>
      </c>
      <c r="S25" s="89"/>
      <c r="T25" s="89">
        <f>$Q25*($R25-Klimaatdata!$B$7)*2.63</f>
        <v>0</v>
      </c>
      <c r="U25" s="89">
        <f>$Q25*($R25-Klimaatdata!$B$8)*2.63</f>
        <v>0</v>
      </c>
      <c r="V25" s="89">
        <f>$Q25*($R25-Klimaatdata!$B$9)*2.63</f>
        <v>0</v>
      </c>
      <c r="W25" s="89">
        <f>$Q25*($R25-Klimaatdata!$B$10)*2.63</f>
        <v>0</v>
      </c>
      <c r="X25" s="89">
        <f>$Q25*($R25-Klimaatdata!$B$11)*2.63</f>
        <v>0</v>
      </c>
      <c r="Y25" s="89">
        <f>$Q25*($R25-Klimaatdata!$B$12)*2.63</f>
        <v>0</v>
      </c>
      <c r="Z25" s="89">
        <f>$Q25*($R25-Klimaatdata!$B$13)*2.63</f>
        <v>0</v>
      </c>
      <c r="AA25" s="89">
        <f>$Q25*($R25-Klimaatdata!$B$14)*2.63</f>
        <v>0</v>
      </c>
      <c r="AB25" s="89">
        <f>$Q25*($R25-Klimaatdata!$B$15)*2.63</f>
        <v>0</v>
      </c>
      <c r="AC25" s="89">
        <f>$Q25*($R25-Klimaatdata!$B$16)*2.63</f>
        <v>0</v>
      </c>
      <c r="AD25" s="89">
        <f>$Q25*($R25-Klimaatdata!$B$17)*2.63</f>
        <v>0</v>
      </c>
      <c r="AE25" s="89">
        <f>$Q25*($R25-Klimaatdata!$B$18)*2.63</f>
        <v>0</v>
      </c>
      <c r="AF25" s="89"/>
      <c r="AG25" s="205">
        <f t="shared" si="16"/>
        <v>0</v>
      </c>
      <c r="AH25" s="25">
        <f t="shared" si="17"/>
        <v>0</v>
      </c>
      <c r="AI25" s="25">
        <f t="shared" si="18"/>
        <v>0</v>
      </c>
      <c r="AJ25" s="206">
        <f t="shared" si="19"/>
        <v>0</v>
      </c>
      <c r="AK25" s="25"/>
      <c r="AL25" s="89">
        <f t="shared" si="20"/>
        <v>1</v>
      </c>
      <c r="AM25" s="89">
        <f t="shared" si="21"/>
        <v>0</v>
      </c>
      <c r="AN25" s="89">
        <f t="shared" si="22"/>
        <v>0</v>
      </c>
      <c r="AO25" s="89">
        <f t="shared" si="23"/>
        <v>0</v>
      </c>
      <c r="AP25" s="89">
        <v>0.1</v>
      </c>
      <c r="AQ25" s="28">
        <v>1</v>
      </c>
      <c r="AR25" s="89">
        <f t="shared" si="1"/>
        <v>0</v>
      </c>
      <c r="AS25" s="89">
        <v>19</v>
      </c>
      <c r="AT25" s="89"/>
      <c r="AU25" s="89">
        <f>$AR25*($R25-Klimaatdata!$B$7)*2.63</f>
        <v>0</v>
      </c>
      <c r="AV25" s="89">
        <f>$AR25*($R25-Klimaatdata!$B$8)*2.63</f>
        <v>0</v>
      </c>
      <c r="AW25" s="89">
        <f>$AR25*($R25-Klimaatdata!$B$9)*2.63</f>
        <v>0</v>
      </c>
      <c r="AX25" s="89">
        <f>$AR25*($R25-Klimaatdata!$B$10)*2.63</f>
        <v>0</v>
      </c>
      <c r="AY25" s="89">
        <f>$AR25*($R25-Klimaatdata!$B$11)*2.63</f>
        <v>0</v>
      </c>
      <c r="AZ25" s="89">
        <f>$AR25*($R25-Klimaatdata!$B$12)*2.63</f>
        <v>0</v>
      </c>
      <c r="BA25" s="89">
        <f>$AR25*($R25-Klimaatdata!$B$13)*2.63</f>
        <v>0</v>
      </c>
      <c r="BB25" s="89">
        <f>$AR25*($R25-Klimaatdata!$B$14)*2.63</f>
        <v>0</v>
      </c>
      <c r="BC25" s="89">
        <f>$AR25*($R25-Klimaatdata!$B$15)*2.63</f>
        <v>0</v>
      </c>
      <c r="BD25" s="89">
        <f>$AR25*($R25-Klimaatdata!$B$16)*2.63</f>
        <v>0</v>
      </c>
      <c r="BE25" s="89">
        <f>$AR25*($R25-Klimaatdata!$B$17)*2.63</f>
        <v>0</v>
      </c>
      <c r="BF25" s="89">
        <f>$AR25*($R25-Klimaatdata!$B$18)*2.63</f>
        <v>0</v>
      </c>
      <c r="BG25" s="25"/>
      <c r="BH25" s="89">
        <f>INDEX('Verwerking Bouwdelen'!$Y$106:$Y$130,H25)</f>
        <v>0</v>
      </c>
      <c r="BI25" s="89"/>
      <c r="BJ25" s="89">
        <f>INDEX(Klimaatdata!$B$27:$K$38,1,$B25)</f>
        <v>0</v>
      </c>
      <c r="BK25" s="89">
        <f>INDEX(Klimaatdata!$B$27:$K$38,2,$B25)</f>
        <v>0</v>
      </c>
      <c r="BL25" s="89">
        <f>INDEX(Klimaatdata!$B$27:$K$38,3,$B25)</f>
        <v>0</v>
      </c>
      <c r="BM25" s="89">
        <f>INDEX(Klimaatdata!$B$27:$K$38,4,$B25)</f>
        <v>0</v>
      </c>
      <c r="BN25" s="89">
        <f>INDEX(Klimaatdata!$B$27:$K$38,5,$B25)</f>
        <v>0</v>
      </c>
      <c r="BO25" s="89">
        <f>INDEX(Klimaatdata!$B$27:$K$38,6,$B25)</f>
        <v>0</v>
      </c>
      <c r="BP25" s="89">
        <f>INDEX(Klimaatdata!$B$27:$K$38,7,$B25)</f>
        <v>0</v>
      </c>
      <c r="BQ25" s="89">
        <f>INDEX(Klimaatdata!$B$27:$K$38,8,$B25)</f>
        <v>0</v>
      </c>
      <c r="BR25" s="89">
        <f>INDEX(Klimaatdata!$B$27:$K$38,9,$B25)</f>
        <v>0</v>
      </c>
      <c r="BS25" s="89">
        <f>INDEX(Klimaatdata!$B$27:$K$38,10,$B25)</f>
        <v>0</v>
      </c>
      <c r="BT25" s="89">
        <f>INDEX(Klimaatdata!$B$27:$K$38,11,$B25)</f>
        <v>0</v>
      </c>
      <c r="BU25" s="89">
        <f>INDEX(Klimaatdata!$B$27:$K$38,12,$B25)</f>
        <v>0</v>
      </c>
      <c r="BW25">
        <f t="shared" si="2"/>
        <v>1</v>
      </c>
      <c r="BX25">
        <f t="shared" si="3"/>
        <v>1</v>
      </c>
      <c r="BY25">
        <f t="shared" si="4"/>
        <v>1</v>
      </c>
      <c r="BZ25">
        <f t="shared" si="5"/>
        <v>1</v>
      </c>
      <c r="CA25">
        <f t="shared" si="6"/>
        <v>1</v>
      </c>
      <c r="CB25">
        <f t="shared" si="7"/>
        <v>1</v>
      </c>
      <c r="CC25">
        <f t="shared" si="8"/>
        <v>1</v>
      </c>
      <c r="CD25">
        <f t="shared" si="9"/>
        <v>1</v>
      </c>
      <c r="CE25">
        <f t="shared" si="10"/>
        <v>1</v>
      </c>
      <c r="CF25">
        <f t="shared" si="11"/>
        <v>1</v>
      </c>
      <c r="CG25">
        <f t="shared" si="12"/>
        <v>1</v>
      </c>
      <c r="CH25">
        <f t="shared" si="13"/>
        <v>1</v>
      </c>
      <c r="CJ25" s="219">
        <f>Klimaatdata!$D$7*BJ25*BW25*$BH25*$G25*0.75</f>
        <v>0</v>
      </c>
      <c r="CK25" s="219">
        <f>Klimaatdata!$E$7*BK25*BX25*$BH25*$G25*0.75</f>
        <v>0</v>
      </c>
      <c r="CL25" s="219">
        <f>Klimaatdata!$F$7*BL25*BY25*$BH25*$G25*0.75</f>
        <v>0</v>
      </c>
      <c r="CM25" s="219">
        <f>Klimaatdata!$G$7*BM25*BZ25*$BH25*$G25*0.75</f>
        <v>0</v>
      </c>
      <c r="CN25" s="219">
        <f>Klimaatdata!$H$7*BN25*CA25*$BH25*$G25*0.75</f>
        <v>0</v>
      </c>
      <c r="CO25" s="219">
        <f>Klimaatdata!$I$7*BO25*CB25*$BH25*$G25*0.75</f>
        <v>0</v>
      </c>
      <c r="CP25" s="219">
        <f>Klimaatdata!$J$7*BP25*CC25*$BH25*$G25*0.75</f>
        <v>0</v>
      </c>
      <c r="CQ25" s="219">
        <f>Klimaatdata!$K$7*BQ25*CD25*$BH25*$G25*0.75</f>
        <v>0</v>
      </c>
      <c r="CR25" s="219">
        <f>Klimaatdata!$L$7*BR25*CE25*$BH25*$G25*0.75</f>
        <v>0</v>
      </c>
      <c r="CS25" s="219">
        <f>Klimaatdata!$M$7*BS25*CF25*$BH25*$G25*0.75</f>
        <v>0</v>
      </c>
      <c r="CT25" s="219">
        <f>Klimaatdata!$N$7*BT25*CG25*$BH25*$G25*0.75</f>
        <v>0</v>
      </c>
      <c r="CU25" s="219">
        <f>Klimaatdata!$O$7*BU25*CH25*$BH25*$G25*0.75</f>
        <v>0</v>
      </c>
      <c r="CX25">
        <v>1</v>
      </c>
      <c r="CY25">
        <v>1</v>
      </c>
      <c r="CZ25">
        <v>1</v>
      </c>
      <c r="DA25">
        <f>'Invoer Gebouwschil'!Q25</f>
        <v>0</v>
      </c>
      <c r="DC25" s="89">
        <f t="shared" si="24"/>
        <v>0</v>
      </c>
      <c r="DD25" s="89">
        <v>0.13</v>
      </c>
      <c r="DE25" s="89">
        <f t="shared" si="25"/>
        <v>0</v>
      </c>
      <c r="DF25" s="89">
        <f>IF(F25=6,1/((1/1/(DD25+DE25+'Invoer Gebouwschil'!M25))+5),1/(DD25+DE25+'Invoer Gebouwschil'!M25))</f>
        <v>7.6923076923076916</v>
      </c>
      <c r="DG25" s="89">
        <v>0.1</v>
      </c>
      <c r="DH25" s="28">
        <f t="shared" si="67"/>
        <v>1</v>
      </c>
      <c r="DI25" s="89">
        <f t="shared" si="68"/>
        <v>0</v>
      </c>
      <c r="DJ25" s="89">
        <v>19</v>
      </c>
      <c r="DK25" s="89"/>
      <c r="DL25" s="89">
        <f>$DI25*($R25-Klimaatdata!$B$7)*2.63</f>
        <v>0</v>
      </c>
      <c r="DM25" s="89">
        <f>$DI25*($R25-Klimaatdata!$B$8)*2.63</f>
        <v>0</v>
      </c>
      <c r="DN25" s="89">
        <f>$DI25*($R25-Klimaatdata!$B$9)*2.63</f>
        <v>0</v>
      </c>
      <c r="DO25" s="89">
        <f>$DI25*($R25-Klimaatdata!$B$10)*2.63</f>
        <v>0</v>
      </c>
      <c r="DP25" s="89">
        <f>$DI25*($R25-Klimaatdata!$B$11)*2.63</f>
        <v>0</v>
      </c>
      <c r="DQ25" s="89">
        <f>$DI25*($R25-Klimaatdata!$B$12)*2.63</f>
        <v>0</v>
      </c>
      <c r="DR25" s="89">
        <f>$DI25*($R25-Klimaatdata!$B$13)*2.63</f>
        <v>0</v>
      </c>
      <c r="DS25" s="89">
        <f>$DI25*($R25-Klimaatdata!$B$14)*2.63</f>
        <v>0</v>
      </c>
      <c r="DT25" s="89">
        <f>$DI25*($R25-Klimaatdata!$B$15)*2.63</f>
        <v>0</v>
      </c>
      <c r="DU25" s="89">
        <f>$DI25*($R25-Klimaatdata!$B$16)*2.63</f>
        <v>0</v>
      </c>
      <c r="DV25" s="89">
        <f>$DI25*($R25-Klimaatdata!$B$17)*2.63</f>
        <v>0</v>
      </c>
      <c r="DW25" s="89">
        <f>$DI25*($R25-Klimaatdata!$B$18)*2.63</f>
        <v>0</v>
      </c>
      <c r="DX25" s="89"/>
      <c r="DY25" s="89">
        <f t="shared" si="69"/>
        <v>0</v>
      </c>
      <c r="DZ25" s="89">
        <v>0.1</v>
      </c>
      <c r="EA25" s="28">
        <v>1</v>
      </c>
      <c r="EB25" s="89">
        <f t="shared" si="70"/>
        <v>0</v>
      </c>
      <c r="EC25" s="89">
        <v>19</v>
      </c>
      <c r="ED25" s="89"/>
      <c r="EE25" s="89">
        <f>$EB25*($R25-Klimaatdata!$B$7)*2.63</f>
        <v>0</v>
      </c>
      <c r="EF25" s="89">
        <f>$EB25*($R25-Klimaatdata!$B$8)*2.63</f>
        <v>0</v>
      </c>
      <c r="EG25" s="89">
        <f>$EB25*($R25-Klimaatdata!$B$9)*2.63</f>
        <v>0</v>
      </c>
      <c r="EH25" s="89">
        <f>$EB25*($R25-Klimaatdata!$B$10)*2.63</f>
        <v>0</v>
      </c>
      <c r="EI25" s="89">
        <f>$EB25*($R25-Klimaatdata!$B$11)*2.63</f>
        <v>0</v>
      </c>
      <c r="EJ25" s="89">
        <f>$EB25*($R25-Klimaatdata!$B$12)*2.63</f>
        <v>0</v>
      </c>
      <c r="EK25" s="89">
        <f>$EB25*($R25-Klimaatdata!$B$13)*2.63</f>
        <v>0</v>
      </c>
      <c r="EL25" s="89">
        <f>$EB25*($R25-Klimaatdata!$B$14)*2.63</f>
        <v>0</v>
      </c>
      <c r="EM25" s="89">
        <f>$EB25*($R25-Klimaatdata!$B$15)*2.63</f>
        <v>0</v>
      </c>
      <c r="EN25" s="89">
        <f>$EB25*($R25-Klimaatdata!$B$16)*2.63</f>
        <v>0</v>
      </c>
      <c r="EO25" s="89">
        <f>$EB25*($R25-Klimaatdata!$B$17)*2.63</f>
        <v>0</v>
      </c>
      <c r="EP25" s="89">
        <f>$EB25*($R25-Klimaatdata!$B$18)*2.63</f>
        <v>0</v>
      </c>
      <c r="EQ25" s="25"/>
      <c r="ER25" s="89">
        <f t="shared" si="30"/>
        <v>0</v>
      </c>
      <c r="ES25" s="89"/>
      <c r="ET25" s="89">
        <f>INDEX(Klimaatdata!$B$27:$K$38,1,$B25)</f>
        <v>0</v>
      </c>
      <c r="EU25" s="89">
        <f>INDEX(Klimaatdata!$B$27:$K$38,2,$B25)</f>
        <v>0</v>
      </c>
      <c r="EV25" s="89">
        <f>INDEX(Klimaatdata!$B$27:$K$38,3,$B25)</f>
        <v>0</v>
      </c>
      <c r="EW25" s="89">
        <f>INDEX(Klimaatdata!$B$27:$K$38,4,$B25)</f>
        <v>0</v>
      </c>
      <c r="EX25" s="89">
        <f>INDEX(Klimaatdata!$B$27:$K$38,5,$B25)</f>
        <v>0</v>
      </c>
      <c r="EY25" s="89">
        <f>INDEX(Klimaatdata!$B$27:$K$38,6,$B25)</f>
        <v>0</v>
      </c>
      <c r="EZ25" s="89">
        <f>INDEX(Klimaatdata!$B$27:$K$38,7,$B25)</f>
        <v>0</v>
      </c>
      <c r="FA25" s="89">
        <f>INDEX(Klimaatdata!$B$27:$K$38,8,$B25)</f>
        <v>0</v>
      </c>
      <c r="FB25" s="89">
        <f>INDEX(Klimaatdata!$B$27:$K$38,9,$B25)</f>
        <v>0</v>
      </c>
      <c r="FC25" s="89">
        <f>INDEX(Klimaatdata!$B$27:$K$38,10,$B25)</f>
        <v>0</v>
      </c>
      <c r="FD25" s="89">
        <f>INDEX(Klimaatdata!$B$27:$K$38,11,$B25)</f>
        <v>0</v>
      </c>
      <c r="FE25" s="89">
        <f>INDEX(Klimaatdata!$B$27:$K$38,12,$B25)</f>
        <v>0</v>
      </c>
      <c r="FG25">
        <f t="shared" si="71"/>
        <v>1</v>
      </c>
      <c r="FH25">
        <f t="shared" si="72"/>
        <v>1</v>
      </c>
      <c r="FI25">
        <f t="shared" si="73"/>
        <v>1</v>
      </c>
      <c r="FJ25">
        <f t="shared" si="74"/>
        <v>1</v>
      </c>
      <c r="FK25">
        <f t="shared" si="75"/>
        <v>1</v>
      </c>
      <c r="FL25">
        <f t="shared" si="76"/>
        <v>1</v>
      </c>
      <c r="FM25">
        <f t="shared" si="77"/>
        <v>1</v>
      </c>
      <c r="FN25">
        <f t="shared" si="78"/>
        <v>1</v>
      </c>
      <c r="FO25">
        <f t="shared" si="79"/>
        <v>1</v>
      </c>
      <c r="FP25">
        <f t="shared" si="80"/>
        <v>1</v>
      </c>
      <c r="FQ25">
        <f t="shared" si="81"/>
        <v>1</v>
      </c>
      <c r="FR25">
        <f t="shared" si="82"/>
        <v>1</v>
      </c>
      <c r="FT25" s="219">
        <f>Klimaatdata!$D$7*ET25*FG25*$ER25*$G25*0.75</f>
        <v>0</v>
      </c>
      <c r="FU25" s="219">
        <f>Klimaatdata!$E$7*EU25*FH25*$ER25*$G25*0.75</f>
        <v>0</v>
      </c>
      <c r="FV25" s="219">
        <f>Klimaatdata!$F$7*EV25*FI25*$ER25*$G25*0.75</f>
        <v>0</v>
      </c>
      <c r="FW25" s="219">
        <f>Klimaatdata!$G$7*EW25*FJ25*$ER25*$G25*0.75</f>
        <v>0</v>
      </c>
      <c r="FX25" s="219">
        <f>Klimaatdata!$H$7*EX25*FK25*$ER25*$G25*0.75</f>
        <v>0</v>
      </c>
      <c r="FY25" s="219">
        <f>Klimaatdata!$I$7*EY25*FL25*$ER25*$G25*0.75</f>
        <v>0</v>
      </c>
      <c r="FZ25" s="219">
        <f>Klimaatdata!$J$7*EZ25*FM25*$ER25*$G25*0.75</f>
        <v>0</v>
      </c>
      <c r="GA25" s="219">
        <f>Klimaatdata!$K$7*FA25*FN25*$ER25*$G25*0.75</f>
        <v>0</v>
      </c>
      <c r="GB25" s="219">
        <f>Klimaatdata!$L$7*FB25*FO25*$ER25*$G25*0.75</f>
        <v>0</v>
      </c>
      <c r="GC25" s="219">
        <f>Klimaatdata!$M$7*FC25*FP25*$ER25*$G25*0.75</f>
        <v>0</v>
      </c>
      <c r="GD25" s="219">
        <f>Klimaatdata!$N$7*FD25*FQ25*$ER25*$G25*0.75</f>
        <v>0</v>
      </c>
      <c r="GE25" s="219">
        <f>Klimaatdata!$O$7*FE25*FR25*$ER25*$G25*0.75</f>
        <v>0</v>
      </c>
      <c r="GG25">
        <f t="shared" si="43"/>
        <v>0</v>
      </c>
      <c r="GH25">
        <f t="shared" si="44"/>
        <v>0</v>
      </c>
      <c r="GI25">
        <f t="shared" si="83"/>
        <v>0</v>
      </c>
      <c r="GJ25">
        <f t="shared" si="84"/>
        <v>0</v>
      </c>
      <c r="GK25">
        <f t="shared" si="85"/>
        <v>0</v>
      </c>
      <c r="GL25">
        <f t="shared" si="86"/>
        <v>0</v>
      </c>
      <c r="GM25">
        <f t="shared" si="87"/>
        <v>0</v>
      </c>
      <c r="GN25">
        <f t="shared" si="88"/>
        <v>0</v>
      </c>
      <c r="GO25">
        <f>'Invoer Gebouwschil'!Q25</f>
        <v>0</v>
      </c>
      <c r="GP25">
        <f t="shared" si="89"/>
        <v>0</v>
      </c>
      <c r="GR25">
        <f t="shared" si="90"/>
        <v>1</v>
      </c>
      <c r="GS25">
        <f t="shared" si="91"/>
        <v>0</v>
      </c>
      <c r="GT25">
        <f t="shared" si="92"/>
        <v>0</v>
      </c>
      <c r="GU25">
        <f t="shared" si="93"/>
        <v>0</v>
      </c>
      <c r="GV25">
        <f t="shared" si="94"/>
        <v>0</v>
      </c>
      <c r="GW25">
        <f t="shared" si="95"/>
        <v>0</v>
      </c>
      <c r="GX25">
        <f t="shared" si="96"/>
        <v>0</v>
      </c>
      <c r="GZ25" s="12">
        <f t="shared" si="59"/>
        <v>0</v>
      </c>
      <c r="HA25" s="13">
        <f t="shared" si="60"/>
        <v>0</v>
      </c>
      <c r="HB25" s="13">
        <f t="shared" si="61"/>
        <v>0</v>
      </c>
      <c r="HC25" s="14">
        <f t="shared" si="62"/>
        <v>0</v>
      </c>
      <c r="HE25" s="12">
        <f t="shared" si="63"/>
        <v>0</v>
      </c>
      <c r="HF25" s="13">
        <f t="shared" si="64"/>
        <v>0</v>
      </c>
      <c r="HG25" s="13">
        <f t="shared" si="65"/>
        <v>0</v>
      </c>
      <c r="HH25" s="14">
        <f t="shared" si="66"/>
        <v>0</v>
      </c>
    </row>
    <row r="26" spans="1:216" x14ac:dyDescent="0.2">
      <c r="A26">
        <v>1</v>
      </c>
      <c r="B26">
        <v>1</v>
      </c>
      <c r="C26">
        <v>1</v>
      </c>
      <c r="D26">
        <f>'Invoer Gebouwschil'!D26</f>
        <v>0</v>
      </c>
      <c r="E26">
        <v>1</v>
      </c>
      <c r="F26">
        <v>1</v>
      </c>
      <c r="G26">
        <f>'Invoer Gebouwschil'!H26</f>
        <v>0</v>
      </c>
      <c r="H26">
        <v>1</v>
      </c>
      <c r="I26">
        <v>1</v>
      </c>
      <c r="K26" s="89">
        <f>INDEX('Verwerking Bouwdelen'!$AV$79:$AV$103,'Verwerking Bouwdelen'!E26)</f>
        <v>0</v>
      </c>
      <c r="L26" s="89">
        <v>0.13</v>
      </c>
      <c r="M26" s="89">
        <f t="shared" si="14"/>
        <v>0</v>
      </c>
      <c r="N26" s="89">
        <f>IF(F26=6,1/((1/1/(L27+M27+'Invoer Gebouwschil'!F26))+5),1/(L26+M26+'Invoer Gebouwschil'!F26))</f>
        <v>7.6923076923076916</v>
      </c>
      <c r="O26" s="89">
        <v>0.1</v>
      </c>
      <c r="P26" s="28">
        <f t="shared" si="15"/>
        <v>1</v>
      </c>
      <c r="Q26" s="89">
        <f t="shared" si="0"/>
        <v>0</v>
      </c>
      <c r="R26" s="89">
        <v>19</v>
      </c>
      <c r="S26" s="89"/>
      <c r="T26" s="89">
        <f>$Q26*($R26-Klimaatdata!$B$7)*2.63</f>
        <v>0</v>
      </c>
      <c r="U26" s="89">
        <f>$Q26*($R26-Klimaatdata!$B$8)*2.63</f>
        <v>0</v>
      </c>
      <c r="V26" s="89">
        <f>$Q26*($R26-Klimaatdata!$B$9)*2.63</f>
        <v>0</v>
      </c>
      <c r="W26" s="89">
        <f>$Q26*($R26-Klimaatdata!$B$10)*2.63</f>
        <v>0</v>
      </c>
      <c r="X26" s="89">
        <f>$Q26*($R26-Klimaatdata!$B$11)*2.63</f>
        <v>0</v>
      </c>
      <c r="Y26" s="89">
        <f>$Q26*($R26-Klimaatdata!$B$12)*2.63</f>
        <v>0</v>
      </c>
      <c r="Z26" s="89">
        <f>$Q26*($R26-Klimaatdata!$B$13)*2.63</f>
        <v>0</v>
      </c>
      <c r="AA26" s="89">
        <f>$Q26*($R26-Klimaatdata!$B$14)*2.63</f>
        <v>0</v>
      </c>
      <c r="AB26" s="89">
        <f>$Q26*($R26-Klimaatdata!$B$15)*2.63</f>
        <v>0</v>
      </c>
      <c r="AC26" s="89">
        <f>$Q26*($R26-Klimaatdata!$B$16)*2.63</f>
        <v>0</v>
      </c>
      <c r="AD26" s="89">
        <f>$Q26*($R26-Klimaatdata!$B$17)*2.63</f>
        <v>0</v>
      </c>
      <c r="AE26" s="89">
        <f>$Q26*($R26-Klimaatdata!$B$18)*2.63</f>
        <v>0</v>
      </c>
      <c r="AF26" s="89"/>
      <c r="AG26" s="205">
        <f t="shared" si="16"/>
        <v>0</v>
      </c>
      <c r="AH26" s="25">
        <f t="shared" si="17"/>
        <v>0</v>
      </c>
      <c r="AI26" s="25">
        <f t="shared" si="18"/>
        <v>0</v>
      </c>
      <c r="AJ26" s="206">
        <f t="shared" si="19"/>
        <v>0</v>
      </c>
      <c r="AK26" s="25"/>
      <c r="AL26" s="89">
        <f t="shared" si="20"/>
        <v>1</v>
      </c>
      <c r="AM26" s="89">
        <f t="shared" si="21"/>
        <v>0</v>
      </c>
      <c r="AN26" s="89">
        <f t="shared" si="22"/>
        <v>0</v>
      </c>
      <c r="AO26" s="89">
        <f t="shared" si="23"/>
        <v>0</v>
      </c>
      <c r="AP26" s="89">
        <v>0.1</v>
      </c>
      <c r="AQ26" s="28">
        <v>1</v>
      </c>
      <c r="AR26" s="89">
        <f t="shared" si="1"/>
        <v>0</v>
      </c>
      <c r="AS26" s="89">
        <v>19</v>
      </c>
      <c r="AT26" s="89"/>
      <c r="AU26" s="89">
        <f>$AR26*($R26-Klimaatdata!$B$7)*2.63</f>
        <v>0</v>
      </c>
      <c r="AV26" s="89">
        <f>$AR26*($R26-Klimaatdata!$B$8)*2.63</f>
        <v>0</v>
      </c>
      <c r="AW26" s="89">
        <f>$AR26*($R26-Klimaatdata!$B$9)*2.63</f>
        <v>0</v>
      </c>
      <c r="AX26" s="89">
        <f>$AR26*($R26-Klimaatdata!$B$10)*2.63</f>
        <v>0</v>
      </c>
      <c r="AY26" s="89">
        <f>$AR26*($R26-Klimaatdata!$B$11)*2.63</f>
        <v>0</v>
      </c>
      <c r="AZ26" s="89">
        <f>$AR26*($R26-Klimaatdata!$B$12)*2.63</f>
        <v>0</v>
      </c>
      <c r="BA26" s="89">
        <f>$AR26*($R26-Klimaatdata!$B$13)*2.63</f>
        <v>0</v>
      </c>
      <c r="BB26" s="89">
        <f>$AR26*($R26-Klimaatdata!$B$14)*2.63</f>
        <v>0</v>
      </c>
      <c r="BC26" s="89">
        <f>$AR26*($R26-Klimaatdata!$B$15)*2.63</f>
        <v>0</v>
      </c>
      <c r="BD26" s="89">
        <f>$AR26*($R26-Klimaatdata!$B$16)*2.63</f>
        <v>0</v>
      </c>
      <c r="BE26" s="89">
        <f>$AR26*($R26-Klimaatdata!$B$17)*2.63</f>
        <v>0</v>
      </c>
      <c r="BF26" s="89">
        <f>$AR26*($R26-Klimaatdata!$B$18)*2.63</f>
        <v>0</v>
      </c>
      <c r="BG26" s="25"/>
      <c r="BH26" s="89">
        <f>INDEX('Verwerking Bouwdelen'!$Y$106:$Y$130,H26)</f>
        <v>0</v>
      </c>
      <c r="BI26" s="89"/>
      <c r="BJ26" s="89">
        <f>INDEX(Klimaatdata!$B$27:$K$38,1,$B26)</f>
        <v>0</v>
      </c>
      <c r="BK26" s="89">
        <f>INDEX(Klimaatdata!$B$27:$K$38,2,$B26)</f>
        <v>0</v>
      </c>
      <c r="BL26" s="89">
        <f>INDEX(Klimaatdata!$B$27:$K$38,3,$B26)</f>
        <v>0</v>
      </c>
      <c r="BM26" s="89">
        <f>INDEX(Klimaatdata!$B$27:$K$38,4,$B26)</f>
        <v>0</v>
      </c>
      <c r="BN26" s="89">
        <f>INDEX(Klimaatdata!$B$27:$K$38,5,$B26)</f>
        <v>0</v>
      </c>
      <c r="BO26" s="89">
        <f>INDEX(Klimaatdata!$B$27:$K$38,6,$B26)</f>
        <v>0</v>
      </c>
      <c r="BP26" s="89">
        <f>INDEX(Klimaatdata!$B$27:$K$38,7,$B26)</f>
        <v>0</v>
      </c>
      <c r="BQ26" s="89">
        <f>INDEX(Klimaatdata!$B$27:$K$38,8,$B26)</f>
        <v>0</v>
      </c>
      <c r="BR26" s="89">
        <f>INDEX(Klimaatdata!$B$27:$K$38,9,$B26)</f>
        <v>0</v>
      </c>
      <c r="BS26" s="89">
        <f>INDEX(Klimaatdata!$B$27:$K$38,10,$B26)</f>
        <v>0</v>
      </c>
      <c r="BT26" s="89">
        <f>INDEX(Klimaatdata!$B$27:$K$38,11,$B26)</f>
        <v>0</v>
      </c>
      <c r="BU26" s="89">
        <f>INDEX(Klimaatdata!$B$27:$K$38,12,$B26)</f>
        <v>0</v>
      </c>
      <c r="BW26">
        <f t="shared" si="2"/>
        <v>1</v>
      </c>
      <c r="BX26">
        <f t="shared" si="3"/>
        <v>1</v>
      </c>
      <c r="BY26">
        <f t="shared" si="4"/>
        <v>1</v>
      </c>
      <c r="BZ26">
        <f t="shared" si="5"/>
        <v>1</v>
      </c>
      <c r="CA26">
        <f t="shared" si="6"/>
        <v>1</v>
      </c>
      <c r="CB26">
        <f t="shared" si="7"/>
        <v>1</v>
      </c>
      <c r="CC26">
        <f t="shared" si="8"/>
        <v>1</v>
      </c>
      <c r="CD26">
        <f t="shared" si="9"/>
        <v>1</v>
      </c>
      <c r="CE26">
        <f t="shared" si="10"/>
        <v>1</v>
      </c>
      <c r="CF26">
        <f t="shared" si="11"/>
        <v>1</v>
      </c>
      <c r="CG26">
        <f t="shared" si="12"/>
        <v>1</v>
      </c>
      <c r="CH26">
        <f t="shared" si="13"/>
        <v>1</v>
      </c>
      <c r="CJ26" s="219">
        <f>Klimaatdata!$D$7*BJ26*BW26*$BH26*$G26*0.75</f>
        <v>0</v>
      </c>
      <c r="CK26" s="219">
        <f>Klimaatdata!$E$7*BK26*BX26*$BH26*$G26*0.75</f>
        <v>0</v>
      </c>
      <c r="CL26" s="219">
        <f>Klimaatdata!$F$7*BL26*BY26*$BH26*$G26*0.75</f>
        <v>0</v>
      </c>
      <c r="CM26" s="219">
        <f>Klimaatdata!$G$7*BM26*BZ26*$BH26*$G26*0.75</f>
        <v>0</v>
      </c>
      <c r="CN26" s="219">
        <f>Klimaatdata!$H$7*BN26*CA26*$BH26*$G26*0.75</f>
        <v>0</v>
      </c>
      <c r="CO26" s="219">
        <f>Klimaatdata!$I$7*BO26*CB26*$BH26*$G26*0.75</f>
        <v>0</v>
      </c>
      <c r="CP26" s="219">
        <f>Klimaatdata!$J$7*BP26*CC26*$BH26*$G26*0.75</f>
        <v>0</v>
      </c>
      <c r="CQ26" s="219">
        <f>Klimaatdata!$K$7*BQ26*CD26*$BH26*$G26*0.75</f>
        <v>0</v>
      </c>
      <c r="CR26" s="219">
        <f>Klimaatdata!$L$7*BR26*CE26*$BH26*$G26*0.75</f>
        <v>0</v>
      </c>
      <c r="CS26" s="219">
        <f>Klimaatdata!$M$7*BS26*CF26*$BH26*$G26*0.75</f>
        <v>0</v>
      </c>
      <c r="CT26" s="219">
        <f>Klimaatdata!$N$7*BT26*CG26*$BH26*$G26*0.75</f>
        <v>0</v>
      </c>
      <c r="CU26" s="219">
        <f>Klimaatdata!$O$7*BU26*CH26*$BH26*$G26*0.75</f>
        <v>0</v>
      </c>
      <c r="CX26">
        <v>1</v>
      </c>
      <c r="CY26">
        <v>1</v>
      </c>
      <c r="CZ26">
        <v>1</v>
      </c>
      <c r="DA26">
        <f>'Invoer Gebouwschil'!Q26</f>
        <v>0</v>
      </c>
      <c r="DC26" s="89">
        <f t="shared" si="24"/>
        <v>0</v>
      </c>
      <c r="DD26" s="89">
        <v>0.13</v>
      </c>
      <c r="DE26" s="89">
        <f t="shared" si="25"/>
        <v>0</v>
      </c>
      <c r="DF26" s="89">
        <f>IF(F26=6,1/((1/1/(DD26+DE26+'Invoer Gebouwschil'!M26))+5),1/(DD26+DE26+'Invoer Gebouwschil'!M26))</f>
        <v>7.6923076923076916</v>
      </c>
      <c r="DG26" s="89">
        <v>0.1</v>
      </c>
      <c r="DH26" s="28">
        <f t="shared" si="67"/>
        <v>1</v>
      </c>
      <c r="DI26" s="89">
        <f t="shared" si="68"/>
        <v>0</v>
      </c>
      <c r="DJ26" s="89">
        <v>19</v>
      </c>
      <c r="DK26" s="89"/>
      <c r="DL26" s="89">
        <f>$DI26*($R26-Klimaatdata!$B$7)*2.63</f>
        <v>0</v>
      </c>
      <c r="DM26" s="89">
        <f>$DI26*($R26-Klimaatdata!$B$8)*2.63</f>
        <v>0</v>
      </c>
      <c r="DN26" s="89">
        <f>$DI26*($R26-Klimaatdata!$B$9)*2.63</f>
        <v>0</v>
      </c>
      <c r="DO26" s="89">
        <f>$DI26*($R26-Klimaatdata!$B$10)*2.63</f>
        <v>0</v>
      </c>
      <c r="DP26" s="89">
        <f>$DI26*($R26-Klimaatdata!$B$11)*2.63</f>
        <v>0</v>
      </c>
      <c r="DQ26" s="89">
        <f>$DI26*($R26-Klimaatdata!$B$12)*2.63</f>
        <v>0</v>
      </c>
      <c r="DR26" s="89">
        <f>$DI26*($R26-Klimaatdata!$B$13)*2.63</f>
        <v>0</v>
      </c>
      <c r="DS26" s="89">
        <f>$DI26*($R26-Klimaatdata!$B$14)*2.63</f>
        <v>0</v>
      </c>
      <c r="DT26" s="89">
        <f>$DI26*($R26-Klimaatdata!$B$15)*2.63</f>
        <v>0</v>
      </c>
      <c r="DU26" s="89">
        <f>$DI26*($R26-Klimaatdata!$B$16)*2.63</f>
        <v>0</v>
      </c>
      <c r="DV26" s="89">
        <f>$DI26*($R26-Klimaatdata!$B$17)*2.63</f>
        <v>0</v>
      </c>
      <c r="DW26" s="89">
        <f>$DI26*($R26-Klimaatdata!$B$18)*2.63</f>
        <v>0</v>
      </c>
      <c r="DX26" s="89"/>
      <c r="DY26" s="89">
        <f t="shared" si="69"/>
        <v>0</v>
      </c>
      <c r="DZ26" s="89">
        <v>0.1</v>
      </c>
      <c r="EA26" s="28">
        <v>1</v>
      </c>
      <c r="EB26" s="89">
        <f t="shared" si="70"/>
        <v>0</v>
      </c>
      <c r="EC26" s="89">
        <v>19</v>
      </c>
      <c r="ED26" s="89"/>
      <c r="EE26" s="89">
        <f>$EB26*($R26-Klimaatdata!$B$7)*2.63</f>
        <v>0</v>
      </c>
      <c r="EF26" s="89">
        <f>$EB26*($R26-Klimaatdata!$B$8)*2.63</f>
        <v>0</v>
      </c>
      <c r="EG26" s="89">
        <f>$EB26*($R26-Klimaatdata!$B$9)*2.63</f>
        <v>0</v>
      </c>
      <c r="EH26" s="89">
        <f>$EB26*($R26-Klimaatdata!$B$10)*2.63</f>
        <v>0</v>
      </c>
      <c r="EI26" s="89">
        <f>$EB26*($R26-Klimaatdata!$B$11)*2.63</f>
        <v>0</v>
      </c>
      <c r="EJ26" s="89">
        <f>$EB26*($R26-Klimaatdata!$B$12)*2.63</f>
        <v>0</v>
      </c>
      <c r="EK26" s="89">
        <f>$EB26*($R26-Klimaatdata!$B$13)*2.63</f>
        <v>0</v>
      </c>
      <c r="EL26" s="89">
        <f>$EB26*($R26-Klimaatdata!$B$14)*2.63</f>
        <v>0</v>
      </c>
      <c r="EM26" s="89">
        <f>$EB26*($R26-Klimaatdata!$B$15)*2.63</f>
        <v>0</v>
      </c>
      <c r="EN26" s="89">
        <f>$EB26*($R26-Klimaatdata!$B$16)*2.63</f>
        <v>0</v>
      </c>
      <c r="EO26" s="89">
        <f>$EB26*($R26-Klimaatdata!$B$17)*2.63</f>
        <v>0</v>
      </c>
      <c r="EP26" s="89">
        <f>$EB26*($R26-Klimaatdata!$B$18)*2.63</f>
        <v>0</v>
      </c>
      <c r="EQ26" s="25"/>
      <c r="ER26" s="89">
        <f t="shared" si="30"/>
        <v>0</v>
      </c>
      <c r="ES26" s="89"/>
      <c r="ET26" s="89">
        <f>INDEX(Klimaatdata!$B$27:$K$38,1,$B26)</f>
        <v>0</v>
      </c>
      <c r="EU26" s="89">
        <f>INDEX(Klimaatdata!$B$27:$K$38,2,$B26)</f>
        <v>0</v>
      </c>
      <c r="EV26" s="89">
        <f>INDEX(Klimaatdata!$B$27:$K$38,3,$B26)</f>
        <v>0</v>
      </c>
      <c r="EW26" s="89">
        <f>INDEX(Klimaatdata!$B$27:$K$38,4,$B26)</f>
        <v>0</v>
      </c>
      <c r="EX26" s="89">
        <f>INDEX(Klimaatdata!$B$27:$K$38,5,$B26)</f>
        <v>0</v>
      </c>
      <c r="EY26" s="89">
        <f>INDEX(Klimaatdata!$B$27:$K$38,6,$B26)</f>
        <v>0</v>
      </c>
      <c r="EZ26" s="89">
        <f>INDEX(Klimaatdata!$B$27:$K$38,7,$B26)</f>
        <v>0</v>
      </c>
      <c r="FA26" s="89">
        <f>INDEX(Klimaatdata!$B$27:$K$38,8,$B26)</f>
        <v>0</v>
      </c>
      <c r="FB26" s="89">
        <f>INDEX(Klimaatdata!$B$27:$K$38,9,$B26)</f>
        <v>0</v>
      </c>
      <c r="FC26" s="89">
        <f>INDEX(Klimaatdata!$B$27:$K$38,10,$B26)</f>
        <v>0</v>
      </c>
      <c r="FD26" s="89">
        <f>INDEX(Klimaatdata!$B$27:$K$38,11,$B26)</f>
        <v>0</v>
      </c>
      <c r="FE26" s="89">
        <f>INDEX(Klimaatdata!$B$27:$K$38,12,$B26)</f>
        <v>0</v>
      </c>
      <c r="FG26">
        <f t="shared" si="71"/>
        <v>1</v>
      </c>
      <c r="FH26">
        <f t="shared" si="72"/>
        <v>1</v>
      </c>
      <c r="FI26">
        <f t="shared" si="73"/>
        <v>1</v>
      </c>
      <c r="FJ26">
        <f t="shared" si="74"/>
        <v>1</v>
      </c>
      <c r="FK26">
        <f t="shared" si="75"/>
        <v>1</v>
      </c>
      <c r="FL26">
        <f t="shared" si="76"/>
        <v>1</v>
      </c>
      <c r="FM26">
        <f t="shared" si="77"/>
        <v>1</v>
      </c>
      <c r="FN26">
        <f t="shared" si="78"/>
        <v>1</v>
      </c>
      <c r="FO26">
        <f t="shared" si="79"/>
        <v>1</v>
      </c>
      <c r="FP26">
        <f t="shared" si="80"/>
        <v>1</v>
      </c>
      <c r="FQ26">
        <f t="shared" si="81"/>
        <v>1</v>
      </c>
      <c r="FR26">
        <f t="shared" si="82"/>
        <v>1</v>
      </c>
      <c r="FT26" s="219">
        <f>Klimaatdata!$D$7*ET26*FG26*$ER26*$G26*0.75</f>
        <v>0</v>
      </c>
      <c r="FU26" s="219">
        <f>Klimaatdata!$E$7*EU26*FH26*$ER26*$G26*0.75</f>
        <v>0</v>
      </c>
      <c r="FV26" s="219">
        <f>Klimaatdata!$F$7*EV26*FI26*$ER26*$G26*0.75</f>
        <v>0</v>
      </c>
      <c r="FW26" s="219">
        <f>Klimaatdata!$G$7*EW26*FJ26*$ER26*$G26*0.75</f>
        <v>0</v>
      </c>
      <c r="FX26" s="219">
        <f>Klimaatdata!$H$7*EX26*FK26*$ER26*$G26*0.75</f>
        <v>0</v>
      </c>
      <c r="FY26" s="219">
        <f>Klimaatdata!$I$7*EY26*FL26*$ER26*$G26*0.75</f>
        <v>0</v>
      </c>
      <c r="FZ26" s="219">
        <f>Klimaatdata!$J$7*EZ26*FM26*$ER26*$G26*0.75</f>
        <v>0</v>
      </c>
      <c r="GA26" s="219">
        <f>Klimaatdata!$K$7*FA26*FN26*$ER26*$G26*0.75</f>
        <v>0</v>
      </c>
      <c r="GB26" s="219">
        <f>Klimaatdata!$L$7*FB26*FO26*$ER26*$G26*0.75</f>
        <v>0</v>
      </c>
      <c r="GC26" s="219">
        <f>Klimaatdata!$M$7*FC26*FP26*$ER26*$G26*0.75</f>
        <v>0</v>
      </c>
      <c r="GD26" s="219">
        <f>Klimaatdata!$N$7*FD26*FQ26*$ER26*$G26*0.75</f>
        <v>0</v>
      </c>
      <c r="GE26" s="219">
        <f>Klimaatdata!$O$7*FE26*FR26*$ER26*$G26*0.75</f>
        <v>0</v>
      </c>
      <c r="GG26">
        <f t="shared" si="43"/>
        <v>0</v>
      </c>
      <c r="GH26">
        <f t="shared" si="44"/>
        <v>0</v>
      </c>
      <c r="GI26">
        <f t="shared" si="83"/>
        <v>0</v>
      </c>
      <c r="GJ26">
        <f t="shared" si="84"/>
        <v>0</v>
      </c>
      <c r="GK26">
        <f t="shared" si="85"/>
        <v>0</v>
      </c>
      <c r="GL26">
        <f t="shared" si="86"/>
        <v>0</v>
      </c>
      <c r="GM26">
        <f t="shared" si="87"/>
        <v>0</v>
      </c>
      <c r="GN26">
        <f t="shared" si="88"/>
        <v>0</v>
      </c>
      <c r="GO26">
        <f>'Invoer Gebouwschil'!Q26</f>
        <v>0</v>
      </c>
      <c r="GP26">
        <f t="shared" si="89"/>
        <v>0</v>
      </c>
      <c r="GR26">
        <f t="shared" si="90"/>
        <v>1</v>
      </c>
      <c r="GS26">
        <f t="shared" si="91"/>
        <v>0</v>
      </c>
      <c r="GT26">
        <f t="shared" si="92"/>
        <v>0</v>
      </c>
      <c r="GU26">
        <f t="shared" si="93"/>
        <v>0</v>
      </c>
      <c r="GV26">
        <f t="shared" si="94"/>
        <v>0</v>
      </c>
      <c r="GW26">
        <f t="shared" si="95"/>
        <v>0</v>
      </c>
      <c r="GX26">
        <f t="shared" si="96"/>
        <v>0</v>
      </c>
      <c r="GZ26" s="12">
        <f t="shared" si="59"/>
        <v>0</v>
      </c>
      <c r="HA26" s="13">
        <f t="shared" si="60"/>
        <v>0</v>
      </c>
      <c r="HB26" s="13">
        <f t="shared" si="61"/>
        <v>0</v>
      </c>
      <c r="HC26" s="14">
        <f t="shared" si="62"/>
        <v>0</v>
      </c>
      <c r="HE26" s="12">
        <f t="shared" si="63"/>
        <v>0</v>
      </c>
      <c r="HF26" s="13">
        <f t="shared" si="64"/>
        <v>0</v>
      </c>
      <c r="HG26" s="13">
        <f t="shared" si="65"/>
        <v>0</v>
      </c>
      <c r="HH26" s="14">
        <f t="shared" si="66"/>
        <v>0</v>
      </c>
    </row>
    <row r="27" spans="1:216" x14ac:dyDescent="0.2">
      <c r="A27">
        <v>1</v>
      </c>
      <c r="B27">
        <v>1</v>
      </c>
      <c r="C27">
        <v>1</v>
      </c>
      <c r="D27">
        <f>'Invoer Gebouwschil'!D27</f>
        <v>0</v>
      </c>
      <c r="E27">
        <v>1</v>
      </c>
      <c r="F27">
        <v>1</v>
      </c>
      <c r="G27">
        <f>'Invoer Gebouwschil'!H27</f>
        <v>0</v>
      </c>
      <c r="H27">
        <v>1</v>
      </c>
      <c r="I27">
        <v>1</v>
      </c>
      <c r="K27" s="89">
        <f>INDEX('Verwerking Bouwdelen'!$AX$79:$AX$103,'Verwerking Bouwdelen'!E27)</f>
        <v>0</v>
      </c>
      <c r="L27" s="89">
        <v>0.13</v>
      </c>
      <c r="M27" s="89">
        <f t="shared" si="14"/>
        <v>0</v>
      </c>
      <c r="N27" s="89">
        <f>IF(F27=6,1/((1/1/(L28+M28+'Invoer Gebouwschil'!F27))+5),1/(L27+M27+'Invoer Gebouwschil'!F27))</f>
        <v>7.6923076923076916</v>
      </c>
      <c r="O27" s="89">
        <v>0.1</v>
      </c>
      <c r="P27" s="28">
        <f t="shared" si="15"/>
        <v>1</v>
      </c>
      <c r="Q27" s="89">
        <f t="shared" si="0"/>
        <v>0</v>
      </c>
      <c r="R27" s="89">
        <v>19</v>
      </c>
      <c r="S27" s="89"/>
      <c r="T27" s="89">
        <f>$Q27*($R27-Klimaatdata!$B$7)*2.63</f>
        <v>0</v>
      </c>
      <c r="U27" s="89">
        <f>$Q27*($R27-Klimaatdata!$B$8)*2.63</f>
        <v>0</v>
      </c>
      <c r="V27" s="89">
        <f>$Q27*($R27-Klimaatdata!$B$9)*2.63</f>
        <v>0</v>
      </c>
      <c r="W27" s="89">
        <f>$Q27*($R27-Klimaatdata!$B$10)*2.63</f>
        <v>0</v>
      </c>
      <c r="X27" s="89">
        <f>$Q27*($R27-Klimaatdata!$B$11)*2.63</f>
        <v>0</v>
      </c>
      <c r="Y27" s="89">
        <f>$Q27*($R27-Klimaatdata!$B$12)*2.63</f>
        <v>0</v>
      </c>
      <c r="Z27" s="89">
        <f>$Q27*($R27-Klimaatdata!$B$13)*2.63</f>
        <v>0</v>
      </c>
      <c r="AA27" s="89">
        <f>$Q27*($R27-Klimaatdata!$B$14)*2.63</f>
        <v>0</v>
      </c>
      <c r="AB27" s="89">
        <f>$Q27*($R27-Klimaatdata!$B$15)*2.63</f>
        <v>0</v>
      </c>
      <c r="AC27" s="89">
        <f>$Q27*($R27-Klimaatdata!$B$16)*2.63</f>
        <v>0</v>
      </c>
      <c r="AD27" s="89">
        <f>$Q27*($R27-Klimaatdata!$B$17)*2.63</f>
        <v>0</v>
      </c>
      <c r="AE27" s="89">
        <f>$Q27*($R27-Klimaatdata!$B$18)*2.63</f>
        <v>0</v>
      </c>
      <c r="AF27" s="89"/>
      <c r="AG27" s="205">
        <f t="shared" si="16"/>
        <v>0</v>
      </c>
      <c r="AH27" s="25">
        <f t="shared" si="17"/>
        <v>0</v>
      </c>
      <c r="AI27" s="25">
        <f t="shared" si="18"/>
        <v>0</v>
      </c>
      <c r="AJ27" s="206">
        <f t="shared" si="19"/>
        <v>0</v>
      </c>
      <c r="AK27" s="25"/>
      <c r="AL27" s="89">
        <f t="shared" si="20"/>
        <v>1</v>
      </c>
      <c r="AM27" s="89">
        <f t="shared" si="21"/>
        <v>0</v>
      </c>
      <c r="AN27" s="89">
        <f t="shared" si="22"/>
        <v>0</v>
      </c>
      <c r="AO27" s="89">
        <f t="shared" si="23"/>
        <v>0</v>
      </c>
      <c r="AP27" s="89">
        <v>0.1</v>
      </c>
      <c r="AQ27" s="28">
        <v>1</v>
      </c>
      <c r="AR27" s="89">
        <f t="shared" si="1"/>
        <v>0</v>
      </c>
      <c r="AS27" s="89">
        <v>19</v>
      </c>
      <c r="AT27" s="89"/>
      <c r="AU27" s="89">
        <f>$AR27*($R27-Klimaatdata!$B$7)*2.63</f>
        <v>0</v>
      </c>
      <c r="AV27" s="89">
        <f>$AR27*($R27-Klimaatdata!$B$8)*2.63</f>
        <v>0</v>
      </c>
      <c r="AW27" s="89">
        <f>$AR27*($R27-Klimaatdata!$B$9)*2.63</f>
        <v>0</v>
      </c>
      <c r="AX27" s="89">
        <f>$AR27*($R27-Klimaatdata!$B$10)*2.63</f>
        <v>0</v>
      </c>
      <c r="AY27" s="89">
        <f>$AR27*($R27-Klimaatdata!$B$11)*2.63</f>
        <v>0</v>
      </c>
      <c r="AZ27" s="89">
        <f>$AR27*($R27-Klimaatdata!$B$12)*2.63</f>
        <v>0</v>
      </c>
      <c r="BA27" s="89">
        <f>$AR27*($R27-Klimaatdata!$B$13)*2.63</f>
        <v>0</v>
      </c>
      <c r="BB27" s="89">
        <f>$AR27*($R27-Klimaatdata!$B$14)*2.63</f>
        <v>0</v>
      </c>
      <c r="BC27" s="89">
        <f>$AR27*($R27-Klimaatdata!$B$15)*2.63</f>
        <v>0</v>
      </c>
      <c r="BD27" s="89">
        <f>$AR27*($R27-Klimaatdata!$B$16)*2.63</f>
        <v>0</v>
      </c>
      <c r="BE27" s="89">
        <f>$AR27*($R27-Klimaatdata!$B$17)*2.63</f>
        <v>0</v>
      </c>
      <c r="BF27" s="89">
        <f>$AR27*($R27-Klimaatdata!$B$18)*2.63</f>
        <v>0</v>
      </c>
      <c r="BG27" s="25"/>
      <c r="BH27" s="89">
        <f>INDEX('Verwerking Bouwdelen'!$Y$106:$Y$130,H27)</f>
        <v>0</v>
      </c>
      <c r="BI27" s="89"/>
      <c r="BJ27" s="89">
        <f>INDEX(Klimaatdata!$B$27:$K$38,1,$B27)</f>
        <v>0</v>
      </c>
      <c r="BK27" s="89">
        <f>INDEX(Klimaatdata!$B$27:$K$38,2,$B27)</f>
        <v>0</v>
      </c>
      <c r="BL27" s="89">
        <f>INDEX(Klimaatdata!$B$27:$K$38,3,$B27)</f>
        <v>0</v>
      </c>
      <c r="BM27" s="89">
        <f>INDEX(Klimaatdata!$B$27:$K$38,4,$B27)</f>
        <v>0</v>
      </c>
      <c r="BN27" s="89">
        <f>INDEX(Klimaatdata!$B$27:$K$38,5,$B27)</f>
        <v>0</v>
      </c>
      <c r="BO27" s="89">
        <f>INDEX(Klimaatdata!$B$27:$K$38,6,$B27)</f>
        <v>0</v>
      </c>
      <c r="BP27" s="89">
        <f>INDEX(Klimaatdata!$B$27:$K$38,7,$B27)</f>
        <v>0</v>
      </c>
      <c r="BQ27" s="89">
        <f>INDEX(Klimaatdata!$B$27:$K$38,8,$B27)</f>
        <v>0</v>
      </c>
      <c r="BR27" s="89">
        <f>INDEX(Klimaatdata!$B$27:$K$38,9,$B27)</f>
        <v>0</v>
      </c>
      <c r="BS27" s="89">
        <f>INDEX(Klimaatdata!$B$27:$K$38,10,$B27)</f>
        <v>0</v>
      </c>
      <c r="BT27" s="89">
        <f>INDEX(Klimaatdata!$B$27:$K$38,11,$B27)</f>
        <v>0</v>
      </c>
      <c r="BU27" s="89">
        <f>INDEX(Klimaatdata!$B$27:$K$38,12,$B27)</f>
        <v>0</v>
      </c>
      <c r="BW27">
        <f t="shared" si="2"/>
        <v>1</v>
      </c>
      <c r="BX27">
        <f t="shared" si="3"/>
        <v>1</v>
      </c>
      <c r="BY27">
        <f t="shared" si="4"/>
        <v>1</v>
      </c>
      <c r="BZ27">
        <f t="shared" si="5"/>
        <v>1</v>
      </c>
      <c r="CA27">
        <f t="shared" si="6"/>
        <v>1</v>
      </c>
      <c r="CB27">
        <f t="shared" si="7"/>
        <v>1</v>
      </c>
      <c r="CC27">
        <f t="shared" si="8"/>
        <v>1</v>
      </c>
      <c r="CD27">
        <f t="shared" si="9"/>
        <v>1</v>
      </c>
      <c r="CE27">
        <f t="shared" si="10"/>
        <v>1</v>
      </c>
      <c r="CF27">
        <f t="shared" si="11"/>
        <v>1</v>
      </c>
      <c r="CG27">
        <f t="shared" si="12"/>
        <v>1</v>
      </c>
      <c r="CH27">
        <f t="shared" si="13"/>
        <v>1</v>
      </c>
      <c r="CJ27" s="219">
        <f>Klimaatdata!$D$7*BJ27*BW27*$BH27*$G27*0.75</f>
        <v>0</v>
      </c>
      <c r="CK27" s="219">
        <f>Klimaatdata!$E$7*BK27*BX27*$BH27*$G27*0.75</f>
        <v>0</v>
      </c>
      <c r="CL27" s="219">
        <f>Klimaatdata!$F$7*BL27*BY27*$BH27*$G27*0.75</f>
        <v>0</v>
      </c>
      <c r="CM27" s="219">
        <f>Klimaatdata!$G$7*BM27*BZ27*$BH27*$G27*0.75</f>
        <v>0</v>
      </c>
      <c r="CN27" s="219">
        <f>Klimaatdata!$H$7*BN27*CA27*$BH27*$G27*0.75</f>
        <v>0</v>
      </c>
      <c r="CO27" s="219">
        <f>Klimaatdata!$I$7*BO27*CB27*$BH27*$G27*0.75</f>
        <v>0</v>
      </c>
      <c r="CP27" s="219">
        <f>Klimaatdata!$J$7*BP27*CC27*$BH27*$G27*0.75</f>
        <v>0</v>
      </c>
      <c r="CQ27" s="219">
        <f>Klimaatdata!$K$7*BQ27*CD27*$BH27*$G27*0.75</f>
        <v>0</v>
      </c>
      <c r="CR27" s="219">
        <f>Klimaatdata!$L$7*BR27*CE27*$BH27*$G27*0.75</f>
        <v>0</v>
      </c>
      <c r="CS27" s="219">
        <f>Klimaatdata!$M$7*BS27*CF27*$BH27*$G27*0.75</f>
        <v>0</v>
      </c>
      <c r="CT27" s="219">
        <f>Klimaatdata!$N$7*BT27*CG27*$BH27*$G27*0.75</f>
        <v>0</v>
      </c>
      <c r="CU27" s="219">
        <f>Klimaatdata!$O$7*BU27*CH27*$BH27*$G27*0.75</f>
        <v>0</v>
      </c>
      <c r="CX27">
        <v>1</v>
      </c>
      <c r="CY27">
        <v>1</v>
      </c>
      <c r="CZ27">
        <v>1</v>
      </c>
      <c r="DA27">
        <f>'Invoer Gebouwschil'!Q27</f>
        <v>0</v>
      </c>
      <c r="DC27" s="89">
        <f t="shared" si="24"/>
        <v>0</v>
      </c>
      <c r="DD27" s="89">
        <v>0.13</v>
      </c>
      <c r="DE27" s="89">
        <f t="shared" si="25"/>
        <v>0</v>
      </c>
      <c r="DF27" s="89">
        <f>IF(F27=6,1/((1/1/(DD27+DE27+'Invoer Gebouwschil'!M27))+5),1/(DD27+DE27+'Invoer Gebouwschil'!M27))</f>
        <v>7.6923076923076916</v>
      </c>
      <c r="DG27" s="89">
        <v>0.1</v>
      </c>
      <c r="DH27" s="28">
        <f t="shared" si="67"/>
        <v>1</v>
      </c>
      <c r="DI27" s="89">
        <f t="shared" si="68"/>
        <v>0</v>
      </c>
      <c r="DJ27" s="89">
        <v>19</v>
      </c>
      <c r="DK27" s="89"/>
      <c r="DL27" s="89">
        <f>$DI27*($R27-Klimaatdata!$B$7)*2.63</f>
        <v>0</v>
      </c>
      <c r="DM27" s="89">
        <f>$DI27*($R27-Klimaatdata!$B$8)*2.63</f>
        <v>0</v>
      </c>
      <c r="DN27" s="89">
        <f>$DI27*($R27-Klimaatdata!$B$9)*2.63</f>
        <v>0</v>
      </c>
      <c r="DO27" s="89">
        <f>$DI27*($R27-Klimaatdata!$B$10)*2.63</f>
        <v>0</v>
      </c>
      <c r="DP27" s="89">
        <f>$DI27*($R27-Klimaatdata!$B$11)*2.63</f>
        <v>0</v>
      </c>
      <c r="DQ27" s="89">
        <f>$DI27*($R27-Klimaatdata!$B$12)*2.63</f>
        <v>0</v>
      </c>
      <c r="DR27" s="89">
        <f>$DI27*($R27-Klimaatdata!$B$13)*2.63</f>
        <v>0</v>
      </c>
      <c r="DS27" s="89">
        <f>$DI27*($R27-Klimaatdata!$B$14)*2.63</f>
        <v>0</v>
      </c>
      <c r="DT27" s="89">
        <f>$DI27*($R27-Klimaatdata!$B$15)*2.63</f>
        <v>0</v>
      </c>
      <c r="DU27" s="89">
        <f>$DI27*($R27-Klimaatdata!$B$16)*2.63</f>
        <v>0</v>
      </c>
      <c r="DV27" s="89">
        <f>$DI27*($R27-Klimaatdata!$B$17)*2.63</f>
        <v>0</v>
      </c>
      <c r="DW27" s="89">
        <f>$DI27*($R27-Klimaatdata!$B$18)*2.63</f>
        <v>0</v>
      </c>
      <c r="DX27" s="89"/>
      <c r="DY27" s="89">
        <f t="shared" si="69"/>
        <v>0</v>
      </c>
      <c r="DZ27" s="89">
        <v>0.1</v>
      </c>
      <c r="EA27" s="28">
        <v>1</v>
      </c>
      <c r="EB27" s="89">
        <f t="shared" si="70"/>
        <v>0</v>
      </c>
      <c r="EC27" s="89">
        <v>19</v>
      </c>
      <c r="ED27" s="89"/>
      <c r="EE27" s="89">
        <f>$EB27*($R27-Klimaatdata!$B$7)*2.63</f>
        <v>0</v>
      </c>
      <c r="EF27" s="89">
        <f>$EB27*($R27-Klimaatdata!$B$8)*2.63</f>
        <v>0</v>
      </c>
      <c r="EG27" s="89">
        <f>$EB27*($R27-Klimaatdata!$B$9)*2.63</f>
        <v>0</v>
      </c>
      <c r="EH27" s="89">
        <f>$EB27*($R27-Klimaatdata!$B$10)*2.63</f>
        <v>0</v>
      </c>
      <c r="EI27" s="89">
        <f>$EB27*($R27-Klimaatdata!$B$11)*2.63</f>
        <v>0</v>
      </c>
      <c r="EJ27" s="89">
        <f>$EB27*($R27-Klimaatdata!$B$12)*2.63</f>
        <v>0</v>
      </c>
      <c r="EK27" s="89">
        <f>$EB27*($R27-Klimaatdata!$B$13)*2.63</f>
        <v>0</v>
      </c>
      <c r="EL27" s="89">
        <f>$EB27*($R27-Klimaatdata!$B$14)*2.63</f>
        <v>0</v>
      </c>
      <c r="EM27" s="89">
        <f>$EB27*($R27-Klimaatdata!$B$15)*2.63</f>
        <v>0</v>
      </c>
      <c r="EN27" s="89">
        <f>$EB27*($R27-Klimaatdata!$B$16)*2.63</f>
        <v>0</v>
      </c>
      <c r="EO27" s="89">
        <f>$EB27*($R27-Klimaatdata!$B$17)*2.63</f>
        <v>0</v>
      </c>
      <c r="EP27" s="89">
        <f>$EB27*($R27-Klimaatdata!$B$18)*2.63</f>
        <v>0</v>
      </c>
      <c r="EQ27" s="25"/>
      <c r="ER27" s="89">
        <f t="shared" si="30"/>
        <v>0</v>
      </c>
      <c r="ES27" s="89"/>
      <c r="ET27" s="89">
        <f>INDEX(Klimaatdata!$B$27:$K$38,1,$B27)</f>
        <v>0</v>
      </c>
      <c r="EU27" s="89">
        <f>INDEX(Klimaatdata!$B$27:$K$38,2,$B27)</f>
        <v>0</v>
      </c>
      <c r="EV27" s="89">
        <f>INDEX(Klimaatdata!$B$27:$K$38,3,$B27)</f>
        <v>0</v>
      </c>
      <c r="EW27" s="89">
        <f>INDEX(Klimaatdata!$B$27:$K$38,4,$B27)</f>
        <v>0</v>
      </c>
      <c r="EX27" s="89">
        <f>INDEX(Klimaatdata!$B$27:$K$38,5,$B27)</f>
        <v>0</v>
      </c>
      <c r="EY27" s="89">
        <f>INDEX(Klimaatdata!$B$27:$K$38,6,$B27)</f>
        <v>0</v>
      </c>
      <c r="EZ27" s="89">
        <f>INDEX(Klimaatdata!$B$27:$K$38,7,$B27)</f>
        <v>0</v>
      </c>
      <c r="FA27" s="89">
        <f>INDEX(Klimaatdata!$B$27:$K$38,8,$B27)</f>
        <v>0</v>
      </c>
      <c r="FB27" s="89">
        <f>INDEX(Klimaatdata!$B$27:$K$38,9,$B27)</f>
        <v>0</v>
      </c>
      <c r="FC27" s="89">
        <f>INDEX(Klimaatdata!$B$27:$K$38,10,$B27)</f>
        <v>0</v>
      </c>
      <c r="FD27" s="89">
        <f>INDEX(Klimaatdata!$B$27:$K$38,11,$B27)</f>
        <v>0</v>
      </c>
      <c r="FE27" s="89">
        <f>INDEX(Klimaatdata!$B$27:$K$38,12,$B27)</f>
        <v>0</v>
      </c>
      <c r="FG27">
        <f t="shared" si="71"/>
        <v>1</v>
      </c>
      <c r="FH27">
        <f t="shared" si="72"/>
        <v>1</v>
      </c>
      <c r="FI27">
        <f t="shared" si="73"/>
        <v>1</v>
      </c>
      <c r="FJ27">
        <f t="shared" si="74"/>
        <v>1</v>
      </c>
      <c r="FK27">
        <f t="shared" si="75"/>
        <v>1</v>
      </c>
      <c r="FL27">
        <f t="shared" si="76"/>
        <v>1</v>
      </c>
      <c r="FM27">
        <f t="shared" si="77"/>
        <v>1</v>
      </c>
      <c r="FN27">
        <f t="shared" si="78"/>
        <v>1</v>
      </c>
      <c r="FO27">
        <f t="shared" si="79"/>
        <v>1</v>
      </c>
      <c r="FP27">
        <f t="shared" si="80"/>
        <v>1</v>
      </c>
      <c r="FQ27">
        <f t="shared" si="81"/>
        <v>1</v>
      </c>
      <c r="FR27">
        <f t="shared" si="82"/>
        <v>1</v>
      </c>
      <c r="FT27" s="219">
        <f>Klimaatdata!$D$7*ET27*FG27*$ER27*$G27*0.75</f>
        <v>0</v>
      </c>
      <c r="FU27" s="219">
        <f>Klimaatdata!$E$7*EU27*FH27*$ER27*$G27*0.75</f>
        <v>0</v>
      </c>
      <c r="FV27" s="219">
        <f>Klimaatdata!$F$7*EV27*FI27*$ER27*$G27*0.75</f>
        <v>0</v>
      </c>
      <c r="FW27" s="219">
        <f>Klimaatdata!$G$7*EW27*FJ27*$ER27*$G27*0.75</f>
        <v>0</v>
      </c>
      <c r="FX27" s="219">
        <f>Klimaatdata!$H$7*EX27*FK27*$ER27*$G27*0.75</f>
        <v>0</v>
      </c>
      <c r="FY27" s="219">
        <f>Klimaatdata!$I$7*EY27*FL27*$ER27*$G27*0.75</f>
        <v>0</v>
      </c>
      <c r="FZ27" s="219">
        <f>Klimaatdata!$J$7*EZ27*FM27*$ER27*$G27*0.75</f>
        <v>0</v>
      </c>
      <c r="GA27" s="219">
        <f>Klimaatdata!$K$7*FA27*FN27*$ER27*$G27*0.75</f>
        <v>0</v>
      </c>
      <c r="GB27" s="219">
        <f>Klimaatdata!$L$7*FB27*FO27*$ER27*$G27*0.75</f>
        <v>0</v>
      </c>
      <c r="GC27" s="219">
        <f>Klimaatdata!$M$7*FC27*FP27*$ER27*$G27*0.75</f>
        <v>0</v>
      </c>
      <c r="GD27" s="219">
        <f>Klimaatdata!$N$7*FD27*FQ27*$ER27*$G27*0.75</f>
        <v>0</v>
      </c>
      <c r="GE27" s="219">
        <f>Klimaatdata!$O$7*FE27*FR27*$ER27*$G27*0.75</f>
        <v>0</v>
      </c>
      <c r="GG27">
        <f t="shared" si="43"/>
        <v>0</v>
      </c>
      <c r="GH27">
        <f t="shared" si="44"/>
        <v>0</v>
      </c>
      <c r="GI27">
        <f t="shared" si="83"/>
        <v>0</v>
      </c>
      <c r="GJ27">
        <f t="shared" si="84"/>
        <v>0</v>
      </c>
      <c r="GK27">
        <f t="shared" si="85"/>
        <v>0</v>
      </c>
      <c r="GL27">
        <f t="shared" si="86"/>
        <v>0</v>
      </c>
      <c r="GM27">
        <f t="shared" si="87"/>
        <v>0</v>
      </c>
      <c r="GN27">
        <f t="shared" si="88"/>
        <v>0</v>
      </c>
      <c r="GO27">
        <f>'Invoer Gebouwschil'!Q27</f>
        <v>0</v>
      </c>
      <c r="GP27">
        <f t="shared" si="89"/>
        <v>0</v>
      </c>
      <c r="GR27">
        <f t="shared" si="90"/>
        <v>1</v>
      </c>
      <c r="GS27">
        <f t="shared" si="91"/>
        <v>0</v>
      </c>
      <c r="GT27">
        <f t="shared" si="92"/>
        <v>0</v>
      </c>
      <c r="GU27">
        <f t="shared" si="93"/>
        <v>0</v>
      </c>
      <c r="GV27">
        <f t="shared" si="94"/>
        <v>0</v>
      </c>
      <c r="GW27">
        <f t="shared" si="95"/>
        <v>0</v>
      </c>
      <c r="GX27">
        <f t="shared" si="96"/>
        <v>0</v>
      </c>
      <c r="GZ27" s="12">
        <f t="shared" si="59"/>
        <v>0</v>
      </c>
      <c r="HA27" s="13">
        <f t="shared" si="60"/>
        <v>0</v>
      </c>
      <c r="HB27" s="13">
        <f t="shared" si="61"/>
        <v>0</v>
      </c>
      <c r="HC27" s="14">
        <f t="shared" si="62"/>
        <v>0</v>
      </c>
      <c r="HE27" s="12">
        <f t="shared" si="63"/>
        <v>0</v>
      </c>
      <c r="HF27" s="13">
        <f t="shared" si="64"/>
        <v>0</v>
      </c>
      <c r="HG27" s="13">
        <f t="shared" si="65"/>
        <v>0</v>
      </c>
      <c r="HH27" s="14">
        <f t="shared" si="66"/>
        <v>0</v>
      </c>
    </row>
    <row r="28" spans="1:216" x14ac:dyDescent="0.2">
      <c r="A28">
        <v>1</v>
      </c>
      <c r="B28">
        <v>1</v>
      </c>
      <c r="C28">
        <v>1</v>
      </c>
      <c r="D28">
        <f>'Invoer Gebouwschil'!D28</f>
        <v>0</v>
      </c>
      <c r="E28">
        <v>1</v>
      </c>
      <c r="F28">
        <v>1</v>
      </c>
      <c r="G28">
        <f>'Invoer Gebouwschil'!H28</f>
        <v>0</v>
      </c>
      <c r="H28">
        <v>1</v>
      </c>
      <c r="I28">
        <v>1</v>
      </c>
      <c r="K28" s="89">
        <f>INDEX('Verwerking Bouwdelen'!$AZ$79:$AZ$103,'Verwerking Bouwdelen'!E28)</f>
        <v>0</v>
      </c>
      <c r="L28" s="89">
        <v>0.13</v>
      </c>
      <c r="M28" s="89">
        <f t="shared" si="14"/>
        <v>0</v>
      </c>
      <c r="N28" s="89">
        <f>IF(F28=6,1/((1/1/(L29+M29+'Invoer Gebouwschil'!F28))+5),1/(L28+M28+'Invoer Gebouwschil'!F28))</f>
        <v>7.6923076923076916</v>
      </c>
      <c r="O28" s="89">
        <v>0.1</v>
      </c>
      <c r="P28" s="28">
        <f t="shared" si="15"/>
        <v>1</v>
      </c>
      <c r="Q28" s="89">
        <f t="shared" si="0"/>
        <v>0</v>
      </c>
      <c r="R28" s="89">
        <v>19</v>
      </c>
      <c r="S28" s="89"/>
      <c r="T28" s="89">
        <f>$Q28*($R28-Klimaatdata!$B$7)*2.63</f>
        <v>0</v>
      </c>
      <c r="U28" s="89">
        <f>$Q28*($R28-Klimaatdata!$B$8)*2.63</f>
        <v>0</v>
      </c>
      <c r="V28" s="89">
        <f>$Q28*($R28-Klimaatdata!$B$9)*2.63</f>
        <v>0</v>
      </c>
      <c r="W28" s="89">
        <f>$Q28*($R28-Klimaatdata!$B$10)*2.63</f>
        <v>0</v>
      </c>
      <c r="X28" s="89">
        <f>$Q28*($R28-Klimaatdata!$B$11)*2.63</f>
        <v>0</v>
      </c>
      <c r="Y28" s="89">
        <f>$Q28*($R28-Klimaatdata!$B$12)*2.63</f>
        <v>0</v>
      </c>
      <c r="Z28" s="89">
        <f>$Q28*($R28-Klimaatdata!$B$13)*2.63</f>
        <v>0</v>
      </c>
      <c r="AA28" s="89">
        <f>$Q28*($R28-Klimaatdata!$B$14)*2.63</f>
        <v>0</v>
      </c>
      <c r="AB28" s="89">
        <f>$Q28*($R28-Klimaatdata!$B$15)*2.63</f>
        <v>0</v>
      </c>
      <c r="AC28" s="89">
        <f>$Q28*($R28-Klimaatdata!$B$16)*2.63</f>
        <v>0</v>
      </c>
      <c r="AD28" s="89">
        <f>$Q28*($R28-Klimaatdata!$B$17)*2.63</f>
        <v>0</v>
      </c>
      <c r="AE28" s="89">
        <f>$Q28*($R28-Klimaatdata!$B$18)*2.63</f>
        <v>0</v>
      </c>
      <c r="AF28" s="89"/>
      <c r="AG28" s="205">
        <f t="shared" si="16"/>
        <v>0</v>
      </c>
      <c r="AH28" s="25">
        <f t="shared" si="17"/>
        <v>0</v>
      </c>
      <c r="AI28" s="25">
        <f t="shared" si="18"/>
        <v>0</v>
      </c>
      <c r="AJ28" s="206">
        <f t="shared" si="19"/>
        <v>0</v>
      </c>
      <c r="AK28" s="25"/>
      <c r="AL28" s="89">
        <f t="shared" si="20"/>
        <v>1</v>
      </c>
      <c r="AM28" s="89">
        <f t="shared" si="21"/>
        <v>0</v>
      </c>
      <c r="AN28" s="89">
        <f t="shared" si="22"/>
        <v>0</v>
      </c>
      <c r="AO28" s="89">
        <f t="shared" si="23"/>
        <v>0</v>
      </c>
      <c r="AP28" s="89">
        <v>0.1</v>
      </c>
      <c r="AQ28" s="28">
        <v>1</v>
      </c>
      <c r="AR28" s="89">
        <f t="shared" si="1"/>
        <v>0</v>
      </c>
      <c r="AS28" s="89">
        <v>19</v>
      </c>
      <c r="AT28" s="89"/>
      <c r="AU28" s="89">
        <f>$AR28*($R28-Klimaatdata!$B$7)*2.63</f>
        <v>0</v>
      </c>
      <c r="AV28" s="89">
        <f>$AR28*($R28-Klimaatdata!$B$8)*2.63</f>
        <v>0</v>
      </c>
      <c r="AW28" s="89">
        <f>$AR28*($R28-Klimaatdata!$B$9)*2.63</f>
        <v>0</v>
      </c>
      <c r="AX28" s="89">
        <f>$AR28*($R28-Klimaatdata!$B$10)*2.63</f>
        <v>0</v>
      </c>
      <c r="AY28" s="89">
        <f>$AR28*($R28-Klimaatdata!$B$11)*2.63</f>
        <v>0</v>
      </c>
      <c r="AZ28" s="89">
        <f>$AR28*($R28-Klimaatdata!$B$12)*2.63</f>
        <v>0</v>
      </c>
      <c r="BA28" s="89">
        <f>$AR28*($R28-Klimaatdata!$B$13)*2.63</f>
        <v>0</v>
      </c>
      <c r="BB28" s="89">
        <f>$AR28*($R28-Klimaatdata!$B$14)*2.63</f>
        <v>0</v>
      </c>
      <c r="BC28" s="89">
        <f>$AR28*($R28-Klimaatdata!$B$15)*2.63</f>
        <v>0</v>
      </c>
      <c r="BD28" s="89">
        <f>$AR28*($R28-Klimaatdata!$B$16)*2.63</f>
        <v>0</v>
      </c>
      <c r="BE28" s="89">
        <f>$AR28*($R28-Klimaatdata!$B$17)*2.63</f>
        <v>0</v>
      </c>
      <c r="BF28" s="89">
        <f>$AR28*($R28-Klimaatdata!$B$18)*2.63</f>
        <v>0</v>
      </c>
      <c r="BG28" s="25"/>
      <c r="BH28" s="89">
        <f>INDEX('Verwerking Bouwdelen'!$Y$106:$Y$130,H28)</f>
        <v>0</v>
      </c>
      <c r="BI28" s="89"/>
      <c r="BJ28" s="89">
        <f>INDEX(Klimaatdata!$B$27:$K$38,1,$B28)</f>
        <v>0</v>
      </c>
      <c r="BK28" s="89">
        <f>INDEX(Klimaatdata!$B$27:$K$38,2,$B28)</f>
        <v>0</v>
      </c>
      <c r="BL28" s="89">
        <f>INDEX(Klimaatdata!$B$27:$K$38,3,$B28)</f>
        <v>0</v>
      </c>
      <c r="BM28" s="89">
        <f>INDEX(Klimaatdata!$B$27:$K$38,4,$B28)</f>
        <v>0</v>
      </c>
      <c r="BN28" s="89">
        <f>INDEX(Klimaatdata!$B$27:$K$38,5,$B28)</f>
        <v>0</v>
      </c>
      <c r="BO28" s="89">
        <f>INDEX(Klimaatdata!$B$27:$K$38,6,$B28)</f>
        <v>0</v>
      </c>
      <c r="BP28" s="89">
        <f>INDEX(Klimaatdata!$B$27:$K$38,7,$B28)</f>
        <v>0</v>
      </c>
      <c r="BQ28" s="89">
        <f>INDEX(Klimaatdata!$B$27:$K$38,8,$B28)</f>
        <v>0</v>
      </c>
      <c r="BR28" s="89">
        <f>INDEX(Klimaatdata!$B$27:$K$38,9,$B28)</f>
        <v>0</v>
      </c>
      <c r="BS28" s="89">
        <f>INDEX(Klimaatdata!$B$27:$K$38,10,$B28)</f>
        <v>0</v>
      </c>
      <c r="BT28" s="89">
        <f>INDEX(Klimaatdata!$B$27:$K$38,11,$B28)</f>
        <v>0</v>
      </c>
      <c r="BU28" s="89">
        <f>INDEX(Klimaatdata!$B$27:$K$38,12,$B28)</f>
        <v>0</v>
      </c>
      <c r="BW28">
        <f t="shared" si="2"/>
        <v>1</v>
      </c>
      <c r="BX28">
        <f t="shared" si="3"/>
        <v>1</v>
      </c>
      <c r="BY28">
        <f t="shared" si="4"/>
        <v>1</v>
      </c>
      <c r="BZ28">
        <f t="shared" si="5"/>
        <v>1</v>
      </c>
      <c r="CA28">
        <f t="shared" si="6"/>
        <v>1</v>
      </c>
      <c r="CB28">
        <f t="shared" si="7"/>
        <v>1</v>
      </c>
      <c r="CC28">
        <f t="shared" si="8"/>
        <v>1</v>
      </c>
      <c r="CD28">
        <f t="shared" si="9"/>
        <v>1</v>
      </c>
      <c r="CE28">
        <f t="shared" si="10"/>
        <v>1</v>
      </c>
      <c r="CF28">
        <f t="shared" si="11"/>
        <v>1</v>
      </c>
      <c r="CG28">
        <f t="shared" si="12"/>
        <v>1</v>
      </c>
      <c r="CH28">
        <f t="shared" si="13"/>
        <v>1</v>
      </c>
      <c r="CJ28" s="219">
        <f>Klimaatdata!$D$7*BJ28*BW28*$BH28*$G28*0.75</f>
        <v>0</v>
      </c>
      <c r="CK28" s="219">
        <f>Klimaatdata!$E$7*BK28*BX28*$BH28*$G28*0.75</f>
        <v>0</v>
      </c>
      <c r="CL28" s="219">
        <f>Klimaatdata!$F$7*BL28*BY28*$BH28*$G28*0.75</f>
        <v>0</v>
      </c>
      <c r="CM28" s="219">
        <f>Klimaatdata!$G$7*BM28*BZ28*$BH28*$G28*0.75</f>
        <v>0</v>
      </c>
      <c r="CN28" s="219">
        <f>Klimaatdata!$H$7*BN28*CA28*$BH28*$G28*0.75</f>
        <v>0</v>
      </c>
      <c r="CO28" s="219">
        <f>Klimaatdata!$I$7*BO28*CB28*$BH28*$G28*0.75</f>
        <v>0</v>
      </c>
      <c r="CP28" s="219">
        <f>Klimaatdata!$J$7*BP28*CC28*$BH28*$G28*0.75</f>
        <v>0</v>
      </c>
      <c r="CQ28" s="219">
        <f>Klimaatdata!$K$7*BQ28*CD28*$BH28*$G28*0.75</f>
        <v>0</v>
      </c>
      <c r="CR28" s="219">
        <f>Klimaatdata!$L$7*BR28*CE28*$BH28*$G28*0.75</f>
        <v>0</v>
      </c>
      <c r="CS28" s="219">
        <f>Klimaatdata!$M$7*BS28*CF28*$BH28*$G28*0.75</f>
        <v>0</v>
      </c>
      <c r="CT28" s="219">
        <f>Klimaatdata!$N$7*BT28*CG28*$BH28*$G28*0.75</f>
        <v>0</v>
      </c>
      <c r="CU28" s="219">
        <f>Klimaatdata!$O$7*BU28*CH28*$BH28*$G28*0.75</f>
        <v>0</v>
      </c>
      <c r="CX28">
        <v>1</v>
      </c>
      <c r="CY28">
        <v>1</v>
      </c>
      <c r="CZ28">
        <v>1</v>
      </c>
      <c r="DA28">
        <f>'Invoer Gebouwschil'!Q28</f>
        <v>0</v>
      </c>
      <c r="DC28" s="89">
        <f t="shared" si="24"/>
        <v>0</v>
      </c>
      <c r="DD28" s="89">
        <v>0.13</v>
      </c>
      <c r="DE28" s="89">
        <f t="shared" si="25"/>
        <v>0</v>
      </c>
      <c r="DF28" s="89">
        <f>IF(F28=6,1/((1/1/(DD28+DE28+'Invoer Gebouwschil'!M28))+5),1/(DD28+DE28+'Invoer Gebouwschil'!M28))</f>
        <v>7.6923076923076916</v>
      </c>
      <c r="DG28" s="89">
        <v>0.1</v>
      </c>
      <c r="DH28" s="28">
        <f t="shared" si="67"/>
        <v>1</v>
      </c>
      <c r="DI28" s="89">
        <f t="shared" si="68"/>
        <v>0</v>
      </c>
      <c r="DJ28" s="89">
        <v>19</v>
      </c>
      <c r="DK28" s="89"/>
      <c r="DL28" s="89">
        <f>$DI28*($R28-Klimaatdata!$B$7)*2.63</f>
        <v>0</v>
      </c>
      <c r="DM28" s="89">
        <f>$DI28*($R28-Klimaatdata!$B$8)*2.63</f>
        <v>0</v>
      </c>
      <c r="DN28" s="89">
        <f>$DI28*($R28-Klimaatdata!$B$9)*2.63</f>
        <v>0</v>
      </c>
      <c r="DO28" s="89">
        <f>$DI28*($R28-Klimaatdata!$B$10)*2.63</f>
        <v>0</v>
      </c>
      <c r="DP28" s="89">
        <f>$DI28*($R28-Klimaatdata!$B$11)*2.63</f>
        <v>0</v>
      </c>
      <c r="DQ28" s="89">
        <f>$DI28*($R28-Klimaatdata!$B$12)*2.63</f>
        <v>0</v>
      </c>
      <c r="DR28" s="89">
        <f>$DI28*($R28-Klimaatdata!$B$13)*2.63</f>
        <v>0</v>
      </c>
      <c r="DS28" s="89">
        <f>$DI28*($R28-Klimaatdata!$B$14)*2.63</f>
        <v>0</v>
      </c>
      <c r="DT28" s="89">
        <f>$DI28*($R28-Klimaatdata!$B$15)*2.63</f>
        <v>0</v>
      </c>
      <c r="DU28" s="89">
        <f>$DI28*($R28-Klimaatdata!$B$16)*2.63</f>
        <v>0</v>
      </c>
      <c r="DV28" s="89">
        <f>$DI28*($R28-Klimaatdata!$B$17)*2.63</f>
        <v>0</v>
      </c>
      <c r="DW28" s="89">
        <f>$DI28*($R28-Klimaatdata!$B$18)*2.63</f>
        <v>0</v>
      </c>
      <c r="DX28" s="89"/>
      <c r="DY28" s="89">
        <f t="shared" si="69"/>
        <v>0</v>
      </c>
      <c r="DZ28" s="89">
        <v>0.1</v>
      </c>
      <c r="EA28" s="28">
        <v>1</v>
      </c>
      <c r="EB28" s="89">
        <f t="shared" si="70"/>
        <v>0</v>
      </c>
      <c r="EC28" s="89">
        <v>19</v>
      </c>
      <c r="ED28" s="89"/>
      <c r="EE28" s="89">
        <f>$EB28*($R28-Klimaatdata!$B$7)*2.63</f>
        <v>0</v>
      </c>
      <c r="EF28" s="89">
        <f>$EB28*($R28-Klimaatdata!$B$8)*2.63</f>
        <v>0</v>
      </c>
      <c r="EG28" s="89">
        <f>$EB28*($R28-Klimaatdata!$B$9)*2.63</f>
        <v>0</v>
      </c>
      <c r="EH28" s="89">
        <f>$EB28*($R28-Klimaatdata!$B$10)*2.63</f>
        <v>0</v>
      </c>
      <c r="EI28" s="89">
        <f>$EB28*($R28-Klimaatdata!$B$11)*2.63</f>
        <v>0</v>
      </c>
      <c r="EJ28" s="89">
        <f>$EB28*($R28-Klimaatdata!$B$12)*2.63</f>
        <v>0</v>
      </c>
      <c r="EK28" s="89">
        <f>$EB28*($R28-Klimaatdata!$B$13)*2.63</f>
        <v>0</v>
      </c>
      <c r="EL28" s="89">
        <f>$EB28*($R28-Klimaatdata!$B$14)*2.63</f>
        <v>0</v>
      </c>
      <c r="EM28" s="89">
        <f>$EB28*($R28-Klimaatdata!$B$15)*2.63</f>
        <v>0</v>
      </c>
      <c r="EN28" s="89">
        <f>$EB28*($R28-Klimaatdata!$B$16)*2.63</f>
        <v>0</v>
      </c>
      <c r="EO28" s="89">
        <f>$EB28*($R28-Klimaatdata!$B$17)*2.63</f>
        <v>0</v>
      </c>
      <c r="EP28" s="89">
        <f>$EB28*($R28-Klimaatdata!$B$18)*2.63</f>
        <v>0</v>
      </c>
      <c r="EQ28" s="25"/>
      <c r="ER28" s="89">
        <f t="shared" si="30"/>
        <v>0</v>
      </c>
      <c r="ES28" s="89"/>
      <c r="ET28" s="89">
        <f>INDEX(Klimaatdata!$B$27:$K$38,1,$B28)</f>
        <v>0</v>
      </c>
      <c r="EU28" s="89">
        <f>INDEX(Klimaatdata!$B$27:$K$38,2,$B28)</f>
        <v>0</v>
      </c>
      <c r="EV28" s="89">
        <f>INDEX(Klimaatdata!$B$27:$K$38,3,$B28)</f>
        <v>0</v>
      </c>
      <c r="EW28" s="89">
        <f>INDEX(Klimaatdata!$B$27:$K$38,4,$B28)</f>
        <v>0</v>
      </c>
      <c r="EX28" s="89">
        <f>INDEX(Klimaatdata!$B$27:$K$38,5,$B28)</f>
        <v>0</v>
      </c>
      <c r="EY28" s="89">
        <f>INDEX(Klimaatdata!$B$27:$K$38,6,$B28)</f>
        <v>0</v>
      </c>
      <c r="EZ28" s="89">
        <f>INDEX(Klimaatdata!$B$27:$K$38,7,$B28)</f>
        <v>0</v>
      </c>
      <c r="FA28" s="89">
        <f>INDEX(Klimaatdata!$B$27:$K$38,8,$B28)</f>
        <v>0</v>
      </c>
      <c r="FB28" s="89">
        <f>INDEX(Klimaatdata!$B$27:$K$38,9,$B28)</f>
        <v>0</v>
      </c>
      <c r="FC28" s="89">
        <f>INDEX(Klimaatdata!$B$27:$K$38,10,$B28)</f>
        <v>0</v>
      </c>
      <c r="FD28" s="89">
        <f>INDEX(Klimaatdata!$B$27:$K$38,11,$B28)</f>
        <v>0</v>
      </c>
      <c r="FE28" s="89">
        <f>INDEX(Klimaatdata!$B$27:$K$38,12,$B28)</f>
        <v>0</v>
      </c>
      <c r="FG28">
        <f t="shared" si="71"/>
        <v>1</v>
      </c>
      <c r="FH28">
        <f t="shared" si="72"/>
        <v>1</v>
      </c>
      <c r="FI28">
        <f t="shared" si="73"/>
        <v>1</v>
      </c>
      <c r="FJ28">
        <f t="shared" si="74"/>
        <v>1</v>
      </c>
      <c r="FK28">
        <f t="shared" si="75"/>
        <v>1</v>
      </c>
      <c r="FL28">
        <f t="shared" si="76"/>
        <v>1</v>
      </c>
      <c r="FM28">
        <f t="shared" si="77"/>
        <v>1</v>
      </c>
      <c r="FN28">
        <f t="shared" si="78"/>
        <v>1</v>
      </c>
      <c r="FO28">
        <f t="shared" si="79"/>
        <v>1</v>
      </c>
      <c r="FP28">
        <f t="shared" si="80"/>
        <v>1</v>
      </c>
      <c r="FQ28">
        <f t="shared" si="81"/>
        <v>1</v>
      </c>
      <c r="FR28">
        <f t="shared" si="82"/>
        <v>1</v>
      </c>
      <c r="FT28" s="219">
        <f>Klimaatdata!$D$7*ET28*FG28*$ER28*$G28*0.75</f>
        <v>0</v>
      </c>
      <c r="FU28" s="219">
        <f>Klimaatdata!$E$7*EU28*FH28*$ER28*$G28*0.75</f>
        <v>0</v>
      </c>
      <c r="FV28" s="219">
        <f>Klimaatdata!$F$7*EV28*FI28*$ER28*$G28*0.75</f>
        <v>0</v>
      </c>
      <c r="FW28" s="219">
        <f>Klimaatdata!$G$7*EW28*FJ28*$ER28*$G28*0.75</f>
        <v>0</v>
      </c>
      <c r="FX28" s="219">
        <f>Klimaatdata!$H$7*EX28*FK28*$ER28*$G28*0.75</f>
        <v>0</v>
      </c>
      <c r="FY28" s="219">
        <f>Klimaatdata!$I$7*EY28*FL28*$ER28*$G28*0.75</f>
        <v>0</v>
      </c>
      <c r="FZ28" s="219">
        <f>Klimaatdata!$J$7*EZ28*FM28*$ER28*$G28*0.75</f>
        <v>0</v>
      </c>
      <c r="GA28" s="219">
        <f>Klimaatdata!$K$7*FA28*FN28*$ER28*$G28*0.75</f>
        <v>0</v>
      </c>
      <c r="GB28" s="219">
        <f>Klimaatdata!$L$7*FB28*FO28*$ER28*$G28*0.75</f>
        <v>0</v>
      </c>
      <c r="GC28" s="219">
        <f>Klimaatdata!$M$7*FC28*FP28*$ER28*$G28*0.75</f>
        <v>0</v>
      </c>
      <c r="GD28" s="219">
        <f>Klimaatdata!$N$7*FD28*FQ28*$ER28*$G28*0.75</f>
        <v>0</v>
      </c>
      <c r="GE28" s="219">
        <f>Klimaatdata!$O$7*FE28*FR28*$ER28*$G28*0.75</f>
        <v>0</v>
      </c>
      <c r="GG28">
        <f t="shared" si="43"/>
        <v>0</v>
      </c>
      <c r="GH28">
        <f t="shared" si="44"/>
        <v>0</v>
      </c>
      <c r="GI28">
        <f t="shared" si="83"/>
        <v>0</v>
      </c>
      <c r="GJ28">
        <f t="shared" si="84"/>
        <v>0</v>
      </c>
      <c r="GK28">
        <f t="shared" si="85"/>
        <v>0</v>
      </c>
      <c r="GL28">
        <f t="shared" si="86"/>
        <v>0</v>
      </c>
      <c r="GM28">
        <f t="shared" si="87"/>
        <v>0</v>
      </c>
      <c r="GN28">
        <f t="shared" si="88"/>
        <v>0</v>
      </c>
      <c r="GO28">
        <f>'Invoer Gebouwschil'!Q28</f>
        <v>0</v>
      </c>
      <c r="GP28">
        <f t="shared" si="89"/>
        <v>0</v>
      </c>
      <c r="GR28">
        <f t="shared" si="90"/>
        <v>1</v>
      </c>
      <c r="GS28">
        <f t="shared" si="91"/>
        <v>0</v>
      </c>
      <c r="GT28">
        <f t="shared" si="92"/>
        <v>0</v>
      </c>
      <c r="GU28">
        <f t="shared" si="93"/>
        <v>0</v>
      </c>
      <c r="GV28">
        <f t="shared" si="94"/>
        <v>0</v>
      </c>
      <c r="GW28">
        <f t="shared" si="95"/>
        <v>0</v>
      </c>
      <c r="GX28">
        <f t="shared" si="96"/>
        <v>0</v>
      </c>
      <c r="GZ28" s="12">
        <f t="shared" si="59"/>
        <v>0</v>
      </c>
      <c r="HA28" s="13">
        <f t="shared" si="60"/>
        <v>0</v>
      </c>
      <c r="HB28" s="13">
        <f t="shared" si="61"/>
        <v>0</v>
      </c>
      <c r="HC28" s="14">
        <f t="shared" si="62"/>
        <v>0</v>
      </c>
      <c r="HE28" s="12">
        <f t="shared" si="63"/>
        <v>0</v>
      </c>
      <c r="HF28" s="13">
        <f t="shared" si="64"/>
        <v>0</v>
      </c>
      <c r="HG28" s="13">
        <f t="shared" si="65"/>
        <v>0</v>
      </c>
      <c r="HH28" s="14">
        <f t="shared" si="66"/>
        <v>0</v>
      </c>
    </row>
    <row r="29" spans="1:216" x14ac:dyDescent="0.2">
      <c r="A29">
        <v>1</v>
      </c>
      <c r="B29">
        <v>1</v>
      </c>
      <c r="C29">
        <v>1</v>
      </c>
      <c r="D29">
        <f>'Invoer Gebouwschil'!D29</f>
        <v>0</v>
      </c>
      <c r="E29">
        <v>1</v>
      </c>
      <c r="F29">
        <v>1</v>
      </c>
      <c r="G29">
        <f>'Invoer Gebouwschil'!H29</f>
        <v>0</v>
      </c>
      <c r="H29">
        <v>1</v>
      </c>
      <c r="I29">
        <v>1</v>
      </c>
      <c r="K29" s="89">
        <f>INDEX('Verwerking Bouwdelen'!$BB$79:$BB$103,'Verwerking Bouwdelen'!E29)</f>
        <v>0</v>
      </c>
      <c r="L29" s="89">
        <v>0.13</v>
      </c>
      <c r="M29" s="89">
        <f t="shared" si="14"/>
        <v>0</v>
      </c>
      <c r="N29" s="89">
        <f>IF(F29=6,1/((1/1/(L30+M30+'Invoer Gebouwschil'!F29))+5),1/(L29+M29+'Invoer Gebouwschil'!F29))</f>
        <v>7.6923076923076916</v>
      </c>
      <c r="O29" s="89">
        <v>0.1</v>
      </c>
      <c r="P29" s="28">
        <f t="shared" si="15"/>
        <v>1</v>
      </c>
      <c r="Q29" s="89">
        <f t="shared" si="0"/>
        <v>0</v>
      </c>
      <c r="R29" s="89">
        <v>19</v>
      </c>
      <c r="S29" s="89"/>
      <c r="T29" s="89">
        <f>$Q29*($R29-Klimaatdata!$B$7)*2.63</f>
        <v>0</v>
      </c>
      <c r="U29" s="89">
        <f>$Q29*($R29-Klimaatdata!$B$8)*2.63</f>
        <v>0</v>
      </c>
      <c r="V29" s="89">
        <f>$Q29*($R29-Klimaatdata!$B$9)*2.63</f>
        <v>0</v>
      </c>
      <c r="W29" s="89">
        <f>$Q29*($R29-Klimaatdata!$B$10)*2.63</f>
        <v>0</v>
      </c>
      <c r="X29" s="89">
        <f>$Q29*($R29-Klimaatdata!$B$11)*2.63</f>
        <v>0</v>
      </c>
      <c r="Y29" s="89">
        <f>$Q29*($R29-Klimaatdata!$B$12)*2.63</f>
        <v>0</v>
      </c>
      <c r="Z29" s="89">
        <f>$Q29*($R29-Klimaatdata!$B$13)*2.63</f>
        <v>0</v>
      </c>
      <c r="AA29" s="89">
        <f>$Q29*($R29-Klimaatdata!$B$14)*2.63</f>
        <v>0</v>
      </c>
      <c r="AB29" s="89">
        <f>$Q29*($R29-Klimaatdata!$B$15)*2.63</f>
        <v>0</v>
      </c>
      <c r="AC29" s="89">
        <f>$Q29*($R29-Klimaatdata!$B$16)*2.63</f>
        <v>0</v>
      </c>
      <c r="AD29" s="89">
        <f>$Q29*($R29-Klimaatdata!$B$17)*2.63</f>
        <v>0</v>
      </c>
      <c r="AE29" s="89">
        <f>$Q29*($R29-Klimaatdata!$B$18)*2.63</f>
        <v>0</v>
      </c>
      <c r="AF29" s="89"/>
      <c r="AG29" s="205">
        <f t="shared" si="16"/>
        <v>0</v>
      </c>
      <c r="AH29" s="25">
        <f t="shared" si="17"/>
        <v>0</v>
      </c>
      <c r="AI29" s="25">
        <f t="shared" si="18"/>
        <v>0</v>
      </c>
      <c r="AJ29" s="206">
        <f t="shared" si="19"/>
        <v>0</v>
      </c>
      <c r="AK29" s="25"/>
      <c r="AL29" s="89">
        <f t="shared" si="20"/>
        <v>1</v>
      </c>
      <c r="AM29" s="89">
        <f t="shared" si="21"/>
        <v>0</v>
      </c>
      <c r="AN29" s="89">
        <f t="shared" si="22"/>
        <v>0</v>
      </c>
      <c r="AO29" s="89">
        <f t="shared" si="23"/>
        <v>0</v>
      </c>
      <c r="AP29" s="89">
        <v>0.1</v>
      </c>
      <c r="AQ29" s="28">
        <v>1</v>
      </c>
      <c r="AR29" s="89">
        <f t="shared" si="1"/>
        <v>0</v>
      </c>
      <c r="AS29" s="89">
        <v>19</v>
      </c>
      <c r="AT29" s="89"/>
      <c r="AU29" s="89">
        <f>$AR29*($R29-Klimaatdata!$B$7)*2.63</f>
        <v>0</v>
      </c>
      <c r="AV29" s="89">
        <f>$AR29*($R29-Klimaatdata!$B$8)*2.63</f>
        <v>0</v>
      </c>
      <c r="AW29" s="89">
        <f>$AR29*($R29-Klimaatdata!$B$9)*2.63</f>
        <v>0</v>
      </c>
      <c r="AX29" s="89">
        <f>$AR29*($R29-Klimaatdata!$B$10)*2.63</f>
        <v>0</v>
      </c>
      <c r="AY29" s="89">
        <f>$AR29*($R29-Klimaatdata!$B$11)*2.63</f>
        <v>0</v>
      </c>
      <c r="AZ29" s="89">
        <f>$AR29*($R29-Klimaatdata!$B$12)*2.63</f>
        <v>0</v>
      </c>
      <c r="BA29" s="89">
        <f>$AR29*($R29-Klimaatdata!$B$13)*2.63</f>
        <v>0</v>
      </c>
      <c r="BB29" s="89">
        <f>$AR29*($R29-Klimaatdata!$B$14)*2.63</f>
        <v>0</v>
      </c>
      <c r="BC29" s="89">
        <f>$AR29*($R29-Klimaatdata!$B$15)*2.63</f>
        <v>0</v>
      </c>
      <c r="BD29" s="89">
        <f>$AR29*($R29-Klimaatdata!$B$16)*2.63</f>
        <v>0</v>
      </c>
      <c r="BE29" s="89">
        <f>$AR29*($R29-Klimaatdata!$B$17)*2.63</f>
        <v>0</v>
      </c>
      <c r="BF29" s="89">
        <f>$AR29*($R29-Klimaatdata!$B$18)*2.63</f>
        <v>0</v>
      </c>
      <c r="BG29" s="25"/>
      <c r="BH29" s="89">
        <f>INDEX('Verwerking Bouwdelen'!$Y$106:$Y$130,H29)</f>
        <v>0</v>
      </c>
      <c r="BI29" s="89"/>
      <c r="BJ29" s="89">
        <f>INDEX(Klimaatdata!$B$27:$K$38,1,$B29)</f>
        <v>0</v>
      </c>
      <c r="BK29" s="89">
        <f>INDEX(Klimaatdata!$B$27:$K$38,2,$B29)</f>
        <v>0</v>
      </c>
      <c r="BL29" s="89">
        <f>INDEX(Klimaatdata!$B$27:$K$38,3,$B29)</f>
        <v>0</v>
      </c>
      <c r="BM29" s="89">
        <f>INDEX(Klimaatdata!$B$27:$K$38,4,$B29)</f>
        <v>0</v>
      </c>
      <c r="BN29" s="89">
        <f>INDEX(Klimaatdata!$B$27:$K$38,5,$B29)</f>
        <v>0</v>
      </c>
      <c r="BO29" s="89">
        <f>INDEX(Klimaatdata!$B$27:$K$38,6,$B29)</f>
        <v>0</v>
      </c>
      <c r="BP29" s="89">
        <f>INDEX(Klimaatdata!$B$27:$K$38,7,$B29)</f>
        <v>0</v>
      </c>
      <c r="BQ29" s="89">
        <f>INDEX(Klimaatdata!$B$27:$K$38,8,$B29)</f>
        <v>0</v>
      </c>
      <c r="BR29" s="89">
        <f>INDEX(Klimaatdata!$B$27:$K$38,9,$B29)</f>
        <v>0</v>
      </c>
      <c r="BS29" s="89">
        <f>INDEX(Klimaatdata!$B$27:$K$38,10,$B29)</f>
        <v>0</v>
      </c>
      <c r="BT29" s="89">
        <f>INDEX(Klimaatdata!$B$27:$K$38,11,$B29)</f>
        <v>0</v>
      </c>
      <c r="BU29" s="89">
        <f>INDEX(Klimaatdata!$B$27:$K$38,12,$B29)</f>
        <v>0</v>
      </c>
      <c r="BW29">
        <f t="shared" si="2"/>
        <v>1</v>
      </c>
      <c r="BX29">
        <f t="shared" si="3"/>
        <v>1</v>
      </c>
      <c r="BY29">
        <f t="shared" si="4"/>
        <v>1</v>
      </c>
      <c r="BZ29">
        <f t="shared" si="5"/>
        <v>1</v>
      </c>
      <c r="CA29">
        <f t="shared" si="6"/>
        <v>1</v>
      </c>
      <c r="CB29">
        <f t="shared" si="7"/>
        <v>1</v>
      </c>
      <c r="CC29">
        <f t="shared" si="8"/>
        <v>1</v>
      </c>
      <c r="CD29">
        <f t="shared" si="9"/>
        <v>1</v>
      </c>
      <c r="CE29">
        <f t="shared" si="10"/>
        <v>1</v>
      </c>
      <c r="CF29">
        <f t="shared" si="11"/>
        <v>1</v>
      </c>
      <c r="CG29">
        <f t="shared" si="12"/>
        <v>1</v>
      </c>
      <c r="CH29">
        <f t="shared" si="13"/>
        <v>1</v>
      </c>
      <c r="CJ29" s="219">
        <f>Klimaatdata!$D$7*BJ29*BW29*$BH29*$G29*0.75</f>
        <v>0</v>
      </c>
      <c r="CK29" s="219">
        <f>Klimaatdata!$E$7*BK29*BX29*$BH29*$G29*0.75</f>
        <v>0</v>
      </c>
      <c r="CL29" s="219">
        <f>Klimaatdata!$F$7*BL29*BY29*$BH29*$G29*0.75</f>
        <v>0</v>
      </c>
      <c r="CM29" s="219">
        <f>Klimaatdata!$G$7*BM29*BZ29*$BH29*$G29*0.75</f>
        <v>0</v>
      </c>
      <c r="CN29" s="219">
        <f>Klimaatdata!$H$7*BN29*CA29*$BH29*$G29*0.75</f>
        <v>0</v>
      </c>
      <c r="CO29" s="219">
        <f>Klimaatdata!$I$7*BO29*CB29*$BH29*$G29*0.75</f>
        <v>0</v>
      </c>
      <c r="CP29" s="219">
        <f>Klimaatdata!$J$7*BP29*CC29*$BH29*$G29*0.75</f>
        <v>0</v>
      </c>
      <c r="CQ29" s="219">
        <f>Klimaatdata!$K$7*BQ29*CD29*$BH29*$G29*0.75</f>
        <v>0</v>
      </c>
      <c r="CR29" s="219">
        <f>Klimaatdata!$L$7*BR29*CE29*$BH29*$G29*0.75</f>
        <v>0</v>
      </c>
      <c r="CS29" s="219">
        <f>Klimaatdata!$M$7*BS29*CF29*$BH29*$G29*0.75</f>
        <v>0</v>
      </c>
      <c r="CT29" s="219">
        <f>Klimaatdata!$N$7*BT29*CG29*$BH29*$G29*0.75</f>
        <v>0</v>
      </c>
      <c r="CU29" s="219">
        <f>Klimaatdata!$O$7*BU29*CH29*$BH29*$G29*0.75</f>
        <v>0</v>
      </c>
      <c r="CX29">
        <v>1</v>
      </c>
      <c r="CY29">
        <v>1</v>
      </c>
      <c r="CZ29">
        <v>1</v>
      </c>
      <c r="DA29">
        <f>'Invoer Gebouwschil'!Q29</f>
        <v>0</v>
      </c>
      <c r="DC29" s="89">
        <f t="shared" si="24"/>
        <v>0</v>
      </c>
      <c r="DD29" s="89">
        <v>0.13</v>
      </c>
      <c r="DE29" s="89">
        <f t="shared" si="25"/>
        <v>0</v>
      </c>
      <c r="DF29" s="89">
        <f>IF(F29=6,1/((1/1/(DD29+DE29+'Invoer Gebouwschil'!M29))+5),1/(DD29+DE29+'Invoer Gebouwschil'!M29))</f>
        <v>7.6923076923076916</v>
      </c>
      <c r="DG29" s="89">
        <v>0.1</v>
      </c>
      <c r="DH29" s="28">
        <f t="shared" si="67"/>
        <v>1</v>
      </c>
      <c r="DI29" s="89">
        <f t="shared" si="68"/>
        <v>0</v>
      </c>
      <c r="DJ29" s="89">
        <v>19</v>
      </c>
      <c r="DK29" s="89"/>
      <c r="DL29" s="89">
        <f>$DI29*($R29-Klimaatdata!$B$7)*2.63</f>
        <v>0</v>
      </c>
      <c r="DM29" s="89">
        <f>$DI29*($R29-Klimaatdata!$B$8)*2.63</f>
        <v>0</v>
      </c>
      <c r="DN29" s="89">
        <f>$DI29*($R29-Klimaatdata!$B$9)*2.63</f>
        <v>0</v>
      </c>
      <c r="DO29" s="89">
        <f>$DI29*($R29-Klimaatdata!$B$10)*2.63</f>
        <v>0</v>
      </c>
      <c r="DP29" s="89">
        <f>$DI29*($R29-Klimaatdata!$B$11)*2.63</f>
        <v>0</v>
      </c>
      <c r="DQ29" s="89">
        <f>$DI29*($R29-Klimaatdata!$B$12)*2.63</f>
        <v>0</v>
      </c>
      <c r="DR29" s="89">
        <f>$DI29*($R29-Klimaatdata!$B$13)*2.63</f>
        <v>0</v>
      </c>
      <c r="DS29" s="89">
        <f>$DI29*($R29-Klimaatdata!$B$14)*2.63</f>
        <v>0</v>
      </c>
      <c r="DT29" s="89">
        <f>$DI29*($R29-Klimaatdata!$B$15)*2.63</f>
        <v>0</v>
      </c>
      <c r="DU29" s="89">
        <f>$DI29*($R29-Klimaatdata!$B$16)*2.63</f>
        <v>0</v>
      </c>
      <c r="DV29" s="89">
        <f>$DI29*($R29-Klimaatdata!$B$17)*2.63</f>
        <v>0</v>
      </c>
      <c r="DW29" s="89">
        <f>$DI29*($R29-Klimaatdata!$B$18)*2.63</f>
        <v>0</v>
      </c>
      <c r="DX29" s="89"/>
      <c r="DY29" s="89">
        <f t="shared" si="69"/>
        <v>0</v>
      </c>
      <c r="DZ29" s="89">
        <v>0.1</v>
      </c>
      <c r="EA29" s="28">
        <v>1</v>
      </c>
      <c r="EB29" s="89">
        <f t="shared" si="70"/>
        <v>0</v>
      </c>
      <c r="EC29" s="89">
        <v>19</v>
      </c>
      <c r="ED29" s="89"/>
      <c r="EE29" s="89">
        <f>$EB29*($R29-Klimaatdata!$B$7)*2.63</f>
        <v>0</v>
      </c>
      <c r="EF29" s="89">
        <f>$EB29*($R29-Klimaatdata!$B$8)*2.63</f>
        <v>0</v>
      </c>
      <c r="EG29" s="89">
        <f>$EB29*($R29-Klimaatdata!$B$9)*2.63</f>
        <v>0</v>
      </c>
      <c r="EH29" s="89">
        <f>$EB29*($R29-Klimaatdata!$B$10)*2.63</f>
        <v>0</v>
      </c>
      <c r="EI29" s="89">
        <f>$EB29*($R29-Klimaatdata!$B$11)*2.63</f>
        <v>0</v>
      </c>
      <c r="EJ29" s="89">
        <f>$EB29*($R29-Klimaatdata!$B$12)*2.63</f>
        <v>0</v>
      </c>
      <c r="EK29" s="89">
        <f>$EB29*($R29-Klimaatdata!$B$13)*2.63</f>
        <v>0</v>
      </c>
      <c r="EL29" s="89">
        <f>$EB29*($R29-Klimaatdata!$B$14)*2.63</f>
        <v>0</v>
      </c>
      <c r="EM29" s="89">
        <f>$EB29*($R29-Klimaatdata!$B$15)*2.63</f>
        <v>0</v>
      </c>
      <c r="EN29" s="89">
        <f>$EB29*($R29-Klimaatdata!$B$16)*2.63</f>
        <v>0</v>
      </c>
      <c r="EO29" s="89">
        <f>$EB29*($R29-Klimaatdata!$B$17)*2.63</f>
        <v>0</v>
      </c>
      <c r="EP29" s="89">
        <f>$EB29*($R29-Klimaatdata!$B$18)*2.63</f>
        <v>0</v>
      </c>
      <c r="EQ29" s="25"/>
      <c r="ER29" s="89">
        <f t="shared" si="30"/>
        <v>0</v>
      </c>
      <c r="ES29" s="89"/>
      <c r="ET29" s="89">
        <f>INDEX(Klimaatdata!$B$27:$K$38,1,$B29)</f>
        <v>0</v>
      </c>
      <c r="EU29" s="89">
        <f>INDEX(Klimaatdata!$B$27:$K$38,2,$B29)</f>
        <v>0</v>
      </c>
      <c r="EV29" s="89">
        <f>INDEX(Klimaatdata!$B$27:$K$38,3,$B29)</f>
        <v>0</v>
      </c>
      <c r="EW29" s="89">
        <f>INDEX(Klimaatdata!$B$27:$K$38,4,$B29)</f>
        <v>0</v>
      </c>
      <c r="EX29" s="89">
        <f>INDEX(Klimaatdata!$B$27:$K$38,5,$B29)</f>
        <v>0</v>
      </c>
      <c r="EY29" s="89">
        <f>INDEX(Klimaatdata!$B$27:$K$38,6,$B29)</f>
        <v>0</v>
      </c>
      <c r="EZ29" s="89">
        <f>INDEX(Klimaatdata!$B$27:$K$38,7,$B29)</f>
        <v>0</v>
      </c>
      <c r="FA29" s="89">
        <f>INDEX(Klimaatdata!$B$27:$K$38,8,$B29)</f>
        <v>0</v>
      </c>
      <c r="FB29" s="89">
        <f>INDEX(Klimaatdata!$B$27:$K$38,9,$B29)</f>
        <v>0</v>
      </c>
      <c r="FC29" s="89">
        <f>INDEX(Klimaatdata!$B$27:$K$38,10,$B29)</f>
        <v>0</v>
      </c>
      <c r="FD29" s="89">
        <f>INDEX(Klimaatdata!$B$27:$K$38,11,$B29)</f>
        <v>0</v>
      </c>
      <c r="FE29" s="89">
        <f>INDEX(Klimaatdata!$B$27:$K$38,12,$B29)</f>
        <v>0</v>
      </c>
      <c r="FG29">
        <f t="shared" si="71"/>
        <v>1</v>
      </c>
      <c r="FH29">
        <f t="shared" si="72"/>
        <v>1</v>
      </c>
      <c r="FI29">
        <f t="shared" si="73"/>
        <v>1</v>
      </c>
      <c r="FJ29">
        <f t="shared" si="74"/>
        <v>1</v>
      </c>
      <c r="FK29">
        <f t="shared" si="75"/>
        <v>1</v>
      </c>
      <c r="FL29">
        <f t="shared" si="76"/>
        <v>1</v>
      </c>
      <c r="FM29">
        <f t="shared" si="77"/>
        <v>1</v>
      </c>
      <c r="FN29">
        <f t="shared" si="78"/>
        <v>1</v>
      </c>
      <c r="FO29">
        <f t="shared" si="79"/>
        <v>1</v>
      </c>
      <c r="FP29">
        <f t="shared" si="80"/>
        <v>1</v>
      </c>
      <c r="FQ29">
        <f t="shared" si="81"/>
        <v>1</v>
      </c>
      <c r="FR29">
        <f t="shared" si="82"/>
        <v>1</v>
      </c>
      <c r="FT29" s="219">
        <f>Klimaatdata!$D$7*ET29*FG29*$ER29*$G29*0.75</f>
        <v>0</v>
      </c>
      <c r="FU29" s="219">
        <f>Klimaatdata!$E$7*EU29*FH29*$ER29*$G29*0.75</f>
        <v>0</v>
      </c>
      <c r="FV29" s="219">
        <f>Klimaatdata!$F$7*EV29*FI29*$ER29*$G29*0.75</f>
        <v>0</v>
      </c>
      <c r="FW29" s="219">
        <f>Klimaatdata!$G$7*EW29*FJ29*$ER29*$G29*0.75</f>
        <v>0</v>
      </c>
      <c r="FX29" s="219">
        <f>Klimaatdata!$H$7*EX29*FK29*$ER29*$G29*0.75</f>
        <v>0</v>
      </c>
      <c r="FY29" s="219">
        <f>Klimaatdata!$I$7*EY29*FL29*$ER29*$G29*0.75</f>
        <v>0</v>
      </c>
      <c r="FZ29" s="219">
        <f>Klimaatdata!$J$7*EZ29*FM29*$ER29*$G29*0.75</f>
        <v>0</v>
      </c>
      <c r="GA29" s="219">
        <f>Klimaatdata!$K$7*FA29*FN29*$ER29*$G29*0.75</f>
        <v>0</v>
      </c>
      <c r="GB29" s="219">
        <f>Klimaatdata!$L$7*FB29*FO29*$ER29*$G29*0.75</f>
        <v>0</v>
      </c>
      <c r="GC29" s="219">
        <f>Klimaatdata!$M$7*FC29*FP29*$ER29*$G29*0.75</f>
        <v>0</v>
      </c>
      <c r="GD29" s="219">
        <f>Klimaatdata!$N$7*FD29*FQ29*$ER29*$G29*0.75</f>
        <v>0</v>
      </c>
      <c r="GE29" s="219">
        <f>Klimaatdata!$O$7*FE29*FR29*$ER29*$G29*0.75</f>
        <v>0</v>
      </c>
      <c r="GG29">
        <f t="shared" si="43"/>
        <v>0</v>
      </c>
      <c r="GH29">
        <f t="shared" si="44"/>
        <v>0</v>
      </c>
      <c r="GI29">
        <f t="shared" si="83"/>
        <v>0</v>
      </c>
      <c r="GJ29">
        <f t="shared" si="84"/>
        <v>0</v>
      </c>
      <c r="GK29">
        <f t="shared" si="85"/>
        <v>0</v>
      </c>
      <c r="GL29">
        <f t="shared" si="86"/>
        <v>0</v>
      </c>
      <c r="GM29">
        <f t="shared" si="87"/>
        <v>0</v>
      </c>
      <c r="GN29">
        <f t="shared" si="88"/>
        <v>0</v>
      </c>
      <c r="GO29">
        <f>'Invoer Gebouwschil'!Q29</f>
        <v>0</v>
      </c>
      <c r="GP29">
        <f t="shared" si="89"/>
        <v>0</v>
      </c>
      <c r="GR29">
        <f t="shared" si="90"/>
        <v>1</v>
      </c>
      <c r="GS29">
        <f t="shared" si="91"/>
        <v>0</v>
      </c>
      <c r="GT29">
        <f t="shared" si="92"/>
        <v>0</v>
      </c>
      <c r="GU29">
        <f t="shared" si="93"/>
        <v>0</v>
      </c>
      <c r="GV29">
        <f t="shared" si="94"/>
        <v>0</v>
      </c>
      <c r="GW29">
        <f t="shared" si="95"/>
        <v>0</v>
      </c>
      <c r="GX29">
        <f t="shared" si="96"/>
        <v>0</v>
      </c>
      <c r="GZ29" s="12">
        <f t="shared" si="59"/>
        <v>0</v>
      </c>
      <c r="HA29" s="13">
        <f t="shared" si="60"/>
        <v>0</v>
      </c>
      <c r="HB29" s="13">
        <f t="shared" si="61"/>
        <v>0</v>
      </c>
      <c r="HC29" s="14">
        <f t="shared" si="62"/>
        <v>0</v>
      </c>
      <c r="HE29" s="12">
        <f t="shared" si="63"/>
        <v>0</v>
      </c>
      <c r="HF29" s="13">
        <f t="shared" si="64"/>
        <v>0</v>
      </c>
      <c r="HG29" s="13">
        <f t="shared" si="65"/>
        <v>0</v>
      </c>
      <c r="HH29" s="14">
        <f t="shared" si="66"/>
        <v>0</v>
      </c>
    </row>
    <row r="30" spans="1:216" x14ac:dyDescent="0.2">
      <c r="A30">
        <v>1</v>
      </c>
      <c r="B30">
        <v>1</v>
      </c>
      <c r="C30">
        <v>1</v>
      </c>
      <c r="D30">
        <f>'Invoer Gebouwschil'!D30</f>
        <v>0</v>
      </c>
      <c r="E30">
        <v>1</v>
      </c>
      <c r="F30">
        <v>1</v>
      </c>
      <c r="G30">
        <f>'Invoer Gebouwschil'!H30</f>
        <v>0</v>
      </c>
      <c r="H30">
        <v>1</v>
      </c>
      <c r="I30">
        <v>1</v>
      </c>
      <c r="K30" s="89">
        <f>INDEX('Verwerking Bouwdelen'!$BD$79:$BD$103,'Verwerking Bouwdelen'!E30)</f>
        <v>0</v>
      </c>
      <c r="L30" s="89">
        <v>0.13</v>
      </c>
      <c r="M30" s="89">
        <f t="shared" si="14"/>
        <v>0</v>
      </c>
      <c r="N30" s="89">
        <f>IF(F30=6,1/((1/1/(L31+M31+'Invoer Gebouwschil'!F30))+5),1/(L30+M30+'Invoer Gebouwschil'!F30))</f>
        <v>7.6923076923076916</v>
      </c>
      <c r="O30" s="89">
        <v>0.1</v>
      </c>
      <c r="P30" s="28">
        <f t="shared" si="15"/>
        <v>1</v>
      </c>
      <c r="Q30" s="89">
        <f t="shared" si="0"/>
        <v>0</v>
      </c>
      <c r="R30" s="89">
        <v>19</v>
      </c>
      <c r="S30" s="89"/>
      <c r="T30" s="89">
        <f>$Q30*($R30-Klimaatdata!$B$7)*2.63</f>
        <v>0</v>
      </c>
      <c r="U30" s="89">
        <f>$Q30*($R30-Klimaatdata!$B$8)*2.63</f>
        <v>0</v>
      </c>
      <c r="V30" s="89">
        <f>$Q30*($R30-Klimaatdata!$B$9)*2.63</f>
        <v>0</v>
      </c>
      <c r="W30" s="89">
        <f>$Q30*($R30-Klimaatdata!$B$10)*2.63</f>
        <v>0</v>
      </c>
      <c r="X30" s="89">
        <f>$Q30*($R30-Klimaatdata!$B$11)*2.63</f>
        <v>0</v>
      </c>
      <c r="Y30" s="89">
        <f>$Q30*($R30-Klimaatdata!$B$12)*2.63</f>
        <v>0</v>
      </c>
      <c r="Z30" s="89">
        <f>$Q30*($R30-Klimaatdata!$B$13)*2.63</f>
        <v>0</v>
      </c>
      <c r="AA30" s="89">
        <f>$Q30*($R30-Klimaatdata!$B$14)*2.63</f>
        <v>0</v>
      </c>
      <c r="AB30" s="89">
        <f>$Q30*($R30-Klimaatdata!$B$15)*2.63</f>
        <v>0</v>
      </c>
      <c r="AC30" s="89">
        <f>$Q30*($R30-Klimaatdata!$B$16)*2.63</f>
        <v>0</v>
      </c>
      <c r="AD30" s="89">
        <f>$Q30*($R30-Klimaatdata!$B$17)*2.63</f>
        <v>0</v>
      </c>
      <c r="AE30" s="89">
        <f>$Q30*($R30-Klimaatdata!$B$18)*2.63</f>
        <v>0</v>
      </c>
      <c r="AF30" s="89"/>
      <c r="AG30" s="205">
        <f t="shared" si="16"/>
        <v>0</v>
      </c>
      <c r="AH30" s="25">
        <f t="shared" si="17"/>
        <v>0</v>
      </c>
      <c r="AI30" s="25">
        <f t="shared" si="18"/>
        <v>0</v>
      </c>
      <c r="AJ30" s="206">
        <f t="shared" si="19"/>
        <v>0</v>
      </c>
      <c r="AK30" s="25"/>
      <c r="AL30" s="89">
        <f t="shared" si="20"/>
        <v>1</v>
      </c>
      <c r="AM30" s="89">
        <f t="shared" si="21"/>
        <v>0</v>
      </c>
      <c r="AN30" s="89">
        <f t="shared" si="22"/>
        <v>0</v>
      </c>
      <c r="AO30" s="89">
        <f t="shared" si="23"/>
        <v>0</v>
      </c>
      <c r="AP30" s="89">
        <v>0.1</v>
      </c>
      <c r="AQ30" s="28">
        <v>1</v>
      </c>
      <c r="AR30" s="89">
        <f t="shared" si="1"/>
        <v>0</v>
      </c>
      <c r="AS30" s="89">
        <v>19</v>
      </c>
      <c r="AT30" s="89"/>
      <c r="AU30" s="89">
        <f>$AR30*($R30-Klimaatdata!$B$7)*2.63</f>
        <v>0</v>
      </c>
      <c r="AV30" s="89">
        <f>$AR30*($R30-Klimaatdata!$B$8)*2.63</f>
        <v>0</v>
      </c>
      <c r="AW30" s="89">
        <f>$AR30*($R30-Klimaatdata!$B$9)*2.63</f>
        <v>0</v>
      </c>
      <c r="AX30" s="89">
        <f>$AR30*($R30-Klimaatdata!$B$10)*2.63</f>
        <v>0</v>
      </c>
      <c r="AY30" s="89">
        <f>$AR30*($R30-Klimaatdata!$B$11)*2.63</f>
        <v>0</v>
      </c>
      <c r="AZ30" s="89">
        <f>$AR30*($R30-Klimaatdata!$B$12)*2.63</f>
        <v>0</v>
      </c>
      <c r="BA30" s="89">
        <f>$AR30*($R30-Klimaatdata!$B$13)*2.63</f>
        <v>0</v>
      </c>
      <c r="BB30" s="89">
        <f>$AR30*($R30-Klimaatdata!$B$14)*2.63</f>
        <v>0</v>
      </c>
      <c r="BC30" s="89">
        <f>$AR30*($R30-Klimaatdata!$B$15)*2.63</f>
        <v>0</v>
      </c>
      <c r="BD30" s="89">
        <f>$AR30*($R30-Klimaatdata!$B$16)*2.63</f>
        <v>0</v>
      </c>
      <c r="BE30" s="89">
        <f>$AR30*($R30-Klimaatdata!$B$17)*2.63</f>
        <v>0</v>
      </c>
      <c r="BF30" s="89">
        <f>$AR30*($R30-Klimaatdata!$B$18)*2.63</f>
        <v>0</v>
      </c>
      <c r="BG30" s="25"/>
      <c r="BH30" s="89">
        <f>INDEX('Verwerking Bouwdelen'!$Y$106:$Y$130,H30)</f>
        <v>0</v>
      </c>
      <c r="BI30" s="89"/>
      <c r="BJ30" s="89">
        <f>INDEX(Klimaatdata!$B$27:$K$38,1,$B30)</f>
        <v>0</v>
      </c>
      <c r="BK30" s="89">
        <f>INDEX(Klimaatdata!$B$27:$K$38,2,$B30)</f>
        <v>0</v>
      </c>
      <c r="BL30" s="89">
        <f>INDEX(Klimaatdata!$B$27:$K$38,3,$B30)</f>
        <v>0</v>
      </c>
      <c r="BM30" s="89">
        <f>INDEX(Klimaatdata!$B$27:$K$38,4,$B30)</f>
        <v>0</v>
      </c>
      <c r="BN30" s="89">
        <f>INDEX(Klimaatdata!$B$27:$K$38,5,$B30)</f>
        <v>0</v>
      </c>
      <c r="BO30" s="89">
        <f>INDEX(Klimaatdata!$B$27:$K$38,6,$B30)</f>
        <v>0</v>
      </c>
      <c r="BP30" s="89">
        <f>INDEX(Klimaatdata!$B$27:$K$38,7,$B30)</f>
        <v>0</v>
      </c>
      <c r="BQ30" s="89">
        <f>INDEX(Klimaatdata!$B$27:$K$38,8,$B30)</f>
        <v>0</v>
      </c>
      <c r="BR30" s="89">
        <f>INDEX(Klimaatdata!$B$27:$K$38,9,$B30)</f>
        <v>0</v>
      </c>
      <c r="BS30" s="89">
        <f>INDEX(Klimaatdata!$B$27:$K$38,10,$B30)</f>
        <v>0</v>
      </c>
      <c r="BT30" s="89">
        <f>INDEX(Klimaatdata!$B$27:$K$38,11,$B30)</f>
        <v>0</v>
      </c>
      <c r="BU30" s="89">
        <f>INDEX(Klimaatdata!$B$27:$K$38,12,$B30)</f>
        <v>0</v>
      </c>
      <c r="BW30">
        <f t="shared" si="2"/>
        <v>1</v>
      </c>
      <c r="BX30">
        <f t="shared" si="3"/>
        <v>1</v>
      </c>
      <c r="BY30">
        <f t="shared" si="4"/>
        <v>1</v>
      </c>
      <c r="BZ30">
        <f t="shared" si="5"/>
        <v>1</v>
      </c>
      <c r="CA30">
        <f t="shared" si="6"/>
        <v>1</v>
      </c>
      <c r="CB30">
        <f t="shared" si="7"/>
        <v>1</v>
      </c>
      <c r="CC30">
        <f t="shared" si="8"/>
        <v>1</v>
      </c>
      <c r="CD30">
        <f t="shared" si="9"/>
        <v>1</v>
      </c>
      <c r="CE30">
        <f t="shared" si="10"/>
        <v>1</v>
      </c>
      <c r="CF30">
        <f t="shared" si="11"/>
        <v>1</v>
      </c>
      <c r="CG30">
        <f t="shared" si="12"/>
        <v>1</v>
      </c>
      <c r="CH30">
        <f t="shared" si="13"/>
        <v>1</v>
      </c>
      <c r="CJ30" s="219">
        <f>Klimaatdata!$D$7*BJ30*BW30*$BH30*$G30*0.75</f>
        <v>0</v>
      </c>
      <c r="CK30" s="219">
        <f>Klimaatdata!$E$7*BK30*BX30*$BH30*$G30*0.75</f>
        <v>0</v>
      </c>
      <c r="CL30" s="219">
        <f>Klimaatdata!$F$7*BL30*BY30*$BH30*$G30*0.75</f>
        <v>0</v>
      </c>
      <c r="CM30" s="219">
        <f>Klimaatdata!$G$7*BM30*BZ30*$BH30*$G30*0.75</f>
        <v>0</v>
      </c>
      <c r="CN30" s="219">
        <f>Klimaatdata!$H$7*BN30*CA30*$BH30*$G30*0.75</f>
        <v>0</v>
      </c>
      <c r="CO30" s="219">
        <f>Klimaatdata!$I$7*BO30*CB30*$BH30*$G30*0.75</f>
        <v>0</v>
      </c>
      <c r="CP30" s="219">
        <f>Klimaatdata!$J$7*BP30*CC30*$BH30*$G30*0.75</f>
        <v>0</v>
      </c>
      <c r="CQ30" s="219">
        <f>Klimaatdata!$K$7*BQ30*CD30*$BH30*$G30*0.75</f>
        <v>0</v>
      </c>
      <c r="CR30" s="219">
        <f>Klimaatdata!$L$7*BR30*CE30*$BH30*$G30*0.75</f>
        <v>0</v>
      </c>
      <c r="CS30" s="219">
        <f>Klimaatdata!$M$7*BS30*CF30*$BH30*$G30*0.75</f>
        <v>0</v>
      </c>
      <c r="CT30" s="219">
        <f>Klimaatdata!$N$7*BT30*CG30*$BH30*$G30*0.75</f>
        <v>0</v>
      </c>
      <c r="CU30" s="219">
        <f>Klimaatdata!$O$7*BU30*CH30*$BH30*$G30*0.75</f>
        <v>0</v>
      </c>
      <c r="CX30">
        <v>1</v>
      </c>
      <c r="CY30">
        <v>1</v>
      </c>
      <c r="CZ30">
        <v>1</v>
      </c>
      <c r="DA30">
        <f>'Invoer Gebouwschil'!Q30</f>
        <v>0</v>
      </c>
      <c r="DC30" s="89">
        <f t="shared" si="24"/>
        <v>0</v>
      </c>
      <c r="DD30" s="89">
        <v>0.13</v>
      </c>
      <c r="DE30" s="89">
        <f t="shared" si="25"/>
        <v>0</v>
      </c>
      <c r="DF30" s="89">
        <f>IF(F30=6,1/((1/1/(DD30+DE30+'Invoer Gebouwschil'!M30))+5),1/(DD30+DE30+'Invoer Gebouwschil'!M30))</f>
        <v>7.6923076923076916</v>
      </c>
      <c r="DG30" s="89">
        <v>0.1</v>
      </c>
      <c r="DH30" s="28">
        <f t="shared" si="67"/>
        <v>1</v>
      </c>
      <c r="DI30" s="89">
        <f t="shared" si="68"/>
        <v>0</v>
      </c>
      <c r="DJ30" s="89">
        <v>19</v>
      </c>
      <c r="DK30" s="89"/>
      <c r="DL30" s="89">
        <f>$DI30*($R30-Klimaatdata!$B$7)*2.63</f>
        <v>0</v>
      </c>
      <c r="DM30" s="89">
        <f>$DI30*($R30-Klimaatdata!$B$8)*2.63</f>
        <v>0</v>
      </c>
      <c r="DN30" s="89">
        <f>$DI30*($R30-Klimaatdata!$B$9)*2.63</f>
        <v>0</v>
      </c>
      <c r="DO30" s="89">
        <f>$DI30*($R30-Klimaatdata!$B$10)*2.63</f>
        <v>0</v>
      </c>
      <c r="DP30" s="89">
        <f>$DI30*($R30-Klimaatdata!$B$11)*2.63</f>
        <v>0</v>
      </c>
      <c r="DQ30" s="89">
        <f>$DI30*($R30-Klimaatdata!$B$12)*2.63</f>
        <v>0</v>
      </c>
      <c r="DR30" s="89">
        <f>$DI30*($R30-Klimaatdata!$B$13)*2.63</f>
        <v>0</v>
      </c>
      <c r="DS30" s="89">
        <f>$DI30*($R30-Klimaatdata!$B$14)*2.63</f>
        <v>0</v>
      </c>
      <c r="DT30" s="89">
        <f>$DI30*($R30-Klimaatdata!$B$15)*2.63</f>
        <v>0</v>
      </c>
      <c r="DU30" s="89">
        <f>$DI30*($R30-Klimaatdata!$B$16)*2.63</f>
        <v>0</v>
      </c>
      <c r="DV30" s="89">
        <f>$DI30*($R30-Klimaatdata!$B$17)*2.63</f>
        <v>0</v>
      </c>
      <c r="DW30" s="89">
        <f>$DI30*($R30-Klimaatdata!$B$18)*2.63</f>
        <v>0</v>
      </c>
      <c r="DX30" s="89"/>
      <c r="DY30" s="89">
        <f t="shared" si="69"/>
        <v>0</v>
      </c>
      <c r="DZ30" s="89">
        <v>0.1</v>
      </c>
      <c r="EA30" s="28">
        <v>1</v>
      </c>
      <c r="EB30" s="89">
        <f t="shared" si="70"/>
        <v>0</v>
      </c>
      <c r="EC30" s="89">
        <v>19</v>
      </c>
      <c r="ED30" s="89"/>
      <c r="EE30" s="89">
        <f>$EB30*($R30-Klimaatdata!$B$7)*2.63</f>
        <v>0</v>
      </c>
      <c r="EF30" s="89">
        <f>$EB30*($R30-Klimaatdata!$B$8)*2.63</f>
        <v>0</v>
      </c>
      <c r="EG30" s="89">
        <f>$EB30*($R30-Klimaatdata!$B$9)*2.63</f>
        <v>0</v>
      </c>
      <c r="EH30" s="89">
        <f>$EB30*($R30-Klimaatdata!$B$10)*2.63</f>
        <v>0</v>
      </c>
      <c r="EI30" s="89">
        <f>$EB30*($R30-Klimaatdata!$B$11)*2.63</f>
        <v>0</v>
      </c>
      <c r="EJ30" s="89">
        <f>$EB30*($R30-Klimaatdata!$B$12)*2.63</f>
        <v>0</v>
      </c>
      <c r="EK30" s="89">
        <f>$EB30*($R30-Klimaatdata!$B$13)*2.63</f>
        <v>0</v>
      </c>
      <c r="EL30" s="89">
        <f>$EB30*($R30-Klimaatdata!$B$14)*2.63</f>
        <v>0</v>
      </c>
      <c r="EM30" s="89">
        <f>$EB30*($R30-Klimaatdata!$B$15)*2.63</f>
        <v>0</v>
      </c>
      <c r="EN30" s="89">
        <f>$EB30*($R30-Klimaatdata!$B$16)*2.63</f>
        <v>0</v>
      </c>
      <c r="EO30" s="89">
        <f>$EB30*($R30-Klimaatdata!$B$17)*2.63</f>
        <v>0</v>
      </c>
      <c r="EP30" s="89">
        <f>$EB30*($R30-Klimaatdata!$B$18)*2.63</f>
        <v>0</v>
      </c>
      <c r="EQ30" s="25"/>
      <c r="ER30" s="89">
        <f t="shared" si="30"/>
        <v>0</v>
      </c>
      <c r="ES30" s="89"/>
      <c r="ET30" s="89">
        <f>INDEX(Klimaatdata!$B$27:$K$38,1,$B30)</f>
        <v>0</v>
      </c>
      <c r="EU30" s="89">
        <f>INDEX(Klimaatdata!$B$27:$K$38,2,$B30)</f>
        <v>0</v>
      </c>
      <c r="EV30" s="89">
        <f>INDEX(Klimaatdata!$B$27:$K$38,3,$B30)</f>
        <v>0</v>
      </c>
      <c r="EW30" s="89">
        <f>INDEX(Klimaatdata!$B$27:$K$38,4,$B30)</f>
        <v>0</v>
      </c>
      <c r="EX30" s="89">
        <f>INDEX(Klimaatdata!$B$27:$K$38,5,$B30)</f>
        <v>0</v>
      </c>
      <c r="EY30" s="89">
        <f>INDEX(Klimaatdata!$B$27:$K$38,6,$B30)</f>
        <v>0</v>
      </c>
      <c r="EZ30" s="89">
        <f>INDEX(Klimaatdata!$B$27:$K$38,7,$B30)</f>
        <v>0</v>
      </c>
      <c r="FA30" s="89">
        <f>INDEX(Klimaatdata!$B$27:$K$38,8,$B30)</f>
        <v>0</v>
      </c>
      <c r="FB30" s="89">
        <f>INDEX(Klimaatdata!$B$27:$K$38,9,$B30)</f>
        <v>0</v>
      </c>
      <c r="FC30" s="89">
        <f>INDEX(Klimaatdata!$B$27:$K$38,10,$B30)</f>
        <v>0</v>
      </c>
      <c r="FD30" s="89">
        <f>INDEX(Klimaatdata!$B$27:$K$38,11,$B30)</f>
        <v>0</v>
      </c>
      <c r="FE30" s="89">
        <f>INDEX(Klimaatdata!$B$27:$K$38,12,$B30)</f>
        <v>0</v>
      </c>
      <c r="FG30">
        <f t="shared" si="71"/>
        <v>1</v>
      </c>
      <c r="FH30">
        <f t="shared" si="72"/>
        <v>1</v>
      </c>
      <c r="FI30">
        <f t="shared" si="73"/>
        <v>1</v>
      </c>
      <c r="FJ30">
        <f t="shared" si="74"/>
        <v>1</v>
      </c>
      <c r="FK30">
        <f t="shared" si="75"/>
        <v>1</v>
      </c>
      <c r="FL30">
        <f t="shared" si="76"/>
        <v>1</v>
      </c>
      <c r="FM30">
        <f t="shared" si="77"/>
        <v>1</v>
      </c>
      <c r="FN30">
        <f t="shared" si="78"/>
        <v>1</v>
      </c>
      <c r="FO30">
        <f t="shared" si="79"/>
        <v>1</v>
      </c>
      <c r="FP30">
        <f t="shared" si="80"/>
        <v>1</v>
      </c>
      <c r="FQ30">
        <f t="shared" si="81"/>
        <v>1</v>
      </c>
      <c r="FR30">
        <f t="shared" si="82"/>
        <v>1</v>
      </c>
      <c r="FT30" s="219">
        <f>Klimaatdata!$D$7*ET30*FG30*$ER30*$G30*0.75</f>
        <v>0</v>
      </c>
      <c r="FU30" s="219">
        <f>Klimaatdata!$E$7*EU30*FH30*$ER30*$G30*0.75</f>
        <v>0</v>
      </c>
      <c r="FV30" s="219">
        <f>Klimaatdata!$F$7*EV30*FI30*$ER30*$G30*0.75</f>
        <v>0</v>
      </c>
      <c r="FW30" s="219">
        <f>Klimaatdata!$G$7*EW30*FJ30*$ER30*$G30*0.75</f>
        <v>0</v>
      </c>
      <c r="FX30" s="219">
        <f>Klimaatdata!$H$7*EX30*FK30*$ER30*$G30*0.75</f>
        <v>0</v>
      </c>
      <c r="FY30" s="219">
        <f>Klimaatdata!$I$7*EY30*FL30*$ER30*$G30*0.75</f>
        <v>0</v>
      </c>
      <c r="FZ30" s="219">
        <f>Klimaatdata!$J$7*EZ30*FM30*$ER30*$G30*0.75</f>
        <v>0</v>
      </c>
      <c r="GA30" s="219">
        <f>Klimaatdata!$K$7*FA30*FN30*$ER30*$G30*0.75</f>
        <v>0</v>
      </c>
      <c r="GB30" s="219">
        <f>Klimaatdata!$L$7*FB30*FO30*$ER30*$G30*0.75</f>
        <v>0</v>
      </c>
      <c r="GC30" s="219">
        <f>Klimaatdata!$M$7*FC30*FP30*$ER30*$G30*0.75</f>
        <v>0</v>
      </c>
      <c r="GD30" s="219">
        <f>Klimaatdata!$N$7*FD30*FQ30*$ER30*$G30*0.75</f>
        <v>0</v>
      </c>
      <c r="GE30" s="219">
        <f>Klimaatdata!$O$7*FE30*FR30*$ER30*$G30*0.75</f>
        <v>0</v>
      </c>
      <c r="GG30">
        <f t="shared" si="43"/>
        <v>0</v>
      </c>
      <c r="GH30">
        <f t="shared" si="44"/>
        <v>0</v>
      </c>
      <c r="GI30">
        <f t="shared" si="83"/>
        <v>0</v>
      </c>
      <c r="GJ30">
        <f t="shared" si="84"/>
        <v>0</v>
      </c>
      <c r="GK30">
        <f t="shared" si="85"/>
        <v>0</v>
      </c>
      <c r="GL30">
        <f t="shared" si="86"/>
        <v>0</v>
      </c>
      <c r="GM30">
        <f t="shared" si="87"/>
        <v>0</v>
      </c>
      <c r="GN30">
        <f t="shared" si="88"/>
        <v>0</v>
      </c>
      <c r="GO30">
        <f>'Invoer Gebouwschil'!Q30</f>
        <v>0</v>
      </c>
      <c r="GP30">
        <f t="shared" si="89"/>
        <v>0</v>
      </c>
      <c r="GR30">
        <f t="shared" si="90"/>
        <v>1</v>
      </c>
      <c r="GS30">
        <f t="shared" si="91"/>
        <v>0</v>
      </c>
      <c r="GT30">
        <f t="shared" si="92"/>
        <v>0</v>
      </c>
      <c r="GU30">
        <f t="shared" si="93"/>
        <v>0</v>
      </c>
      <c r="GV30">
        <f t="shared" si="94"/>
        <v>0</v>
      </c>
      <c r="GW30">
        <f t="shared" si="95"/>
        <v>0</v>
      </c>
      <c r="GX30">
        <f t="shared" si="96"/>
        <v>0</v>
      </c>
      <c r="GZ30" s="12">
        <f t="shared" si="59"/>
        <v>0</v>
      </c>
      <c r="HA30" s="13">
        <f t="shared" si="60"/>
        <v>0</v>
      </c>
      <c r="HB30" s="13">
        <f t="shared" si="61"/>
        <v>0</v>
      </c>
      <c r="HC30" s="14">
        <f t="shared" si="62"/>
        <v>0</v>
      </c>
      <c r="HE30" s="12">
        <f t="shared" si="63"/>
        <v>0</v>
      </c>
      <c r="HF30" s="13">
        <f t="shared" si="64"/>
        <v>0</v>
      </c>
      <c r="HG30" s="13">
        <f t="shared" si="65"/>
        <v>0</v>
      </c>
      <c r="HH30" s="14">
        <f t="shared" si="66"/>
        <v>0</v>
      </c>
    </row>
    <row r="31" spans="1:216" x14ac:dyDescent="0.2">
      <c r="A31">
        <v>1</v>
      </c>
      <c r="B31">
        <v>1</v>
      </c>
      <c r="C31">
        <v>1</v>
      </c>
      <c r="D31">
        <f>'Invoer Gebouwschil'!D31</f>
        <v>0</v>
      </c>
      <c r="E31">
        <v>1</v>
      </c>
      <c r="F31">
        <v>1</v>
      </c>
      <c r="G31">
        <f>'Invoer Gebouwschil'!H31</f>
        <v>0</v>
      </c>
      <c r="H31">
        <v>1</v>
      </c>
      <c r="I31">
        <v>1</v>
      </c>
      <c r="K31" s="89">
        <f>INDEX('Verwerking Bouwdelen'!$BF$79:$BF$103,'Verwerking Bouwdelen'!E31)</f>
        <v>0</v>
      </c>
      <c r="L31" s="89">
        <v>0.13</v>
      </c>
      <c r="M31" s="89">
        <f t="shared" si="14"/>
        <v>0</v>
      </c>
      <c r="N31" s="89">
        <f>IF(F31=6,1/((1/1/(L32+M32+'Invoer Gebouwschil'!F31))+5),1/(L31+M31+'Invoer Gebouwschil'!F31))</f>
        <v>7.6923076923076916</v>
      </c>
      <c r="O31" s="89">
        <v>0.1</v>
      </c>
      <c r="P31" s="28">
        <f t="shared" si="15"/>
        <v>1</v>
      </c>
      <c r="Q31" s="89">
        <f t="shared" si="0"/>
        <v>0</v>
      </c>
      <c r="R31" s="89">
        <v>19</v>
      </c>
      <c r="S31" s="89"/>
      <c r="T31" s="89">
        <f>$Q31*($R31-Klimaatdata!$B$7)*2.63</f>
        <v>0</v>
      </c>
      <c r="U31" s="89">
        <f>$Q31*($R31-Klimaatdata!$B$8)*2.63</f>
        <v>0</v>
      </c>
      <c r="V31" s="89">
        <f>$Q31*($R31-Klimaatdata!$B$9)*2.63</f>
        <v>0</v>
      </c>
      <c r="W31" s="89">
        <f>$Q31*($R31-Klimaatdata!$B$10)*2.63</f>
        <v>0</v>
      </c>
      <c r="X31" s="89">
        <f>$Q31*($R31-Klimaatdata!$B$11)*2.63</f>
        <v>0</v>
      </c>
      <c r="Y31" s="89">
        <f>$Q31*($R31-Klimaatdata!$B$12)*2.63</f>
        <v>0</v>
      </c>
      <c r="Z31" s="89">
        <f>$Q31*($R31-Klimaatdata!$B$13)*2.63</f>
        <v>0</v>
      </c>
      <c r="AA31" s="89">
        <f>$Q31*($R31-Klimaatdata!$B$14)*2.63</f>
        <v>0</v>
      </c>
      <c r="AB31" s="89">
        <f>$Q31*($R31-Klimaatdata!$B$15)*2.63</f>
        <v>0</v>
      </c>
      <c r="AC31" s="89">
        <f>$Q31*($R31-Klimaatdata!$B$16)*2.63</f>
        <v>0</v>
      </c>
      <c r="AD31" s="89">
        <f>$Q31*($R31-Klimaatdata!$B$17)*2.63</f>
        <v>0</v>
      </c>
      <c r="AE31" s="89">
        <f>$Q31*($R31-Klimaatdata!$B$18)*2.63</f>
        <v>0</v>
      </c>
      <c r="AF31" s="89"/>
      <c r="AG31" s="205">
        <f t="shared" si="16"/>
        <v>0</v>
      </c>
      <c r="AH31" s="25">
        <f t="shared" si="17"/>
        <v>0</v>
      </c>
      <c r="AI31" s="25">
        <f t="shared" si="18"/>
        <v>0</v>
      </c>
      <c r="AJ31" s="206">
        <f t="shared" si="19"/>
        <v>0</v>
      </c>
      <c r="AK31" s="25"/>
      <c r="AL31" s="89">
        <f t="shared" si="20"/>
        <v>1</v>
      </c>
      <c r="AM31" s="89">
        <f t="shared" si="21"/>
        <v>0</v>
      </c>
      <c r="AN31" s="89">
        <f t="shared" si="22"/>
        <v>0</v>
      </c>
      <c r="AO31" s="89">
        <f t="shared" si="23"/>
        <v>0</v>
      </c>
      <c r="AP31" s="89">
        <v>0.1</v>
      </c>
      <c r="AQ31" s="28">
        <v>1</v>
      </c>
      <c r="AR31" s="89">
        <f t="shared" si="1"/>
        <v>0</v>
      </c>
      <c r="AS31" s="89">
        <v>19</v>
      </c>
      <c r="AT31" s="89"/>
      <c r="AU31" s="89">
        <f>$AR31*($R31-Klimaatdata!$B$7)*2.63</f>
        <v>0</v>
      </c>
      <c r="AV31" s="89">
        <f>$AR31*($R31-Klimaatdata!$B$8)*2.63</f>
        <v>0</v>
      </c>
      <c r="AW31" s="89">
        <f>$AR31*($R31-Klimaatdata!$B$9)*2.63</f>
        <v>0</v>
      </c>
      <c r="AX31" s="89">
        <f>$AR31*($R31-Klimaatdata!$B$10)*2.63</f>
        <v>0</v>
      </c>
      <c r="AY31" s="89">
        <f>$AR31*($R31-Klimaatdata!$B$11)*2.63</f>
        <v>0</v>
      </c>
      <c r="AZ31" s="89">
        <f>$AR31*($R31-Klimaatdata!$B$12)*2.63</f>
        <v>0</v>
      </c>
      <c r="BA31" s="89">
        <f>$AR31*($R31-Klimaatdata!$B$13)*2.63</f>
        <v>0</v>
      </c>
      <c r="BB31" s="89">
        <f>$AR31*($R31-Klimaatdata!$B$14)*2.63</f>
        <v>0</v>
      </c>
      <c r="BC31" s="89">
        <f>$AR31*($R31-Klimaatdata!$B$15)*2.63</f>
        <v>0</v>
      </c>
      <c r="BD31" s="89">
        <f>$AR31*($R31-Klimaatdata!$B$16)*2.63</f>
        <v>0</v>
      </c>
      <c r="BE31" s="89">
        <f>$AR31*($R31-Klimaatdata!$B$17)*2.63</f>
        <v>0</v>
      </c>
      <c r="BF31" s="89">
        <f>$AR31*($R31-Klimaatdata!$B$18)*2.63</f>
        <v>0</v>
      </c>
      <c r="BG31" s="25"/>
      <c r="BH31" s="89">
        <f>INDEX('Verwerking Bouwdelen'!$Y$106:$Y$130,H31)</f>
        <v>0</v>
      </c>
      <c r="BI31" s="89"/>
      <c r="BJ31" s="89">
        <f>INDEX(Klimaatdata!$B$27:$K$38,1,$B31)</f>
        <v>0</v>
      </c>
      <c r="BK31" s="89">
        <f>INDEX(Klimaatdata!$B$27:$K$38,2,$B31)</f>
        <v>0</v>
      </c>
      <c r="BL31" s="89">
        <f>INDEX(Klimaatdata!$B$27:$K$38,3,$B31)</f>
        <v>0</v>
      </c>
      <c r="BM31" s="89">
        <f>INDEX(Klimaatdata!$B$27:$K$38,4,$B31)</f>
        <v>0</v>
      </c>
      <c r="BN31" s="89">
        <f>INDEX(Klimaatdata!$B$27:$K$38,5,$B31)</f>
        <v>0</v>
      </c>
      <c r="BO31" s="89">
        <f>INDEX(Klimaatdata!$B$27:$K$38,6,$B31)</f>
        <v>0</v>
      </c>
      <c r="BP31" s="89">
        <f>INDEX(Klimaatdata!$B$27:$K$38,7,$B31)</f>
        <v>0</v>
      </c>
      <c r="BQ31" s="89">
        <f>INDEX(Klimaatdata!$B$27:$K$38,8,$B31)</f>
        <v>0</v>
      </c>
      <c r="BR31" s="89">
        <f>INDEX(Klimaatdata!$B$27:$K$38,9,$B31)</f>
        <v>0</v>
      </c>
      <c r="BS31" s="89">
        <f>INDEX(Klimaatdata!$B$27:$K$38,10,$B31)</f>
        <v>0</v>
      </c>
      <c r="BT31" s="89">
        <f>INDEX(Klimaatdata!$B$27:$K$38,11,$B31)</f>
        <v>0</v>
      </c>
      <c r="BU31" s="89">
        <f>INDEX(Klimaatdata!$B$27:$K$38,12,$B31)</f>
        <v>0</v>
      </c>
      <c r="BW31">
        <f t="shared" si="2"/>
        <v>1</v>
      </c>
      <c r="BX31">
        <f t="shared" si="3"/>
        <v>1</v>
      </c>
      <c r="BY31">
        <f t="shared" si="4"/>
        <v>1</v>
      </c>
      <c r="BZ31">
        <f t="shared" si="5"/>
        <v>1</v>
      </c>
      <c r="CA31">
        <f t="shared" si="6"/>
        <v>1</v>
      </c>
      <c r="CB31">
        <f t="shared" si="7"/>
        <v>1</v>
      </c>
      <c r="CC31">
        <f t="shared" si="8"/>
        <v>1</v>
      </c>
      <c r="CD31">
        <f t="shared" si="9"/>
        <v>1</v>
      </c>
      <c r="CE31">
        <f t="shared" si="10"/>
        <v>1</v>
      </c>
      <c r="CF31">
        <f t="shared" si="11"/>
        <v>1</v>
      </c>
      <c r="CG31">
        <f t="shared" si="12"/>
        <v>1</v>
      </c>
      <c r="CH31">
        <f t="shared" si="13"/>
        <v>1</v>
      </c>
      <c r="CJ31" s="219">
        <f>Klimaatdata!$D$7*BJ31*BW31*$BH31*$G31*0.75</f>
        <v>0</v>
      </c>
      <c r="CK31" s="219">
        <f>Klimaatdata!$E$7*BK31*BX31*$BH31*$G31*0.75</f>
        <v>0</v>
      </c>
      <c r="CL31" s="219">
        <f>Klimaatdata!$F$7*BL31*BY31*$BH31*$G31*0.75</f>
        <v>0</v>
      </c>
      <c r="CM31" s="219">
        <f>Klimaatdata!$G$7*BM31*BZ31*$BH31*$G31*0.75</f>
        <v>0</v>
      </c>
      <c r="CN31" s="219">
        <f>Klimaatdata!$H$7*BN31*CA31*$BH31*$G31*0.75</f>
        <v>0</v>
      </c>
      <c r="CO31" s="219">
        <f>Klimaatdata!$I$7*BO31*CB31*$BH31*$G31*0.75</f>
        <v>0</v>
      </c>
      <c r="CP31" s="219">
        <f>Klimaatdata!$J$7*BP31*CC31*$BH31*$G31*0.75</f>
        <v>0</v>
      </c>
      <c r="CQ31" s="219">
        <f>Klimaatdata!$K$7*BQ31*CD31*$BH31*$G31*0.75</f>
        <v>0</v>
      </c>
      <c r="CR31" s="219">
        <f>Klimaatdata!$L$7*BR31*CE31*$BH31*$G31*0.75</f>
        <v>0</v>
      </c>
      <c r="CS31" s="219">
        <f>Klimaatdata!$M$7*BS31*CF31*$BH31*$G31*0.75</f>
        <v>0</v>
      </c>
      <c r="CT31" s="219">
        <f>Klimaatdata!$N$7*BT31*CG31*$BH31*$G31*0.75</f>
        <v>0</v>
      </c>
      <c r="CU31" s="219">
        <f>Klimaatdata!$O$7*BU31*CH31*$BH31*$G31*0.75</f>
        <v>0</v>
      </c>
      <c r="CX31">
        <v>1</v>
      </c>
      <c r="CY31">
        <v>1</v>
      </c>
      <c r="CZ31">
        <v>1</v>
      </c>
      <c r="DA31">
        <f>'Invoer Gebouwschil'!Q31</f>
        <v>0</v>
      </c>
      <c r="DC31" s="89">
        <f t="shared" si="24"/>
        <v>0</v>
      </c>
      <c r="DD31" s="89">
        <v>0.13</v>
      </c>
      <c r="DE31" s="89">
        <f t="shared" si="25"/>
        <v>0</v>
      </c>
      <c r="DF31" s="89">
        <f>IF(F31=6,1/((1/1/(DD31+DE31+'Invoer Gebouwschil'!M31))+5),1/(DD31+DE31+'Invoer Gebouwschil'!M31))</f>
        <v>7.6923076923076916</v>
      </c>
      <c r="DG31" s="89">
        <v>0.1</v>
      </c>
      <c r="DH31" s="28">
        <f t="shared" si="67"/>
        <v>1</v>
      </c>
      <c r="DI31" s="89">
        <f t="shared" si="68"/>
        <v>0</v>
      </c>
      <c r="DJ31" s="89">
        <v>19</v>
      </c>
      <c r="DK31" s="89"/>
      <c r="DL31" s="89">
        <f>$DI31*($R31-Klimaatdata!$B$7)*2.63</f>
        <v>0</v>
      </c>
      <c r="DM31" s="89">
        <f>$DI31*($R31-Klimaatdata!$B$8)*2.63</f>
        <v>0</v>
      </c>
      <c r="DN31" s="89">
        <f>$DI31*($R31-Klimaatdata!$B$9)*2.63</f>
        <v>0</v>
      </c>
      <c r="DO31" s="89">
        <f>$DI31*($R31-Klimaatdata!$B$10)*2.63</f>
        <v>0</v>
      </c>
      <c r="DP31" s="89">
        <f>$DI31*($R31-Klimaatdata!$B$11)*2.63</f>
        <v>0</v>
      </c>
      <c r="DQ31" s="89">
        <f>$DI31*($R31-Klimaatdata!$B$12)*2.63</f>
        <v>0</v>
      </c>
      <c r="DR31" s="89">
        <f>$DI31*($R31-Klimaatdata!$B$13)*2.63</f>
        <v>0</v>
      </c>
      <c r="DS31" s="89">
        <f>$DI31*($R31-Klimaatdata!$B$14)*2.63</f>
        <v>0</v>
      </c>
      <c r="DT31" s="89">
        <f>$DI31*($R31-Klimaatdata!$B$15)*2.63</f>
        <v>0</v>
      </c>
      <c r="DU31" s="89">
        <f>$DI31*($R31-Klimaatdata!$B$16)*2.63</f>
        <v>0</v>
      </c>
      <c r="DV31" s="89">
        <f>$DI31*($R31-Klimaatdata!$B$17)*2.63</f>
        <v>0</v>
      </c>
      <c r="DW31" s="89">
        <f>$DI31*($R31-Klimaatdata!$B$18)*2.63</f>
        <v>0</v>
      </c>
      <c r="DX31" s="89"/>
      <c r="DY31" s="89">
        <f t="shared" si="69"/>
        <v>0</v>
      </c>
      <c r="DZ31" s="89">
        <v>0.1</v>
      </c>
      <c r="EA31" s="28">
        <v>1</v>
      </c>
      <c r="EB31" s="89">
        <f t="shared" si="70"/>
        <v>0</v>
      </c>
      <c r="EC31" s="89">
        <v>19</v>
      </c>
      <c r="ED31" s="89"/>
      <c r="EE31" s="89">
        <f>$EB31*($R31-Klimaatdata!$B$7)*2.63</f>
        <v>0</v>
      </c>
      <c r="EF31" s="89">
        <f>$EB31*($R31-Klimaatdata!$B$8)*2.63</f>
        <v>0</v>
      </c>
      <c r="EG31" s="89">
        <f>$EB31*($R31-Klimaatdata!$B$9)*2.63</f>
        <v>0</v>
      </c>
      <c r="EH31" s="89">
        <f>$EB31*($R31-Klimaatdata!$B$10)*2.63</f>
        <v>0</v>
      </c>
      <c r="EI31" s="89">
        <f>$EB31*($R31-Klimaatdata!$B$11)*2.63</f>
        <v>0</v>
      </c>
      <c r="EJ31" s="89">
        <f>$EB31*($R31-Klimaatdata!$B$12)*2.63</f>
        <v>0</v>
      </c>
      <c r="EK31" s="89">
        <f>$EB31*($R31-Klimaatdata!$B$13)*2.63</f>
        <v>0</v>
      </c>
      <c r="EL31" s="89">
        <f>$EB31*($R31-Klimaatdata!$B$14)*2.63</f>
        <v>0</v>
      </c>
      <c r="EM31" s="89">
        <f>$EB31*($R31-Klimaatdata!$B$15)*2.63</f>
        <v>0</v>
      </c>
      <c r="EN31" s="89">
        <f>$EB31*($R31-Klimaatdata!$B$16)*2.63</f>
        <v>0</v>
      </c>
      <c r="EO31" s="89">
        <f>$EB31*($R31-Klimaatdata!$B$17)*2.63</f>
        <v>0</v>
      </c>
      <c r="EP31" s="89">
        <f>$EB31*($R31-Klimaatdata!$B$18)*2.63</f>
        <v>0</v>
      </c>
      <c r="EQ31" s="25"/>
      <c r="ER31" s="89">
        <f t="shared" si="30"/>
        <v>0</v>
      </c>
      <c r="ES31" s="89"/>
      <c r="ET31" s="89">
        <f>INDEX(Klimaatdata!$B$27:$K$38,1,$B31)</f>
        <v>0</v>
      </c>
      <c r="EU31" s="89">
        <f>INDEX(Klimaatdata!$B$27:$K$38,2,$B31)</f>
        <v>0</v>
      </c>
      <c r="EV31" s="89">
        <f>INDEX(Klimaatdata!$B$27:$K$38,3,$B31)</f>
        <v>0</v>
      </c>
      <c r="EW31" s="89">
        <f>INDEX(Klimaatdata!$B$27:$K$38,4,$B31)</f>
        <v>0</v>
      </c>
      <c r="EX31" s="89">
        <f>INDEX(Klimaatdata!$B$27:$K$38,5,$B31)</f>
        <v>0</v>
      </c>
      <c r="EY31" s="89">
        <f>INDEX(Klimaatdata!$B$27:$K$38,6,$B31)</f>
        <v>0</v>
      </c>
      <c r="EZ31" s="89">
        <f>INDEX(Klimaatdata!$B$27:$K$38,7,$B31)</f>
        <v>0</v>
      </c>
      <c r="FA31" s="89">
        <f>INDEX(Klimaatdata!$B$27:$K$38,8,$B31)</f>
        <v>0</v>
      </c>
      <c r="FB31" s="89">
        <f>INDEX(Klimaatdata!$B$27:$K$38,9,$B31)</f>
        <v>0</v>
      </c>
      <c r="FC31" s="89">
        <f>INDEX(Klimaatdata!$B$27:$K$38,10,$B31)</f>
        <v>0</v>
      </c>
      <c r="FD31" s="89">
        <f>INDEX(Klimaatdata!$B$27:$K$38,11,$B31)</f>
        <v>0</v>
      </c>
      <c r="FE31" s="89">
        <f>INDEX(Klimaatdata!$B$27:$K$38,12,$B31)</f>
        <v>0</v>
      </c>
      <c r="FG31">
        <f t="shared" si="71"/>
        <v>1</v>
      </c>
      <c r="FH31">
        <f t="shared" si="72"/>
        <v>1</v>
      </c>
      <c r="FI31">
        <f t="shared" si="73"/>
        <v>1</v>
      </c>
      <c r="FJ31">
        <f t="shared" si="74"/>
        <v>1</v>
      </c>
      <c r="FK31">
        <f t="shared" si="75"/>
        <v>1</v>
      </c>
      <c r="FL31">
        <f t="shared" si="76"/>
        <v>1</v>
      </c>
      <c r="FM31">
        <f t="shared" si="77"/>
        <v>1</v>
      </c>
      <c r="FN31">
        <f t="shared" si="78"/>
        <v>1</v>
      </c>
      <c r="FO31">
        <f t="shared" si="79"/>
        <v>1</v>
      </c>
      <c r="FP31">
        <f t="shared" si="80"/>
        <v>1</v>
      </c>
      <c r="FQ31">
        <f t="shared" si="81"/>
        <v>1</v>
      </c>
      <c r="FR31">
        <f t="shared" si="82"/>
        <v>1</v>
      </c>
      <c r="FT31" s="219">
        <f>Klimaatdata!$D$7*ET31*FG31*$ER31*$G31*0.75</f>
        <v>0</v>
      </c>
      <c r="FU31" s="219">
        <f>Klimaatdata!$E$7*EU31*FH31*$ER31*$G31*0.75</f>
        <v>0</v>
      </c>
      <c r="FV31" s="219">
        <f>Klimaatdata!$F$7*EV31*FI31*$ER31*$G31*0.75</f>
        <v>0</v>
      </c>
      <c r="FW31" s="219">
        <f>Klimaatdata!$G$7*EW31*FJ31*$ER31*$G31*0.75</f>
        <v>0</v>
      </c>
      <c r="FX31" s="219">
        <f>Klimaatdata!$H$7*EX31*FK31*$ER31*$G31*0.75</f>
        <v>0</v>
      </c>
      <c r="FY31" s="219">
        <f>Klimaatdata!$I$7*EY31*FL31*$ER31*$G31*0.75</f>
        <v>0</v>
      </c>
      <c r="FZ31" s="219">
        <f>Klimaatdata!$J$7*EZ31*FM31*$ER31*$G31*0.75</f>
        <v>0</v>
      </c>
      <c r="GA31" s="219">
        <f>Klimaatdata!$K$7*FA31*FN31*$ER31*$G31*0.75</f>
        <v>0</v>
      </c>
      <c r="GB31" s="219">
        <f>Klimaatdata!$L$7*FB31*FO31*$ER31*$G31*0.75</f>
        <v>0</v>
      </c>
      <c r="GC31" s="219">
        <f>Klimaatdata!$M$7*FC31*FP31*$ER31*$G31*0.75</f>
        <v>0</v>
      </c>
      <c r="GD31" s="219">
        <f>Klimaatdata!$N$7*FD31*FQ31*$ER31*$G31*0.75</f>
        <v>0</v>
      </c>
      <c r="GE31" s="219">
        <f>Klimaatdata!$O$7*FE31*FR31*$ER31*$G31*0.75</f>
        <v>0</v>
      </c>
      <c r="GG31">
        <f t="shared" si="43"/>
        <v>0</v>
      </c>
      <c r="GH31">
        <f t="shared" si="44"/>
        <v>0</v>
      </c>
      <c r="GI31">
        <f t="shared" si="83"/>
        <v>0</v>
      </c>
      <c r="GJ31">
        <f t="shared" si="84"/>
        <v>0</v>
      </c>
      <c r="GK31">
        <f t="shared" si="85"/>
        <v>0</v>
      </c>
      <c r="GL31">
        <f t="shared" si="86"/>
        <v>0</v>
      </c>
      <c r="GM31">
        <f t="shared" si="87"/>
        <v>0</v>
      </c>
      <c r="GN31">
        <f t="shared" si="88"/>
        <v>0</v>
      </c>
      <c r="GO31">
        <f>'Invoer Gebouwschil'!Q31</f>
        <v>0</v>
      </c>
      <c r="GP31">
        <f t="shared" si="89"/>
        <v>0</v>
      </c>
      <c r="GR31">
        <f t="shared" si="90"/>
        <v>1</v>
      </c>
      <c r="GS31">
        <f t="shared" si="91"/>
        <v>0</v>
      </c>
      <c r="GT31">
        <f t="shared" si="92"/>
        <v>0</v>
      </c>
      <c r="GU31">
        <f t="shared" si="93"/>
        <v>0</v>
      </c>
      <c r="GV31">
        <f t="shared" si="94"/>
        <v>0</v>
      </c>
      <c r="GW31">
        <f t="shared" si="95"/>
        <v>0</v>
      </c>
      <c r="GX31">
        <f t="shared" si="96"/>
        <v>0</v>
      </c>
      <c r="GZ31" s="12">
        <f t="shared" si="59"/>
        <v>0</v>
      </c>
      <c r="HA31" s="13">
        <f t="shared" si="60"/>
        <v>0</v>
      </c>
      <c r="HB31" s="13">
        <f t="shared" si="61"/>
        <v>0</v>
      </c>
      <c r="HC31" s="14">
        <f t="shared" si="62"/>
        <v>0</v>
      </c>
      <c r="HE31" s="12">
        <f t="shared" si="63"/>
        <v>0</v>
      </c>
      <c r="HF31" s="13">
        <f t="shared" si="64"/>
        <v>0</v>
      </c>
      <c r="HG31" s="13">
        <f t="shared" si="65"/>
        <v>0</v>
      </c>
      <c r="HH31" s="14">
        <f t="shared" si="66"/>
        <v>0</v>
      </c>
    </row>
    <row r="32" spans="1:216" x14ac:dyDescent="0.2">
      <c r="A32">
        <v>1</v>
      </c>
      <c r="B32">
        <v>1</v>
      </c>
      <c r="C32">
        <v>1</v>
      </c>
      <c r="D32">
        <f>'Invoer Gebouwschil'!D32</f>
        <v>0</v>
      </c>
      <c r="E32">
        <v>1</v>
      </c>
      <c r="F32">
        <v>1</v>
      </c>
      <c r="G32">
        <f>'Invoer Gebouwschil'!H32</f>
        <v>0</v>
      </c>
      <c r="H32">
        <v>1</v>
      </c>
      <c r="I32">
        <v>1</v>
      </c>
      <c r="K32" s="89">
        <f>INDEX('Verwerking Bouwdelen'!$BH$79:$BH$103,'Verwerking Bouwdelen'!E32)</f>
        <v>0</v>
      </c>
      <c r="L32" s="89">
        <v>0.13</v>
      </c>
      <c r="M32" s="89">
        <f t="shared" si="14"/>
        <v>0</v>
      </c>
      <c r="N32" s="89">
        <f>IF(F32=6,1/((1/1/(L33+M33+'Invoer Gebouwschil'!F32))+5),1/(L32+M32+'Invoer Gebouwschil'!F32))</f>
        <v>7.6923076923076916</v>
      </c>
      <c r="O32" s="89">
        <v>0.1</v>
      </c>
      <c r="P32" s="28">
        <f t="shared" si="15"/>
        <v>1</v>
      </c>
      <c r="Q32" s="89">
        <f t="shared" si="0"/>
        <v>0</v>
      </c>
      <c r="R32" s="89">
        <v>19</v>
      </c>
      <c r="S32" s="89"/>
      <c r="T32" s="89">
        <f>$Q32*($R32-Klimaatdata!$B$7)*2.63</f>
        <v>0</v>
      </c>
      <c r="U32" s="89">
        <f>$Q32*($R32-Klimaatdata!$B$8)*2.63</f>
        <v>0</v>
      </c>
      <c r="V32" s="89">
        <f>$Q32*($R32-Klimaatdata!$B$9)*2.63</f>
        <v>0</v>
      </c>
      <c r="W32" s="89">
        <f>$Q32*($R32-Klimaatdata!$B$10)*2.63</f>
        <v>0</v>
      </c>
      <c r="X32" s="89">
        <f>$Q32*($R32-Klimaatdata!$B$11)*2.63</f>
        <v>0</v>
      </c>
      <c r="Y32" s="89">
        <f>$Q32*($R32-Klimaatdata!$B$12)*2.63</f>
        <v>0</v>
      </c>
      <c r="Z32" s="89">
        <f>$Q32*($R32-Klimaatdata!$B$13)*2.63</f>
        <v>0</v>
      </c>
      <c r="AA32" s="89">
        <f>$Q32*($R32-Klimaatdata!$B$14)*2.63</f>
        <v>0</v>
      </c>
      <c r="AB32" s="89">
        <f>$Q32*($R32-Klimaatdata!$B$15)*2.63</f>
        <v>0</v>
      </c>
      <c r="AC32" s="89">
        <f>$Q32*($R32-Klimaatdata!$B$16)*2.63</f>
        <v>0</v>
      </c>
      <c r="AD32" s="89">
        <f>$Q32*($R32-Klimaatdata!$B$17)*2.63</f>
        <v>0</v>
      </c>
      <c r="AE32" s="89">
        <f>$Q32*($R32-Klimaatdata!$B$18)*2.63</f>
        <v>0</v>
      </c>
      <c r="AF32" s="89"/>
      <c r="AG32" s="205">
        <f t="shared" si="16"/>
        <v>0</v>
      </c>
      <c r="AH32" s="25">
        <f t="shared" si="17"/>
        <v>0</v>
      </c>
      <c r="AI32" s="25">
        <f t="shared" si="18"/>
        <v>0</v>
      </c>
      <c r="AJ32" s="206">
        <f t="shared" si="19"/>
        <v>0</v>
      </c>
      <c r="AK32" s="25"/>
      <c r="AL32" s="89">
        <f t="shared" si="20"/>
        <v>1</v>
      </c>
      <c r="AM32" s="89">
        <f t="shared" si="21"/>
        <v>0</v>
      </c>
      <c r="AN32" s="89">
        <f t="shared" si="22"/>
        <v>0</v>
      </c>
      <c r="AO32" s="89">
        <f t="shared" si="23"/>
        <v>0</v>
      </c>
      <c r="AP32" s="89">
        <v>0.1</v>
      </c>
      <c r="AQ32" s="28">
        <v>1</v>
      </c>
      <c r="AR32" s="89">
        <f t="shared" si="1"/>
        <v>0</v>
      </c>
      <c r="AS32" s="89">
        <v>19</v>
      </c>
      <c r="AT32" s="89"/>
      <c r="AU32" s="89">
        <f>$AR32*($R32-Klimaatdata!$B$7)*2.63</f>
        <v>0</v>
      </c>
      <c r="AV32" s="89">
        <f>$AR32*($R32-Klimaatdata!$B$8)*2.63</f>
        <v>0</v>
      </c>
      <c r="AW32" s="89">
        <f>$AR32*($R32-Klimaatdata!$B$9)*2.63</f>
        <v>0</v>
      </c>
      <c r="AX32" s="89">
        <f>$AR32*($R32-Klimaatdata!$B$10)*2.63</f>
        <v>0</v>
      </c>
      <c r="AY32" s="89">
        <f>$AR32*($R32-Klimaatdata!$B$11)*2.63</f>
        <v>0</v>
      </c>
      <c r="AZ32" s="89">
        <f>$AR32*($R32-Klimaatdata!$B$12)*2.63</f>
        <v>0</v>
      </c>
      <c r="BA32" s="89">
        <f>$AR32*($R32-Klimaatdata!$B$13)*2.63</f>
        <v>0</v>
      </c>
      <c r="BB32" s="89">
        <f>$AR32*($R32-Klimaatdata!$B$14)*2.63</f>
        <v>0</v>
      </c>
      <c r="BC32" s="89">
        <f>$AR32*($R32-Klimaatdata!$B$15)*2.63</f>
        <v>0</v>
      </c>
      <c r="BD32" s="89">
        <f>$AR32*($R32-Klimaatdata!$B$16)*2.63</f>
        <v>0</v>
      </c>
      <c r="BE32" s="89">
        <f>$AR32*($R32-Klimaatdata!$B$17)*2.63</f>
        <v>0</v>
      </c>
      <c r="BF32" s="89">
        <f>$AR32*($R32-Klimaatdata!$B$18)*2.63</f>
        <v>0</v>
      </c>
      <c r="BG32" s="25"/>
      <c r="BH32" s="89">
        <f>INDEX('Verwerking Bouwdelen'!$Y$106:$Y$130,H32)</f>
        <v>0</v>
      </c>
      <c r="BI32" s="89"/>
      <c r="BJ32" s="89">
        <f>INDEX(Klimaatdata!$B$27:$K$38,1,$B32)</f>
        <v>0</v>
      </c>
      <c r="BK32" s="89">
        <f>INDEX(Klimaatdata!$B$27:$K$38,2,$B32)</f>
        <v>0</v>
      </c>
      <c r="BL32" s="89">
        <f>INDEX(Klimaatdata!$B$27:$K$38,3,$B32)</f>
        <v>0</v>
      </c>
      <c r="BM32" s="89">
        <f>INDEX(Klimaatdata!$B$27:$K$38,4,$B32)</f>
        <v>0</v>
      </c>
      <c r="BN32" s="89">
        <f>INDEX(Klimaatdata!$B$27:$K$38,5,$B32)</f>
        <v>0</v>
      </c>
      <c r="BO32" s="89">
        <f>INDEX(Klimaatdata!$B$27:$K$38,6,$B32)</f>
        <v>0</v>
      </c>
      <c r="BP32" s="89">
        <f>INDEX(Klimaatdata!$B$27:$K$38,7,$B32)</f>
        <v>0</v>
      </c>
      <c r="BQ32" s="89">
        <f>INDEX(Klimaatdata!$B$27:$K$38,8,$B32)</f>
        <v>0</v>
      </c>
      <c r="BR32" s="89">
        <f>INDEX(Klimaatdata!$B$27:$K$38,9,$B32)</f>
        <v>0</v>
      </c>
      <c r="BS32" s="89">
        <f>INDEX(Klimaatdata!$B$27:$K$38,10,$B32)</f>
        <v>0</v>
      </c>
      <c r="BT32" s="89">
        <f>INDEX(Klimaatdata!$B$27:$K$38,11,$B32)</f>
        <v>0</v>
      </c>
      <c r="BU32" s="89">
        <f>INDEX(Klimaatdata!$B$27:$K$38,12,$B32)</f>
        <v>0</v>
      </c>
      <c r="BW32">
        <f t="shared" si="2"/>
        <v>1</v>
      </c>
      <c r="BX32">
        <f t="shared" si="3"/>
        <v>1</v>
      </c>
      <c r="BY32">
        <f t="shared" si="4"/>
        <v>1</v>
      </c>
      <c r="BZ32">
        <f t="shared" si="5"/>
        <v>1</v>
      </c>
      <c r="CA32">
        <f t="shared" si="6"/>
        <v>1</v>
      </c>
      <c r="CB32">
        <f t="shared" si="7"/>
        <v>1</v>
      </c>
      <c r="CC32">
        <f t="shared" si="8"/>
        <v>1</v>
      </c>
      <c r="CD32">
        <f t="shared" si="9"/>
        <v>1</v>
      </c>
      <c r="CE32">
        <f t="shared" si="10"/>
        <v>1</v>
      </c>
      <c r="CF32">
        <f t="shared" si="11"/>
        <v>1</v>
      </c>
      <c r="CG32">
        <f t="shared" si="12"/>
        <v>1</v>
      </c>
      <c r="CH32">
        <f t="shared" si="13"/>
        <v>1</v>
      </c>
      <c r="CJ32" s="219">
        <f>Klimaatdata!$D$7*BJ32*BW32*$BH32*$G32*0.75</f>
        <v>0</v>
      </c>
      <c r="CK32" s="219">
        <f>Klimaatdata!$E$7*BK32*BX32*$BH32*$G32*0.75</f>
        <v>0</v>
      </c>
      <c r="CL32" s="219">
        <f>Klimaatdata!$F$7*BL32*BY32*$BH32*$G32*0.75</f>
        <v>0</v>
      </c>
      <c r="CM32" s="219">
        <f>Klimaatdata!$G$7*BM32*BZ32*$BH32*$G32*0.75</f>
        <v>0</v>
      </c>
      <c r="CN32" s="219">
        <f>Klimaatdata!$H$7*BN32*CA32*$BH32*$G32*0.75</f>
        <v>0</v>
      </c>
      <c r="CO32" s="219">
        <f>Klimaatdata!$I$7*BO32*CB32*$BH32*$G32*0.75</f>
        <v>0</v>
      </c>
      <c r="CP32" s="219">
        <f>Klimaatdata!$J$7*BP32*CC32*$BH32*$G32*0.75</f>
        <v>0</v>
      </c>
      <c r="CQ32" s="219">
        <f>Klimaatdata!$K$7*BQ32*CD32*$BH32*$G32*0.75</f>
        <v>0</v>
      </c>
      <c r="CR32" s="219">
        <f>Klimaatdata!$L$7*BR32*CE32*$BH32*$G32*0.75</f>
        <v>0</v>
      </c>
      <c r="CS32" s="219">
        <f>Klimaatdata!$M$7*BS32*CF32*$BH32*$G32*0.75</f>
        <v>0</v>
      </c>
      <c r="CT32" s="219">
        <f>Klimaatdata!$N$7*BT32*CG32*$BH32*$G32*0.75</f>
        <v>0</v>
      </c>
      <c r="CU32" s="219">
        <f>Klimaatdata!$O$7*BU32*CH32*$BH32*$G32*0.75</f>
        <v>0</v>
      </c>
      <c r="CX32">
        <v>1</v>
      </c>
      <c r="CY32">
        <v>1</v>
      </c>
      <c r="CZ32">
        <v>1</v>
      </c>
      <c r="DA32">
        <f>'Invoer Gebouwschil'!Q32</f>
        <v>0</v>
      </c>
      <c r="DC32" s="89">
        <f t="shared" si="24"/>
        <v>0</v>
      </c>
      <c r="DD32" s="89">
        <v>0.13</v>
      </c>
      <c r="DE32" s="89">
        <f t="shared" si="25"/>
        <v>0</v>
      </c>
      <c r="DF32" s="89">
        <f>IF(F32=6,1/((1/1/(DD32+DE32+'Invoer Gebouwschil'!M32))+5),1/(DD32+DE32+'Invoer Gebouwschil'!M32))</f>
        <v>7.6923076923076916</v>
      </c>
      <c r="DG32" s="89">
        <v>0.1</v>
      </c>
      <c r="DH32" s="28">
        <f t="shared" si="67"/>
        <v>1</v>
      </c>
      <c r="DI32" s="89">
        <f t="shared" si="68"/>
        <v>0</v>
      </c>
      <c r="DJ32" s="89">
        <v>19</v>
      </c>
      <c r="DK32" s="89"/>
      <c r="DL32" s="89">
        <f>$DI32*($R32-Klimaatdata!$B$7)*2.63</f>
        <v>0</v>
      </c>
      <c r="DM32" s="89">
        <f>$DI32*($R32-Klimaatdata!$B$8)*2.63</f>
        <v>0</v>
      </c>
      <c r="DN32" s="89">
        <f>$DI32*($R32-Klimaatdata!$B$9)*2.63</f>
        <v>0</v>
      </c>
      <c r="DO32" s="89">
        <f>$DI32*($R32-Klimaatdata!$B$10)*2.63</f>
        <v>0</v>
      </c>
      <c r="DP32" s="89">
        <f>$DI32*($R32-Klimaatdata!$B$11)*2.63</f>
        <v>0</v>
      </c>
      <c r="DQ32" s="89">
        <f>$DI32*($R32-Klimaatdata!$B$12)*2.63</f>
        <v>0</v>
      </c>
      <c r="DR32" s="89">
        <f>$DI32*($R32-Klimaatdata!$B$13)*2.63</f>
        <v>0</v>
      </c>
      <c r="DS32" s="89">
        <f>$DI32*($R32-Klimaatdata!$B$14)*2.63</f>
        <v>0</v>
      </c>
      <c r="DT32" s="89">
        <f>$DI32*($R32-Klimaatdata!$B$15)*2.63</f>
        <v>0</v>
      </c>
      <c r="DU32" s="89">
        <f>$DI32*($R32-Klimaatdata!$B$16)*2.63</f>
        <v>0</v>
      </c>
      <c r="DV32" s="89">
        <f>$DI32*($R32-Klimaatdata!$B$17)*2.63</f>
        <v>0</v>
      </c>
      <c r="DW32" s="89">
        <f>$DI32*($R32-Klimaatdata!$B$18)*2.63</f>
        <v>0</v>
      </c>
      <c r="DX32" s="89"/>
      <c r="DY32" s="89">
        <f t="shared" si="69"/>
        <v>0</v>
      </c>
      <c r="DZ32" s="89">
        <v>0.1</v>
      </c>
      <c r="EA32" s="28">
        <v>1</v>
      </c>
      <c r="EB32" s="89">
        <f t="shared" si="70"/>
        <v>0</v>
      </c>
      <c r="EC32" s="89">
        <v>19</v>
      </c>
      <c r="ED32" s="89"/>
      <c r="EE32" s="89">
        <f>$EB32*($R32-Klimaatdata!$B$7)*2.63</f>
        <v>0</v>
      </c>
      <c r="EF32" s="89">
        <f>$EB32*($R32-Klimaatdata!$B$8)*2.63</f>
        <v>0</v>
      </c>
      <c r="EG32" s="89">
        <f>$EB32*($R32-Klimaatdata!$B$9)*2.63</f>
        <v>0</v>
      </c>
      <c r="EH32" s="89">
        <f>$EB32*($R32-Klimaatdata!$B$10)*2.63</f>
        <v>0</v>
      </c>
      <c r="EI32" s="89">
        <f>$EB32*($R32-Klimaatdata!$B$11)*2.63</f>
        <v>0</v>
      </c>
      <c r="EJ32" s="89">
        <f>$EB32*($R32-Klimaatdata!$B$12)*2.63</f>
        <v>0</v>
      </c>
      <c r="EK32" s="89">
        <f>$EB32*($R32-Klimaatdata!$B$13)*2.63</f>
        <v>0</v>
      </c>
      <c r="EL32" s="89">
        <f>$EB32*($R32-Klimaatdata!$B$14)*2.63</f>
        <v>0</v>
      </c>
      <c r="EM32" s="89">
        <f>$EB32*($R32-Klimaatdata!$B$15)*2.63</f>
        <v>0</v>
      </c>
      <c r="EN32" s="89">
        <f>$EB32*($R32-Klimaatdata!$B$16)*2.63</f>
        <v>0</v>
      </c>
      <c r="EO32" s="89">
        <f>$EB32*($R32-Klimaatdata!$B$17)*2.63</f>
        <v>0</v>
      </c>
      <c r="EP32" s="89">
        <f>$EB32*($R32-Klimaatdata!$B$18)*2.63</f>
        <v>0</v>
      </c>
      <c r="EQ32" s="25"/>
      <c r="ER32" s="89">
        <f t="shared" si="30"/>
        <v>0</v>
      </c>
      <c r="ES32" s="89"/>
      <c r="ET32" s="89">
        <f>INDEX(Klimaatdata!$B$27:$K$38,1,$B32)</f>
        <v>0</v>
      </c>
      <c r="EU32" s="89">
        <f>INDEX(Klimaatdata!$B$27:$K$38,2,$B32)</f>
        <v>0</v>
      </c>
      <c r="EV32" s="89">
        <f>INDEX(Klimaatdata!$B$27:$K$38,3,$B32)</f>
        <v>0</v>
      </c>
      <c r="EW32" s="89">
        <f>INDEX(Klimaatdata!$B$27:$K$38,4,$B32)</f>
        <v>0</v>
      </c>
      <c r="EX32" s="89">
        <f>INDEX(Klimaatdata!$B$27:$K$38,5,$B32)</f>
        <v>0</v>
      </c>
      <c r="EY32" s="89">
        <f>INDEX(Klimaatdata!$B$27:$K$38,6,$B32)</f>
        <v>0</v>
      </c>
      <c r="EZ32" s="89">
        <f>INDEX(Klimaatdata!$B$27:$K$38,7,$B32)</f>
        <v>0</v>
      </c>
      <c r="FA32" s="89">
        <f>INDEX(Klimaatdata!$B$27:$K$38,8,$B32)</f>
        <v>0</v>
      </c>
      <c r="FB32" s="89">
        <f>INDEX(Klimaatdata!$B$27:$K$38,9,$B32)</f>
        <v>0</v>
      </c>
      <c r="FC32" s="89">
        <f>INDEX(Klimaatdata!$B$27:$K$38,10,$B32)</f>
        <v>0</v>
      </c>
      <c r="FD32" s="89">
        <f>INDEX(Klimaatdata!$B$27:$K$38,11,$B32)</f>
        <v>0</v>
      </c>
      <c r="FE32" s="89">
        <f>INDEX(Klimaatdata!$B$27:$K$38,12,$B32)</f>
        <v>0</v>
      </c>
      <c r="FG32">
        <f t="shared" si="71"/>
        <v>1</v>
      </c>
      <c r="FH32">
        <f t="shared" si="72"/>
        <v>1</v>
      </c>
      <c r="FI32">
        <f t="shared" si="73"/>
        <v>1</v>
      </c>
      <c r="FJ32">
        <f t="shared" si="74"/>
        <v>1</v>
      </c>
      <c r="FK32">
        <f t="shared" si="75"/>
        <v>1</v>
      </c>
      <c r="FL32">
        <f t="shared" si="76"/>
        <v>1</v>
      </c>
      <c r="FM32">
        <f t="shared" si="77"/>
        <v>1</v>
      </c>
      <c r="FN32">
        <f t="shared" si="78"/>
        <v>1</v>
      </c>
      <c r="FO32">
        <f t="shared" si="79"/>
        <v>1</v>
      </c>
      <c r="FP32">
        <f t="shared" si="80"/>
        <v>1</v>
      </c>
      <c r="FQ32">
        <f t="shared" si="81"/>
        <v>1</v>
      </c>
      <c r="FR32">
        <f t="shared" si="82"/>
        <v>1</v>
      </c>
      <c r="FT32" s="219">
        <f>Klimaatdata!$D$7*ET32*FG32*$ER32*$G32*0.75</f>
        <v>0</v>
      </c>
      <c r="FU32" s="219">
        <f>Klimaatdata!$E$7*EU32*FH32*$ER32*$G32*0.75</f>
        <v>0</v>
      </c>
      <c r="FV32" s="219">
        <f>Klimaatdata!$F$7*EV32*FI32*$ER32*$G32*0.75</f>
        <v>0</v>
      </c>
      <c r="FW32" s="219">
        <f>Klimaatdata!$G$7*EW32*FJ32*$ER32*$G32*0.75</f>
        <v>0</v>
      </c>
      <c r="FX32" s="219">
        <f>Klimaatdata!$H$7*EX32*FK32*$ER32*$G32*0.75</f>
        <v>0</v>
      </c>
      <c r="FY32" s="219">
        <f>Klimaatdata!$I$7*EY32*FL32*$ER32*$G32*0.75</f>
        <v>0</v>
      </c>
      <c r="FZ32" s="219">
        <f>Klimaatdata!$J$7*EZ32*FM32*$ER32*$G32*0.75</f>
        <v>0</v>
      </c>
      <c r="GA32" s="219">
        <f>Klimaatdata!$K$7*FA32*FN32*$ER32*$G32*0.75</f>
        <v>0</v>
      </c>
      <c r="GB32" s="219">
        <f>Klimaatdata!$L$7*FB32*FO32*$ER32*$G32*0.75</f>
        <v>0</v>
      </c>
      <c r="GC32" s="219">
        <f>Klimaatdata!$M$7*FC32*FP32*$ER32*$G32*0.75</f>
        <v>0</v>
      </c>
      <c r="GD32" s="219">
        <f>Klimaatdata!$N$7*FD32*FQ32*$ER32*$G32*0.75</f>
        <v>0</v>
      </c>
      <c r="GE32" s="219">
        <f>Klimaatdata!$O$7*FE32*FR32*$ER32*$G32*0.75</f>
        <v>0</v>
      </c>
      <c r="GG32">
        <f t="shared" si="43"/>
        <v>0</v>
      </c>
      <c r="GH32">
        <f t="shared" si="44"/>
        <v>0</v>
      </c>
      <c r="GI32">
        <f t="shared" si="83"/>
        <v>0</v>
      </c>
      <c r="GJ32">
        <f t="shared" si="84"/>
        <v>0</v>
      </c>
      <c r="GK32">
        <f t="shared" si="85"/>
        <v>0</v>
      </c>
      <c r="GL32">
        <f t="shared" si="86"/>
        <v>0</v>
      </c>
      <c r="GM32">
        <f t="shared" si="87"/>
        <v>0</v>
      </c>
      <c r="GN32">
        <f t="shared" si="88"/>
        <v>0</v>
      </c>
      <c r="GO32">
        <f>'Invoer Gebouwschil'!Q32</f>
        <v>0</v>
      </c>
      <c r="GP32">
        <f t="shared" si="89"/>
        <v>0</v>
      </c>
      <c r="GR32">
        <f t="shared" si="90"/>
        <v>1</v>
      </c>
      <c r="GS32">
        <f t="shared" si="91"/>
        <v>0</v>
      </c>
      <c r="GT32">
        <f t="shared" si="92"/>
        <v>0</v>
      </c>
      <c r="GU32">
        <f t="shared" si="93"/>
        <v>0</v>
      </c>
      <c r="GV32">
        <f t="shared" si="94"/>
        <v>0</v>
      </c>
      <c r="GW32">
        <f t="shared" si="95"/>
        <v>0</v>
      </c>
      <c r="GX32">
        <f t="shared" si="96"/>
        <v>0</v>
      </c>
      <c r="GZ32" s="12">
        <f t="shared" si="59"/>
        <v>0</v>
      </c>
      <c r="HA32" s="13">
        <f t="shared" si="60"/>
        <v>0</v>
      </c>
      <c r="HB32" s="13">
        <f t="shared" si="61"/>
        <v>0</v>
      </c>
      <c r="HC32" s="14">
        <f t="shared" si="62"/>
        <v>0</v>
      </c>
      <c r="HE32" s="12">
        <f t="shared" si="63"/>
        <v>0</v>
      </c>
      <c r="HF32" s="13">
        <f t="shared" si="64"/>
        <v>0</v>
      </c>
      <c r="HG32" s="13">
        <f t="shared" si="65"/>
        <v>0</v>
      </c>
      <c r="HH32" s="14">
        <f t="shared" si="66"/>
        <v>0</v>
      </c>
    </row>
    <row r="33" spans="1:216" x14ac:dyDescent="0.2">
      <c r="A33">
        <v>1</v>
      </c>
      <c r="B33">
        <v>1</v>
      </c>
      <c r="C33">
        <v>1</v>
      </c>
      <c r="D33">
        <f>'Invoer Gebouwschil'!D33</f>
        <v>0</v>
      </c>
      <c r="E33">
        <v>1</v>
      </c>
      <c r="F33">
        <v>1</v>
      </c>
      <c r="G33">
        <f>'Invoer Gebouwschil'!H33</f>
        <v>0</v>
      </c>
      <c r="H33">
        <v>1</v>
      </c>
      <c r="I33">
        <v>1</v>
      </c>
      <c r="K33" s="89">
        <f>INDEX('Verwerking Bouwdelen'!$BJ$79:$BJ$103,'Verwerking Bouwdelen'!E33)</f>
        <v>0</v>
      </c>
      <c r="L33" s="89">
        <v>0.13</v>
      </c>
      <c r="M33" s="89">
        <f t="shared" si="14"/>
        <v>0</v>
      </c>
      <c r="N33" s="89">
        <f>IF(F33=6,1/((1/1/(L34+M34+'Invoer Gebouwschil'!F33))+5),1/(L33+M33+'Invoer Gebouwschil'!F33))</f>
        <v>7.6923076923076916</v>
      </c>
      <c r="O33" s="89">
        <v>0.1</v>
      </c>
      <c r="P33" s="28">
        <f t="shared" si="15"/>
        <v>1</v>
      </c>
      <c r="Q33" s="89">
        <f t="shared" si="0"/>
        <v>0</v>
      </c>
      <c r="R33" s="89">
        <v>19</v>
      </c>
      <c r="S33" s="89"/>
      <c r="T33" s="89">
        <f>$Q33*($R33-Klimaatdata!$B$7)*2.63</f>
        <v>0</v>
      </c>
      <c r="U33" s="89">
        <f>$Q33*($R33-Klimaatdata!$B$8)*2.63</f>
        <v>0</v>
      </c>
      <c r="V33" s="89">
        <f>$Q33*($R33-Klimaatdata!$B$9)*2.63</f>
        <v>0</v>
      </c>
      <c r="W33" s="89">
        <f>$Q33*($R33-Klimaatdata!$B$10)*2.63</f>
        <v>0</v>
      </c>
      <c r="X33" s="89">
        <f>$Q33*($R33-Klimaatdata!$B$11)*2.63</f>
        <v>0</v>
      </c>
      <c r="Y33" s="89">
        <f>$Q33*($R33-Klimaatdata!$B$12)*2.63</f>
        <v>0</v>
      </c>
      <c r="Z33" s="89">
        <f>$Q33*($R33-Klimaatdata!$B$13)*2.63</f>
        <v>0</v>
      </c>
      <c r="AA33" s="89">
        <f>$Q33*($R33-Klimaatdata!$B$14)*2.63</f>
        <v>0</v>
      </c>
      <c r="AB33" s="89">
        <f>$Q33*($R33-Klimaatdata!$B$15)*2.63</f>
        <v>0</v>
      </c>
      <c r="AC33" s="89">
        <f>$Q33*($R33-Klimaatdata!$B$16)*2.63</f>
        <v>0</v>
      </c>
      <c r="AD33" s="89">
        <f>$Q33*($R33-Klimaatdata!$B$17)*2.63</f>
        <v>0</v>
      </c>
      <c r="AE33" s="89">
        <f>$Q33*($R33-Klimaatdata!$B$18)*2.63</f>
        <v>0</v>
      </c>
      <c r="AF33" s="89"/>
      <c r="AG33" s="205">
        <f t="shared" si="16"/>
        <v>0</v>
      </c>
      <c r="AH33" s="25">
        <f t="shared" si="17"/>
        <v>0</v>
      </c>
      <c r="AI33" s="25">
        <f t="shared" si="18"/>
        <v>0</v>
      </c>
      <c r="AJ33" s="206">
        <f t="shared" si="19"/>
        <v>0</v>
      </c>
      <c r="AK33" s="25"/>
      <c r="AL33" s="89">
        <f t="shared" si="20"/>
        <v>1</v>
      </c>
      <c r="AM33" s="89">
        <f t="shared" si="21"/>
        <v>0</v>
      </c>
      <c r="AN33" s="89">
        <f t="shared" si="22"/>
        <v>0</v>
      </c>
      <c r="AO33" s="89">
        <f t="shared" si="23"/>
        <v>0</v>
      </c>
      <c r="AP33" s="89">
        <v>0.1</v>
      </c>
      <c r="AQ33" s="28">
        <v>1</v>
      </c>
      <c r="AR33" s="89">
        <f t="shared" si="1"/>
        <v>0</v>
      </c>
      <c r="AS33" s="89">
        <v>19</v>
      </c>
      <c r="AT33" s="89"/>
      <c r="AU33" s="89">
        <f>$AR33*($R33-Klimaatdata!$B$7)*2.63</f>
        <v>0</v>
      </c>
      <c r="AV33" s="89">
        <f>$AR33*($R33-Klimaatdata!$B$8)*2.63</f>
        <v>0</v>
      </c>
      <c r="AW33" s="89">
        <f>$AR33*($R33-Klimaatdata!$B$9)*2.63</f>
        <v>0</v>
      </c>
      <c r="AX33" s="89">
        <f>$AR33*($R33-Klimaatdata!$B$10)*2.63</f>
        <v>0</v>
      </c>
      <c r="AY33" s="89">
        <f>$AR33*($R33-Klimaatdata!$B$11)*2.63</f>
        <v>0</v>
      </c>
      <c r="AZ33" s="89">
        <f>$AR33*($R33-Klimaatdata!$B$12)*2.63</f>
        <v>0</v>
      </c>
      <c r="BA33" s="89">
        <f>$AR33*($R33-Klimaatdata!$B$13)*2.63</f>
        <v>0</v>
      </c>
      <c r="BB33" s="89">
        <f>$AR33*($R33-Klimaatdata!$B$14)*2.63</f>
        <v>0</v>
      </c>
      <c r="BC33" s="89">
        <f>$AR33*($R33-Klimaatdata!$B$15)*2.63</f>
        <v>0</v>
      </c>
      <c r="BD33" s="89">
        <f>$AR33*($R33-Klimaatdata!$B$16)*2.63</f>
        <v>0</v>
      </c>
      <c r="BE33" s="89">
        <f>$AR33*($R33-Klimaatdata!$B$17)*2.63</f>
        <v>0</v>
      </c>
      <c r="BF33" s="89">
        <f>$AR33*($R33-Klimaatdata!$B$18)*2.63</f>
        <v>0</v>
      </c>
      <c r="BG33" s="25"/>
      <c r="BH33" s="89">
        <f>INDEX('Verwerking Bouwdelen'!$Y$106:$Y$130,H33)</f>
        <v>0</v>
      </c>
      <c r="BI33" s="89"/>
      <c r="BJ33" s="89">
        <f>INDEX(Klimaatdata!$B$27:$K$38,1,$B33)</f>
        <v>0</v>
      </c>
      <c r="BK33" s="89">
        <f>INDEX(Klimaatdata!$B$27:$K$38,2,$B33)</f>
        <v>0</v>
      </c>
      <c r="BL33" s="89">
        <f>INDEX(Klimaatdata!$B$27:$K$38,3,$B33)</f>
        <v>0</v>
      </c>
      <c r="BM33" s="89">
        <f>INDEX(Klimaatdata!$B$27:$K$38,4,$B33)</f>
        <v>0</v>
      </c>
      <c r="BN33" s="89">
        <f>INDEX(Klimaatdata!$B$27:$K$38,5,$B33)</f>
        <v>0</v>
      </c>
      <c r="BO33" s="89">
        <f>INDEX(Klimaatdata!$B$27:$K$38,6,$B33)</f>
        <v>0</v>
      </c>
      <c r="BP33" s="89">
        <f>INDEX(Klimaatdata!$B$27:$K$38,7,$B33)</f>
        <v>0</v>
      </c>
      <c r="BQ33" s="89">
        <f>INDEX(Klimaatdata!$B$27:$K$38,8,$B33)</f>
        <v>0</v>
      </c>
      <c r="BR33" s="89">
        <f>INDEX(Klimaatdata!$B$27:$K$38,9,$B33)</f>
        <v>0</v>
      </c>
      <c r="BS33" s="89">
        <f>INDEX(Klimaatdata!$B$27:$K$38,10,$B33)</f>
        <v>0</v>
      </c>
      <c r="BT33" s="89">
        <f>INDEX(Klimaatdata!$B$27:$K$38,11,$B33)</f>
        <v>0</v>
      </c>
      <c r="BU33" s="89">
        <f>INDEX(Klimaatdata!$B$27:$K$38,12,$B33)</f>
        <v>0</v>
      </c>
      <c r="BW33">
        <f t="shared" si="2"/>
        <v>1</v>
      </c>
      <c r="BX33">
        <f t="shared" si="3"/>
        <v>1</v>
      </c>
      <c r="BY33">
        <f t="shared" si="4"/>
        <v>1</v>
      </c>
      <c r="BZ33">
        <f t="shared" si="5"/>
        <v>1</v>
      </c>
      <c r="CA33">
        <f t="shared" si="6"/>
        <v>1</v>
      </c>
      <c r="CB33">
        <f t="shared" si="7"/>
        <v>1</v>
      </c>
      <c r="CC33">
        <f t="shared" si="8"/>
        <v>1</v>
      </c>
      <c r="CD33">
        <f t="shared" si="9"/>
        <v>1</v>
      </c>
      <c r="CE33">
        <f t="shared" si="10"/>
        <v>1</v>
      </c>
      <c r="CF33">
        <f t="shared" si="11"/>
        <v>1</v>
      </c>
      <c r="CG33">
        <f t="shared" si="12"/>
        <v>1</v>
      </c>
      <c r="CH33">
        <f t="shared" si="13"/>
        <v>1</v>
      </c>
      <c r="CJ33" s="219">
        <f>Klimaatdata!$D$7*BJ33*BW33*$BH33*$G33*0.75</f>
        <v>0</v>
      </c>
      <c r="CK33" s="219">
        <f>Klimaatdata!$E$7*BK33*BX33*$BH33*$G33*0.75</f>
        <v>0</v>
      </c>
      <c r="CL33" s="219">
        <f>Klimaatdata!$F$7*BL33*BY33*$BH33*$G33*0.75</f>
        <v>0</v>
      </c>
      <c r="CM33" s="219">
        <f>Klimaatdata!$G$7*BM33*BZ33*$BH33*$G33*0.75</f>
        <v>0</v>
      </c>
      <c r="CN33" s="219">
        <f>Klimaatdata!$H$7*BN33*CA33*$BH33*$G33*0.75</f>
        <v>0</v>
      </c>
      <c r="CO33" s="219">
        <f>Klimaatdata!$I$7*BO33*CB33*$BH33*$G33*0.75</f>
        <v>0</v>
      </c>
      <c r="CP33" s="219">
        <f>Klimaatdata!$J$7*BP33*CC33*$BH33*$G33*0.75</f>
        <v>0</v>
      </c>
      <c r="CQ33" s="219">
        <f>Klimaatdata!$K$7*BQ33*CD33*$BH33*$G33*0.75</f>
        <v>0</v>
      </c>
      <c r="CR33" s="219">
        <f>Klimaatdata!$L$7*BR33*CE33*$BH33*$G33*0.75</f>
        <v>0</v>
      </c>
      <c r="CS33" s="219">
        <f>Klimaatdata!$M$7*BS33*CF33*$BH33*$G33*0.75</f>
        <v>0</v>
      </c>
      <c r="CT33" s="219">
        <f>Klimaatdata!$N$7*BT33*CG33*$BH33*$G33*0.75</f>
        <v>0</v>
      </c>
      <c r="CU33" s="219">
        <f>Klimaatdata!$O$7*BU33*CH33*$BH33*$G33*0.75</f>
        <v>0</v>
      </c>
      <c r="CX33">
        <v>1</v>
      </c>
      <c r="CY33">
        <v>1</v>
      </c>
      <c r="CZ33">
        <v>1</v>
      </c>
      <c r="DA33">
        <f>'Invoer Gebouwschil'!Q33</f>
        <v>0</v>
      </c>
      <c r="DC33" s="89">
        <f t="shared" si="24"/>
        <v>0</v>
      </c>
      <c r="DD33" s="89">
        <v>0.13</v>
      </c>
      <c r="DE33" s="89">
        <f t="shared" si="25"/>
        <v>0</v>
      </c>
      <c r="DF33" s="89">
        <f>IF(F33=6,1/((1/1/(DD33+DE33+'Invoer Gebouwschil'!M33))+5),1/(DD33+DE33+'Invoer Gebouwschil'!M33))</f>
        <v>7.6923076923076916</v>
      </c>
      <c r="DG33" s="89">
        <v>0.1</v>
      </c>
      <c r="DH33" s="28">
        <f t="shared" si="67"/>
        <v>1</v>
      </c>
      <c r="DI33" s="89">
        <f t="shared" si="68"/>
        <v>0</v>
      </c>
      <c r="DJ33" s="89">
        <v>19</v>
      </c>
      <c r="DK33" s="89"/>
      <c r="DL33" s="89">
        <f>$DI33*($R33-Klimaatdata!$B$7)*2.63</f>
        <v>0</v>
      </c>
      <c r="DM33" s="89">
        <f>$DI33*($R33-Klimaatdata!$B$8)*2.63</f>
        <v>0</v>
      </c>
      <c r="DN33" s="89">
        <f>$DI33*($R33-Klimaatdata!$B$9)*2.63</f>
        <v>0</v>
      </c>
      <c r="DO33" s="89">
        <f>$DI33*($R33-Klimaatdata!$B$10)*2.63</f>
        <v>0</v>
      </c>
      <c r="DP33" s="89">
        <f>$DI33*($R33-Klimaatdata!$B$11)*2.63</f>
        <v>0</v>
      </c>
      <c r="DQ33" s="89">
        <f>$DI33*($R33-Klimaatdata!$B$12)*2.63</f>
        <v>0</v>
      </c>
      <c r="DR33" s="89">
        <f>$DI33*($R33-Klimaatdata!$B$13)*2.63</f>
        <v>0</v>
      </c>
      <c r="DS33" s="89">
        <f>$DI33*($R33-Klimaatdata!$B$14)*2.63</f>
        <v>0</v>
      </c>
      <c r="DT33" s="89">
        <f>$DI33*($R33-Klimaatdata!$B$15)*2.63</f>
        <v>0</v>
      </c>
      <c r="DU33" s="89">
        <f>$DI33*($R33-Klimaatdata!$B$16)*2.63</f>
        <v>0</v>
      </c>
      <c r="DV33" s="89">
        <f>$DI33*($R33-Klimaatdata!$B$17)*2.63</f>
        <v>0</v>
      </c>
      <c r="DW33" s="89">
        <f>$DI33*($R33-Klimaatdata!$B$18)*2.63</f>
        <v>0</v>
      </c>
      <c r="DX33" s="89"/>
      <c r="DY33" s="89">
        <f t="shared" si="69"/>
        <v>0</v>
      </c>
      <c r="DZ33" s="89">
        <v>0.1</v>
      </c>
      <c r="EA33" s="28">
        <v>1</v>
      </c>
      <c r="EB33" s="89">
        <f t="shared" si="70"/>
        <v>0</v>
      </c>
      <c r="EC33" s="89">
        <v>19</v>
      </c>
      <c r="ED33" s="89"/>
      <c r="EE33" s="89">
        <f>$EB33*($R33-Klimaatdata!$B$7)*2.63</f>
        <v>0</v>
      </c>
      <c r="EF33" s="89">
        <f>$EB33*($R33-Klimaatdata!$B$8)*2.63</f>
        <v>0</v>
      </c>
      <c r="EG33" s="89">
        <f>$EB33*($R33-Klimaatdata!$B$9)*2.63</f>
        <v>0</v>
      </c>
      <c r="EH33" s="89">
        <f>$EB33*($R33-Klimaatdata!$B$10)*2.63</f>
        <v>0</v>
      </c>
      <c r="EI33" s="89">
        <f>$EB33*($R33-Klimaatdata!$B$11)*2.63</f>
        <v>0</v>
      </c>
      <c r="EJ33" s="89">
        <f>$EB33*($R33-Klimaatdata!$B$12)*2.63</f>
        <v>0</v>
      </c>
      <c r="EK33" s="89">
        <f>$EB33*($R33-Klimaatdata!$B$13)*2.63</f>
        <v>0</v>
      </c>
      <c r="EL33" s="89">
        <f>$EB33*($R33-Klimaatdata!$B$14)*2.63</f>
        <v>0</v>
      </c>
      <c r="EM33" s="89">
        <f>$EB33*($R33-Klimaatdata!$B$15)*2.63</f>
        <v>0</v>
      </c>
      <c r="EN33" s="89">
        <f>$EB33*($R33-Klimaatdata!$B$16)*2.63</f>
        <v>0</v>
      </c>
      <c r="EO33" s="89">
        <f>$EB33*($R33-Klimaatdata!$B$17)*2.63</f>
        <v>0</v>
      </c>
      <c r="EP33" s="89">
        <f>$EB33*($R33-Klimaatdata!$B$18)*2.63</f>
        <v>0</v>
      </c>
      <c r="EQ33" s="25"/>
      <c r="ER33" s="89">
        <f t="shared" si="30"/>
        <v>0</v>
      </c>
      <c r="ES33" s="89"/>
      <c r="ET33" s="89">
        <f>INDEX(Klimaatdata!$B$27:$K$38,1,$B33)</f>
        <v>0</v>
      </c>
      <c r="EU33" s="89">
        <f>INDEX(Klimaatdata!$B$27:$K$38,2,$B33)</f>
        <v>0</v>
      </c>
      <c r="EV33" s="89">
        <f>INDEX(Klimaatdata!$B$27:$K$38,3,$B33)</f>
        <v>0</v>
      </c>
      <c r="EW33" s="89">
        <f>INDEX(Klimaatdata!$B$27:$K$38,4,$B33)</f>
        <v>0</v>
      </c>
      <c r="EX33" s="89">
        <f>INDEX(Klimaatdata!$B$27:$K$38,5,$B33)</f>
        <v>0</v>
      </c>
      <c r="EY33" s="89">
        <f>INDEX(Klimaatdata!$B$27:$K$38,6,$B33)</f>
        <v>0</v>
      </c>
      <c r="EZ33" s="89">
        <f>INDEX(Klimaatdata!$B$27:$K$38,7,$B33)</f>
        <v>0</v>
      </c>
      <c r="FA33" s="89">
        <f>INDEX(Klimaatdata!$B$27:$K$38,8,$B33)</f>
        <v>0</v>
      </c>
      <c r="FB33" s="89">
        <f>INDEX(Klimaatdata!$B$27:$K$38,9,$B33)</f>
        <v>0</v>
      </c>
      <c r="FC33" s="89">
        <f>INDEX(Klimaatdata!$B$27:$K$38,10,$B33)</f>
        <v>0</v>
      </c>
      <c r="FD33" s="89">
        <f>INDEX(Klimaatdata!$B$27:$K$38,11,$B33)</f>
        <v>0</v>
      </c>
      <c r="FE33" s="89">
        <f>INDEX(Klimaatdata!$B$27:$K$38,12,$B33)</f>
        <v>0</v>
      </c>
      <c r="FG33">
        <f t="shared" si="71"/>
        <v>1</v>
      </c>
      <c r="FH33">
        <f t="shared" si="72"/>
        <v>1</v>
      </c>
      <c r="FI33">
        <f t="shared" si="73"/>
        <v>1</v>
      </c>
      <c r="FJ33">
        <f t="shared" si="74"/>
        <v>1</v>
      </c>
      <c r="FK33">
        <f t="shared" si="75"/>
        <v>1</v>
      </c>
      <c r="FL33">
        <f t="shared" si="76"/>
        <v>1</v>
      </c>
      <c r="FM33">
        <f t="shared" si="77"/>
        <v>1</v>
      </c>
      <c r="FN33">
        <f t="shared" si="78"/>
        <v>1</v>
      </c>
      <c r="FO33">
        <f t="shared" si="79"/>
        <v>1</v>
      </c>
      <c r="FP33">
        <f t="shared" si="80"/>
        <v>1</v>
      </c>
      <c r="FQ33">
        <f t="shared" si="81"/>
        <v>1</v>
      </c>
      <c r="FR33">
        <f t="shared" si="82"/>
        <v>1</v>
      </c>
      <c r="FT33" s="219">
        <f>Klimaatdata!$D$7*ET33*FG33*$ER33*$G33*0.75</f>
        <v>0</v>
      </c>
      <c r="FU33" s="219">
        <f>Klimaatdata!$E$7*EU33*FH33*$ER33*$G33*0.75</f>
        <v>0</v>
      </c>
      <c r="FV33" s="219">
        <f>Klimaatdata!$F$7*EV33*FI33*$ER33*$G33*0.75</f>
        <v>0</v>
      </c>
      <c r="FW33" s="219">
        <f>Klimaatdata!$G$7*EW33*FJ33*$ER33*$G33*0.75</f>
        <v>0</v>
      </c>
      <c r="FX33" s="219">
        <f>Klimaatdata!$H$7*EX33*FK33*$ER33*$G33*0.75</f>
        <v>0</v>
      </c>
      <c r="FY33" s="219">
        <f>Klimaatdata!$I$7*EY33*FL33*$ER33*$G33*0.75</f>
        <v>0</v>
      </c>
      <c r="FZ33" s="219">
        <f>Klimaatdata!$J$7*EZ33*FM33*$ER33*$G33*0.75</f>
        <v>0</v>
      </c>
      <c r="GA33" s="219">
        <f>Klimaatdata!$K$7*FA33*FN33*$ER33*$G33*0.75</f>
        <v>0</v>
      </c>
      <c r="GB33" s="219">
        <f>Klimaatdata!$L$7*FB33*FO33*$ER33*$G33*0.75</f>
        <v>0</v>
      </c>
      <c r="GC33" s="219">
        <f>Klimaatdata!$M$7*FC33*FP33*$ER33*$G33*0.75</f>
        <v>0</v>
      </c>
      <c r="GD33" s="219">
        <f>Klimaatdata!$N$7*FD33*FQ33*$ER33*$G33*0.75</f>
        <v>0</v>
      </c>
      <c r="GE33" s="219">
        <f>Klimaatdata!$O$7*FE33*FR33*$ER33*$G33*0.75</f>
        <v>0</v>
      </c>
      <c r="GG33">
        <f t="shared" si="43"/>
        <v>0</v>
      </c>
      <c r="GH33">
        <f t="shared" si="44"/>
        <v>0</v>
      </c>
      <c r="GI33">
        <f t="shared" si="83"/>
        <v>0</v>
      </c>
      <c r="GJ33">
        <f t="shared" si="84"/>
        <v>0</v>
      </c>
      <c r="GK33">
        <f t="shared" si="85"/>
        <v>0</v>
      </c>
      <c r="GL33">
        <f t="shared" si="86"/>
        <v>0</v>
      </c>
      <c r="GM33">
        <f t="shared" si="87"/>
        <v>0</v>
      </c>
      <c r="GN33">
        <f t="shared" si="88"/>
        <v>0</v>
      </c>
      <c r="GO33">
        <f>'Invoer Gebouwschil'!Q33</f>
        <v>0</v>
      </c>
      <c r="GP33">
        <f t="shared" si="89"/>
        <v>0</v>
      </c>
      <c r="GR33">
        <f t="shared" si="90"/>
        <v>1</v>
      </c>
      <c r="GS33">
        <f t="shared" si="91"/>
        <v>0</v>
      </c>
      <c r="GT33">
        <f t="shared" si="92"/>
        <v>0</v>
      </c>
      <c r="GU33">
        <f t="shared" si="93"/>
        <v>0</v>
      </c>
      <c r="GV33">
        <f t="shared" si="94"/>
        <v>0</v>
      </c>
      <c r="GW33">
        <f t="shared" si="95"/>
        <v>0</v>
      </c>
      <c r="GX33">
        <f t="shared" si="96"/>
        <v>0</v>
      </c>
      <c r="GZ33" s="12">
        <f t="shared" si="59"/>
        <v>0</v>
      </c>
      <c r="HA33" s="13">
        <f t="shared" si="60"/>
        <v>0</v>
      </c>
      <c r="HB33" s="13">
        <f t="shared" si="61"/>
        <v>0</v>
      </c>
      <c r="HC33" s="14">
        <f t="shared" si="62"/>
        <v>0</v>
      </c>
      <c r="HE33" s="12">
        <f t="shared" si="63"/>
        <v>0</v>
      </c>
      <c r="HF33" s="13">
        <f t="shared" si="64"/>
        <v>0</v>
      </c>
      <c r="HG33" s="13">
        <f t="shared" si="65"/>
        <v>0</v>
      </c>
      <c r="HH33" s="14">
        <f t="shared" si="66"/>
        <v>0</v>
      </c>
    </row>
    <row r="34" spans="1:216" x14ac:dyDescent="0.2">
      <c r="A34">
        <v>1</v>
      </c>
      <c r="B34">
        <v>1</v>
      </c>
      <c r="C34">
        <v>1</v>
      </c>
      <c r="D34">
        <f>'Invoer Gebouwschil'!D34</f>
        <v>0</v>
      </c>
      <c r="E34">
        <v>1</v>
      </c>
      <c r="F34">
        <v>1</v>
      </c>
      <c r="G34">
        <f>'Invoer Gebouwschil'!H34</f>
        <v>0</v>
      </c>
      <c r="H34">
        <v>1</v>
      </c>
      <c r="I34">
        <v>1</v>
      </c>
      <c r="K34" s="89">
        <f>INDEX('Verwerking Bouwdelen'!$BL$79:$BL$103,'Verwerking Bouwdelen'!E34)</f>
        <v>0</v>
      </c>
      <c r="L34" s="89">
        <v>0.13</v>
      </c>
      <c r="M34" s="89">
        <f t="shared" si="14"/>
        <v>0</v>
      </c>
      <c r="N34" s="89">
        <f>IF(F34=6,1/((1/1/(L35+M35+'Invoer Gebouwschil'!F34))+5),1/(L34+M34+'Invoer Gebouwschil'!F34))</f>
        <v>7.6923076923076916</v>
      </c>
      <c r="O34" s="89">
        <v>0.1</v>
      </c>
      <c r="P34" s="28">
        <f t="shared" si="15"/>
        <v>1</v>
      </c>
      <c r="Q34" s="89">
        <f t="shared" si="0"/>
        <v>0</v>
      </c>
      <c r="R34" s="89">
        <v>19</v>
      </c>
      <c r="S34" s="89"/>
      <c r="T34" s="89">
        <f>$Q34*($R34-Klimaatdata!$B$7)*2.63</f>
        <v>0</v>
      </c>
      <c r="U34" s="89">
        <f>$Q34*($R34-Klimaatdata!$B$8)*2.63</f>
        <v>0</v>
      </c>
      <c r="V34" s="89">
        <f>$Q34*($R34-Klimaatdata!$B$9)*2.63</f>
        <v>0</v>
      </c>
      <c r="W34" s="89">
        <f>$Q34*($R34-Klimaatdata!$B$10)*2.63</f>
        <v>0</v>
      </c>
      <c r="X34" s="89">
        <f>$Q34*($R34-Klimaatdata!$B$11)*2.63</f>
        <v>0</v>
      </c>
      <c r="Y34" s="89">
        <f>$Q34*($R34-Klimaatdata!$B$12)*2.63</f>
        <v>0</v>
      </c>
      <c r="Z34" s="89">
        <f>$Q34*($R34-Klimaatdata!$B$13)*2.63</f>
        <v>0</v>
      </c>
      <c r="AA34" s="89">
        <f>$Q34*($R34-Klimaatdata!$B$14)*2.63</f>
        <v>0</v>
      </c>
      <c r="AB34" s="89">
        <f>$Q34*($R34-Klimaatdata!$B$15)*2.63</f>
        <v>0</v>
      </c>
      <c r="AC34" s="89">
        <f>$Q34*($R34-Klimaatdata!$B$16)*2.63</f>
        <v>0</v>
      </c>
      <c r="AD34" s="89">
        <f>$Q34*($R34-Klimaatdata!$B$17)*2.63</f>
        <v>0</v>
      </c>
      <c r="AE34" s="89">
        <f>$Q34*($R34-Klimaatdata!$B$18)*2.63</f>
        <v>0</v>
      </c>
      <c r="AF34" s="89"/>
      <c r="AG34" s="205">
        <f t="shared" si="16"/>
        <v>0</v>
      </c>
      <c r="AH34" s="25">
        <f t="shared" si="17"/>
        <v>0</v>
      </c>
      <c r="AI34" s="25">
        <f t="shared" si="18"/>
        <v>0</v>
      </c>
      <c r="AJ34" s="206">
        <f t="shared" si="19"/>
        <v>0</v>
      </c>
      <c r="AK34" s="25"/>
      <c r="AL34" s="89">
        <f t="shared" si="20"/>
        <v>1</v>
      </c>
      <c r="AM34" s="89">
        <f t="shared" si="21"/>
        <v>0</v>
      </c>
      <c r="AN34" s="89">
        <f t="shared" si="22"/>
        <v>0</v>
      </c>
      <c r="AO34" s="89">
        <f t="shared" si="23"/>
        <v>0</v>
      </c>
      <c r="AP34" s="89">
        <v>0.1</v>
      </c>
      <c r="AQ34" s="28">
        <v>1</v>
      </c>
      <c r="AR34" s="89">
        <f t="shared" si="1"/>
        <v>0</v>
      </c>
      <c r="AS34" s="89">
        <v>19</v>
      </c>
      <c r="AT34" s="89"/>
      <c r="AU34" s="89">
        <f>$AR34*($R34-Klimaatdata!$B$7)*2.63</f>
        <v>0</v>
      </c>
      <c r="AV34" s="89">
        <f>$AR34*($R34-Klimaatdata!$B$8)*2.63</f>
        <v>0</v>
      </c>
      <c r="AW34" s="89">
        <f>$AR34*($R34-Klimaatdata!$B$9)*2.63</f>
        <v>0</v>
      </c>
      <c r="AX34" s="89">
        <f>$AR34*($R34-Klimaatdata!$B$10)*2.63</f>
        <v>0</v>
      </c>
      <c r="AY34" s="89">
        <f>$AR34*($R34-Klimaatdata!$B$11)*2.63</f>
        <v>0</v>
      </c>
      <c r="AZ34" s="89">
        <f>$AR34*($R34-Klimaatdata!$B$12)*2.63</f>
        <v>0</v>
      </c>
      <c r="BA34" s="89">
        <f>$AR34*($R34-Klimaatdata!$B$13)*2.63</f>
        <v>0</v>
      </c>
      <c r="BB34" s="89">
        <f>$AR34*($R34-Klimaatdata!$B$14)*2.63</f>
        <v>0</v>
      </c>
      <c r="BC34" s="89">
        <f>$AR34*($R34-Klimaatdata!$B$15)*2.63</f>
        <v>0</v>
      </c>
      <c r="BD34" s="89">
        <f>$AR34*($R34-Klimaatdata!$B$16)*2.63</f>
        <v>0</v>
      </c>
      <c r="BE34" s="89">
        <f>$AR34*($R34-Klimaatdata!$B$17)*2.63</f>
        <v>0</v>
      </c>
      <c r="BF34" s="89">
        <f>$AR34*($R34-Klimaatdata!$B$18)*2.63</f>
        <v>0</v>
      </c>
      <c r="BG34" s="25"/>
      <c r="BH34" s="89">
        <f>INDEX('Verwerking Bouwdelen'!$Y$106:$Y$130,H34)</f>
        <v>0</v>
      </c>
      <c r="BI34" s="89"/>
      <c r="BJ34" s="89">
        <f>INDEX(Klimaatdata!$B$27:$K$38,1,$B34)</f>
        <v>0</v>
      </c>
      <c r="BK34" s="89">
        <f>INDEX(Klimaatdata!$B$27:$K$38,2,$B34)</f>
        <v>0</v>
      </c>
      <c r="BL34" s="89">
        <f>INDEX(Klimaatdata!$B$27:$K$38,3,$B34)</f>
        <v>0</v>
      </c>
      <c r="BM34" s="89">
        <f>INDEX(Klimaatdata!$B$27:$K$38,4,$B34)</f>
        <v>0</v>
      </c>
      <c r="BN34" s="89">
        <f>INDEX(Klimaatdata!$B$27:$K$38,5,$B34)</f>
        <v>0</v>
      </c>
      <c r="BO34" s="89">
        <f>INDEX(Klimaatdata!$B$27:$K$38,6,$B34)</f>
        <v>0</v>
      </c>
      <c r="BP34" s="89">
        <f>INDEX(Klimaatdata!$B$27:$K$38,7,$B34)</f>
        <v>0</v>
      </c>
      <c r="BQ34" s="89">
        <f>INDEX(Klimaatdata!$B$27:$K$38,8,$B34)</f>
        <v>0</v>
      </c>
      <c r="BR34" s="89">
        <f>INDEX(Klimaatdata!$B$27:$K$38,9,$B34)</f>
        <v>0</v>
      </c>
      <c r="BS34" s="89">
        <f>INDEX(Klimaatdata!$B$27:$K$38,10,$B34)</f>
        <v>0</v>
      </c>
      <c r="BT34" s="89">
        <f>INDEX(Klimaatdata!$B$27:$K$38,11,$B34)</f>
        <v>0</v>
      </c>
      <c r="BU34" s="89">
        <f>INDEX(Klimaatdata!$B$27:$K$38,12,$B34)</f>
        <v>0</v>
      </c>
      <c r="BW34">
        <f t="shared" si="2"/>
        <v>1</v>
      </c>
      <c r="BX34">
        <f t="shared" si="3"/>
        <v>1</v>
      </c>
      <c r="BY34">
        <f t="shared" si="4"/>
        <v>1</v>
      </c>
      <c r="BZ34">
        <f t="shared" si="5"/>
        <v>1</v>
      </c>
      <c r="CA34">
        <f t="shared" si="6"/>
        <v>1</v>
      </c>
      <c r="CB34">
        <f t="shared" si="7"/>
        <v>1</v>
      </c>
      <c r="CC34">
        <f t="shared" si="8"/>
        <v>1</v>
      </c>
      <c r="CD34">
        <f t="shared" si="9"/>
        <v>1</v>
      </c>
      <c r="CE34">
        <f t="shared" si="10"/>
        <v>1</v>
      </c>
      <c r="CF34">
        <f t="shared" si="11"/>
        <v>1</v>
      </c>
      <c r="CG34">
        <f t="shared" si="12"/>
        <v>1</v>
      </c>
      <c r="CH34">
        <f t="shared" si="13"/>
        <v>1</v>
      </c>
      <c r="CJ34" s="219">
        <f>Klimaatdata!$D$7*BJ34*BW34*$BH34*$G34*0.75</f>
        <v>0</v>
      </c>
      <c r="CK34" s="219">
        <f>Klimaatdata!$E$7*BK34*BX34*$BH34*$G34*0.75</f>
        <v>0</v>
      </c>
      <c r="CL34" s="219">
        <f>Klimaatdata!$F$7*BL34*BY34*$BH34*$G34*0.75</f>
        <v>0</v>
      </c>
      <c r="CM34" s="219">
        <f>Klimaatdata!$G$7*BM34*BZ34*$BH34*$G34*0.75</f>
        <v>0</v>
      </c>
      <c r="CN34" s="219">
        <f>Klimaatdata!$H$7*BN34*CA34*$BH34*$G34*0.75</f>
        <v>0</v>
      </c>
      <c r="CO34" s="219">
        <f>Klimaatdata!$I$7*BO34*CB34*$BH34*$G34*0.75</f>
        <v>0</v>
      </c>
      <c r="CP34" s="219">
        <f>Klimaatdata!$J$7*BP34*CC34*$BH34*$G34*0.75</f>
        <v>0</v>
      </c>
      <c r="CQ34" s="219">
        <f>Klimaatdata!$K$7*BQ34*CD34*$BH34*$G34*0.75</f>
        <v>0</v>
      </c>
      <c r="CR34" s="219">
        <f>Klimaatdata!$L$7*BR34*CE34*$BH34*$G34*0.75</f>
        <v>0</v>
      </c>
      <c r="CS34" s="219">
        <f>Klimaatdata!$M$7*BS34*CF34*$BH34*$G34*0.75</f>
        <v>0</v>
      </c>
      <c r="CT34" s="219">
        <f>Klimaatdata!$N$7*BT34*CG34*$BH34*$G34*0.75</f>
        <v>0</v>
      </c>
      <c r="CU34" s="219">
        <f>Klimaatdata!$O$7*BU34*CH34*$BH34*$G34*0.75</f>
        <v>0</v>
      </c>
      <c r="CX34">
        <v>1</v>
      </c>
      <c r="CY34">
        <v>1</v>
      </c>
      <c r="CZ34">
        <v>1</v>
      </c>
      <c r="DA34">
        <f>'Invoer Gebouwschil'!Q34</f>
        <v>0</v>
      </c>
      <c r="DC34" s="89">
        <f t="shared" si="24"/>
        <v>0</v>
      </c>
      <c r="DD34" s="89">
        <v>0.13</v>
      </c>
      <c r="DE34" s="89">
        <f t="shared" si="25"/>
        <v>0</v>
      </c>
      <c r="DF34" s="89">
        <f>IF(F34=6,1/((1/1/(DD34+DE34+'Invoer Gebouwschil'!M34))+5),1/(DD34+DE34+'Invoer Gebouwschil'!M34))</f>
        <v>7.6923076923076916</v>
      </c>
      <c r="DG34" s="89">
        <v>0.1</v>
      </c>
      <c r="DH34" s="28">
        <f t="shared" si="67"/>
        <v>1</v>
      </c>
      <c r="DI34" s="89">
        <f t="shared" si="68"/>
        <v>0</v>
      </c>
      <c r="DJ34" s="89">
        <v>19</v>
      </c>
      <c r="DK34" s="89"/>
      <c r="DL34" s="89">
        <f>$DI34*($R34-Klimaatdata!$B$7)*2.63</f>
        <v>0</v>
      </c>
      <c r="DM34" s="89">
        <f>$DI34*($R34-Klimaatdata!$B$8)*2.63</f>
        <v>0</v>
      </c>
      <c r="DN34" s="89">
        <f>$DI34*($R34-Klimaatdata!$B$9)*2.63</f>
        <v>0</v>
      </c>
      <c r="DO34" s="89">
        <f>$DI34*($R34-Klimaatdata!$B$10)*2.63</f>
        <v>0</v>
      </c>
      <c r="DP34" s="89">
        <f>$DI34*($R34-Klimaatdata!$B$11)*2.63</f>
        <v>0</v>
      </c>
      <c r="DQ34" s="89">
        <f>$DI34*($R34-Klimaatdata!$B$12)*2.63</f>
        <v>0</v>
      </c>
      <c r="DR34" s="89">
        <f>$DI34*($R34-Klimaatdata!$B$13)*2.63</f>
        <v>0</v>
      </c>
      <c r="DS34" s="89">
        <f>$DI34*($R34-Klimaatdata!$B$14)*2.63</f>
        <v>0</v>
      </c>
      <c r="DT34" s="89">
        <f>$DI34*($R34-Klimaatdata!$B$15)*2.63</f>
        <v>0</v>
      </c>
      <c r="DU34" s="89">
        <f>$DI34*($R34-Klimaatdata!$B$16)*2.63</f>
        <v>0</v>
      </c>
      <c r="DV34" s="89">
        <f>$DI34*($R34-Klimaatdata!$B$17)*2.63</f>
        <v>0</v>
      </c>
      <c r="DW34" s="89">
        <f>$DI34*($R34-Klimaatdata!$B$18)*2.63</f>
        <v>0</v>
      </c>
      <c r="DX34" s="89"/>
      <c r="DY34" s="89">
        <f t="shared" si="69"/>
        <v>0</v>
      </c>
      <c r="DZ34" s="89">
        <v>0.1</v>
      </c>
      <c r="EA34" s="28">
        <v>1</v>
      </c>
      <c r="EB34" s="89">
        <f t="shared" si="70"/>
        <v>0</v>
      </c>
      <c r="EC34" s="89">
        <v>19</v>
      </c>
      <c r="ED34" s="89"/>
      <c r="EE34" s="89">
        <f>$EB34*($R34-Klimaatdata!$B$7)*2.63</f>
        <v>0</v>
      </c>
      <c r="EF34" s="89">
        <f>$EB34*($R34-Klimaatdata!$B$8)*2.63</f>
        <v>0</v>
      </c>
      <c r="EG34" s="89">
        <f>$EB34*($R34-Klimaatdata!$B$9)*2.63</f>
        <v>0</v>
      </c>
      <c r="EH34" s="89">
        <f>$EB34*($R34-Klimaatdata!$B$10)*2.63</f>
        <v>0</v>
      </c>
      <c r="EI34" s="89">
        <f>$EB34*($R34-Klimaatdata!$B$11)*2.63</f>
        <v>0</v>
      </c>
      <c r="EJ34" s="89">
        <f>$EB34*($R34-Klimaatdata!$B$12)*2.63</f>
        <v>0</v>
      </c>
      <c r="EK34" s="89">
        <f>$EB34*($R34-Klimaatdata!$B$13)*2.63</f>
        <v>0</v>
      </c>
      <c r="EL34" s="89">
        <f>$EB34*($R34-Klimaatdata!$B$14)*2.63</f>
        <v>0</v>
      </c>
      <c r="EM34" s="89">
        <f>$EB34*($R34-Klimaatdata!$B$15)*2.63</f>
        <v>0</v>
      </c>
      <c r="EN34" s="89">
        <f>$EB34*($R34-Klimaatdata!$B$16)*2.63</f>
        <v>0</v>
      </c>
      <c r="EO34" s="89">
        <f>$EB34*($R34-Klimaatdata!$B$17)*2.63</f>
        <v>0</v>
      </c>
      <c r="EP34" s="89">
        <f>$EB34*($R34-Klimaatdata!$B$18)*2.63</f>
        <v>0</v>
      </c>
      <c r="EQ34" s="25"/>
      <c r="ER34" s="89">
        <f t="shared" si="30"/>
        <v>0</v>
      </c>
      <c r="ES34" s="89"/>
      <c r="ET34" s="89">
        <f>INDEX(Klimaatdata!$B$27:$K$38,1,$B34)</f>
        <v>0</v>
      </c>
      <c r="EU34" s="89">
        <f>INDEX(Klimaatdata!$B$27:$K$38,2,$B34)</f>
        <v>0</v>
      </c>
      <c r="EV34" s="89">
        <f>INDEX(Klimaatdata!$B$27:$K$38,3,$B34)</f>
        <v>0</v>
      </c>
      <c r="EW34" s="89">
        <f>INDEX(Klimaatdata!$B$27:$K$38,4,$B34)</f>
        <v>0</v>
      </c>
      <c r="EX34" s="89">
        <f>INDEX(Klimaatdata!$B$27:$K$38,5,$B34)</f>
        <v>0</v>
      </c>
      <c r="EY34" s="89">
        <f>INDEX(Klimaatdata!$B$27:$K$38,6,$B34)</f>
        <v>0</v>
      </c>
      <c r="EZ34" s="89">
        <f>INDEX(Klimaatdata!$B$27:$K$38,7,$B34)</f>
        <v>0</v>
      </c>
      <c r="FA34" s="89">
        <f>INDEX(Klimaatdata!$B$27:$K$38,8,$B34)</f>
        <v>0</v>
      </c>
      <c r="FB34" s="89">
        <f>INDEX(Klimaatdata!$B$27:$K$38,9,$B34)</f>
        <v>0</v>
      </c>
      <c r="FC34" s="89">
        <f>INDEX(Klimaatdata!$B$27:$K$38,10,$B34)</f>
        <v>0</v>
      </c>
      <c r="FD34" s="89">
        <f>INDEX(Klimaatdata!$B$27:$K$38,11,$B34)</f>
        <v>0</v>
      </c>
      <c r="FE34" s="89">
        <f>INDEX(Klimaatdata!$B$27:$K$38,12,$B34)</f>
        <v>0</v>
      </c>
      <c r="FG34">
        <f t="shared" si="71"/>
        <v>1</v>
      </c>
      <c r="FH34">
        <f t="shared" si="72"/>
        <v>1</v>
      </c>
      <c r="FI34">
        <f t="shared" si="73"/>
        <v>1</v>
      </c>
      <c r="FJ34">
        <f t="shared" si="74"/>
        <v>1</v>
      </c>
      <c r="FK34">
        <f t="shared" si="75"/>
        <v>1</v>
      </c>
      <c r="FL34">
        <f t="shared" si="76"/>
        <v>1</v>
      </c>
      <c r="FM34">
        <f t="shared" si="77"/>
        <v>1</v>
      </c>
      <c r="FN34">
        <f t="shared" si="78"/>
        <v>1</v>
      </c>
      <c r="FO34">
        <f t="shared" si="79"/>
        <v>1</v>
      </c>
      <c r="FP34">
        <f t="shared" si="80"/>
        <v>1</v>
      </c>
      <c r="FQ34">
        <f t="shared" si="81"/>
        <v>1</v>
      </c>
      <c r="FR34">
        <f t="shared" si="82"/>
        <v>1</v>
      </c>
      <c r="FT34" s="219">
        <f>Klimaatdata!$D$7*ET34*FG34*$ER34*$G34*0.75</f>
        <v>0</v>
      </c>
      <c r="FU34" s="219">
        <f>Klimaatdata!$E$7*EU34*FH34*$ER34*$G34*0.75</f>
        <v>0</v>
      </c>
      <c r="FV34" s="219">
        <f>Klimaatdata!$F$7*EV34*FI34*$ER34*$G34*0.75</f>
        <v>0</v>
      </c>
      <c r="FW34" s="219">
        <f>Klimaatdata!$G$7*EW34*FJ34*$ER34*$G34*0.75</f>
        <v>0</v>
      </c>
      <c r="FX34" s="219">
        <f>Klimaatdata!$H$7*EX34*FK34*$ER34*$G34*0.75</f>
        <v>0</v>
      </c>
      <c r="FY34" s="219">
        <f>Klimaatdata!$I$7*EY34*FL34*$ER34*$G34*0.75</f>
        <v>0</v>
      </c>
      <c r="FZ34" s="219">
        <f>Klimaatdata!$J$7*EZ34*FM34*$ER34*$G34*0.75</f>
        <v>0</v>
      </c>
      <c r="GA34" s="219">
        <f>Klimaatdata!$K$7*FA34*FN34*$ER34*$G34*0.75</f>
        <v>0</v>
      </c>
      <c r="GB34" s="219">
        <f>Klimaatdata!$L$7*FB34*FO34*$ER34*$G34*0.75</f>
        <v>0</v>
      </c>
      <c r="GC34" s="219">
        <f>Klimaatdata!$M$7*FC34*FP34*$ER34*$G34*0.75</f>
        <v>0</v>
      </c>
      <c r="GD34" s="219">
        <f>Klimaatdata!$N$7*FD34*FQ34*$ER34*$G34*0.75</f>
        <v>0</v>
      </c>
      <c r="GE34" s="219">
        <f>Klimaatdata!$O$7*FE34*FR34*$ER34*$G34*0.75</f>
        <v>0</v>
      </c>
      <c r="GG34">
        <f t="shared" si="43"/>
        <v>0</v>
      </c>
      <c r="GH34">
        <f t="shared" si="44"/>
        <v>0</v>
      </c>
      <c r="GI34">
        <f t="shared" si="83"/>
        <v>0</v>
      </c>
      <c r="GJ34">
        <f t="shared" si="84"/>
        <v>0</v>
      </c>
      <c r="GK34">
        <f t="shared" si="85"/>
        <v>0</v>
      </c>
      <c r="GL34">
        <f t="shared" si="86"/>
        <v>0</v>
      </c>
      <c r="GM34">
        <f t="shared" si="87"/>
        <v>0</v>
      </c>
      <c r="GN34">
        <f t="shared" si="88"/>
        <v>0</v>
      </c>
      <c r="GO34">
        <f>'Invoer Gebouwschil'!Q34</f>
        <v>0</v>
      </c>
      <c r="GP34">
        <f t="shared" si="89"/>
        <v>0</v>
      </c>
      <c r="GR34">
        <f t="shared" si="90"/>
        <v>1</v>
      </c>
      <c r="GS34">
        <f t="shared" si="91"/>
        <v>0</v>
      </c>
      <c r="GT34">
        <f t="shared" si="92"/>
        <v>0</v>
      </c>
      <c r="GU34">
        <f t="shared" si="93"/>
        <v>0</v>
      </c>
      <c r="GV34">
        <f t="shared" si="94"/>
        <v>0</v>
      </c>
      <c r="GW34">
        <f t="shared" si="95"/>
        <v>0</v>
      </c>
      <c r="GX34">
        <f t="shared" si="96"/>
        <v>0</v>
      </c>
      <c r="GZ34" s="12">
        <f t="shared" si="59"/>
        <v>0</v>
      </c>
      <c r="HA34" s="13">
        <f t="shared" si="60"/>
        <v>0</v>
      </c>
      <c r="HB34" s="13">
        <f t="shared" si="61"/>
        <v>0</v>
      </c>
      <c r="HC34" s="14">
        <f t="shared" si="62"/>
        <v>0</v>
      </c>
      <c r="HE34" s="12">
        <f t="shared" si="63"/>
        <v>0</v>
      </c>
      <c r="HF34" s="13">
        <f t="shared" si="64"/>
        <v>0</v>
      </c>
      <c r="HG34" s="13">
        <f t="shared" si="65"/>
        <v>0</v>
      </c>
      <c r="HH34" s="14">
        <f t="shared" si="66"/>
        <v>0</v>
      </c>
    </row>
    <row r="35" spans="1:216" x14ac:dyDescent="0.2">
      <c r="A35">
        <v>1</v>
      </c>
      <c r="B35">
        <v>1</v>
      </c>
      <c r="C35">
        <v>1</v>
      </c>
      <c r="D35">
        <f>'Invoer Gebouwschil'!D35</f>
        <v>0</v>
      </c>
      <c r="E35">
        <v>1</v>
      </c>
      <c r="F35">
        <v>1</v>
      </c>
      <c r="G35">
        <f>'Invoer Gebouwschil'!H35</f>
        <v>0</v>
      </c>
      <c r="H35">
        <v>1</v>
      </c>
      <c r="I35">
        <v>1</v>
      </c>
      <c r="K35" s="89">
        <f>INDEX('Verwerking Bouwdelen'!$BN$79:$BN$103,'Verwerking Bouwdelen'!E35)</f>
        <v>0</v>
      </c>
      <c r="L35" s="89">
        <v>0.13</v>
      </c>
      <c r="M35" s="89">
        <f t="shared" si="14"/>
        <v>0</v>
      </c>
      <c r="N35" s="89">
        <f>IF(F35=6,1/((1/1/(L36+M36+'Invoer Gebouwschil'!F35))+5),1/(L35+M35+'Invoer Gebouwschil'!F35))</f>
        <v>7.6923076923076916</v>
      </c>
      <c r="O35" s="89">
        <v>0.1</v>
      </c>
      <c r="P35" s="28">
        <f t="shared" si="15"/>
        <v>1</v>
      </c>
      <c r="Q35" s="89">
        <f t="shared" si="0"/>
        <v>0</v>
      </c>
      <c r="R35" s="89">
        <v>19</v>
      </c>
      <c r="S35" s="89"/>
      <c r="T35" s="89">
        <f>$Q35*($R35-Klimaatdata!$B$7)*2.63</f>
        <v>0</v>
      </c>
      <c r="U35" s="89">
        <f>$Q35*($R35-Klimaatdata!$B$8)*2.63</f>
        <v>0</v>
      </c>
      <c r="V35" s="89">
        <f>$Q35*($R35-Klimaatdata!$B$9)*2.63</f>
        <v>0</v>
      </c>
      <c r="W35" s="89">
        <f>$Q35*($R35-Klimaatdata!$B$10)*2.63</f>
        <v>0</v>
      </c>
      <c r="X35" s="89">
        <f>$Q35*($R35-Klimaatdata!$B$11)*2.63</f>
        <v>0</v>
      </c>
      <c r="Y35" s="89">
        <f>$Q35*($R35-Klimaatdata!$B$12)*2.63</f>
        <v>0</v>
      </c>
      <c r="Z35" s="89">
        <f>$Q35*($R35-Klimaatdata!$B$13)*2.63</f>
        <v>0</v>
      </c>
      <c r="AA35" s="89">
        <f>$Q35*($R35-Klimaatdata!$B$14)*2.63</f>
        <v>0</v>
      </c>
      <c r="AB35" s="89">
        <f>$Q35*($R35-Klimaatdata!$B$15)*2.63</f>
        <v>0</v>
      </c>
      <c r="AC35" s="89">
        <f>$Q35*($R35-Klimaatdata!$B$16)*2.63</f>
        <v>0</v>
      </c>
      <c r="AD35" s="89">
        <f>$Q35*($R35-Klimaatdata!$B$17)*2.63</f>
        <v>0</v>
      </c>
      <c r="AE35" s="89">
        <f>$Q35*($R35-Klimaatdata!$B$18)*2.63</f>
        <v>0</v>
      </c>
      <c r="AF35" s="89"/>
      <c r="AG35" s="205">
        <f t="shared" si="16"/>
        <v>0</v>
      </c>
      <c r="AH35" s="25">
        <f t="shared" si="17"/>
        <v>0</v>
      </c>
      <c r="AI35" s="25">
        <f t="shared" si="18"/>
        <v>0</v>
      </c>
      <c r="AJ35" s="206">
        <f t="shared" si="19"/>
        <v>0</v>
      </c>
      <c r="AK35" s="25"/>
      <c r="AL35" s="89">
        <f t="shared" si="20"/>
        <v>1</v>
      </c>
      <c r="AM35" s="89">
        <f t="shared" si="21"/>
        <v>0</v>
      </c>
      <c r="AN35" s="89">
        <f t="shared" si="22"/>
        <v>0</v>
      </c>
      <c r="AO35" s="89">
        <f t="shared" si="23"/>
        <v>0</v>
      </c>
      <c r="AP35" s="89">
        <v>0.1</v>
      </c>
      <c r="AQ35" s="28">
        <v>1</v>
      </c>
      <c r="AR35" s="89">
        <f t="shared" si="1"/>
        <v>0</v>
      </c>
      <c r="AS35" s="89">
        <v>19</v>
      </c>
      <c r="AT35" s="89"/>
      <c r="AU35" s="89">
        <f>$AR35*($R35-Klimaatdata!$B$7)*2.63</f>
        <v>0</v>
      </c>
      <c r="AV35" s="89">
        <f>$AR35*($R35-Klimaatdata!$B$8)*2.63</f>
        <v>0</v>
      </c>
      <c r="AW35" s="89">
        <f>$AR35*($R35-Klimaatdata!$B$9)*2.63</f>
        <v>0</v>
      </c>
      <c r="AX35" s="89">
        <f>$AR35*($R35-Klimaatdata!$B$10)*2.63</f>
        <v>0</v>
      </c>
      <c r="AY35" s="89">
        <f>$AR35*($R35-Klimaatdata!$B$11)*2.63</f>
        <v>0</v>
      </c>
      <c r="AZ35" s="89">
        <f>$AR35*($R35-Klimaatdata!$B$12)*2.63</f>
        <v>0</v>
      </c>
      <c r="BA35" s="89">
        <f>$AR35*($R35-Klimaatdata!$B$13)*2.63</f>
        <v>0</v>
      </c>
      <c r="BB35" s="89">
        <f>$AR35*($R35-Klimaatdata!$B$14)*2.63</f>
        <v>0</v>
      </c>
      <c r="BC35" s="89">
        <f>$AR35*($R35-Klimaatdata!$B$15)*2.63</f>
        <v>0</v>
      </c>
      <c r="BD35" s="89">
        <f>$AR35*($R35-Klimaatdata!$B$16)*2.63</f>
        <v>0</v>
      </c>
      <c r="BE35" s="89">
        <f>$AR35*($R35-Klimaatdata!$B$17)*2.63</f>
        <v>0</v>
      </c>
      <c r="BF35" s="89">
        <f>$AR35*($R35-Klimaatdata!$B$18)*2.63</f>
        <v>0</v>
      </c>
      <c r="BG35" s="25"/>
      <c r="BH35" s="89">
        <f>INDEX('Verwerking Bouwdelen'!$Y$106:$Y$130,H35)</f>
        <v>0</v>
      </c>
      <c r="BI35" s="89"/>
      <c r="BJ35" s="89">
        <f>INDEX(Klimaatdata!$B$27:$K$38,1,$B35)</f>
        <v>0</v>
      </c>
      <c r="BK35" s="89">
        <f>INDEX(Klimaatdata!$B$27:$K$38,2,$B35)</f>
        <v>0</v>
      </c>
      <c r="BL35" s="89">
        <f>INDEX(Klimaatdata!$B$27:$K$38,3,$B35)</f>
        <v>0</v>
      </c>
      <c r="BM35" s="89">
        <f>INDEX(Klimaatdata!$B$27:$K$38,4,$B35)</f>
        <v>0</v>
      </c>
      <c r="BN35" s="89">
        <f>INDEX(Klimaatdata!$B$27:$K$38,5,$B35)</f>
        <v>0</v>
      </c>
      <c r="BO35" s="89">
        <f>INDEX(Klimaatdata!$B$27:$K$38,6,$B35)</f>
        <v>0</v>
      </c>
      <c r="BP35" s="89">
        <f>INDEX(Klimaatdata!$B$27:$K$38,7,$B35)</f>
        <v>0</v>
      </c>
      <c r="BQ35" s="89">
        <f>INDEX(Klimaatdata!$B$27:$K$38,8,$B35)</f>
        <v>0</v>
      </c>
      <c r="BR35" s="89">
        <f>INDEX(Klimaatdata!$B$27:$K$38,9,$B35)</f>
        <v>0</v>
      </c>
      <c r="BS35" s="89">
        <f>INDEX(Klimaatdata!$B$27:$K$38,10,$B35)</f>
        <v>0</v>
      </c>
      <c r="BT35" s="89">
        <f>INDEX(Klimaatdata!$B$27:$K$38,11,$B35)</f>
        <v>0</v>
      </c>
      <c r="BU35" s="89">
        <f>INDEX(Klimaatdata!$B$27:$K$38,12,$B35)</f>
        <v>0</v>
      </c>
      <c r="BW35">
        <f t="shared" si="2"/>
        <v>1</v>
      </c>
      <c r="BX35">
        <f t="shared" si="3"/>
        <v>1</v>
      </c>
      <c r="BY35">
        <f t="shared" si="4"/>
        <v>1</v>
      </c>
      <c r="BZ35">
        <f t="shared" si="5"/>
        <v>1</v>
      </c>
      <c r="CA35">
        <f t="shared" si="6"/>
        <v>1</v>
      </c>
      <c r="CB35">
        <f t="shared" si="7"/>
        <v>1</v>
      </c>
      <c r="CC35">
        <f t="shared" si="8"/>
        <v>1</v>
      </c>
      <c r="CD35">
        <f t="shared" si="9"/>
        <v>1</v>
      </c>
      <c r="CE35">
        <f t="shared" si="10"/>
        <v>1</v>
      </c>
      <c r="CF35">
        <f t="shared" si="11"/>
        <v>1</v>
      </c>
      <c r="CG35">
        <f t="shared" si="12"/>
        <v>1</v>
      </c>
      <c r="CH35">
        <f t="shared" si="13"/>
        <v>1</v>
      </c>
      <c r="CJ35" s="219">
        <f>Klimaatdata!$D$7*BJ35*BW35*$BH35*$G35*0.75</f>
        <v>0</v>
      </c>
      <c r="CK35" s="219">
        <f>Klimaatdata!$E$7*BK35*BX35*$BH35*$G35*0.75</f>
        <v>0</v>
      </c>
      <c r="CL35" s="219">
        <f>Klimaatdata!$F$7*BL35*BY35*$BH35*$G35*0.75</f>
        <v>0</v>
      </c>
      <c r="CM35" s="219">
        <f>Klimaatdata!$G$7*BM35*BZ35*$BH35*$G35*0.75</f>
        <v>0</v>
      </c>
      <c r="CN35" s="219">
        <f>Klimaatdata!$H$7*BN35*CA35*$BH35*$G35*0.75</f>
        <v>0</v>
      </c>
      <c r="CO35" s="219">
        <f>Klimaatdata!$I$7*BO35*CB35*$BH35*$G35*0.75</f>
        <v>0</v>
      </c>
      <c r="CP35" s="219">
        <f>Klimaatdata!$J$7*BP35*CC35*$BH35*$G35*0.75</f>
        <v>0</v>
      </c>
      <c r="CQ35" s="219">
        <f>Klimaatdata!$K$7*BQ35*CD35*$BH35*$G35*0.75</f>
        <v>0</v>
      </c>
      <c r="CR35" s="219">
        <f>Klimaatdata!$L$7*BR35*CE35*$BH35*$G35*0.75</f>
        <v>0</v>
      </c>
      <c r="CS35" s="219">
        <f>Klimaatdata!$M$7*BS35*CF35*$BH35*$G35*0.75</f>
        <v>0</v>
      </c>
      <c r="CT35" s="219">
        <f>Klimaatdata!$N$7*BT35*CG35*$BH35*$G35*0.75</f>
        <v>0</v>
      </c>
      <c r="CU35" s="219">
        <f>Klimaatdata!$O$7*BU35*CH35*$BH35*$G35*0.75</f>
        <v>0</v>
      </c>
      <c r="CX35">
        <v>1</v>
      </c>
      <c r="CY35">
        <v>1</v>
      </c>
      <c r="CZ35">
        <v>1</v>
      </c>
      <c r="DA35">
        <f>'Invoer Gebouwschil'!Q35</f>
        <v>0</v>
      </c>
      <c r="DC35" s="89">
        <f t="shared" si="24"/>
        <v>0</v>
      </c>
      <c r="DD35" s="89">
        <v>0.13</v>
      </c>
      <c r="DE35" s="89">
        <f t="shared" si="25"/>
        <v>0</v>
      </c>
      <c r="DF35" s="89">
        <f>IF(F35=6,1/((1/1/(DD35+DE35+'Invoer Gebouwschil'!M35))+5),1/(DD35+DE35+'Invoer Gebouwschil'!M35))</f>
        <v>7.6923076923076916</v>
      </c>
      <c r="DG35" s="89">
        <v>0.1</v>
      </c>
      <c r="DH35" s="28">
        <f t="shared" si="67"/>
        <v>1</v>
      </c>
      <c r="DI35" s="89">
        <f t="shared" si="68"/>
        <v>0</v>
      </c>
      <c r="DJ35" s="89">
        <v>19</v>
      </c>
      <c r="DK35" s="89"/>
      <c r="DL35" s="89">
        <f>$DI35*($R35-Klimaatdata!$B$7)*2.63</f>
        <v>0</v>
      </c>
      <c r="DM35" s="89">
        <f>$DI35*($R35-Klimaatdata!$B$8)*2.63</f>
        <v>0</v>
      </c>
      <c r="DN35" s="89">
        <f>$DI35*($R35-Klimaatdata!$B$9)*2.63</f>
        <v>0</v>
      </c>
      <c r="DO35" s="89">
        <f>$DI35*($R35-Klimaatdata!$B$10)*2.63</f>
        <v>0</v>
      </c>
      <c r="DP35" s="89">
        <f>$DI35*($R35-Klimaatdata!$B$11)*2.63</f>
        <v>0</v>
      </c>
      <c r="DQ35" s="89">
        <f>$DI35*($R35-Klimaatdata!$B$12)*2.63</f>
        <v>0</v>
      </c>
      <c r="DR35" s="89">
        <f>$DI35*($R35-Klimaatdata!$B$13)*2.63</f>
        <v>0</v>
      </c>
      <c r="DS35" s="89">
        <f>$DI35*($R35-Klimaatdata!$B$14)*2.63</f>
        <v>0</v>
      </c>
      <c r="DT35" s="89">
        <f>$DI35*($R35-Klimaatdata!$B$15)*2.63</f>
        <v>0</v>
      </c>
      <c r="DU35" s="89">
        <f>$DI35*($R35-Klimaatdata!$B$16)*2.63</f>
        <v>0</v>
      </c>
      <c r="DV35" s="89">
        <f>$DI35*($R35-Klimaatdata!$B$17)*2.63</f>
        <v>0</v>
      </c>
      <c r="DW35" s="89">
        <f>$DI35*($R35-Klimaatdata!$B$18)*2.63</f>
        <v>0</v>
      </c>
      <c r="DX35" s="89"/>
      <c r="DY35" s="89">
        <f t="shared" si="69"/>
        <v>0</v>
      </c>
      <c r="DZ35" s="89">
        <v>0.1</v>
      </c>
      <c r="EA35" s="28">
        <v>1</v>
      </c>
      <c r="EB35" s="89">
        <f t="shared" si="70"/>
        <v>0</v>
      </c>
      <c r="EC35" s="89">
        <v>19</v>
      </c>
      <c r="ED35" s="89"/>
      <c r="EE35" s="89">
        <f>$EB35*($R35-Klimaatdata!$B$7)*2.63</f>
        <v>0</v>
      </c>
      <c r="EF35" s="89">
        <f>$EB35*($R35-Klimaatdata!$B$8)*2.63</f>
        <v>0</v>
      </c>
      <c r="EG35" s="89">
        <f>$EB35*($R35-Klimaatdata!$B$9)*2.63</f>
        <v>0</v>
      </c>
      <c r="EH35" s="89">
        <f>$EB35*($R35-Klimaatdata!$B$10)*2.63</f>
        <v>0</v>
      </c>
      <c r="EI35" s="89">
        <f>$EB35*($R35-Klimaatdata!$B$11)*2.63</f>
        <v>0</v>
      </c>
      <c r="EJ35" s="89">
        <f>$EB35*($R35-Klimaatdata!$B$12)*2.63</f>
        <v>0</v>
      </c>
      <c r="EK35" s="89">
        <f>$EB35*($R35-Klimaatdata!$B$13)*2.63</f>
        <v>0</v>
      </c>
      <c r="EL35" s="89">
        <f>$EB35*($R35-Klimaatdata!$B$14)*2.63</f>
        <v>0</v>
      </c>
      <c r="EM35" s="89">
        <f>$EB35*($R35-Klimaatdata!$B$15)*2.63</f>
        <v>0</v>
      </c>
      <c r="EN35" s="89">
        <f>$EB35*($R35-Klimaatdata!$B$16)*2.63</f>
        <v>0</v>
      </c>
      <c r="EO35" s="89">
        <f>$EB35*($R35-Klimaatdata!$B$17)*2.63</f>
        <v>0</v>
      </c>
      <c r="EP35" s="89">
        <f>$EB35*($R35-Klimaatdata!$B$18)*2.63</f>
        <v>0</v>
      </c>
      <c r="EQ35" s="25"/>
      <c r="ER35" s="89">
        <f t="shared" si="30"/>
        <v>0</v>
      </c>
      <c r="ES35" s="89"/>
      <c r="ET35" s="89">
        <f>INDEX(Klimaatdata!$B$27:$K$38,1,$B35)</f>
        <v>0</v>
      </c>
      <c r="EU35" s="89">
        <f>INDEX(Klimaatdata!$B$27:$K$38,2,$B35)</f>
        <v>0</v>
      </c>
      <c r="EV35" s="89">
        <f>INDEX(Klimaatdata!$B$27:$K$38,3,$B35)</f>
        <v>0</v>
      </c>
      <c r="EW35" s="89">
        <f>INDEX(Klimaatdata!$B$27:$K$38,4,$B35)</f>
        <v>0</v>
      </c>
      <c r="EX35" s="89">
        <f>INDEX(Klimaatdata!$B$27:$K$38,5,$B35)</f>
        <v>0</v>
      </c>
      <c r="EY35" s="89">
        <f>INDEX(Klimaatdata!$B$27:$K$38,6,$B35)</f>
        <v>0</v>
      </c>
      <c r="EZ35" s="89">
        <f>INDEX(Klimaatdata!$B$27:$K$38,7,$B35)</f>
        <v>0</v>
      </c>
      <c r="FA35" s="89">
        <f>INDEX(Klimaatdata!$B$27:$K$38,8,$B35)</f>
        <v>0</v>
      </c>
      <c r="FB35" s="89">
        <f>INDEX(Klimaatdata!$B$27:$K$38,9,$B35)</f>
        <v>0</v>
      </c>
      <c r="FC35" s="89">
        <f>INDEX(Klimaatdata!$B$27:$K$38,10,$B35)</f>
        <v>0</v>
      </c>
      <c r="FD35" s="89">
        <f>INDEX(Klimaatdata!$B$27:$K$38,11,$B35)</f>
        <v>0</v>
      </c>
      <c r="FE35" s="89">
        <f>INDEX(Klimaatdata!$B$27:$K$38,12,$B35)</f>
        <v>0</v>
      </c>
      <c r="FG35">
        <f t="shared" si="71"/>
        <v>1</v>
      </c>
      <c r="FH35">
        <f t="shared" si="72"/>
        <v>1</v>
      </c>
      <c r="FI35">
        <f t="shared" si="73"/>
        <v>1</v>
      </c>
      <c r="FJ35">
        <f t="shared" si="74"/>
        <v>1</v>
      </c>
      <c r="FK35">
        <f t="shared" si="75"/>
        <v>1</v>
      </c>
      <c r="FL35">
        <f t="shared" si="76"/>
        <v>1</v>
      </c>
      <c r="FM35">
        <f t="shared" si="77"/>
        <v>1</v>
      </c>
      <c r="FN35">
        <f t="shared" si="78"/>
        <v>1</v>
      </c>
      <c r="FO35">
        <f t="shared" si="79"/>
        <v>1</v>
      </c>
      <c r="FP35">
        <f t="shared" si="80"/>
        <v>1</v>
      </c>
      <c r="FQ35">
        <f t="shared" si="81"/>
        <v>1</v>
      </c>
      <c r="FR35">
        <f t="shared" si="82"/>
        <v>1</v>
      </c>
      <c r="FT35" s="219">
        <f>Klimaatdata!$D$7*ET35*FG35*$ER35*$G35*0.75</f>
        <v>0</v>
      </c>
      <c r="FU35" s="219">
        <f>Klimaatdata!$E$7*EU35*FH35*$ER35*$G35*0.75</f>
        <v>0</v>
      </c>
      <c r="FV35" s="219">
        <f>Klimaatdata!$F$7*EV35*FI35*$ER35*$G35*0.75</f>
        <v>0</v>
      </c>
      <c r="FW35" s="219">
        <f>Klimaatdata!$G$7*EW35*FJ35*$ER35*$G35*0.75</f>
        <v>0</v>
      </c>
      <c r="FX35" s="219">
        <f>Klimaatdata!$H$7*EX35*FK35*$ER35*$G35*0.75</f>
        <v>0</v>
      </c>
      <c r="FY35" s="219">
        <f>Klimaatdata!$I$7*EY35*FL35*$ER35*$G35*0.75</f>
        <v>0</v>
      </c>
      <c r="FZ35" s="219">
        <f>Klimaatdata!$J$7*EZ35*FM35*$ER35*$G35*0.75</f>
        <v>0</v>
      </c>
      <c r="GA35" s="219">
        <f>Klimaatdata!$K$7*FA35*FN35*$ER35*$G35*0.75</f>
        <v>0</v>
      </c>
      <c r="GB35" s="219">
        <f>Klimaatdata!$L$7*FB35*FO35*$ER35*$G35*0.75</f>
        <v>0</v>
      </c>
      <c r="GC35" s="219">
        <f>Klimaatdata!$M$7*FC35*FP35*$ER35*$G35*0.75</f>
        <v>0</v>
      </c>
      <c r="GD35" s="219">
        <f>Klimaatdata!$N$7*FD35*FQ35*$ER35*$G35*0.75</f>
        <v>0</v>
      </c>
      <c r="GE35" s="219">
        <f>Klimaatdata!$O$7*FE35*FR35*$ER35*$G35*0.75</f>
        <v>0</v>
      </c>
      <c r="GG35">
        <f t="shared" si="43"/>
        <v>0</v>
      </c>
      <c r="GH35">
        <f t="shared" si="44"/>
        <v>0</v>
      </c>
      <c r="GI35">
        <f t="shared" si="83"/>
        <v>0</v>
      </c>
      <c r="GJ35">
        <f t="shared" si="84"/>
        <v>0</v>
      </c>
      <c r="GK35">
        <f t="shared" si="85"/>
        <v>0</v>
      </c>
      <c r="GL35">
        <f t="shared" si="86"/>
        <v>0</v>
      </c>
      <c r="GM35">
        <f t="shared" si="87"/>
        <v>0</v>
      </c>
      <c r="GN35">
        <f t="shared" si="88"/>
        <v>0</v>
      </c>
      <c r="GO35">
        <f>'Invoer Gebouwschil'!Q35</f>
        <v>0</v>
      </c>
      <c r="GP35">
        <f t="shared" si="89"/>
        <v>0</v>
      </c>
      <c r="GR35">
        <f t="shared" si="90"/>
        <v>1</v>
      </c>
      <c r="GS35">
        <f t="shared" si="91"/>
        <v>0</v>
      </c>
      <c r="GT35">
        <f t="shared" si="92"/>
        <v>0</v>
      </c>
      <c r="GU35">
        <f t="shared" si="93"/>
        <v>0</v>
      </c>
      <c r="GV35">
        <f t="shared" si="94"/>
        <v>0</v>
      </c>
      <c r="GW35">
        <f t="shared" si="95"/>
        <v>0</v>
      </c>
      <c r="GX35">
        <f t="shared" si="96"/>
        <v>0</v>
      </c>
      <c r="GZ35" s="12">
        <f t="shared" si="59"/>
        <v>0</v>
      </c>
      <c r="HA35" s="13">
        <f t="shared" si="60"/>
        <v>0</v>
      </c>
      <c r="HB35" s="13">
        <f t="shared" si="61"/>
        <v>0</v>
      </c>
      <c r="HC35" s="14">
        <f t="shared" si="62"/>
        <v>0</v>
      </c>
      <c r="HE35" s="12">
        <f t="shared" si="63"/>
        <v>0</v>
      </c>
      <c r="HF35" s="13">
        <f t="shared" si="64"/>
        <v>0</v>
      </c>
      <c r="HG35" s="13">
        <f t="shared" si="65"/>
        <v>0</v>
      </c>
      <c r="HH35" s="14">
        <f t="shared" si="66"/>
        <v>0</v>
      </c>
    </row>
    <row r="36" spans="1:216" x14ac:dyDescent="0.2">
      <c r="A36">
        <v>1</v>
      </c>
      <c r="B36">
        <v>1</v>
      </c>
      <c r="C36">
        <v>1</v>
      </c>
      <c r="D36">
        <f>'Invoer Gebouwschil'!D36</f>
        <v>0</v>
      </c>
      <c r="E36">
        <v>1</v>
      </c>
      <c r="F36">
        <v>1</v>
      </c>
      <c r="G36">
        <f>'Invoer Gebouwschil'!H36</f>
        <v>0</v>
      </c>
      <c r="H36">
        <v>1</v>
      </c>
      <c r="I36">
        <v>1</v>
      </c>
      <c r="K36" s="89">
        <f>INDEX('Verwerking Bouwdelen'!$BP$79:$BP$103,'Verwerking Bouwdelen'!E36)</f>
        <v>0</v>
      </c>
      <c r="L36" s="89">
        <v>0.13</v>
      </c>
      <c r="M36" s="89">
        <f t="shared" si="14"/>
        <v>0</v>
      </c>
      <c r="N36" s="89">
        <f>IF(F36=6,1/((1/1/(L37+M37+'Invoer Gebouwschil'!F36))+5),1/(L36+M36+'Invoer Gebouwschil'!F36))</f>
        <v>7.6923076923076916</v>
      </c>
      <c r="O36" s="89">
        <v>0.1</v>
      </c>
      <c r="P36" s="28">
        <f t="shared" si="15"/>
        <v>1</v>
      </c>
      <c r="Q36" s="89">
        <f t="shared" si="0"/>
        <v>0</v>
      </c>
      <c r="R36" s="89">
        <v>19</v>
      </c>
      <c r="S36" s="89"/>
      <c r="T36" s="89">
        <f>$Q36*($R36-Klimaatdata!$B$7)*2.63</f>
        <v>0</v>
      </c>
      <c r="U36" s="89">
        <f>$Q36*($R36-Klimaatdata!$B$8)*2.63</f>
        <v>0</v>
      </c>
      <c r="V36" s="89">
        <f>$Q36*($R36-Klimaatdata!$B$9)*2.63</f>
        <v>0</v>
      </c>
      <c r="W36" s="89">
        <f>$Q36*($R36-Klimaatdata!$B$10)*2.63</f>
        <v>0</v>
      </c>
      <c r="X36" s="89">
        <f>$Q36*($R36-Klimaatdata!$B$11)*2.63</f>
        <v>0</v>
      </c>
      <c r="Y36" s="89">
        <f>$Q36*($R36-Klimaatdata!$B$12)*2.63</f>
        <v>0</v>
      </c>
      <c r="Z36" s="89">
        <f>$Q36*($R36-Klimaatdata!$B$13)*2.63</f>
        <v>0</v>
      </c>
      <c r="AA36" s="89">
        <f>$Q36*($R36-Klimaatdata!$B$14)*2.63</f>
        <v>0</v>
      </c>
      <c r="AB36" s="89">
        <f>$Q36*($R36-Klimaatdata!$B$15)*2.63</f>
        <v>0</v>
      </c>
      <c r="AC36" s="89">
        <f>$Q36*($R36-Klimaatdata!$B$16)*2.63</f>
        <v>0</v>
      </c>
      <c r="AD36" s="89">
        <f>$Q36*($R36-Klimaatdata!$B$17)*2.63</f>
        <v>0</v>
      </c>
      <c r="AE36" s="89">
        <f>$Q36*($R36-Klimaatdata!$B$18)*2.63</f>
        <v>0</v>
      </c>
      <c r="AF36" s="89"/>
      <c r="AG36" s="205">
        <f t="shared" si="16"/>
        <v>0</v>
      </c>
      <c r="AH36" s="25">
        <f t="shared" si="17"/>
        <v>0</v>
      </c>
      <c r="AI36" s="25">
        <f t="shared" si="18"/>
        <v>0</v>
      </c>
      <c r="AJ36" s="206">
        <f t="shared" si="19"/>
        <v>0</v>
      </c>
      <c r="AK36" s="25"/>
      <c r="AL36" s="89">
        <f t="shared" si="20"/>
        <v>1</v>
      </c>
      <c r="AM36" s="89">
        <f t="shared" si="21"/>
        <v>0</v>
      </c>
      <c r="AN36" s="89">
        <f t="shared" si="22"/>
        <v>0</v>
      </c>
      <c r="AO36" s="89">
        <f t="shared" si="23"/>
        <v>0</v>
      </c>
      <c r="AP36" s="89">
        <v>0.1</v>
      </c>
      <c r="AQ36" s="28">
        <v>1</v>
      </c>
      <c r="AR36" s="89">
        <f t="shared" si="1"/>
        <v>0</v>
      </c>
      <c r="AS36" s="89">
        <v>19</v>
      </c>
      <c r="AT36" s="89"/>
      <c r="AU36" s="89">
        <f>$AR36*($R36-Klimaatdata!$B$7)*2.63</f>
        <v>0</v>
      </c>
      <c r="AV36" s="89">
        <f>$AR36*($R36-Klimaatdata!$B$8)*2.63</f>
        <v>0</v>
      </c>
      <c r="AW36" s="89">
        <f>$AR36*($R36-Klimaatdata!$B$9)*2.63</f>
        <v>0</v>
      </c>
      <c r="AX36" s="89">
        <f>$AR36*($R36-Klimaatdata!$B$10)*2.63</f>
        <v>0</v>
      </c>
      <c r="AY36" s="89">
        <f>$AR36*($R36-Klimaatdata!$B$11)*2.63</f>
        <v>0</v>
      </c>
      <c r="AZ36" s="89">
        <f>$AR36*($R36-Klimaatdata!$B$12)*2.63</f>
        <v>0</v>
      </c>
      <c r="BA36" s="89">
        <f>$AR36*($R36-Klimaatdata!$B$13)*2.63</f>
        <v>0</v>
      </c>
      <c r="BB36" s="89">
        <f>$AR36*($R36-Klimaatdata!$B$14)*2.63</f>
        <v>0</v>
      </c>
      <c r="BC36" s="89">
        <f>$AR36*($R36-Klimaatdata!$B$15)*2.63</f>
        <v>0</v>
      </c>
      <c r="BD36" s="89">
        <f>$AR36*($R36-Klimaatdata!$B$16)*2.63</f>
        <v>0</v>
      </c>
      <c r="BE36" s="89">
        <f>$AR36*($R36-Klimaatdata!$B$17)*2.63</f>
        <v>0</v>
      </c>
      <c r="BF36" s="89">
        <f>$AR36*($R36-Klimaatdata!$B$18)*2.63</f>
        <v>0</v>
      </c>
      <c r="BG36" s="25"/>
      <c r="BH36" s="89">
        <f>INDEX('Verwerking Bouwdelen'!$Y$106:$Y$130,H36)</f>
        <v>0</v>
      </c>
      <c r="BI36" s="89"/>
      <c r="BJ36" s="89">
        <f>INDEX(Klimaatdata!$B$27:$K$38,1,$B36)</f>
        <v>0</v>
      </c>
      <c r="BK36" s="89">
        <f>INDEX(Klimaatdata!$B$27:$K$38,2,$B36)</f>
        <v>0</v>
      </c>
      <c r="BL36" s="89">
        <f>INDEX(Klimaatdata!$B$27:$K$38,3,$B36)</f>
        <v>0</v>
      </c>
      <c r="BM36" s="89">
        <f>INDEX(Klimaatdata!$B$27:$K$38,4,$B36)</f>
        <v>0</v>
      </c>
      <c r="BN36" s="89">
        <f>INDEX(Klimaatdata!$B$27:$K$38,5,$B36)</f>
        <v>0</v>
      </c>
      <c r="BO36" s="89">
        <f>INDEX(Klimaatdata!$B$27:$K$38,6,$B36)</f>
        <v>0</v>
      </c>
      <c r="BP36" s="89">
        <f>INDEX(Klimaatdata!$B$27:$K$38,7,$B36)</f>
        <v>0</v>
      </c>
      <c r="BQ36" s="89">
        <f>INDEX(Klimaatdata!$B$27:$K$38,8,$B36)</f>
        <v>0</v>
      </c>
      <c r="BR36" s="89">
        <f>INDEX(Klimaatdata!$B$27:$K$38,9,$B36)</f>
        <v>0</v>
      </c>
      <c r="BS36" s="89">
        <f>INDEX(Klimaatdata!$B$27:$K$38,10,$B36)</f>
        <v>0</v>
      </c>
      <c r="BT36" s="89">
        <f>INDEX(Klimaatdata!$B$27:$K$38,11,$B36)</f>
        <v>0</v>
      </c>
      <c r="BU36" s="89">
        <f>INDEX(Klimaatdata!$B$27:$K$38,12,$B36)</f>
        <v>0</v>
      </c>
      <c r="BW36">
        <f t="shared" si="2"/>
        <v>1</v>
      </c>
      <c r="BX36">
        <f t="shared" si="3"/>
        <v>1</v>
      </c>
      <c r="BY36">
        <f t="shared" si="4"/>
        <v>1</v>
      </c>
      <c r="BZ36">
        <f t="shared" si="5"/>
        <v>1</v>
      </c>
      <c r="CA36">
        <f t="shared" si="6"/>
        <v>1</v>
      </c>
      <c r="CB36">
        <f t="shared" si="7"/>
        <v>1</v>
      </c>
      <c r="CC36">
        <f t="shared" si="8"/>
        <v>1</v>
      </c>
      <c r="CD36">
        <f t="shared" si="9"/>
        <v>1</v>
      </c>
      <c r="CE36">
        <f t="shared" si="10"/>
        <v>1</v>
      </c>
      <c r="CF36">
        <f t="shared" si="11"/>
        <v>1</v>
      </c>
      <c r="CG36">
        <f t="shared" si="12"/>
        <v>1</v>
      </c>
      <c r="CH36">
        <f t="shared" si="13"/>
        <v>1</v>
      </c>
      <c r="CJ36" s="219">
        <f>Klimaatdata!$D$7*BJ36*BW36*$BH36*$G36*0.75</f>
        <v>0</v>
      </c>
      <c r="CK36" s="219">
        <f>Klimaatdata!$E$7*BK36*BX36*$BH36*$G36*0.75</f>
        <v>0</v>
      </c>
      <c r="CL36" s="219">
        <f>Klimaatdata!$F$7*BL36*BY36*$BH36*$G36*0.75</f>
        <v>0</v>
      </c>
      <c r="CM36" s="219">
        <f>Klimaatdata!$G$7*BM36*BZ36*$BH36*$G36*0.75</f>
        <v>0</v>
      </c>
      <c r="CN36" s="219">
        <f>Klimaatdata!$H$7*BN36*CA36*$BH36*$G36*0.75</f>
        <v>0</v>
      </c>
      <c r="CO36" s="219">
        <f>Klimaatdata!$I$7*BO36*CB36*$BH36*$G36*0.75</f>
        <v>0</v>
      </c>
      <c r="CP36" s="219">
        <f>Klimaatdata!$J$7*BP36*CC36*$BH36*$G36*0.75</f>
        <v>0</v>
      </c>
      <c r="CQ36" s="219">
        <f>Klimaatdata!$K$7*BQ36*CD36*$BH36*$G36*0.75</f>
        <v>0</v>
      </c>
      <c r="CR36" s="219">
        <f>Klimaatdata!$L$7*BR36*CE36*$BH36*$G36*0.75</f>
        <v>0</v>
      </c>
      <c r="CS36" s="219">
        <f>Klimaatdata!$M$7*BS36*CF36*$BH36*$G36*0.75</f>
        <v>0</v>
      </c>
      <c r="CT36" s="219">
        <f>Klimaatdata!$N$7*BT36*CG36*$BH36*$G36*0.75</f>
        <v>0</v>
      </c>
      <c r="CU36" s="219">
        <f>Klimaatdata!$O$7*BU36*CH36*$BH36*$G36*0.75</f>
        <v>0</v>
      </c>
      <c r="CX36">
        <v>1</v>
      </c>
      <c r="CY36">
        <v>1</v>
      </c>
      <c r="CZ36">
        <v>1</v>
      </c>
      <c r="DA36">
        <f>'Invoer Gebouwschil'!Q36</f>
        <v>0</v>
      </c>
      <c r="DC36" s="89">
        <f t="shared" si="24"/>
        <v>0</v>
      </c>
      <c r="DD36" s="89">
        <v>0.13</v>
      </c>
      <c r="DE36" s="89">
        <f t="shared" si="25"/>
        <v>0</v>
      </c>
      <c r="DF36" s="89">
        <f>IF(F36=6,1/((1/1/(DD36+DE36+'Invoer Gebouwschil'!M36))+5),1/(DD36+DE36+'Invoer Gebouwschil'!M36))</f>
        <v>7.6923076923076916</v>
      </c>
      <c r="DG36" s="89">
        <v>0.1</v>
      </c>
      <c r="DH36" s="28">
        <f t="shared" si="67"/>
        <v>1</v>
      </c>
      <c r="DI36" s="89">
        <f t="shared" si="68"/>
        <v>0</v>
      </c>
      <c r="DJ36" s="89">
        <v>19</v>
      </c>
      <c r="DK36" s="89"/>
      <c r="DL36" s="89">
        <f>$DI36*($R36-Klimaatdata!$B$7)*2.63</f>
        <v>0</v>
      </c>
      <c r="DM36" s="89">
        <f>$DI36*($R36-Klimaatdata!$B$8)*2.63</f>
        <v>0</v>
      </c>
      <c r="DN36" s="89">
        <f>$DI36*($R36-Klimaatdata!$B$9)*2.63</f>
        <v>0</v>
      </c>
      <c r="DO36" s="89">
        <f>$DI36*($R36-Klimaatdata!$B$10)*2.63</f>
        <v>0</v>
      </c>
      <c r="DP36" s="89">
        <f>$DI36*($R36-Klimaatdata!$B$11)*2.63</f>
        <v>0</v>
      </c>
      <c r="DQ36" s="89">
        <f>$DI36*($R36-Klimaatdata!$B$12)*2.63</f>
        <v>0</v>
      </c>
      <c r="DR36" s="89">
        <f>$DI36*($R36-Klimaatdata!$B$13)*2.63</f>
        <v>0</v>
      </c>
      <c r="DS36" s="89">
        <f>$DI36*($R36-Klimaatdata!$B$14)*2.63</f>
        <v>0</v>
      </c>
      <c r="DT36" s="89">
        <f>$DI36*($R36-Klimaatdata!$B$15)*2.63</f>
        <v>0</v>
      </c>
      <c r="DU36" s="89">
        <f>$DI36*($R36-Klimaatdata!$B$16)*2.63</f>
        <v>0</v>
      </c>
      <c r="DV36" s="89">
        <f>$DI36*($R36-Klimaatdata!$B$17)*2.63</f>
        <v>0</v>
      </c>
      <c r="DW36" s="89">
        <f>$DI36*($R36-Klimaatdata!$B$18)*2.63</f>
        <v>0</v>
      </c>
      <c r="DX36" s="89"/>
      <c r="DY36" s="89">
        <f t="shared" si="69"/>
        <v>0</v>
      </c>
      <c r="DZ36" s="89">
        <v>0.1</v>
      </c>
      <c r="EA36" s="28">
        <v>1</v>
      </c>
      <c r="EB36" s="89">
        <f t="shared" si="70"/>
        <v>0</v>
      </c>
      <c r="EC36" s="89">
        <v>19</v>
      </c>
      <c r="ED36" s="89"/>
      <c r="EE36" s="89">
        <f>$EB36*($R36-Klimaatdata!$B$7)*2.63</f>
        <v>0</v>
      </c>
      <c r="EF36" s="89">
        <f>$EB36*($R36-Klimaatdata!$B$8)*2.63</f>
        <v>0</v>
      </c>
      <c r="EG36" s="89">
        <f>$EB36*($R36-Klimaatdata!$B$9)*2.63</f>
        <v>0</v>
      </c>
      <c r="EH36" s="89">
        <f>$EB36*($R36-Klimaatdata!$B$10)*2.63</f>
        <v>0</v>
      </c>
      <c r="EI36" s="89">
        <f>$EB36*($R36-Klimaatdata!$B$11)*2.63</f>
        <v>0</v>
      </c>
      <c r="EJ36" s="89">
        <f>$EB36*($R36-Klimaatdata!$B$12)*2.63</f>
        <v>0</v>
      </c>
      <c r="EK36" s="89">
        <f>$EB36*($R36-Klimaatdata!$B$13)*2.63</f>
        <v>0</v>
      </c>
      <c r="EL36" s="89">
        <f>$EB36*($R36-Klimaatdata!$B$14)*2.63</f>
        <v>0</v>
      </c>
      <c r="EM36" s="89">
        <f>$EB36*($R36-Klimaatdata!$B$15)*2.63</f>
        <v>0</v>
      </c>
      <c r="EN36" s="89">
        <f>$EB36*($R36-Klimaatdata!$B$16)*2.63</f>
        <v>0</v>
      </c>
      <c r="EO36" s="89">
        <f>$EB36*($R36-Klimaatdata!$B$17)*2.63</f>
        <v>0</v>
      </c>
      <c r="EP36" s="89">
        <f>$EB36*($R36-Klimaatdata!$B$18)*2.63</f>
        <v>0</v>
      </c>
      <c r="EQ36" s="25"/>
      <c r="ER36" s="89">
        <f t="shared" si="30"/>
        <v>0</v>
      </c>
      <c r="ES36" s="89"/>
      <c r="ET36" s="89">
        <f>INDEX(Klimaatdata!$B$27:$K$38,1,$B36)</f>
        <v>0</v>
      </c>
      <c r="EU36" s="89">
        <f>INDEX(Klimaatdata!$B$27:$K$38,2,$B36)</f>
        <v>0</v>
      </c>
      <c r="EV36" s="89">
        <f>INDEX(Klimaatdata!$B$27:$K$38,3,$B36)</f>
        <v>0</v>
      </c>
      <c r="EW36" s="89">
        <f>INDEX(Klimaatdata!$B$27:$K$38,4,$B36)</f>
        <v>0</v>
      </c>
      <c r="EX36" s="89">
        <f>INDEX(Klimaatdata!$B$27:$K$38,5,$B36)</f>
        <v>0</v>
      </c>
      <c r="EY36" s="89">
        <f>INDEX(Klimaatdata!$B$27:$K$38,6,$B36)</f>
        <v>0</v>
      </c>
      <c r="EZ36" s="89">
        <f>INDEX(Klimaatdata!$B$27:$K$38,7,$B36)</f>
        <v>0</v>
      </c>
      <c r="FA36" s="89">
        <f>INDEX(Klimaatdata!$B$27:$K$38,8,$B36)</f>
        <v>0</v>
      </c>
      <c r="FB36" s="89">
        <f>INDEX(Klimaatdata!$B$27:$K$38,9,$B36)</f>
        <v>0</v>
      </c>
      <c r="FC36" s="89">
        <f>INDEX(Klimaatdata!$B$27:$K$38,10,$B36)</f>
        <v>0</v>
      </c>
      <c r="FD36" s="89">
        <f>INDEX(Klimaatdata!$B$27:$K$38,11,$B36)</f>
        <v>0</v>
      </c>
      <c r="FE36" s="89">
        <f>INDEX(Klimaatdata!$B$27:$K$38,12,$B36)</f>
        <v>0</v>
      </c>
      <c r="FG36">
        <f t="shared" si="71"/>
        <v>1</v>
      </c>
      <c r="FH36">
        <f t="shared" si="72"/>
        <v>1</v>
      </c>
      <c r="FI36">
        <f t="shared" si="73"/>
        <v>1</v>
      </c>
      <c r="FJ36">
        <f t="shared" si="74"/>
        <v>1</v>
      </c>
      <c r="FK36">
        <f t="shared" si="75"/>
        <v>1</v>
      </c>
      <c r="FL36">
        <f t="shared" si="76"/>
        <v>1</v>
      </c>
      <c r="FM36">
        <f t="shared" si="77"/>
        <v>1</v>
      </c>
      <c r="FN36">
        <f t="shared" si="78"/>
        <v>1</v>
      </c>
      <c r="FO36">
        <f t="shared" si="79"/>
        <v>1</v>
      </c>
      <c r="FP36">
        <f t="shared" si="80"/>
        <v>1</v>
      </c>
      <c r="FQ36">
        <f t="shared" si="81"/>
        <v>1</v>
      </c>
      <c r="FR36">
        <f t="shared" si="82"/>
        <v>1</v>
      </c>
      <c r="FT36" s="219">
        <f>Klimaatdata!$D$7*ET36*FG36*$ER36*$G36*0.75</f>
        <v>0</v>
      </c>
      <c r="FU36" s="219">
        <f>Klimaatdata!$E$7*EU36*FH36*$ER36*$G36*0.75</f>
        <v>0</v>
      </c>
      <c r="FV36" s="219">
        <f>Klimaatdata!$F$7*EV36*FI36*$ER36*$G36*0.75</f>
        <v>0</v>
      </c>
      <c r="FW36" s="219">
        <f>Klimaatdata!$G$7*EW36*FJ36*$ER36*$G36*0.75</f>
        <v>0</v>
      </c>
      <c r="FX36" s="219">
        <f>Klimaatdata!$H$7*EX36*FK36*$ER36*$G36*0.75</f>
        <v>0</v>
      </c>
      <c r="FY36" s="219">
        <f>Klimaatdata!$I$7*EY36*FL36*$ER36*$G36*0.75</f>
        <v>0</v>
      </c>
      <c r="FZ36" s="219">
        <f>Klimaatdata!$J$7*EZ36*FM36*$ER36*$G36*0.75</f>
        <v>0</v>
      </c>
      <c r="GA36" s="219">
        <f>Klimaatdata!$K$7*FA36*FN36*$ER36*$G36*0.75</f>
        <v>0</v>
      </c>
      <c r="GB36" s="219">
        <f>Klimaatdata!$L$7*FB36*FO36*$ER36*$G36*0.75</f>
        <v>0</v>
      </c>
      <c r="GC36" s="219">
        <f>Klimaatdata!$M$7*FC36*FP36*$ER36*$G36*0.75</f>
        <v>0</v>
      </c>
      <c r="GD36" s="219">
        <f>Klimaatdata!$N$7*FD36*FQ36*$ER36*$G36*0.75</f>
        <v>0</v>
      </c>
      <c r="GE36" s="219">
        <f>Klimaatdata!$O$7*FE36*FR36*$ER36*$G36*0.75</f>
        <v>0</v>
      </c>
      <c r="GG36">
        <f t="shared" si="43"/>
        <v>0</v>
      </c>
      <c r="GH36">
        <f t="shared" si="44"/>
        <v>0</v>
      </c>
      <c r="GI36">
        <f t="shared" si="83"/>
        <v>0</v>
      </c>
      <c r="GJ36">
        <f t="shared" si="84"/>
        <v>0</v>
      </c>
      <c r="GK36">
        <f t="shared" si="85"/>
        <v>0</v>
      </c>
      <c r="GL36">
        <f t="shared" si="86"/>
        <v>0</v>
      </c>
      <c r="GM36">
        <f t="shared" si="87"/>
        <v>0</v>
      </c>
      <c r="GN36">
        <f t="shared" si="88"/>
        <v>0</v>
      </c>
      <c r="GO36">
        <f>'Invoer Gebouwschil'!Q36</f>
        <v>0</v>
      </c>
      <c r="GP36">
        <f t="shared" si="89"/>
        <v>0</v>
      </c>
      <c r="GR36">
        <f t="shared" si="90"/>
        <v>1</v>
      </c>
      <c r="GS36">
        <f t="shared" si="91"/>
        <v>0</v>
      </c>
      <c r="GT36">
        <f t="shared" si="92"/>
        <v>0</v>
      </c>
      <c r="GU36">
        <f t="shared" si="93"/>
        <v>0</v>
      </c>
      <c r="GV36">
        <f t="shared" si="94"/>
        <v>0</v>
      </c>
      <c r="GW36">
        <f t="shared" si="95"/>
        <v>0</v>
      </c>
      <c r="GX36">
        <f t="shared" si="96"/>
        <v>0</v>
      </c>
      <c r="GZ36" s="12">
        <f t="shared" si="59"/>
        <v>0</v>
      </c>
      <c r="HA36" s="13">
        <f t="shared" si="60"/>
        <v>0</v>
      </c>
      <c r="HB36" s="13">
        <f t="shared" si="61"/>
        <v>0</v>
      </c>
      <c r="HC36" s="14">
        <f t="shared" si="62"/>
        <v>0</v>
      </c>
      <c r="HE36" s="12">
        <f t="shared" si="63"/>
        <v>0</v>
      </c>
      <c r="HF36" s="13">
        <f t="shared" si="64"/>
        <v>0</v>
      </c>
      <c r="HG36" s="13">
        <f t="shared" si="65"/>
        <v>0</v>
      </c>
      <c r="HH36" s="14">
        <f t="shared" si="66"/>
        <v>0</v>
      </c>
    </row>
    <row r="37" spans="1:216" x14ac:dyDescent="0.2">
      <c r="A37">
        <v>1</v>
      </c>
      <c r="B37">
        <v>1</v>
      </c>
      <c r="C37">
        <v>1</v>
      </c>
      <c r="D37">
        <f>'Invoer Gebouwschil'!D37</f>
        <v>0</v>
      </c>
      <c r="E37">
        <v>1</v>
      </c>
      <c r="F37">
        <v>1</v>
      </c>
      <c r="G37">
        <f>'Invoer Gebouwschil'!H37</f>
        <v>0</v>
      </c>
      <c r="H37">
        <v>1</v>
      </c>
      <c r="I37">
        <v>1</v>
      </c>
      <c r="K37" s="89">
        <f>INDEX('Verwerking Bouwdelen'!$BR$79:$BR$103,'Verwerking Bouwdelen'!E37)</f>
        <v>0</v>
      </c>
      <c r="L37" s="89">
        <v>0.13</v>
      </c>
      <c r="M37" s="89">
        <f t="shared" si="14"/>
        <v>0</v>
      </c>
      <c r="N37" s="89">
        <f>IF(F37=6,1/((1/1/(L38+M38+'Invoer Gebouwschil'!F37))+5),1/(L37+M37+'Invoer Gebouwschil'!F37))</f>
        <v>7.6923076923076916</v>
      </c>
      <c r="O37" s="89">
        <v>0.1</v>
      </c>
      <c r="P37" s="28">
        <f t="shared" si="15"/>
        <v>1</v>
      </c>
      <c r="Q37" s="89">
        <f t="shared" si="0"/>
        <v>0</v>
      </c>
      <c r="R37" s="89">
        <v>19</v>
      </c>
      <c r="S37" s="89"/>
      <c r="T37" s="89">
        <f>$Q37*($R37-Klimaatdata!$B$7)*2.63</f>
        <v>0</v>
      </c>
      <c r="U37" s="89">
        <f>$Q37*($R37-Klimaatdata!$B$8)*2.63</f>
        <v>0</v>
      </c>
      <c r="V37" s="89">
        <f>$Q37*($R37-Klimaatdata!$B$9)*2.63</f>
        <v>0</v>
      </c>
      <c r="W37" s="89">
        <f>$Q37*($R37-Klimaatdata!$B$10)*2.63</f>
        <v>0</v>
      </c>
      <c r="X37" s="89">
        <f>$Q37*($R37-Klimaatdata!$B$11)*2.63</f>
        <v>0</v>
      </c>
      <c r="Y37" s="89">
        <f>$Q37*($R37-Klimaatdata!$B$12)*2.63</f>
        <v>0</v>
      </c>
      <c r="Z37" s="89">
        <f>$Q37*($R37-Klimaatdata!$B$13)*2.63</f>
        <v>0</v>
      </c>
      <c r="AA37" s="89">
        <f>$Q37*($R37-Klimaatdata!$B$14)*2.63</f>
        <v>0</v>
      </c>
      <c r="AB37" s="89">
        <f>$Q37*($R37-Klimaatdata!$B$15)*2.63</f>
        <v>0</v>
      </c>
      <c r="AC37" s="89">
        <f>$Q37*($R37-Klimaatdata!$B$16)*2.63</f>
        <v>0</v>
      </c>
      <c r="AD37" s="89">
        <f>$Q37*($R37-Klimaatdata!$B$17)*2.63</f>
        <v>0</v>
      </c>
      <c r="AE37" s="89">
        <f>$Q37*($R37-Klimaatdata!$B$18)*2.63</f>
        <v>0</v>
      </c>
      <c r="AF37" s="89"/>
      <c r="AG37" s="205">
        <f t="shared" si="16"/>
        <v>0</v>
      </c>
      <c r="AH37" s="25">
        <f t="shared" si="17"/>
        <v>0</v>
      </c>
      <c r="AI37" s="25">
        <f t="shared" si="18"/>
        <v>0</v>
      </c>
      <c r="AJ37" s="206">
        <f t="shared" si="19"/>
        <v>0</v>
      </c>
      <c r="AK37" s="25"/>
      <c r="AL37" s="89">
        <f t="shared" si="20"/>
        <v>1</v>
      </c>
      <c r="AM37" s="89">
        <f t="shared" si="21"/>
        <v>0</v>
      </c>
      <c r="AN37" s="89">
        <f t="shared" si="22"/>
        <v>0</v>
      </c>
      <c r="AO37" s="89">
        <f t="shared" si="23"/>
        <v>0</v>
      </c>
      <c r="AP37" s="89">
        <v>0.1</v>
      </c>
      <c r="AQ37" s="28">
        <v>1</v>
      </c>
      <c r="AR37" s="89">
        <f t="shared" si="1"/>
        <v>0</v>
      </c>
      <c r="AS37" s="89">
        <v>19</v>
      </c>
      <c r="AT37" s="89"/>
      <c r="AU37" s="89">
        <f>$AR37*($R37-Klimaatdata!$B$7)*2.63</f>
        <v>0</v>
      </c>
      <c r="AV37" s="89">
        <f>$AR37*($R37-Klimaatdata!$B$8)*2.63</f>
        <v>0</v>
      </c>
      <c r="AW37" s="89">
        <f>$AR37*($R37-Klimaatdata!$B$9)*2.63</f>
        <v>0</v>
      </c>
      <c r="AX37" s="89">
        <f>$AR37*($R37-Klimaatdata!$B$10)*2.63</f>
        <v>0</v>
      </c>
      <c r="AY37" s="89">
        <f>$AR37*($R37-Klimaatdata!$B$11)*2.63</f>
        <v>0</v>
      </c>
      <c r="AZ37" s="89">
        <f>$AR37*($R37-Klimaatdata!$B$12)*2.63</f>
        <v>0</v>
      </c>
      <c r="BA37" s="89">
        <f>$AR37*($R37-Klimaatdata!$B$13)*2.63</f>
        <v>0</v>
      </c>
      <c r="BB37" s="89">
        <f>$AR37*($R37-Klimaatdata!$B$14)*2.63</f>
        <v>0</v>
      </c>
      <c r="BC37" s="89">
        <f>$AR37*($R37-Klimaatdata!$B$15)*2.63</f>
        <v>0</v>
      </c>
      <c r="BD37" s="89">
        <f>$AR37*($R37-Klimaatdata!$B$16)*2.63</f>
        <v>0</v>
      </c>
      <c r="BE37" s="89">
        <f>$AR37*($R37-Klimaatdata!$B$17)*2.63</f>
        <v>0</v>
      </c>
      <c r="BF37" s="89">
        <f>$AR37*($R37-Klimaatdata!$B$18)*2.63</f>
        <v>0</v>
      </c>
      <c r="BG37" s="25"/>
      <c r="BH37" s="89">
        <f>INDEX('Verwerking Bouwdelen'!$Y$106:$Y$130,H37)</f>
        <v>0</v>
      </c>
      <c r="BI37" s="89"/>
      <c r="BJ37" s="89">
        <f>INDEX(Klimaatdata!$B$27:$K$38,1,$B37)</f>
        <v>0</v>
      </c>
      <c r="BK37" s="89">
        <f>INDEX(Klimaatdata!$B$27:$K$38,2,$B37)</f>
        <v>0</v>
      </c>
      <c r="BL37" s="89">
        <f>INDEX(Klimaatdata!$B$27:$K$38,3,$B37)</f>
        <v>0</v>
      </c>
      <c r="BM37" s="89">
        <f>INDEX(Klimaatdata!$B$27:$K$38,4,$B37)</f>
        <v>0</v>
      </c>
      <c r="BN37" s="89">
        <f>INDEX(Klimaatdata!$B$27:$K$38,5,$B37)</f>
        <v>0</v>
      </c>
      <c r="BO37" s="89">
        <f>INDEX(Klimaatdata!$B$27:$K$38,6,$B37)</f>
        <v>0</v>
      </c>
      <c r="BP37" s="89">
        <f>INDEX(Klimaatdata!$B$27:$K$38,7,$B37)</f>
        <v>0</v>
      </c>
      <c r="BQ37" s="89">
        <f>INDEX(Klimaatdata!$B$27:$K$38,8,$B37)</f>
        <v>0</v>
      </c>
      <c r="BR37" s="89">
        <f>INDEX(Klimaatdata!$B$27:$K$38,9,$B37)</f>
        <v>0</v>
      </c>
      <c r="BS37" s="89">
        <f>INDEX(Klimaatdata!$B$27:$K$38,10,$B37)</f>
        <v>0</v>
      </c>
      <c r="BT37" s="89">
        <f>INDEX(Klimaatdata!$B$27:$K$38,11,$B37)</f>
        <v>0</v>
      </c>
      <c r="BU37" s="89">
        <f>INDEX(Klimaatdata!$B$27:$K$38,12,$B37)</f>
        <v>0</v>
      </c>
      <c r="BW37">
        <f t="shared" si="2"/>
        <v>1</v>
      </c>
      <c r="BX37">
        <f t="shared" si="3"/>
        <v>1</v>
      </c>
      <c r="BY37">
        <f t="shared" si="4"/>
        <v>1</v>
      </c>
      <c r="BZ37">
        <f t="shared" si="5"/>
        <v>1</v>
      </c>
      <c r="CA37">
        <f t="shared" si="6"/>
        <v>1</v>
      </c>
      <c r="CB37">
        <f t="shared" si="7"/>
        <v>1</v>
      </c>
      <c r="CC37">
        <f t="shared" si="8"/>
        <v>1</v>
      </c>
      <c r="CD37">
        <f t="shared" si="9"/>
        <v>1</v>
      </c>
      <c r="CE37">
        <f t="shared" si="10"/>
        <v>1</v>
      </c>
      <c r="CF37">
        <f t="shared" si="11"/>
        <v>1</v>
      </c>
      <c r="CG37">
        <f t="shared" si="12"/>
        <v>1</v>
      </c>
      <c r="CH37">
        <f t="shared" si="13"/>
        <v>1</v>
      </c>
      <c r="CJ37" s="219">
        <f>Klimaatdata!$D$7*BJ37*BW37*$BH37*$G37*0.75</f>
        <v>0</v>
      </c>
      <c r="CK37" s="219">
        <f>Klimaatdata!$E$7*BK37*BX37*$BH37*$G37*0.75</f>
        <v>0</v>
      </c>
      <c r="CL37" s="219">
        <f>Klimaatdata!$F$7*BL37*BY37*$BH37*$G37*0.75</f>
        <v>0</v>
      </c>
      <c r="CM37" s="219">
        <f>Klimaatdata!$G$7*BM37*BZ37*$BH37*$G37*0.75</f>
        <v>0</v>
      </c>
      <c r="CN37" s="219">
        <f>Klimaatdata!$H$7*BN37*CA37*$BH37*$G37*0.75</f>
        <v>0</v>
      </c>
      <c r="CO37" s="219">
        <f>Klimaatdata!$I$7*BO37*CB37*$BH37*$G37*0.75</f>
        <v>0</v>
      </c>
      <c r="CP37" s="219">
        <f>Klimaatdata!$J$7*BP37*CC37*$BH37*$G37*0.75</f>
        <v>0</v>
      </c>
      <c r="CQ37" s="219">
        <f>Klimaatdata!$K$7*BQ37*CD37*$BH37*$G37*0.75</f>
        <v>0</v>
      </c>
      <c r="CR37" s="219">
        <f>Klimaatdata!$L$7*BR37*CE37*$BH37*$G37*0.75</f>
        <v>0</v>
      </c>
      <c r="CS37" s="219">
        <f>Klimaatdata!$M$7*BS37*CF37*$BH37*$G37*0.75</f>
        <v>0</v>
      </c>
      <c r="CT37" s="219">
        <f>Klimaatdata!$N$7*BT37*CG37*$BH37*$G37*0.75</f>
        <v>0</v>
      </c>
      <c r="CU37" s="219">
        <f>Klimaatdata!$O$7*BU37*CH37*$BH37*$G37*0.75</f>
        <v>0</v>
      </c>
      <c r="CX37">
        <v>1</v>
      </c>
      <c r="CY37">
        <v>1</v>
      </c>
      <c r="CZ37">
        <v>1</v>
      </c>
      <c r="DA37">
        <f>'Invoer Gebouwschil'!Q37</f>
        <v>0</v>
      </c>
      <c r="DC37" s="89">
        <f t="shared" si="24"/>
        <v>0</v>
      </c>
      <c r="DD37" s="89">
        <v>0.13</v>
      </c>
      <c r="DE37" s="89">
        <f t="shared" si="25"/>
        <v>0</v>
      </c>
      <c r="DF37" s="89">
        <f>IF(F37=6,1/((1/1/(DD37+DE37+'Invoer Gebouwschil'!M37))+5),1/(DD37+DE37+'Invoer Gebouwschil'!M37))</f>
        <v>7.6923076923076916</v>
      </c>
      <c r="DG37" s="89">
        <v>0.1</v>
      </c>
      <c r="DH37" s="28">
        <f t="shared" si="67"/>
        <v>1</v>
      </c>
      <c r="DI37" s="89">
        <f t="shared" si="68"/>
        <v>0</v>
      </c>
      <c r="DJ37" s="89">
        <v>19</v>
      </c>
      <c r="DK37" s="89"/>
      <c r="DL37" s="89">
        <f>$DI37*($R37-Klimaatdata!$B$7)*2.63</f>
        <v>0</v>
      </c>
      <c r="DM37" s="89">
        <f>$DI37*($R37-Klimaatdata!$B$8)*2.63</f>
        <v>0</v>
      </c>
      <c r="DN37" s="89">
        <f>$DI37*($R37-Klimaatdata!$B$9)*2.63</f>
        <v>0</v>
      </c>
      <c r="DO37" s="89">
        <f>$DI37*($R37-Klimaatdata!$B$10)*2.63</f>
        <v>0</v>
      </c>
      <c r="DP37" s="89">
        <f>$DI37*($R37-Klimaatdata!$B$11)*2.63</f>
        <v>0</v>
      </c>
      <c r="DQ37" s="89">
        <f>$DI37*($R37-Klimaatdata!$B$12)*2.63</f>
        <v>0</v>
      </c>
      <c r="DR37" s="89">
        <f>$DI37*($R37-Klimaatdata!$B$13)*2.63</f>
        <v>0</v>
      </c>
      <c r="DS37" s="89">
        <f>$DI37*($R37-Klimaatdata!$B$14)*2.63</f>
        <v>0</v>
      </c>
      <c r="DT37" s="89">
        <f>$DI37*($R37-Klimaatdata!$B$15)*2.63</f>
        <v>0</v>
      </c>
      <c r="DU37" s="89">
        <f>$DI37*($R37-Klimaatdata!$B$16)*2.63</f>
        <v>0</v>
      </c>
      <c r="DV37" s="89">
        <f>$DI37*($R37-Klimaatdata!$B$17)*2.63</f>
        <v>0</v>
      </c>
      <c r="DW37" s="89">
        <f>$DI37*($R37-Klimaatdata!$B$18)*2.63</f>
        <v>0</v>
      </c>
      <c r="DX37" s="89"/>
      <c r="DY37" s="89">
        <f t="shared" si="69"/>
        <v>0</v>
      </c>
      <c r="DZ37" s="89">
        <v>0.1</v>
      </c>
      <c r="EA37" s="28">
        <v>1</v>
      </c>
      <c r="EB37" s="89">
        <f t="shared" si="70"/>
        <v>0</v>
      </c>
      <c r="EC37" s="89">
        <v>19</v>
      </c>
      <c r="ED37" s="89"/>
      <c r="EE37" s="89">
        <f>$EB37*($R37-Klimaatdata!$B$7)*2.63</f>
        <v>0</v>
      </c>
      <c r="EF37" s="89">
        <f>$EB37*($R37-Klimaatdata!$B$8)*2.63</f>
        <v>0</v>
      </c>
      <c r="EG37" s="89">
        <f>$EB37*($R37-Klimaatdata!$B$9)*2.63</f>
        <v>0</v>
      </c>
      <c r="EH37" s="89">
        <f>$EB37*($R37-Klimaatdata!$B$10)*2.63</f>
        <v>0</v>
      </c>
      <c r="EI37" s="89">
        <f>$EB37*($R37-Klimaatdata!$B$11)*2.63</f>
        <v>0</v>
      </c>
      <c r="EJ37" s="89">
        <f>$EB37*($R37-Klimaatdata!$B$12)*2.63</f>
        <v>0</v>
      </c>
      <c r="EK37" s="89">
        <f>$EB37*($R37-Klimaatdata!$B$13)*2.63</f>
        <v>0</v>
      </c>
      <c r="EL37" s="89">
        <f>$EB37*($R37-Klimaatdata!$B$14)*2.63</f>
        <v>0</v>
      </c>
      <c r="EM37" s="89">
        <f>$EB37*($R37-Klimaatdata!$B$15)*2.63</f>
        <v>0</v>
      </c>
      <c r="EN37" s="89">
        <f>$EB37*($R37-Klimaatdata!$B$16)*2.63</f>
        <v>0</v>
      </c>
      <c r="EO37" s="89">
        <f>$EB37*($R37-Klimaatdata!$B$17)*2.63</f>
        <v>0</v>
      </c>
      <c r="EP37" s="89">
        <f>$EB37*($R37-Klimaatdata!$B$18)*2.63</f>
        <v>0</v>
      </c>
      <c r="EQ37" s="25"/>
      <c r="ER37" s="89">
        <f t="shared" si="30"/>
        <v>0</v>
      </c>
      <c r="ES37" s="89"/>
      <c r="ET37" s="89">
        <f>INDEX(Klimaatdata!$B$27:$K$38,1,$B37)</f>
        <v>0</v>
      </c>
      <c r="EU37" s="89">
        <f>INDEX(Klimaatdata!$B$27:$K$38,2,$B37)</f>
        <v>0</v>
      </c>
      <c r="EV37" s="89">
        <f>INDEX(Klimaatdata!$B$27:$K$38,3,$B37)</f>
        <v>0</v>
      </c>
      <c r="EW37" s="89">
        <f>INDEX(Klimaatdata!$B$27:$K$38,4,$B37)</f>
        <v>0</v>
      </c>
      <c r="EX37" s="89">
        <f>INDEX(Klimaatdata!$B$27:$K$38,5,$B37)</f>
        <v>0</v>
      </c>
      <c r="EY37" s="89">
        <f>INDEX(Klimaatdata!$B$27:$K$38,6,$B37)</f>
        <v>0</v>
      </c>
      <c r="EZ37" s="89">
        <f>INDEX(Klimaatdata!$B$27:$K$38,7,$B37)</f>
        <v>0</v>
      </c>
      <c r="FA37" s="89">
        <f>INDEX(Klimaatdata!$B$27:$K$38,8,$B37)</f>
        <v>0</v>
      </c>
      <c r="FB37" s="89">
        <f>INDEX(Klimaatdata!$B$27:$K$38,9,$B37)</f>
        <v>0</v>
      </c>
      <c r="FC37" s="89">
        <f>INDEX(Klimaatdata!$B$27:$K$38,10,$B37)</f>
        <v>0</v>
      </c>
      <c r="FD37" s="89">
        <f>INDEX(Klimaatdata!$B$27:$K$38,11,$B37)</f>
        <v>0</v>
      </c>
      <c r="FE37" s="89">
        <f>INDEX(Klimaatdata!$B$27:$K$38,12,$B37)</f>
        <v>0</v>
      </c>
      <c r="FG37">
        <f t="shared" si="71"/>
        <v>1</v>
      </c>
      <c r="FH37">
        <f t="shared" si="72"/>
        <v>1</v>
      </c>
      <c r="FI37">
        <f t="shared" si="73"/>
        <v>1</v>
      </c>
      <c r="FJ37">
        <f t="shared" si="74"/>
        <v>1</v>
      </c>
      <c r="FK37">
        <f t="shared" si="75"/>
        <v>1</v>
      </c>
      <c r="FL37">
        <f t="shared" si="76"/>
        <v>1</v>
      </c>
      <c r="FM37">
        <f t="shared" si="77"/>
        <v>1</v>
      </c>
      <c r="FN37">
        <f t="shared" si="78"/>
        <v>1</v>
      </c>
      <c r="FO37">
        <f t="shared" si="79"/>
        <v>1</v>
      </c>
      <c r="FP37">
        <f t="shared" si="80"/>
        <v>1</v>
      </c>
      <c r="FQ37">
        <f t="shared" si="81"/>
        <v>1</v>
      </c>
      <c r="FR37">
        <f t="shared" si="82"/>
        <v>1</v>
      </c>
      <c r="FT37" s="219">
        <f>Klimaatdata!$D$7*ET37*FG37*$ER37*$G37*0.75</f>
        <v>0</v>
      </c>
      <c r="FU37" s="219">
        <f>Klimaatdata!$E$7*EU37*FH37*$ER37*$G37*0.75</f>
        <v>0</v>
      </c>
      <c r="FV37" s="219">
        <f>Klimaatdata!$F$7*EV37*FI37*$ER37*$G37*0.75</f>
        <v>0</v>
      </c>
      <c r="FW37" s="219">
        <f>Klimaatdata!$G$7*EW37*FJ37*$ER37*$G37*0.75</f>
        <v>0</v>
      </c>
      <c r="FX37" s="219">
        <f>Klimaatdata!$H$7*EX37*FK37*$ER37*$G37*0.75</f>
        <v>0</v>
      </c>
      <c r="FY37" s="219">
        <f>Klimaatdata!$I$7*EY37*FL37*$ER37*$G37*0.75</f>
        <v>0</v>
      </c>
      <c r="FZ37" s="219">
        <f>Klimaatdata!$J$7*EZ37*FM37*$ER37*$G37*0.75</f>
        <v>0</v>
      </c>
      <c r="GA37" s="219">
        <f>Klimaatdata!$K$7*FA37*FN37*$ER37*$G37*0.75</f>
        <v>0</v>
      </c>
      <c r="GB37" s="219">
        <f>Klimaatdata!$L$7*FB37*FO37*$ER37*$G37*0.75</f>
        <v>0</v>
      </c>
      <c r="GC37" s="219">
        <f>Klimaatdata!$M$7*FC37*FP37*$ER37*$G37*0.75</f>
        <v>0</v>
      </c>
      <c r="GD37" s="219">
        <f>Klimaatdata!$N$7*FD37*FQ37*$ER37*$G37*0.75</f>
        <v>0</v>
      </c>
      <c r="GE37" s="219">
        <f>Klimaatdata!$O$7*FE37*FR37*$ER37*$G37*0.75</f>
        <v>0</v>
      </c>
      <c r="GG37">
        <f t="shared" si="43"/>
        <v>0</v>
      </c>
      <c r="GH37">
        <f t="shared" si="44"/>
        <v>0</v>
      </c>
      <c r="GI37">
        <f t="shared" si="83"/>
        <v>0</v>
      </c>
      <c r="GJ37">
        <f t="shared" si="84"/>
        <v>0</v>
      </c>
      <c r="GK37">
        <f t="shared" si="85"/>
        <v>0</v>
      </c>
      <c r="GL37">
        <f t="shared" si="86"/>
        <v>0</v>
      </c>
      <c r="GM37">
        <f t="shared" si="87"/>
        <v>0</v>
      </c>
      <c r="GN37">
        <f t="shared" si="88"/>
        <v>0</v>
      </c>
      <c r="GO37">
        <f>'Invoer Gebouwschil'!Q37</f>
        <v>0</v>
      </c>
      <c r="GP37">
        <f t="shared" si="89"/>
        <v>0</v>
      </c>
      <c r="GR37">
        <f t="shared" si="90"/>
        <v>1</v>
      </c>
      <c r="GS37">
        <f t="shared" si="91"/>
        <v>0</v>
      </c>
      <c r="GT37">
        <f t="shared" si="92"/>
        <v>0</v>
      </c>
      <c r="GU37">
        <f t="shared" si="93"/>
        <v>0</v>
      </c>
      <c r="GV37">
        <f t="shared" si="94"/>
        <v>0</v>
      </c>
      <c r="GW37">
        <f t="shared" si="95"/>
        <v>0</v>
      </c>
      <c r="GX37">
        <f t="shared" si="96"/>
        <v>0</v>
      </c>
      <c r="GZ37" s="12">
        <f t="shared" si="59"/>
        <v>0</v>
      </c>
      <c r="HA37" s="13">
        <f t="shared" si="60"/>
        <v>0</v>
      </c>
      <c r="HB37" s="13">
        <f t="shared" si="61"/>
        <v>0</v>
      </c>
      <c r="HC37" s="14">
        <f t="shared" si="62"/>
        <v>0</v>
      </c>
      <c r="HE37" s="12">
        <f t="shared" si="63"/>
        <v>0</v>
      </c>
      <c r="HF37" s="13">
        <f t="shared" si="64"/>
        <v>0</v>
      </c>
      <c r="HG37" s="13">
        <f t="shared" si="65"/>
        <v>0</v>
      </c>
      <c r="HH37" s="14">
        <f t="shared" si="66"/>
        <v>0</v>
      </c>
    </row>
    <row r="38" spans="1:216" x14ac:dyDescent="0.2">
      <c r="A38">
        <v>1</v>
      </c>
      <c r="B38">
        <v>1</v>
      </c>
      <c r="C38">
        <v>1</v>
      </c>
      <c r="D38">
        <f>'Invoer Gebouwschil'!D38</f>
        <v>0</v>
      </c>
      <c r="E38">
        <v>1</v>
      </c>
      <c r="F38">
        <v>1</v>
      </c>
      <c r="G38">
        <f>'Invoer Gebouwschil'!H38</f>
        <v>0</v>
      </c>
      <c r="H38">
        <v>1</v>
      </c>
      <c r="I38">
        <v>1</v>
      </c>
      <c r="K38" s="89">
        <f>INDEX('Verwerking Bouwdelen'!$BT$79:$BT$103,'Verwerking Bouwdelen'!E38)</f>
        <v>0</v>
      </c>
      <c r="L38" s="89">
        <v>0.13</v>
      </c>
      <c r="M38" s="89">
        <f t="shared" si="14"/>
        <v>0</v>
      </c>
      <c r="N38" s="89">
        <f>IF(F38=6,1/((1/1/(L39+M39+'Invoer Gebouwschil'!F38))+5),1/(L38+M38+'Invoer Gebouwschil'!F38))</f>
        <v>7.6923076923076916</v>
      </c>
      <c r="O38" s="89">
        <v>0.1</v>
      </c>
      <c r="P38" s="28">
        <f t="shared" si="15"/>
        <v>1</v>
      </c>
      <c r="Q38" s="89">
        <f t="shared" si="0"/>
        <v>0</v>
      </c>
      <c r="R38" s="89">
        <v>19</v>
      </c>
      <c r="S38" s="89"/>
      <c r="T38" s="89">
        <f>$Q38*($R38-Klimaatdata!$B$7)*2.63</f>
        <v>0</v>
      </c>
      <c r="U38" s="89">
        <f>$Q38*($R38-Klimaatdata!$B$8)*2.63</f>
        <v>0</v>
      </c>
      <c r="V38" s="89">
        <f>$Q38*($R38-Klimaatdata!$B$9)*2.63</f>
        <v>0</v>
      </c>
      <c r="W38" s="89">
        <f>$Q38*($R38-Klimaatdata!$B$10)*2.63</f>
        <v>0</v>
      </c>
      <c r="X38" s="89">
        <f>$Q38*($R38-Klimaatdata!$B$11)*2.63</f>
        <v>0</v>
      </c>
      <c r="Y38" s="89">
        <f>$Q38*($R38-Klimaatdata!$B$12)*2.63</f>
        <v>0</v>
      </c>
      <c r="Z38" s="89">
        <f>$Q38*($R38-Klimaatdata!$B$13)*2.63</f>
        <v>0</v>
      </c>
      <c r="AA38" s="89">
        <f>$Q38*($R38-Klimaatdata!$B$14)*2.63</f>
        <v>0</v>
      </c>
      <c r="AB38" s="89">
        <f>$Q38*($R38-Klimaatdata!$B$15)*2.63</f>
        <v>0</v>
      </c>
      <c r="AC38" s="89">
        <f>$Q38*($R38-Klimaatdata!$B$16)*2.63</f>
        <v>0</v>
      </c>
      <c r="AD38" s="89">
        <f>$Q38*($R38-Klimaatdata!$B$17)*2.63</f>
        <v>0</v>
      </c>
      <c r="AE38" s="89">
        <f>$Q38*($R38-Klimaatdata!$B$18)*2.63</f>
        <v>0</v>
      </c>
      <c r="AF38" s="89"/>
      <c r="AG38" s="205">
        <f t="shared" si="16"/>
        <v>0</v>
      </c>
      <c r="AH38" s="25">
        <f t="shared" si="17"/>
        <v>0</v>
      </c>
      <c r="AI38" s="25">
        <f t="shared" si="18"/>
        <v>0</v>
      </c>
      <c r="AJ38" s="206">
        <f t="shared" si="19"/>
        <v>0</v>
      </c>
      <c r="AK38" s="25"/>
      <c r="AL38" s="89">
        <f t="shared" si="20"/>
        <v>1</v>
      </c>
      <c r="AM38" s="89">
        <f t="shared" si="21"/>
        <v>0</v>
      </c>
      <c r="AN38" s="89">
        <f t="shared" si="22"/>
        <v>0</v>
      </c>
      <c r="AO38" s="89">
        <f t="shared" si="23"/>
        <v>0</v>
      </c>
      <c r="AP38" s="89">
        <v>0.1</v>
      </c>
      <c r="AQ38" s="28">
        <v>1</v>
      </c>
      <c r="AR38" s="89">
        <f t="shared" si="1"/>
        <v>0</v>
      </c>
      <c r="AS38" s="89">
        <v>19</v>
      </c>
      <c r="AT38" s="89"/>
      <c r="AU38" s="89">
        <f>$AR38*($R38-Klimaatdata!$B$7)*2.63</f>
        <v>0</v>
      </c>
      <c r="AV38" s="89">
        <f>$AR38*($R38-Klimaatdata!$B$8)*2.63</f>
        <v>0</v>
      </c>
      <c r="AW38" s="89">
        <f>$AR38*($R38-Klimaatdata!$B$9)*2.63</f>
        <v>0</v>
      </c>
      <c r="AX38" s="89">
        <f>$AR38*($R38-Klimaatdata!$B$10)*2.63</f>
        <v>0</v>
      </c>
      <c r="AY38" s="89">
        <f>$AR38*($R38-Klimaatdata!$B$11)*2.63</f>
        <v>0</v>
      </c>
      <c r="AZ38" s="89">
        <f>$AR38*($R38-Klimaatdata!$B$12)*2.63</f>
        <v>0</v>
      </c>
      <c r="BA38" s="89">
        <f>$AR38*($R38-Klimaatdata!$B$13)*2.63</f>
        <v>0</v>
      </c>
      <c r="BB38" s="89">
        <f>$AR38*($R38-Klimaatdata!$B$14)*2.63</f>
        <v>0</v>
      </c>
      <c r="BC38" s="89">
        <f>$AR38*($R38-Klimaatdata!$B$15)*2.63</f>
        <v>0</v>
      </c>
      <c r="BD38" s="89">
        <f>$AR38*($R38-Klimaatdata!$B$16)*2.63</f>
        <v>0</v>
      </c>
      <c r="BE38" s="89">
        <f>$AR38*($R38-Klimaatdata!$B$17)*2.63</f>
        <v>0</v>
      </c>
      <c r="BF38" s="89">
        <f>$AR38*($R38-Klimaatdata!$B$18)*2.63</f>
        <v>0</v>
      </c>
      <c r="BG38" s="25"/>
      <c r="BH38" s="89">
        <f>INDEX('Verwerking Bouwdelen'!$Y$106:$Y$130,H38)</f>
        <v>0</v>
      </c>
      <c r="BI38" s="89"/>
      <c r="BJ38" s="89">
        <f>INDEX(Klimaatdata!$B$27:$K$38,1,$B38)</f>
        <v>0</v>
      </c>
      <c r="BK38" s="89">
        <f>INDEX(Klimaatdata!$B$27:$K$38,2,$B38)</f>
        <v>0</v>
      </c>
      <c r="BL38" s="89">
        <f>INDEX(Klimaatdata!$B$27:$K$38,3,$B38)</f>
        <v>0</v>
      </c>
      <c r="BM38" s="89">
        <f>INDEX(Klimaatdata!$B$27:$K$38,4,$B38)</f>
        <v>0</v>
      </c>
      <c r="BN38" s="89">
        <f>INDEX(Klimaatdata!$B$27:$K$38,5,$B38)</f>
        <v>0</v>
      </c>
      <c r="BO38" s="89">
        <f>INDEX(Klimaatdata!$B$27:$K$38,6,$B38)</f>
        <v>0</v>
      </c>
      <c r="BP38" s="89">
        <f>INDEX(Klimaatdata!$B$27:$K$38,7,$B38)</f>
        <v>0</v>
      </c>
      <c r="BQ38" s="89">
        <f>INDEX(Klimaatdata!$B$27:$K$38,8,$B38)</f>
        <v>0</v>
      </c>
      <c r="BR38" s="89">
        <f>INDEX(Klimaatdata!$B$27:$K$38,9,$B38)</f>
        <v>0</v>
      </c>
      <c r="BS38" s="89">
        <f>INDEX(Klimaatdata!$B$27:$K$38,10,$B38)</f>
        <v>0</v>
      </c>
      <c r="BT38" s="89">
        <f>INDEX(Klimaatdata!$B$27:$K$38,11,$B38)</f>
        <v>0</v>
      </c>
      <c r="BU38" s="89">
        <f>INDEX(Klimaatdata!$B$27:$K$38,12,$B38)</f>
        <v>0</v>
      </c>
      <c r="BW38">
        <f t="shared" si="2"/>
        <v>1</v>
      </c>
      <c r="BX38">
        <f t="shared" si="3"/>
        <v>1</v>
      </c>
      <c r="BY38">
        <f t="shared" si="4"/>
        <v>1</v>
      </c>
      <c r="BZ38">
        <f t="shared" si="5"/>
        <v>1</v>
      </c>
      <c r="CA38">
        <f t="shared" si="6"/>
        <v>1</v>
      </c>
      <c r="CB38">
        <f t="shared" si="7"/>
        <v>1</v>
      </c>
      <c r="CC38">
        <f t="shared" si="8"/>
        <v>1</v>
      </c>
      <c r="CD38">
        <f t="shared" si="9"/>
        <v>1</v>
      </c>
      <c r="CE38">
        <f t="shared" si="10"/>
        <v>1</v>
      </c>
      <c r="CF38">
        <f t="shared" si="11"/>
        <v>1</v>
      </c>
      <c r="CG38">
        <f t="shared" si="12"/>
        <v>1</v>
      </c>
      <c r="CH38">
        <f t="shared" si="13"/>
        <v>1</v>
      </c>
      <c r="CJ38" s="219">
        <f>Klimaatdata!$D$7*BJ38*BW38*$BH38*$G38*0.75</f>
        <v>0</v>
      </c>
      <c r="CK38" s="219">
        <f>Klimaatdata!$E$7*BK38*BX38*$BH38*$G38*0.75</f>
        <v>0</v>
      </c>
      <c r="CL38" s="219">
        <f>Klimaatdata!$F$7*BL38*BY38*$BH38*$G38*0.75</f>
        <v>0</v>
      </c>
      <c r="CM38" s="219">
        <f>Klimaatdata!$G$7*BM38*BZ38*$BH38*$G38*0.75</f>
        <v>0</v>
      </c>
      <c r="CN38" s="219">
        <f>Klimaatdata!$H$7*BN38*CA38*$BH38*$G38*0.75</f>
        <v>0</v>
      </c>
      <c r="CO38" s="219">
        <f>Klimaatdata!$I$7*BO38*CB38*$BH38*$G38*0.75</f>
        <v>0</v>
      </c>
      <c r="CP38" s="219">
        <f>Klimaatdata!$J$7*BP38*CC38*$BH38*$G38*0.75</f>
        <v>0</v>
      </c>
      <c r="CQ38" s="219">
        <f>Klimaatdata!$K$7*BQ38*CD38*$BH38*$G38*0.75</f>
        <v>0</v>
      </c>
      <c r="CR38" s="219">
        <f>Klimaatdata!$L$7*BR38*CE38*$BH38*$G38*0.75</f>
        <v>0</v>
      </c>
      <c r="CS38" s="219">
        <f>Klimaatdata!$M$7*BS38*CF38*$BH38*$G38*0.75</f>
        <v>0</v>
      </c>
      <c r="CT38" s="219">
        <f>Klimaatdata!$N$7*BT38*CG38*$BH38*$G38*0.75</f>
        <v>0</v>
      </c>
      <c r="CU38" s="219">
        <f>Klimaatdata!$O$7*BU38*CH38*$BH38*$G38*0.75</f>
        <v>0</v>
      </c>
      <c r="CX38">
        <v>1</v>
      </c>
      <c r="CY38">
        <v>1</v>
      </c>
      <c r="CZ38">
        <v>1</v>
      </c>
      <c r="DA38">
        <f>'Invoer Gebouwschil'!Q38</f>
        <v>0</v>
      </c>
      <c r="DC38" s="89">
        <f t="shared" si="24"/>
        <v>0</v>
      </c>
      <c r="DD38" s="89">
        <v>0.13</v>
      </c>
      <c r="DE38" s="89">
        <f t="shared" si="25"/>
        <v>0</v>
      </c>
      <c r="DF38" s="89">
        <f>IF(F38=6,1/((1/1/(DD38+DE38+'Invoer Gebouwschil'!M38))+5),1/(DD38+DE38+'Invoer Gebouwschil'!M38))</f>
        <v>7.6923076923076916</v>
      </c>
      <c r="DG38" s="89">
        <v>0.1</v>
      </c>
      <c r="DH38" s="28">
        <f t="shared" si="67"/>
        <v>1</v>
      </c>
      <c r="DI38" s="89">
        <f t="shared" si="68"/>
        <v>0</v>
      </c>
      <c r="DJ38" s="89">
        <v>19</v>
      </c>
      <c r="DK38" s="89"/>
      <c r="DL38" s="89">
        <f>$DI38*($R38-Klimaatdata!$B$7)*2.63</f>
        <v>0</v>
      </c>
      <c r="DM38" s="89">
        <f>$DI38*($R38-Klimaatdata!$B$8)*2.63</f>
        <v>0</v>
      </c>
      <c r="DN38" s="89">
        <f>$DI38*($R38-Klimaatdata!$B$9)*2.63</f>
        <v>0</v>
      </c>
      <c r="DO38" s="89">
        <f>$DI38*($R38-Klimaatdata!$B$10)*2.63</f>
        <v>0</v>
      </c>
      <c r="DP38" s="89">
        <f>$DI38*($R38-Klimaatdata!$B$11)*2.63</f>
        <v>0</v>
      </c>
      <c r="DQ38" s="89">
        <f>$DI38*($R38-Klimaatdata!$B$12)*2.63</f>
        <v>0</v>
      </c>
      <c r="DR38" s="89">
        <f>$DI38*($R38-Klimaatdata!$B$13)*2.63</f>
        <v>0</v>
      </c>
      <c r="DS38" s="89">
        <f>$DI38*($R38-Klimaatdata!$B$14)*2.63</f>
        <v>0</v>
      </c>
      <c r="DT38" s="89">
        <f>$DI38*($R38-Klimaatdata!$B$15)*2.63</f>
        <v>0</v>
      </c>
      <c r="DU38" s="89">
        <f>$DI38*($R38-Klimaatdata!$B$16)*2.63</f>
        <v>0</v>
      </c>
      <c r="DV38" s="89">
        <f>$DI38*($R38-Klimaatdata!$B$17)*2.63</f>
        <v>0</v>
      </c>
      <c r="DW38" s="89">
        <f>$DI38*($R38-Klimaatdata!$B$18)*2.63</f>
        <v>0</v>
      </c>
      <c r="DX38" s="89"/>
      <c r="DY38" s="89">
        <f t="shared" si="69"/>
        <v>0</v>
      </c>
      <c r="DZ38" s="89">
        <v>0.1</v>
      </c>
      <c r="EA38" s="28">
        <v>1</v>
      </c>
      <c r="EB38" s="89">
        <f t="shared" si="70"/>
        <v>0</v>
      </c>
      <c r="EC38" s="89">
        <v>19</v>
      </c>
      <c r="ED38" s="89"/>
      <c r="EE38" s="89">
        <f>$EB38*($R38-Klimaatdata!$B$7)*2.63</f>
        <v>0</v>
      </c>
      <c r="EF38" s="89">
        <f>$EB38*($R38-Klimaatdata!$B$8)*2.63</f>
        <v>0</v>
      </c>
      <c r="EG38" s="89">
        <f>$EB38*($R38-Klimaatdata!$B$9)*2.63</f>
        <v>0</v>
      </c>
      <c r="EH38" s="89">
        <f>$EB38*($R38-Klimaatdata!$B$10)*2.63</f>
        <v>0</v>
      </c>
      <c r="EI38" s="89">
        <f>$EB38*($R38-Klimaatdata!$B$11)*2.63</f>
        <v>0</v>
      </c>
      <c r="EJ38" s="89">
        <f>$EB38*($R38-Klimaatdata!$B$12)*2.63</f>
        <v>0</v>
      </c>
      <c r="EK38" s="89">
        <f>$EB38*($R38-Klimaatdata!$B$13)*2.63</f>
        <v>0</v>
      </c>
      <c r="EL38" s="89">
        <f>$EB38*($R38-Klimaatdata!$B$14)*2.63</f>
        <v>0</v>
      </c>
      <c r="EM38" s="89">
        <f>$EB38*($R38-Klimaatdata!$B$15)*2.63</f>
        <v>0</v>
      </c>
      <c r="EN38" s="89">
        <f>$EB38*($R38-Klimaatdata!$B$16)*2.63</f>
        <v>0</v>
      </c>
      <c r="EO38" s="89">
        <f>$EB38*($R38-Klimaatdata!$B$17)*2.63</f>
        <v>0</v>
      </c>
      <c r="EP38" s="89">
        <f>$EB38*($R38-Klimaatdata!$B$18)*2.63</f>
        <v>0</v>
      </c>
      <c r="EQ38" s="25"/>
      <c r="ER38" s="89">
        <f t="shared" si="30"/>
        <v>0</v>
      </c>
      <c r="ES38" s="89"/>
      <c r="ET38" s="89">
        <f>INDEX(Klimaatdata!$B$27:$K$38,1,$B38)</f>
        <v>0</v>
      </c>
      <c r="EU38" s="89">
        <f>INDEX(Klimaatdata!$B$27:$K$38,2,$B38)</f>
        <v>0</v>
      </c>
      <c r="EV38" s="89">
        <f>INDEX(Klimaatdata!$B$27:$K$38,3,$B38)</f>
        <v>0</v>
      </c>
      <c r="EW38" s="89">
        <f>INDEX(Klimaatdata!$B$27:$K$38,4,$B38)</f>
        <v>0</v>
      </c>
      <c r="EX38" s="89">
        <f>INDEX(Klimaatdata!$B$27:$K$38,5,$B38)</f>
        <v>0</v>
      </c>
      <c r="EY38" s="89">
        <f>INDEX(Klimaatdata!$B$27:$K$38,6,$B38)</f>
        <v>0</v>
      </c>
      <c r="EZ38" s="89">
        <f>INDEX(Klimaatdata!$B$27:$K$38,7,$B38)</f>
        <v>0</v>
      </c>
      <c r="FA38" s="89">
        <f>INDEX(Klimaatdata!$B$27:$K$38,8,$B38)</f>
        <v>0</v>
      </c>
      <c r="FB38" s="89">
        <f>INDEX(Klimaatdata!$B$27:$K$38,9,$B38)</f>
        <v>0</v>
      </c>
      <c r="FC38" s="89">
        <f>INDEX(Klimaatdata!$B$27:$K$38,10,$B38)</f>
        <v>0</v>
      </c>
      <c r="FD38" s="89">
        <f>INDEX(Klimaatdata!$B$27:$K$38,11,$B38)</f>
        <v>0</v>
      </c>
      <c r="FE38" s="89">
        <f>INDEX(Klimaatdata!$B$27:$K$38,12,$B38)</f>
        <v>0</v>
      </c>
      <c r="FG38">
        <f t="shared" si="71"/>
        <v>1</v>
      </c>
      <c r="FH38">
        <f t="shared" si="72"/>
        <v>1</v>
      </c>
      <c r="FI38">
        <f t="shared" si="73"/>
        <v>1</v>
      </c>
      <c r="FJ38">
        <f t="shared" si="74"/>
        <v>1</v>
      </c>
      <c r="FK38">
        <f t="shared" si="75"/>
        <v>1</v>
      </c>
      <c r="FL38">
        <f t="shared" si="76"/>
        <v>1</v>
      </c>
      <c r="FM38">
        <f t="shared" si="77"/>
        <v>1</v>
      </c>
      <c r="FN38">
        <f t="shared" si="78"/>
        <v>1</v>
      </c>
      <c r="FO38">
        <f t="shared" si="79"/>
        <v>1</v>
      </c>
      <c r="FP38">
        <f t="shared" si="80"/>
        <v>1</v>
      </c>
      <c r="FQ38">
        <f t="shared" si="81"/>
        <v>1</v>
      </c>
      <c r="FR38">
        <f t="shared" si="82"/>
        <v>1</v>
      </c>
      <c r="FT38" s="219">
        <f>Klimaatdata!$D$7*ET38*FG38*$ER38*$G38*0.75</f>
        <v>0</v>
      </c>
      <c r="FU38" s="219">
        <f>Klimaatdata!$E$7*EU38*FH38*$ER38*$G38*0.75</f>
        <v>0</v>
      </c>
      <c r="FV38" s="219">
        <f>Klimaatdata!$F$7*EV38*FI38*$ER38*$G38*0.75</f>
        <v>0</v>
      </c>
      <c r="FW38" s="219">
        <f>Klimaatdata!$G$7*EW38*FJ38*$ER38*$G38*0.75</f>
        <v>0</v>
      </c>
      <c r="FX38" s="219">
        <f>Klimaatdata!$H$7*EX38*FK38*$ER38*$G38*0.75</f>
        <v>0</v>
      </c>
      <c r="FY38" s="219">
        <f>Klimaatdata!$I$7*EY38*FL38*$ER38*$G38*0.75</f>
        <v>0</v>
      </c>
      <c r="FZ38" s="219">
        <f>Klimaatdata!$J$7*EZ38*FM38*$ER38*$G38*0.75</f>
        <v>0</v>
      </c>
      <c r="GA38" s="219">
        <f>Klimaatdata!$K$7*FA38*FN38*$ER38*$G38*0.75</f>
        <v>0</v>
      </c>
      <c r="GB38" s="219">
        <f>Klimaatdata!$L$7*FB38*FO38*$ER38*$G38*0.75</f>
        <v>0</v>
      </c>
      <c r="GC38" s="219">
        <f>Klimaatdata!$M$7*FC38*FP38*$ER38*$G38*0.75</f>
        <v>0</v>
      </c>
      <c r="GD38" s="219">
        <f>Klimaatdata!$N$7*FD38*FQ38*$ER38*$G38*0.75</f>
        <v>0</v>
      </c>
      <c r="GE38" s="219">
        <f>Klimaatdata!$O$7*FE38*FR38*$ER38*$G38*0.75</f>
        <v>0</v>
      </c>
      <c r="GG38">
        <f t="shared" si="43"/>
        <v>0</v>
      </c>
      <c r="GH38">
        <f t="shared" si="44"/>
        <v>0</v>
      </c>
      <c r="GI38">
        <f t="shared" si="83"/>
        <v>0</v>
      </c>
      <c r="GJ38">
        <f t="shared" si="84"/>
        <v>0</v>
      </c>
      <c r="GK38">
        <f t="shared" si="85"/>
        <v>0</v>
      </c>
      <c r="GL38">
        <f t="shared" si="86"/>
        <v>0</v>
      </c>
      <c r="GM38">
        <f t="shared" si="87"/>
        <v>0</v>
      </c>
      <c r="GN38">
        <f t="shared" si="88"/>
        <v>0</v>
      </c>
      <c r="GO38">
        <f>'Invoer Gebouwschil'!Q38</f>
        <v>0</v>
      </c>
      <c r="GP38">
        <f t="shared" si="89"/>
        <v>0</v>
      </c>
      <c r="GR38">
        <f t="shared" si="90"/>
        <v>1</v>
      </c>
      <c r="GS38">
        <f t="shared" si="91"/>
        <v>0</v>
      </c>
      <c r="GT38">
        <f t="shared" si="92"/>
        <v>0</v>
      </c>
      <c r="GU38">
        <f t="shared" si="93"/>
        <v>0</v>
      </c>
      <c r="GV38">
        <f t="shared" si="94"/>
        <v>0</v>
      </c>
      <c r="GW38">
        <f t="shared" si="95"/>
        <v>0</v>
      </c>
      <c r="GX38">
        <f t="shared" si="96"/>
        <v>0</v>
      </c>
      <c r="GZ38" s="12">
        <f t="shared" si="59"/>
        <v>0</v>
      </c>
      <c r="HA38" s="13">
        <f t="shared" si="60"/>
        <v>0</v>
      </c>
      <c r="HB38" s="13">
        <f t="shared" si="61"/>
        <v>0</v>
      </c>
      <c r="HC38" s="14">
        <f t="shared" si="62"/>
        <v>0</v>
      </c>
      <c r="HE38" s="12">
        <f t="shared" si="63"/>
        <v>0</v>
      </c>
      <c r="HF38" s="13">
        <f t="shared" si="64"/>
        <v>0</v>
      </c>
      <c r="HG38" s="13">
        <f t="shared" si="65"/>
        <v>0</v>
      </c>
      <c r="HH38" s="14">
        <f t="shared" si="66"/>
        <v>0</v>
      </c>
    </row>
    <row r="39" spans="1:216" x14ac:dyDescent="0.2">
      <c r="A39">
        <v>1</v>
      </c>
      <c r="B39">
        <v>1</v>
      </c>
      <c r="C39">
        <v>1</v>
      </c>
      <c r="D39">
        <f>'Invoer Gebouwschil'!D39</f>
        <v>0</v>
      </c>
      <c r="E39">
        <v>1</v>
      </c>
      <c r="F39">
        <v>1</v>
      </c>
      <c r="G39">
        <f>'Invoer Gebouwschil'!H39</f>
        <v>0</v>
      </c>
      <c r="H39">
        <v>1</v>
      </c>
      <c r="I39">
        <v>1</v>
      </c>
      <c r="K39" s="89">
        <f>INDEX('Verwerking Bouwdelen'!$BV$79:$BV$103,'Verwerking Bouwdelen'!E39)</f>
        <v>0</v>
      </c>
      <c r="L39" s="89">
        <v>0.13</v>
      </c>
      <c r="M39" s="89">
        <f t="shared" si="14"/>
        <v>0</v>
      </c>
      <c r="N39" s="89">
        <f>IF(F39=6,1/((1/1/(L40+M40+'Invoer Gebouwschil'!F39))+5),1/(L39+M39+'Invoer Gebouwschil'!F39))</f>
        <v>7.6923076923076916</v>
      </c>
      <c r="O39" s="89">
        <v>0.1</v>
      </c>
      <c r="P39" s="28">
        <f t="shared" si="15"/>
        <v>1</v>
      </c>
      <c r="Q39" s="89">
        <f t="shared" si="0"/>
        <v>0</v>
      </c>
      <c r="R39" s="89">
        <v>19</v>
      </c>
      <c r="S39" s="89"/>
      <c r="T39" s="89">
        <f>$Q39*($R39-Klimaatdata!$B$7)*2.63</f>
        <v>0</v>
      </c>
      <c r="U39" s="89">
        <f>$Q39*($R39-Klimaatdata!$B$8)*2.63</f>
        <v>0</v>
      </c>
      <c r="V39" s="89">
        <f>$Q39*($R39-Klimaatdata!$B$9)*2.63</f>
        <v>0</v>
      </c>
      <c r="W39" s="89">
        <f>$Q39*($R39-Klimaatdata!$B$10)*2.63</f>
        <v>0</v>
      </c>
      <c r="X39" s="89">
        <f>$Q39*($R39-Klimaatdata!$B$11)*2.63</f>
        <v>0</v>
      </c>
      <c r="Y39" s="89">
        <f>$Q39*($R39-Klimaatdata!$B$12)*2.63</f>
        <v>0</v>
      </c>
      <c r="Z39" s="89">
        <f>$Q39*($R39-Klimaatdata!$B$13)*2.63</f>
        <v>0</v>
      </c>
      <c r="AA39" s="89">
        <f>$Q39*($R39-Klimaatdata!$B$14)*2.63</f>
        <v>0</v>
      </c>
      <c r="AB39" s="89">
        <f>$Q39*($R39-Klimaatdata!$B$15)*2.63</f>
        <v>0</v>
      </c>
      <c r="AC39" s="89">
        <f>$Q39*($R39-Klimaatdata!$B$16)*2.63</f>
        <v>0</v>
      </c>
      <c r="AD39" s="89">
        <f>$Q39*($R39-Klimaatdata!$B$17)*2.63</f>
        <v>0</v>
      </c>
      <c r="AE39" s="89">
        <f>$Q39*($R39-Klimaatdata!$B$18)*2.63</f>
        <v>0</v>
      </c>
      <c r="AF39" s="89"/>
      <c r="AG39" s="205">
        <f t="shared" si="16"/>
        <v>0</v>
      </c>
      <c r="AH39" s="25">
        <f t="shared" si="17"/>
        <v>0</v>
      </c>
      <c r="AI39" s="25">
        <f t="shared" si="18"/>
        <v>0</v>
      </c>
      <c r="AJ39" s="206">
        <f t="shared" si="19"/>
        <v>0</v>
      </c>
      <c r="AK39" s="25"/>
      <c r="AL39" s="89">
        <f t="shared" si="20"/>
        <v>1</v>
      </c>
      <c r="AM39" s="89">
        <f t="shared" si="21"/>
        <v>0</v>
      </c>
      <c r="AN39" s="89">
        <f t="shared" si="22"/>
        <v>0</v>
      </c>
      <c r="AO39" s="89">
        <f t="shared" si="23"/>
        <v>0</v>
      </c>
      <c r="AP39" s="89">
        <v>0.1</v>
      </c>
      <c r="AQ39" s="28">
        <v>1</v>
      </c>
      <c r="AR39" s="89">
        <f t="shared" si="1"/>
        <v>0</v>
      </c>
      <c r="AS39" s="89">
        <v>19</v>
      </c>
      <c r="AT39" s="89"/>
      <c r="AU39" s="89">
        <f>$AR39*($R39-Klimaatdata!$B$7)*2.63</f>
        <v>0</v>
      </c>
      <c r="AV39" s="89">
        <f>$AR39*($R39-Klimaatdata!$B$8)*2.63</f>
        <v>0</v>
      </c>
      <c r="AW39" s="89">
        <f>$AR39*($R39-Klimaatdata!$B$9)*2.63</f>
        <v>0</v>
      </c>
      <c r="AX39" s="89">
        <f>$AR39*($R39-Klimaatdata!$B$10)*2.63</f>
        <v>0</v>
      </c>
      <c r="AY39" s="89">
        <f>$AR39*($R39-Klimaatdata!$B$11)*2.63</f>
        <v>0</v>
      </c>
      <c r="AZ39" s="89">
        <f>$AR39*($R39-Klimaatdata!$B$12)*2.63</f>
        <v>0</v>
      </c>
      <c r="BA39" s="89">
        <f>$AR39*($R39-Klimaatdata!$B$13)*2.63</f>
        <v>0</v>
      </c>
      <c r="BB39" s="89">
        <f>$AR39*($R39-Klimaatdata!$B$14)*2.63</f>
        <v>0</v>
      </c>
      <c r="BC39" s="89">
        <f>$AR39*($R39-Klimaatdata!$B$15)*2.63</f>
        <v>0</v>
      </c>
      <c r="BD39" s="89">
        <f>$AR39*($R39-Klimaatdata!$B$16)*2.63</f>
        <v>0</v>
      </c>
      <c r="BE39" s="89">
        <f>$AR39*($R39-Klimaatdata!$B$17)*2.63</f>
        <v>0</v>
      </c>
      <c r="BF39" s="89">
        <f>$AR39*($R39-Klimaatdata!$B$18)*2.63</f>
        <v>0</v>
      </c>
      <c r="BG39" s="25"/>
      <c r="BH39" s="89">
        <f>INDEX('Verwerking Bouwdelen'!$Y$106:$Y$130,H39)</f>
        <v>0</v>
      </c>
      <c r="BI39" s="89"/>
      <c r="BJ39" s="89">
        <f>INDEX(Klimaatdata!$B$27:$K$38,1,$B39)</f>
        <v>0</v>
      </c>
      <c r="BK39" s="89">
        <f>INDEX(Klimaatdata!$B$27:$K$38,2,$B39)</f>
        <v>0</v>
      </c>
      <c r="BL39" s="89">
        <f>INDEX(Klimaatdata!$B$27:$K$38,3,$B39)</f>
        <v>0</v>
      </c>
      <c r="BM39" s="89">
        <f>INDEX(Klimaatdata!$B$27:$K$38,4,$B39)</f>
        <v>0</v>
      </c>
      <c r="BN39" s="89">
        <f>INDEX(Klimaatdata!$B$27:$K$38,5,$B39)</f>
        <v>0</v>
      </c>
      <c r="BO39" s="89">
        <f>INDEX(Klimaatdata!$B$27:$K$38,6,$B39)</f>
        <v>0</v>
      </c>
      <c r="BP39" s="89">
        <f>INDEX(Klimaatdata!$B$27:$K$38,7,$B39)</f>
        <v>0</v>
      </c>
      <c r="BQ39" s="89">
        <f>INDEX(Klimaatdata!$B$27:$K$38,8,$B39)</f>
        <v>0</v>
      </c>
      <c r="BR39" s="89">
        <f>INDEX(Klimaatdata!$B$27:$K$38,9,$B39)</f>
        <v>0</v>
      </c>
      <c r="BS39" s="89">
        <f>INDEX(Klimaatdata!$B$27:$K$38,10,$B39)</f>
        <v>0</v>
      </c>
      <c r="BT39" s="89">
        <f>INDEX(Klimaatdata!$B$27:$K$38,11,$B39)</f>
        <v>0</v>
      </c>
      <c r="BU39" s="89">
        <f>INDEX(Klimaatdata!$B$27:$K$38,12,$B39)</f>
        <v>0</v>
      </c>
      <c r="BW39">
        <f t="shared" si="2"/>
        <v>1</v>
      </c>
      <c r="BX39">
        <f t="shared" si="3"/>
        <v>1</v>
      </c>
      <c r="BY39">
        <f t="shared" si="4"/>
        <v>1</v>
      </c>
      <c r="BZ39">
        <f t="shared" si="5"/>
        <v>1</v>
      </c>
      <c r="CA39">
        <f t="shared" si="6"/>
        <v>1</v>
      </c>
      <c r="CB39">
        <f t="shared" si="7"/>
        <v>1</v>
      </c>
      <c r="CC39">
        <f t="shared" si="8"/>
        <v>1</v>
      </c>
      <c r="CD39">
        <f t="shared" si="9"/>
        <v>1</v>
      </c>
      <c r="CE39">
        <f t="shared" si="10"/>
        <v>1</v>
      </c>
      <c r="CF39">
        <f t="shared" si="11"/>
        <v>1</v>
      </c>
      <c r="CG39">
        <f t="shared" si="12"/>
        <v>1</v>
      </c>
      <c r="CH39">
        <f t="shared" si="13"/>
        <v>1</v>
      </c>
      <c r="CJ39" s="219">
        <f>Klimaatdata!$D$7*BJ39*BW39*$BH39*$G39*0.75</f>
        <v>0</v>
      </c>
      <c r="CK39" s="219">
        <f>Klimaatdata!$E$7*BK39*BX39*$BH39*$G39*0.75</f>
        <v>0</v>
      </c>
      <c r="CL39" s="219">
        <f>Klimaatdata!$F$7*BL39*BY39*$BH39*$G39*0.75</f>
        <v>0</v>
      </c>
      <c r="CM39" s="219">
        <f>Klimaatdata!$G$7*BM39*BZ39*$BH39*$G39*0.75</f>
        <v>0</v>
      </c>
      <c r="CN39" s="219">
        <f>Klimaatdata!$H$7*BN39*CA39*$BH39*$G39*0.75</f>
        <v>0</v>
      </c>
      <c r="CO39" s="219">
        <f>Klimaatdata!$I$7*BO39*CB39*$BH39*$G39*0.75</f>
        <v>0</v>
      </c>
      <c r="CP39" s="219">
        <f>Klimaatdata!$J$7*BP39*CC39*$BH39*$G39*0.75</f>
        <v>0</v>
      </c>
      <c r="CQ39" s="219">
        <f>Klimaatdata!$K$7*BQ39*CD39*$BH39*$G39*0.75</f>
        <v>0</v>
      </c>
      <c r="CR39" s="219">
        <f>Klimaatdata!$L$7*BR39*CE39*$BH39*$G39*0.75</f>
        <v>0</v>
      </c>
      <c r="CS39" s="219">
        <f>Klimaatdata!$M$7*BS39*CF39*$BH39*$G39*0.75</f>
        <v>0</v>
      </c>
      <c r="CT39" s="219">
        <f>Klimaatdata!$N$7*BT39*CG39*$BH39*$G39*0.75</f>
        <v>0</v>
      </c>
      <c r="CU39" s="219">
        <f>Klimaatdata!$O$7*BU39*CH39*$BH39*$G39*0.75</f>
        <v>0</v>
      </c>
      <c r="CX39">
        <v>1</v>
      </c>
      <c r="CY39">
        <v>1</v>
      </c>
      <c r="CZ39">
        <v>1</v>
      </c>
      <c r="DA39">
        <f>'Invoer Gebouwschil'!Q39</f>
        <v>0</v>
      </c>
      <c r="DC39" s="89">
        <f t="shared" si="24"/>
        <v>0</v>
      </c>
      <c r="DD39" s="89">
        <v>0.13</v>
      </c>
      <c r="DE39" s="89">
        <f t="shared" si="25"/>
        <v>0</v>
      </c>
      <c r="DF39" s="89">
        <f>IF(F39=6,1/((1/1/(DD39+DE39+'Invoer Gebouwschil'!M39))+5),1/(DD39+DE39+'Invoer Gebouwschil'!M39))</f>
        <v>7.6923076923076916</v>
      </c>
      <c r="DG39" s="89">
        <v>0.1</v>
      </c>
      <c r="DH39" s="28">
        <f t="shared" si="67"/>
        <v>1</v>
      </c>
      <c r="DI39" s="89">
        <f t="shared" si="68"/>
        <v>0</v>
      </c>
      <c r="DJ39" s="89">
        <v>19</v>
      </c>
      <c r="DK39" s="89"/>
      <c r="DL39" s="89">
        <f>$DI39*($R39-Klimaatdata!$B$7)*2.63</f>
        <v>0</v>
      </c>
      <c r="DM39" s="89">
        <f>$DI39*($R39-Klimaatdata!$B$8)*2.63</f>
        <v>0</v>
      </c>
      <c r="DN39" s="89">
        <f>$DI39*($R39-Klimaatdata!$B$9)*2.63</f>
        <v>0</v>
      </c>
      <c r="DO39" s="89">
        <f>$DI39*($R39-Klimaatdata!$B$10)*2.63</f>
        <v>0</v>
      </c>
      <c r="DP39" s="89">
        <f>$DI39*($R39-Klimaatdata!$B$11)*2.63</f>
        <v>0</v>
      </c>
      <c r="DQ39" s="89">
        <f>$DI39*($R39-Klimaatdata!$B$12)*2.63</f>
        <v>0</v>
      </c>
      <c r="DR39" s="89">
        <f>$DI39*($R39-Klimaatdata!$B$13)*2.63</f>
        <v>0</v>
      </c>
      <c r="DS39" s="89">
        <f>$DI39*($R39-Klimaatdata!$B$14)*2.63</f>
        <v>0</v>
      </c>
      <c r="DT39" s="89">
        <f>$DI39*($R39-Klimaatdata!$B$15)*2.63</f>
        <v>0</v>
      </c>
      <c r="DU39" s="89">
        <f>$DI39*($R39-Klimaatdata!$B$16)*2.63</f>
        <v>0</v>
      </c>
      <c r="DV39" s="89">
        <f>$DI39*($R39-Klimaatdata!$B$17)*2.63</f>
        <v>0</v>
      </c>
      <c r="DW39" s="89">
        <f>$DI39*($R39-Klimaatdata!$B$18)*2.63</f>
        <v>0</v>
      </c>
      <c r="DX39" s="89"/>
      <c r="DY39" s="89">
        <f t="shared" si="69"/>
        <v>0</v>
      </c>
      <c r="DZ39" s="89">
        <v>0.1</v>
      </c>
      <c r="EA39" s="28">
        <v>1</v>
      </c>
      <c r="EB39" s="89">
        <f t="shared" si="70"/>
        <v>0</v>
      </c>
      <c r="EC39" s="89">
        <v>19</v>
      </c>
      <c r="ED39" s="89"/>
      <c r="EE39" s="89">
        <f>$EB39*($R39-Klimaatdata!$B$7)*2.63</f>
        <v>0</v>
      </c>
      <c r="EF39" s="89">
        <f>$EB39*($R39-Klimaatdata!$B$8)*2.63</f>
        <v>0</v>
      </c>
      <c r="EG39" s="89">
        <f>$EB39*($R39-Klimaatdata!$B$9)*2.63</f>
        <v>0</v>
      </c>
      <c r="EH39" s="89">
        <f>$EB39*($R39-Klimaatdata!$B$10)*2.63</f>
        <v>0</v>
      </c>
      <c r="EI39" s="89">
        <f>$EB39*($R39-Klimaatdata!$B$11)*2.63</f>
        <v>0</v>
      </c>
      <c r="EJ39" s="89">
        <f>$EB39*($R39-Klimaatdata!$B$12)*2.63</f>
        <v>0</v>
      </c>
      <c r="EK39" s="89">
        <f>$EB39*($R39-Klimaatdata!$B$13)*2.63</f>
        <v>0</v>
      </c>
      <c r="EL39" s="89">
        <f>$EB39*($R39-Klimaatdata!$B$14)*2.63</f>
        <v>0</v>
      </c>
      <c r="EM39" s="89">
        <f>$EB39*($R39-Klimaatdata!$B$15)*2.63</f>
        <v>0</v>
      </c>
      <c r="EN39" s="89">
        <f>$EB39*($R39-Klimaatdata!$B$16)*2.63</f>
        <v>0</v>
      </c>
      <c r="EO39" s="89">
        <f>$EB39*($R39-Klimaatdata!$B$17)*2.63</f>
        <v>0</v>
      </c>
      <c r="EP39" s="89">
        <f>$EB39*($R39-Klimaatdata!$B$18)*2.63</f>
        <v>0</v>
      </c>
      <c r="EQ39" s="25"/>
      <c r="ER39" s="89">
        <f t="shared" si="30"/>
        <v>0</v>
      </c>
      <c r="ES39" s="89"/>
      <c r="ET39" s="89">
        <f>INDEX(Klimaatdata!$B$27:$K$38,1,$B39)</f>
        <v>0</v>
      </c>
      <c r="EU39" s="89">
        <f>INDEX(Klimaatdata!$B$27:$K$38,2,$B39)</f>
        <v>0</v>
      </c>
      <c r="EV39" s="89">
        <f>INDEX(Klimaatdata!$B$27:$K$38,3,$B39)</f>
        <v>0</v>
      </c>
      <c r="EW39" s="89">
        <f>INDEX(Klimaatdata!$B$27:$K$38,4,$B39)</f>
        <v>0</v>
      </c>
      <c r="EX39" s="89">
        <f>INDEX(Klimaatdata!$B$27:$K$38,5,$B39)</f>
        <v>0</v>
      </c>
      <c r="EY39" s="89">
        <f>INDEX(Klimaatdata!$B$27:$K$38,6,$B39)</f>
        <v>0</v>
      </c>
      <c r="EZ39" s="89">
        <f>INDEX(Klimaatdata!$B$27:$K$38,7,$B39)</f>
        <v>0</v>
      </c>
      <c r="FA39" s="89">
        <f>INDEX(Klimaatdata!$B$27:$K$38,8,$B39)</f>
        <v>0</v>
      </c>
      <c r="FB39" s="89">
        <f>INDEX(Klimaatdata!$B$27:$K$38,9,$B39)</f>
        <v>0</v>
      </c>
      <c r="FC39" s="89">
        <f>INDEX(Klimaatdata!$B$27:$K$38,10,$B39)</f>
        <v>0</v>
      </c>
      <c r="FD39" s="89">
        <f>INDEX(Klimaatdata!$B$27:$K$38,11,$B39)</f>
        <v>0</v>
      </c>
      <c r="FE39" s="89">
        <f>INDEX(Klimaatdata!$B$27:$K$38,12,$B39)</f>
        <v>0</v>
      </c>
      <c r="FG39">
        <f t="shared" si="71"/>
        <v>1</v>
      </c>
      <c r="FH39">
        <f t="shared" si="72"/>
        <v>1</v>
      </c>
      <c r="FI39">
        <f t="shared" si="73"/>
        <v>1</v>
      </c>
      <c r="FJ39">
        <f t="shared" si="74"/>
        <v>1</v>
      </c>
      <c r="FK39">
        <f t="shared" si="75"/>
        <v>1</v>
      </c>
      <c r="FL39">
        <f t="shared" si="76"/>
        <v>1</v>
      </c>
      <c r="FM39">
        <f t="shared" si="77"/>
        <v>1</v>
      </c>
      <c r="FN39">
        <f t="shared" si="78"/>
        <v>1</v>
      </c>
      <c r="FO39">
        <f t="shared" si="79"/>
        <v>1</v>
      </c>
      <c r="FP39">
        <f t="shared" si="80"/>
        <v>1</v>
      </c>
      <c r="FQ39">
        <f t="shared" si="81"/>
        <v>1</v>
      </c>
      <c r="FR39">
        <f t="shared" si="82"/>
        <v>1</v>
      </c>
      <c r="FT39" s="219">
        <f>Klimaatdata!$D$7*ET39*FG39*$ER39*$G39*0.75</f>
        <v>0</v>
      </c>
      <c r="FU39" s="219">
        <f>Klimaatdata!$E$7*EU39*FH39*$ER39*$G39*0.75</f>
        <v>0</v>
      </c>
      <c r="FV39" s="219">
        <f>Klimaatdata!$F$7*EV39*FI39*$ER39*$G39*0.75</f>
        <v>0</v>
      </c>
      <c r="FW39" s="219">
        <f>Klimaatdata!$G$7*EW39*FJ39*$ER39*$G39*0.75</f>
        <v>0</v>
      </c>
      <c r="FX39" s="219">
        <f>Klimaatdata!$H$7*EX39*FK39*$ER39*$G39*0.75</f>
        <v>0</v>
      </c>
      <c r="FY39" s="219">
        <f>Klimaatdata!$I$7*EY39*FL39*$ER39*$G39*0.75</f>
        <v>0</v>
      </c>
      <c r="FZ39" s="219">
        <f>Klimaatdata!$J$7*EZ39*FM39*$ER39*$G39*0.75</f>
        <v>0</v>
      </c>
      <c r="GA39" s="219">
        <f>Klimaatdata!$K$7*FA39*FN39*$ER39*$G39*0.75</f>
        <v>0</v>
      </c>
      <c r="GB39" s="219">
        <f>Klimaatdata!$L$7*FB39*FO39*$ER39*$G39*0.75</f>
        <v>0</v>
      </c>
      <c r="GC39" s="219">
        <f>Klimaatdata!$M$7*FC39*FP39*$ER39*$G39*0.75</f>
        <v>0</v>
      </c>
      <c r="GD39" s="219">
        <f>Klimaatdata!$N$7*FD39*FQ39*$ER39*$G39*0.75</f>
        <v>0</v>
      </c>
      <c r="GE39" s="219">
        <f>Klimaatdata!$O$7*FE39*FR39*$ER39*$G39*0.75</f>
        <v>0</v>
      </c>
      <c r="GG39">
        <f t="shared" si="43"/>
        <v>0</v>
      </c>
      <c r="GH39">
        <f t="shared" si="44"/>
        <v>0</v>
      </c>
      <c r="GI39">
        <f t="shared" si="83"/>
        <v>0</v>
      </c>
      <c r="GJ39">
        <f t="shared" si="84"/>
        <v>0</v>
      </c>
      <c r="GK39">
        <f t="shared" si="85"/>
        <v>0</v>
      </c>
      <c r="GL39">
        <f t="shared" si="86"/>
        <v>0</v>
      </c>
      <c r="GM39">
        <f t="shared" si="87"/>
        <v>0</v>
      </c>
      <c r="GN39">
        <f t="shared" si="88"/>
        <v>0</v>
      </c>
      <c r="GO39">
        <f>'Invoer Gebouwschil'!Q39</f>
        <v>0</v>
      </c>
      <c r="GP39">
        <f t="shared" si="89"/>
        <v>0</v>
      </c>
      <c r="GR39">
        <f t="shared" si="90"/>
        <v>1</v>
      </c>
      <c r="GS39">
        <f t="shared" si="91"/>
        <v>0</v>
      </c>
      <c r="GT39">
        <f t="shared" si="92"/>
        <v>0</v>
      </c>
      <c r="GU39">
        <f t="shared" si="93"/>
        <v>0</v>
      </c>
      <c r="GV39">
        <f t="shared" si="94"/>
        <v>0</v>
      </c>
      <c r="GW39">
        <f t="shared" si="95"/>
        <v>0</v>
      </c>
      <c r="GX39">
        <f t="shared" si="96"/>
        <v>0</v>
      </c>
      <c r="GZ39" s="12">
        <f t="shared" si="59"/>
        <v>0</v>
      </c>
      <c r="HA39" s="13">
        <f t="shared" si="60"/>
        <v>0</v>
      </c>
      <c r="HB39" s="13">
        <f t="shared" si="61"/>
        <v>0</v>
      </c>
      <c r="HC39" s="14">
        <f t="shared" si="62"/>
        <v>0</v>
      </c>
      <c r="HE39" s="12">
        <f t="shared" si="63"/>
        <v>0</v>
      </c>
      <c r="HF39" s="13">
        <f t="shared" si="64"/>
        <v>0</v>
      </c>
      <c r="HG39" s="13">
        <f t="shared" si="65"/>
        <v>0</v>
      </c>
      <c r="HH39" s="14">
        <f t="shared" si="66"/>
        <v>0</v>
      </c>
    </row>
    <row r="40" spans="1:216" x14ac:dyDescent="0.2">
      <c r="A40">
        <v>1</v>
      </c>
      <c r="B40">
        <v>1</v>
      </c>
      <c r="C40">
        <v>1</v>
      </c>
      <c r="D40">
        <f>'Invoer Gebouwschil'!D40</f>
        <v>0</v>
      </c>
      <c r="E40">
        <v>1</v>
      </c>
      <c r="F40">
        <v>1</v>
      </c>
      <c r="G40">
        <f>'Invoer Gebouwschil'!H40</f>
        <v>0</v>
      </c>
      <c r="H40">
        <v>1</v>
      </c>
      <c r="I40">
        <v>1</v>
      </c>
      <c r="K40" s="89">
        <f>INDEX('Verwerking Bouwdelen'!$BX$79:$BX$103,'Verwerking Bouwdelen'!E40)</f>
        <v>0</v>
      </c>
      <c r="L40" s="89">
        <v>0.13</v>
      </c>
      <c r="M40" s="89">
        <f t="shared" si="14"/>
        <v>0</v>
      </c>
      <c r="N40" s="89">
        <f>IF(F40=6,1/((1/1/(L41+M41+'Invoer Gebouwschil'!F40))+5),1/(L40+M40+'Invoer Gebouwschil'!F40))</f>
        <v>7.6923076923076916</v>
      </c>
      <c r="O40" s="89">
        <v>0.1</v>
      </c>
      <c r="P40" s="28">
        <f t="shared" si="15"/>
        <v>1</v>
      </c>
      <c r="Q40" s="89">
        <f t="shared" si="0"/>
        <v>0</v>
      </c>
      <c r="R40" s="89">
        <v>19</v>
      </c>
      <c r="S40" s="89"/>
      <c r="T40" s="89">
        <f>$Q40*($R40-Klimaatdata!$B$7)*2.63</f>
        <v>0</v>
      </c>
      <c r="U40" s="89">
        <f>$Q40*($R40-Klimaatdata!$B$8)*2.63</f>
        <v>0</v>
      </c>
      <c r="V40" s="89">
        <f>$Q40*($R40-Klimaatdata!$B$9)*2.63</f>
        <v>0</v>
      </c>
      <c r="W40" s="89">
        <f>$Q40*($R40-Klimaatdata!$B$10)*2.63</f>
        <v>0</v>
      </c>
      <c r="X40" s="89">
        <f>$Q40*($R40-Klimaatdata!$B$11)*2.63</f>
        <v>0</v>
      </c>
      <c r="Y40" s="89">
        <f>$Q40*($R40-Klimaatdata!$B$12)*2.63</f>
        <v>0</v>
      </c>
      <c r="Z40" s="89">
        <f>$Q40*($R40-Klimaatdata!$B$13)*2.63</f>
        <v>0</v>
      </c>
      <c r="AA40" s="89">
        <f>$Q40*($R40-Klimaatdata!$B$14)*2.63</f>
        <v>0</v>
      </c>
      <c r="AB40" s="89">
        <f>$Q40*($R40-Klimaatdata!$B$15)*2.63</f>
        <v>0</v>
      </c>
      <c r="AC40" s="89">
        <f>$Q40*($R40-Klimaatdata!$B$16)*2.63</f>
        <v>0</v>
      </c>
      <c r="AD40" s="89">
        <f>$Q40*($R40-Klimaatdata!$B$17)*2.63</f>
        <v>0</v>
      </c>
      <c r="AE40" s="89">
        <f>$Q40*($R40-Klimaatdata!$B$18)*2.63</f>
        <v>0</v>
      </c>
      <c r="AF40" s="89"/>
      <c r="AG40" s="205">
        <f t="shared" si="16"/>
        <v>0</v>
      </c>
      <c r="AH40" s="25">
        <f t="shared" si="17"/>
        <v>0</v>
      </c>
      <c r="AI40" s="25">
        <f t="shared" si="18"/>
        <v>0</v>
      </c>
      <c r="AJ40" s="206">
        <f t="shared" si="19"/>
        <v>0</v>
      </c>
      <c r="AK40" s="25"/>
      <c r="AL40" s="89">
        <f t="shared" si="20"/>
        <v>1</v>
      </c>
      <c r="AM40" s="89">
        <f t="shared" si="21"/>
        <v>0</v>
      </c>
      <c r="AN40" s="89">
        <f t="shared" si="22"/>
        <v>0</v>
      </c>
      <c r="AO40" s="89">
        <f t="shared" si="23"/>
        <v>0</v>
      </c>
      <c r="AP40" s="89">
        <v>0.1</v>
      </c>
      <c r="AQ40" s="28">
        <v>1</v>
      </c>
      <c r="AR40" s="89">
        <f t="shared" si="1"/>
        <v>0</v>
      </c>
      <c r="AS40" s="89">
        <v>19</v>
      </c>
      <c r="AT40" s="89"/>
      <c r="AU40" s="89">
        <f>$AR40*($R40-Klimaatdata!$B$7)*2.63</f>
        <v>0</v>
      </c>
      <c r="AV40" s="89">
        <f>$AR40*($R40-Klimaatdata!$B$8)*2.63</f>
        <v>0</v>
      </c>
      <c r="AW40" s="89">
        <f>$AR40*($R40-Klimaatdata!$B$9)*2.63</f>
        <v>0</v>
      </c>
      <c r="AX40" s="89">
        <f>$AR40*($R40-Klimaatdata!$B$10)*2.63</f>
        <v>0</v>
      </c>
      <c r="AY40" s="89">
        <f>$AR40*($R40-Klimaatdata!$B$11)*2.63</f>
        <v>0</v>
      </c>
      <c r="AZ40" s="89">
        <f>$AR40*($R40-Klimaatdata!$B$12)*2.63</f>
        <v>0</v>
      </c>
      <c r="BA40" s="89">
        <f>$AR40*($R40-Klimaatdata!$B$13)*2.63</f>
        <v>0</v>
      </c>
      <c r="BB40" s="89">
        <f>$AR40*($R40-Klimaatdata!$B$14)*2.63</f>
        <v>0</v>
      </c>
      <c r="BC40" s="89">
        <f>$AR40*($R40-Klimaatdata!$B$15)*2.63</f>
        <v>0</v>
      </c>
      <c r="BD40" s="89">
        <f>$AR40*($R40-Klimaatdata!$B$16)*2.63</f>
        <v>0</v>
      </c>
      <c r="BE40" s="89">
        <f>$AR40*($R40-Klimaatdata!$B$17)*2.63</f>
        <v>0</v>
      </c>
      <c r="BF40" s="89">
        <f>$AR40*($R40-Klimaatdata!$B$18)*2.63</f>
        <v>0</v>
      </c>
      <c r="BG40" s="25"/>
      <c r="BH40" s="89">
        <f>INDEX('Verwerking Bouwdelen'!$Y$106:$Y$130,H40)</f>
        <v>0</v>
      </c>
      <c r="BI40" s="89"/>
      <c r="BJ40" s="89">
        <f>INDEX(Klimaatdata!$B$27:$K$38,1,$B40)</f>
        <v>0</v>
      </c>
      <c r="BK40" s="89">
        <f>INDEX(Klimaatdata!$B$27:$K$38,2,$B40)</f>
        <v>0</v>
      </c>
      <c r="BL40" s="89">
        <f>INDEX(Klimaatdata!$B$27:$K$38,3,$B40)</f>
        <v>0</v>
      </c>
      <c r="BM40" s="89">
        <f>INDEX(Klimaatdata!$B$27:$K$38,4,$B40)</f>
        <v>0</v>
      </c>
      <c r="BN40" s="89">
        <f>INDEX(Klimaatdata!$B$27:$K$38,5,$B40)</f>
        <v>0</v>
      </c>
      <c r="BO40" s="89">
        <f>INDEX(Klimaatdata!$B$27:$K$38,6,$B40)</f>
        <v>0</v>
      </c>
      <c r="BP40" s="89">
        <f>INDEX(Klimaatdata!$B$27:$K$38,7,$B40)</f>
        <v>0</v>
      </c>
      <c r="BQ40" s="89">
        <f>INDEX(Klimaatdata!$B$27:$K$38,8,$B40)</f>
        <v>0</v>
      </c>
      <c r="BR40" s="89">
        <f>INDEX(Klimaatdata!$B$27:$K$38,9,$B40)</f>
        <v>0</v>
      </c>
      <c r="BS40" s="89">
        <f>INDEX(Klimaatdata!$B$27:$K$38,10,$B40)</f>
        <v>0</v>
      </c>
      <c r="BT40" s="89">
        <f>INDEX(Klimaatdata!$B$27:$K$38,11,$B40)</f>
        <v>0</v>
      </c>
      <c r="BU40" s="89">
        <f>INDEX(Klimaatdata!$B$27:$K$38,12,$B40)</f>
        <v>0</v>
      </c>
      <c r="BW40">
        <f t="shared" si="2"/>
        <v>1</v>
      </c>
      <c r="BX40">
        <f t="shared" si="3"/>
        <v>1</v>
      </c>
      <c r="BY40">
        <f t="shared" si="4"/>
        <v>1</v>
      </c>
      <c r="BZ40">
        <f t="shared" si="5"/>
        <v>1</v>
      </c>
      <c r="CA40">
        <f t="shared" si="6"/>
        <v>1</v>
      </c>
      <c r="CB40">
        <f t="shared" si="7"/>
        <v>1</v>
      </c>
      <c r="CC40">
        <f t="shared" si="8"/>
        <v>1</v>
      </c>
      <c r="CD40">
        <f t="shared" si="9"/>
        <v>1</v>
      </c>
      <c r="CE40">
        <f t="shared" si="10"/>
        <v>1</v>
      </c>
      <c r="CF40">
        <f t="shared" si="11"/>
        <v>1</v>
      </c>
      <c r="CG40">
        <f t="shared" si="12"/>
        <v>1</v>
      </c>
      <c r="CH40">
        <f t="shared" si="13"/>
        <v>1</v>
      </c>
      <c r="CJ40" s="219">
        <f>Klimaatdata!$D$7*BJ40*BW40*$BH40*$G40*0.75</f>
        <v>0</v>
      </c>
      <c r="CK40" s="219">
        <f>Klimaatdata!$E$7*BK40*BX40*$BH40*$G40*0.75</f>
        <v>0</v>
      </c>
      <c r="CL40" s="219">
        <f>Klimaatdata!$F$7*BL40*BY40*$BH40*$G40*0.75</f>
        <v>0</v>
      </c>
      <c r="CM40" s="219">
        <f>Klimaatdata!$G$7*BM40*BZ40*$BH40*$G40*0.75</f>
        <v>0</v>
      </c>
      <c r="CN40" s="219">
        <f>Klimaatdata!$H$7*BN40*CA40*$BH40*$G40*0.75</f>
        <v>0</v>
      </c>
      <c r="CO40" s="219">
        <f>Klimaatdata!$I$7*BO40*CB40*$BH40*$G40*0.75</f>
        <v>0</v>
      </c>
      <c r="CP40" s="219">
        <f>Klimaatdata!$J$7*BP40*CC40*$BH40*$G40*0.75</f>
        <v>0</v>
      </c>
      <c r="CQ40" s="219">
        <f>Klimaatdata!$K$7*BQ40*CD40*$BH40*$G40*0.75</f>
        <v>0</v>
      </c>
      <c r="CR40" s="219">
        <f>Klimaatdata!$L$7*BR40*CE40*$BH40*$G40*0.75</f>
        <v>0</v>
      </c>
      <c r="CS40" s="219">
        <f>Klimaatdata!$M$7*BS40*CF40*$BH40*$G40*0.75</f>
        <v>0</v>
      </c>
      <c r="CT40" s="219">
        <f>Klimaatdata!$N$7*BT40*CG40*$BH40*$G40*0.75</f>
        <v>0</v>
      </c>
      <c r="CU40" s="219">
        <f>Klimaatdata!$O$7*BU40*CH40*$BH40*$G40*0.75</f>
        <v>0</v>
      </c>
      <c r="CX40">
        <v>1</v>
      </c>
      <c r="CY40">
        <v>1</v>
      </c>
      <c r="CZ40">
        <v>1</v>
      </c>
      <c r="DA40">
        <f>'Invoer Gebouwschil'!Q40</f>
        <v>0</v>
      </c>
      <c r="DC40" s="89">
        <f t="shared" si="24"/>
        <v>0</v>
      </c>
      <c r="DD40" s="89">
        <v>0.13</v>
      </c>
      <c r="DE40" s="89">
        <f t="shared" si="25"/>
        <v>0</v>
      </c>
      <c r="DF40" s="89">
        <f>IF(F40=6,1/((1/1/(DD40+DE40+'Invoer Gebouwschil'!M40))+5),1/(DD40+DE40+'Invoer Gebouwschil'!M40))</f>
        <v>7.6923076923076916</v>
      </c>
      <c r="DG40" s="89">
        <v>0.1</v>
      </c>
      <c r="DH40" s="28">
        <f t="shared" si="67"/>
        <v>1</v>
      </c>
      <c r="DI40" s="89">
        <f t="shared" si="68"/>
        <v>0</v>
      </c>
      <c r="DJ40" s="89">
        <v>19</v>
      </c>
      <c r="DK40" s="89"/>
      <c r="DL40" s="89">
        <f>$DI40*($R40-Klimaatdata!$B$7)*2.63</f>
        <v>0</v>
      </c>
      <c r="DM40" s="89">
        <f>$DI40*($R40-Klimaatdata!$B$8)*2.63</f>
        <v>0</v>
      </c>
      <c r="DN40" s="89">
        <f>$DI40*($R40-Klimaatdata!$B$9)*2.63</f>
        <v>0</v>
      </c>
      <c r="DO40" s="89">
        <f>$DI40*($R40-Klimaatdata!$B$10)*2.63</f>
        <v>0</v>
      </c>
      <c r="DP40" s="89">
        <f>$DI40*($R40-Klimaatdata!$B$11)*2.63</f>
        <v>0</v>
      </c>
      <c r="DQ40" s="89">
        <f>$DI40*($R40-Klimaatdata!$B$12)*2.63</f>
        <v>0</v>
      </c>
      <c r="DR40" s="89">
        <f>$DI40*($R40-Klimaatdata!$B$13)*2.63</f>
        <v>0</v>
      </c>
      <c r="DS40" s="89">
        <f>$DI40*($R40-Klimaatdata!$B$14)*2.63</f>
        <v>0</v>
      </c>
      <c r="DT40" s="89">
        <f>$DI40*($R40-Klimaatdata!$B$15)*2.63</f>
        <v>0</v>
      </c>
      <c r="DU40" s="89">
        <f>$DI40*($R40-Klimaatdata!$B$16)*2.63</f>
        <v>0</v>
      </c>
      <c r="DV40" s="89">
        <f>$DI40*($R40-Klimaatdata!$B$17)*2.63</f>
        <v>0</v>
      </c>
      <c r="DW40" s="89">
        <f>$DI40*($R40-Klimaatdata!$B$18)*2.63</f>
        <v>0</v>
      </c>
      <c r="DX40" s="89"/>
      <c r="DY40" s="89">
        <f t="shared" si="69"/>
        <v>0</v>
      </c>
      <c r="DZ40" s="89">
        <v>0.1</v>
      </c>
      <c r="EA40" s="28">
        <v>1</v>
      </c>
      <c r="EB40" s="89">
        <f t="shared" si="70"/>
        <v>0</v>
      </c>
      <c r="EC40" s="89">
        <v>19</v>
      </c>
      <c r="ED40" s="89"/>
      <c r="EE40" s="89">
        <f>$EB40*($R40-Klimaatdata!$B$7)*2.63</f>
        <v>0</v>
      </c>
      <c r="EF40" s="89">
        <f>$EB40*($R40-Klimaatdata!$B$8)*2.63</f>
        <v>0</v>
      </c>
      <c r="EG40" s="89">
        <f>$EB40*($R40-Klimaatdata!$B$9)*2.63</f>
        <v>0</v>
      </c>
      <c r="EH40" s="89">
        <f>$EB40*($R40-Klimaatdata!$B$10)*2.63</f>
        <v>0</v>
      </c>
      <c r="EI40" s="89">
        <f>$EB40*($R40-Klimaatdata!$B$11)*2.63</f>
        <v>0</v>
      </c>
      <c r="EJ40" s="89">
        <f>$EB40*($R40-Klimaatdata!$B$12)*2.63</f>
        <v>0</v>
      </c>
      <c r="EK40" s="89">
        <f>$EB40*($R40-Klimaatdata!$B$13)*2.63</f>
        <v>0</v>
      </c>
      <c r="EL40" s="89">
        <f>$EB40*($R40-Klimaatdata!$B$14)*2.63</f>
        <v>0</v>
      </c>
      <c r="EM40" s="89">
        <f>$EB40*($R40-Klimaatdata!$B$15)*2.63</f>
        <v>0</v>
      </c>
      <c r="EN40" s="89">
        <f>$EB40*($R40-Klimaatdata!$B$16)*2.63</f>
        <v>0</v>
      </c>
      <c r="EO40" s="89">
        <f>$EB40*($R40-Klimaatdata!$B$17)*2.63</f>
        <v>0</v>
      </c>
      <c r="EP40" s="89">
        <f>$EB40*($R40-Klimaatdata!$B$18)*2.63</f>
        <v>0</v>
      </c>
      <c r="EQ40" s="25"/>
      <c r="ER40" s="89">
        <f t="shared" si="30"/>
        <v>0</v>
      </c>
      <c r="ES40" s="89"/>
      <c r="ET40" s="89">
        <f>INDEX(Klimaatdata!$B$27:$K$38,1,$B40)</f>
        <v>0</v>
      </c>
      <c r="EU40" s="89">
        <f>INDEX(Klimaatdata!$B$27:$K$38,2,$B40)</f>
        <v>0</v>
      </c>
      <c r="EV40" s="89">
        <f>INDEX(Klimaatdata!$B$27:$K$38,3,$B40)</f>
        <v>0</v>
      </c>
      <c r="EW40" s="89">
        <f>INDEX(Klimaatdata!$B$27:$K$38,4,$B40)</f>
        <v>0</v>
      </c>
      <c r="EX40" s="89">
        <f>INDEX(Klimaatdata!$B$27:$K$38,5,$B40)</f>
        <v>0</v>
      </c>
      <c r="EY40" s="89">
        <f>INDEX(Klimaatdata!$B$27:$K$38,6,$B40)</f>
        <v>0</v>
      </c>
      <c r="EZ40" s="89">
        <f>INDEX(Klimaatdata!$B$27:$K$38,7,$B40)</f>
        <v>0</v>
      </c>
      <c r="FA40" s="89">
        <f>INDEX(Klimaatdata!$B$27:$K$38,8,$B40)</f>
        <v>0</v>
      </c>
      <c r="FB40" s="89">
        <f>INDEX(Klimaatdata!$B$27:$K$38,9,$B40)</f>
        <v>0</v>
      </c>
      <c r="FC40" s="89">
        <f>INDEX(Klimaatdata!$B$27:$K$38,10,$B40)</f>
        <v>0</v>
      </c>
      <c r="FD40" s="89">
        <f>INDEX(Klimaatdata!$B$27:$K$38,11,$B40)</f>
        <v>0</v>
      </c>
      <c r="FE40" s="89">
        <f>INDEX(Klimaatdata!$B$27:$K$38,12,$B40)</f>
        <v>0</v>
      </c>
      <c r="FG40">
        <f t="shared" si="71"/>
        <v>1</v>
      </c>
      <c r="FH40">
        <f t="shared" si="72"/>
        <v>1</v>
      </c>
      <c r="FI40">
        <f t="shared" si="73"/>
        <v>1</v>
      </c>
      <c r="FJ40">
        <f t="shared" si="74"/>
        <v>1</v>
      </c>
      <c r="FK40">
        <f t="shared" si="75"/>
        <v>1</v>
      </c>
      <c r="FL40">
        <f t="shared" si="76"/>
        <v>1</v>
      </c>
      <c r="FM40">
        <f t="shared" si="77"/>
        <v>1</v>
      </c>
      <c r="FN40">
        <f t="shared" si="78"/>
        <v>1</v>
      </c>
      <c r="FO40">
        <f t="shared" si="79"/>
        <v>1</v>
      </c>
      <c r="FP40">
        <f t="shared" si="80"/>
        <v>1</v>
      </c>
      <c r="FQ40">
        <f t="shared" si="81"/>
        <v>1</v>
      </c>
      <c r="FR40">
        <f t="shared" si="82"/>
        <v>1</v>
      </c>
      <c r="FT40" s="219">
        <f>Klimaatdata!$D$7*ET40*FG40*$ER40*$G40*0.75</f>
        <v>0</v>
      </c>
      <c r="FU40" s="219">
        <f>Klimaatdata!$E$7*EU40*FH40*$ER40*$G40*0.75</f>
        <v>0</v>
      </c>
      <c r="FV40" s="219">
        <f>Klimaatdata!$F$7*EV40*FI40*$ER40*$G40*0.75</f>
        <v>0</v>
      </c>
      <c r="FW40" s="219">
        <f>Klimaatdata!$G$7*EW40*FJ40*$ER40*$G40*0.75</f>
        <v>0</v>
      </c>
      <c r="FX40" s="219">
        <f>Klimaatdata!$H$7*EX40*FK40*$ER40*$G40*0.75</f>
        <v>0</v>
      </c>
      <c r="FY40" s="219">
        <f>Klimaatdata!$I$7*EY40*FL40*$ER40*$G40*0.75</f>
        <v>0</v>
      </c>
      <c r="FZ40" s="219">
        <f>Klimaatdata!$J$7*EZ40*FM40*$ER40*$G40*0.75</f>
        <v>0</v>
      </c>
      <c r="GA40" s="219">
        <f>Klimaatdata!$K$7*FA40*FN40*$ER40*$G40*0.75</f>
        <v>0</v>
      </c>
      <c r="GB40" s="219">
        <f>Klimaatdata!$L$7*FB40*FO40*$ER40*$G40*0.75</f>
        <v>0</v>
      </c>
      <c r="GC40" s="219">
        <f>Klimaatdata!$M$7*FC40*FP40*$ER40*$G40*0.75</f>
        <v>0</v>
      </c>
      <c r="GD40" s="219">
        <f>Klimaatdata!$N$7*FD40*FQ40*$ER40*$G40*0.75</f>
        <v>0</v>
      </c>
      <c r="GE40" s="219">
        <f>Klimaatdata!$O$7*FE40*FR40*$ER40*$G40*0.75</f>
        <v>0</v>
      </c>
      <c r="GG40">
        <f t="shared" si="43"/>
        <v>0</v>
      </c>
      <c r="GH40">
        <f t="shared" si="44"/>
        <v>0</v>
      </c>
      <c r="GI40">
        <f t="shared" si="83"/>
        <v>0</v>
      </c>
      <c r="GJ40">
        <f t="shared" si="84"/>
        <v>0</v>
      </c>
      <c r="GK40">
        <f t="shared" si="85"/>
        <v>0</v>
      </c>
      <c r="GL40">
        <f t="shared" si="86"/>
        <v>0</v>
      </c>
      <c r="GM40">
        <f t="shared" si="87"/>
        <v>0</v>
      </c>
      <c r="GN40">
        <f t="shared" si="88"/>
        <v>0</v>
      </c>
      <c r="GO40">
        <f>'Invoer Gebouwschil'!Q40</f>
        <v>0</v>
      </c>
      <c r="GP40">
        <f t="shared" si="89"/>
        <v>0</v>
      </c>
      <c r="GR40">
        <f t="shared" si="90"/>
        <v>1</v>
      </c>
      <c r="GS40">
        <f t="shared" si="91"/>
        <v>0</v>
      </c>
      <c r="GT40">
        <f t="shared" si="92"/>
        <v>0</v>
      </c>
      <c r="GU40">
        <f t="shared" si="93"/>
        <v>0</v>
      </c>
      <c r="GV40">
        <f t="shared" si="94"/>
        <v>0</v>
      </c>
      <c r="GW40">
        <f t="shared" si="95"/>
        <v>0</v>
      </c>
      <c r="GX40">
        <f t="shared" si="96"/>
        <v>0</v>
      </c>
      <c r="GZ40" s="12">
        <f t="shared" si="59"/>
        <v>0</v>
      </c>
      <c r="HA40" s="13">
        <f t="shared" si="60"/>
        <v>0</v>
      </c>
      <c r="HB40" s="13">
        <f t="shared" si="61"/>
        <v>0</v>
      </c>
      <c r="HC40" s="14">
        <f t="shared" si="62"/>
        <v>0</v>
      </c>
      <c r="HE40" s="12">
        <f t="shared" si="63"/>
        <v>0</v>
      </c>
      <c r="HF40" s="13">
        <f t="shared" si="64"/>
        <v>0</v>
      </c>
      <c r="HG40" s="13">
        <f t="shared" si="65"/>
        <v>0</v>
      </c>
      <c r="HH40" s="14">
        <f t="shared" si="66"/>
        <v>0</v>
      </c>
    </row>
    <row r="41" spans="1:216" x14ac:dyDescent="0.2">
      <c r="A41">
        <v>1</v>
      </c>
      <c r="B41">
        <v>1</v>
      </c>
      <c r="C41">
        <v>1</v>
      </c>
      <c r="D41">
        <f>'Invoer Gebouwschil'!D41</f>
        <v>0</v>
      </c>
      <c r="E41">
        <v>1</v>
      </c>
      <c r="F41">
        <v>1</v>
      </c>
      <c r="G41">
        <f>'Invoer Gebouwschil'!H41</f>
        <v>0</v>
      </c>
      <c r="H41">
        <v>1</v>
      </c>
      <c r="I41">
        <v>1</v>
      </c>
      <c r="K41" s="89">
        <f>INDEX('Verwerking Bouwdelen'!$BZ$79:$BZ$103,'Verwerking Bouwdelen'!E41)</f>
        <v>0</v>
      </c>
      <c r="L41" s="89">
        <v>0.13</v>
      </c>
      <c r="M41" s="89">
        <f t="shared" si="14"/>
        <v>0</v>
      </c>
      <c r="N41" s="89">
        <f>IF(F41=6,1/((1/1/(L42+M42+'Invoer Gebouwschil'!F41))+5),1/(L41+M41+'Invoer Gebouwschil'!F41))</f>
        <v>7.6923076923076916</v>
      </c>
      <c r="O41" s="89">
        <v>0.1</v>
      </c>
      <c r="P41" s="28">
        <f t="shared" si="15"/>
        <v>1</v>
      </c>
      <c r="Q41" s="89">
        <f t="shared" si="0"/>
        <v>0</v>
      </c>
      <c r="R41" s="89">
        <v>19</v>
      </c>
      <c r="S41" s="89"/>
      <c r="T41" s="89">
        <f>$Q41*($R41-Klimaatdata!$B$7)*2.63</f>
        <v>0</v>
      </c>
      <c r="U41" s="89">
        <f>$Q41*($R41-Klimaatdata!$B$8)*2.63</f>
        <v>0</v>
      </c>
      <c r="V41" s="89">
        <f>$Q41*($R41-Klimaatdata!$B$9)*2.63</f>
        <v>0</v>
      </c>
      <c r="W41" s="89">
        <f>$Q41*($R41-Klimaatdata!$B$10)*2.63</f>
        <v>0</v>
      </c>
      <c r="X41" s="89">
        <f>$Q41*($R41-Klimaatdata!$B$11)*2.63</f>
        <v>0</v>
      </c>
      <c r="Y41" s="89">
        <f>$Q41*($R41-Klimaatdata!$B$12)*2.63</f>
        <v>0</v>
      </c>
      <c r="Z41" s="89">
        <f>$Q41*($R41-Klimaatdata!$B$13)*2.63</f>
        <v>0</v>
      </c>
      <c r="AA41" s="89">
        <f>$Q41*($R41-Klimaatdata!$B$14)*2.63</f>
        <v>0</v>
      </c>
      <c r="AB41" s="89">
        <f>$Q41*($R41-Klimaatdata!$B$15)*2.63</f>
        <v>0</v>
      </c>
      <c r="AC41" s="89">
        <f>$Q41*($R41-Klimaatdata!$B$16)*2.63</f>
        <v>0</v>
      </c>
      <c r="AD41" s="89">
        <f>$Q41*($R41-Klimaatdata!$B$17)*2.63</f>
        <v>0</v>
      </c>
      <c r="AE41" s="89">
        <f>$Q41*($R41-Klimaatdata!$B$18)*2.63</f>
        <v>0</v>
      </c>
      <c r="AF41" s="89"/>
      <c r="AG41" s="205">
        <f t="shared" si="16"/>
        <v>0</v>
      </c>
      <c r="AH41" s="25">
        <f t="shared" si="17"/>
        <v>0</v>
      </c>
      <c r="AI41" s="25">
        <f t="shared" si="18"/>
        <v>0</v>
      </c>
      <c r="AJ41" s="206">
        <f t="shared" si="19"/>
        <v>0</v>
      </c>
      <c r="AK41" s="25"/>
      <c r="AL41" s="89">
        <f t="shared" si="20"/>
        <v>1</v>
      </c>
      <c r="AM41" s="89">
        <f t="shared" si="21"/>
        <v>0</v>
      </c>
      <c r="AN41" s="89">
        <f t="shared" si="22"/>
        <v>0</v>
      </c>
      <c r="AO41" s="89">
        <f t="shared" si="23"/>
        <v>0</v>
      </c>
      <c r="AP41" s="89">
        <v>0.1</v>
      </c>
      <c r="AQ41" s="28">
        <v>1</v>
      </c>
      <c r="AR41" s="89">
        <f t="shared" si="1"/>
        <v>0</v>
      </c>
      <c r="AS41" s="89">
        <v>19</v>
      </c>
      <c r="AT41" s="89"/>
      <c r="AU41" s="89">
        <f>$AR41*($R41-Klimaatdata!$B$7)*2.63</f>
        <v>0</v>
      </c>
      <c r="AV41" s="89">
        <f>$AR41*($R41-Klimaatdata!$B$8)*2.63</f>
        <v>0</v>
      </c>
      <c r="AW41" s="89">
        <f>$AR41*($R41-Klimaatdata!$B$9)*2.63</f>
        <v>0</v>
      </c>
      <c r="AX41" s="89">
        <f>$AR41*($R41-Klimaatdata!$B$10)*2.63</f>
        <v>0</v>
      </c>
      <c r="AY41" s="89">
        <f>$AR41*($R41-Klimaatdata!$B$11)*2.63</f>
        <v>0</v>
      </c>
      <c r="AZ41" s="89">
        <f>$AR41*($R41-Klimaatdata!$B$12)*2.63</f>
        <v>0</v>
      </c>
      <c r="BA41" s="89">
        <f>$AR41*($R41-Klimaatdata!$B$13)*2.63</f>
        <v>0</v>
      </c>
      <c r="BB41" s="89">
        <f>$AR41*($R41-Klimaatdata!$B$14)*2.63</f>
        <v>0</v>
      </c>
      <c r="BC41" s="89">
        <f>$AR41*($R41-Klimaatdata!$B$15)*2.63</f>
        <v>0</v>
      </c>
      <c r="BD41" s="89">
        <f>$AR41*($R41-Klimaatdata!$B$16)*2.63</f>
        <v>0</v>
      </c>
      <c r="BE41" s="89">
        <f>$AR41*($R41-Klimaatdata!$B$17)*2.63</f>
        <v>0</v>
      </c>
      <c r="BF41" s="89">
        <f>$AR41*($R41-Klimaatdata!$B$18)*2.63</f>
        <v>0</v>
      </c>
      <c r="BG41" s="25"/>
      <c r="BH41" s="89">
        <f>INDEX('Verwerking Bouwdelen'!$Y$106:$Y$130,H41)</f>
        <v>0</v>
      </c>
      <c r="BI41" s="89"/>
      <c r="BJ41" s="89">
        <f>INDEX(Klimaatdata!$B$27:$K$38,1,$B41)</f>
        <v>0</v>
      </c>
      <c r="BK41" s="89">
        <f>INDEX(Klimaatdata!$B$27:$K$38,2,$B41)</f>
        <v>0</v>
      </c>
      <c r="BL41" s="89">
        <f>INDEX(Klimaatdata!$B$27:$K$38,3,$B41)</f>
        <v>0</v>
      </c>
      <c r="BM41" s="89">
        <f>INDEX(Klimaatdata!$B$27:$K$38,4,$B41)</f>
        <v>0</v>
      </c>
      <c r="BN41" s="89">
        <f>INDEX(Klimaatdata!$B$27:$K$38,5,$B41)</f>
        <v>0</v>
      </c>
      <c r="BO41" s="89">
        <f>INDEX(Klimaatdata!$B$27:$K$38,6,$B41)</f>
        <v>0</v>
      </c>
      <c r="BP41" s="89">
        <f>INDEX(Klimaatdata!$B$27:$K$38,7,$B41)</f>
        <v>0</v>
      </c>
      <c r="BQ41" s="89">
        <f>INDEX(Klimaatdata!$B$27:$K$38,8,$B41)</f>
        <v>0</v>
      </c>
      <c r="BR41" s="89">
        <f>INDEX(Klimaatdata!$B$27:$K$38,9,$B41)</f>
        <v>0</v>
      </c>
      <c r="BS41" s="89">
        <f>INDEX(Klimaatdata!$B$27:$K$38,10,$B41)</f>
        <v>0</v>
      </c>
      <c r="BT41" s="89">
        <f>INDEX(Klimaatdata!$B$27:$K$38,11,$B41)</f>
        <v>0</v>
      </c>
      <c r="BU41" s="89">
        <f>INDEX(Klimaatdata!$B$27:$K$38,12,$B41)</f>
        <v>0</v>
      </c>
      <c r="BW41">
        <f t="shared" si="2"/>
        <v>1</v>
      </c>
      <c r="BX41">
        <f t="shared" si="3"/>
        <v>1</v>
      </c>
      <c r="BY41">
        <f t="shared" si="4"/>
        <v>1</v>
      </c>
      <c r="BZ41">
        <f t="shared" si="5"/>
        <v>1</v>
      </c>
      <c r="CA41">
        <f t="shared" si="6"/>
        <v>1</v>
      </c>
      <c r="CB41">
        <f t="shared" si="7"/>
        <v>1</v>
      </c>
      <c r="CC41">
        <f t="shared" si="8"/>
        <v>1</v>
      </c>
      <c r="CD41">
        <f t="shared" si="9"/>
        <v>1</v>
      </c>
      <c r="CE41">
        <f t="shared" si="10"/>
        <v>1</v>
      </c>
      <c r="CF41">
        <f t="shared" si="11"/>
        <v>1</v>
      </c>
      <c r="CG41">
        <f t="shared" si="12"/>
        <v>1</v>
      </c>
      <c r="CH41">
        <f t="shared" si="13"/>
        <v>1</v>
      </c>
      <c r="CJ41" s="219">
        <f>Klimaatdata!$D$7*BJ41*BW41*$BH41*$G41*0.75</f>
        <v>0</v>
      </c>
      <c r="CK41" s="219">
        <f>Klimaatdata!$E$7*BK41*BX41*$BH41*$G41*0.75</f>
        <v>0</v>
      </c>
      <c r="CL41" s="219">
        <f>Klimaatdata!$F$7*BL41*BY41*$BH41*$G41*0.75</f>
        <v>0</v>
      </c>
      <c r="CM41" s="219">
        <f>Klimaatdata!$G$7*BM41*BZ41*$BH41*$G41*0.75</f>
        <v>0</v>
      </c>
      <c r="CN41" s="219">
        <f>Klimaatdata!$H$7*BN41*CA41*$BH41*$G41*0.75</f>
        <v>0</v>
      </c>
      <c r="CO41" s="219">
        <f>Klimaatdata!$I$7*BO41*CB41*$BH41*$G41*0.75</f>
        <v>0</v>
      </c>
      <c r="CP41" s="219">
        <f>Klimaatdata!$J$7*BP41*CC41*$BH41*$G41*0.75</f>
        <v>0</v>
      </c>
      <c r="CQ41" s="219">
        <f>Klimaatdata!$K$7*BQ41*CD41*$BH41*$G41*0.75</f>
        <v>0</v>
      </c>
      <c r="CR41" s="219">
        <f>Klimaatdata!$L$7*BR41*CE41*$BH41*$G41*0.75</f>
        <v>0</v>
      </c>
      <c r="CS41" s="219">
        <f>Klimaatdata!$M$7*BS41*CF41*$BH41*$G41*0.75</f>
        <v>0</v>
      </c>
      <c r="CT41" s="219">
        <f>Klimaatdata!$N$7*BT41*CG41*$BH41*$G41*0.75</f>
        <v>0</v>
      </c>
      <c r="CU41" s="219">
        <f>Klimaatdata!$O$7*BU41*CH41*$BH41*$G41*0.75</f>
        <v>0</v>
      </c>
      <c r="CX41">
        <v>1</v>
      </c>
      <c r="CY41">
        <v>1</v>
      </c>
      <c r="CZ41">
        <v>1</v>
      </c>
      <c r="DA41">
        <f>'Invoer Gebouwschil'!Q41</f>
        <v>0</v>
      </c>
      <c r="DC41" s="89">
        <f t="shared" si="24"/>
        <v>0</v>
      </c>
      <c r="DD41" s="89">
        <v>0.13</v>
      </c>
      <c r="DE41" s="89">
        <f t="shared" si="25"/>
        <v>0</v>
      </c>
      <c r="DF41" s="89">
        <f>IF(F41=6,1/((1/1/(DD41+DE41+'Invoer Gebouwschil'!M41))+5),1/(DD41+DE41+'Invoer Gebouwschil'!M41))</f>
        <v>7.6923076923076916</v>
      </c>
      <c r="DG41" s="89">
        <v>0.1</v>
      </c>
      <c r="DH41" s="28">
        <f t="shared" si="67"/>
        <v>1</v>
      </c>
      <c r="DI41" s="89">
        <f t="shared" si="68"/>
        <v>0</v>
      </c>
      <c r="DJ41" s="89">
        <v>19</v>
      </c>
      <c r="DK41" s="89"/>
      <c r="DL41" s="89">
        <f>$DI41*($R41-Klimaatdata!$B$7)*2.63</f>
        <v>0</v>
      </c>
      <c r="DM41" s="89">
        <f>$DI41*($R41-Klimaatdata!$B$8)*2.63</f>
        <v>0</v>
      </c>
      <c r="DN41" s="89">
        <f>$DI41*($R41-Klimaatdata!$B$9)*2.63</f>
        <v>0</v>
      </c>
      <c r="DO41" s="89">
        <f>$DI41*($R41-Klimaatdata!$B$10)*2.63</f>
        <v>0</v>
      </c>
      <c r="DP41" s="89">
        <f>$DI41*($R41-Klimaatdata!$B$11)*2.63</f>
        <v>0</v>
      </c>
      <c r="DQ41" s="89">
        <f>$DI41*($R41-Klimaatdata!$B$12)*2.63</f>
        <v>0</v>
      </c>
      <c r="DR41" s="89">
        <f>$DI41*($R41-Klimaatdata!$B$13)*2.63</f>
        <v>0</v>
      </c>
      <c r="DS41" s="89">
        <f>$DI41*($R41-Klimaatdata!$B$14)*2.63</f>
        <v>0</v>
      </c>
      <c r="DT41" s="89">
        <f>$DI41*($R41-Klimaatdata!$B$15)*2.63</f>
        <v>0</v>
      </c>
      <c r="DU41" s="89">
        <f>$DI41*($R41-Klimaatdata!$B$16)*2.63</f>
        <v>0</v>
      </c>
      <c r="DV41" s="89">
        <f>$DI41*($R41-Klimaatdata!$B$17)*2.63</f>
        <v>0</v>
      </c>
      <c r="DW41" s="89">
        <f>$DI41*($R41-Klimaatdata!$B$18)*2.63</f>
        <v>0</v>
      </c>
      <c r="DX41" s="89"/>
      <c r="DY41" s="89">
        <f t="shared" si="69"/>
        <v>0</v>
      </c>
      <c r="DZ41" s="89">
        <v>0.1</v>
      </c>
      <c r="EA41" s="28">
        <v>1</v>
      </c>
      <c r="EB41" s="89">
        <f t="shared" si="70"/>
        <v>0</v>
      </c>
      <c r="EC41" s="89">
        <v>19</v>
      </c>
      <c r="ED41" s="89"/>
      <c r="EE41" s="89">
        <f>$EB41*($R41-Klimaatdata!$B$7)*2.63</f>
        <v>0</v>
      </c>
      <c r="EF41" s="89">
        <f>$EB41*($R41-Klimaatdata!$B$8)*2.63</f>
        <v>0</v>
      </c>
      <c r="EG41" s="89">
        <f>$EB41*($R41-Klimaatdata!$B$9)*2.63</f>
        <v>0</v>
      </c>
      <c r="EH41" s="89">
        <f>$EB41*($R41-Klimaatdata!$B$10)*2.63</f>
        <v>0</v>
      </c>
      <c r="EI41" s="89">
        <f>$EB41*($R41-Klimaatdata!$B$11)*2.63</f>
        <v>0</v>
      </c>
      <c r="EJ41" s="89">
        <f>$EB41*($R41-Klimaatdata!$B$12)*2.63</f>
        <v>0</v>
      </c>
      <c r="EK41" s="89">
        <f>$EB41*($R41-Klimaatdata!$B$13)*2.63</f>
        <v>0</v>
      </c>
      <c r="EL41" s="89">
        <f>$EB41*($R41-Klimaatdata!$B$14)*2.63</f>
        <v>0</v>
      </c>
      <c r="EM41" s="89">
        <f>$EB41*($R41-Klimaatdata!$B$15)*2.63</f>
        <v>0</v>
      </c>
      <c r="EN41" s="89">
        <f>$EB41*($R41-Klimaatdata!$B$16)*2.63</f>
        <v>0</v>
      </c>
      <c r="EO41" s="89">
        <f>$EB41*($R41-Klimaatdata!$B$17)*2.63</f>
        <v>0</v>
      </c>
      <c r="EP41" s="89">
        <f>$EB41*($R41-Klimaatdata!$B$18)*2.63</f>
        <v>0</v>
      </c>
      <c r="EQ41" s="25"/>
      <c r="ER41" s="89">
        <f t="shared" si="30"/>
        <v>0</v>
      </c>
      <c r="ES41" s="89"/>
      <c r="ET41" s="89">
        <f>INDEX(Klimaatdata!$B$27:$K$38,1,$B41)</f>
        <v>0</v>
      </c>
      <c r="EU41" s="89">
        <f>INDEX(Klimaatdata!$B$27:$K$38,2,$B41)</f>
        <v>0</v>
      </c>
      <c r="EV41" s="89">
        <f>INDEX(Klimaatdata!$B$27:$K$38,3,$B41)</f>
        <v>0</v>
      </c>
      <c r="EW41" s="89">
        <f>INDEX(Klimaatdata!$B$27:$K$38,4,$B41)</f>
        <v>0</v>
      </c>
      <c r="EX41" s="89">
        <f>INDEX(Klimaatdata!$B$27:$K$38,5,$B41)</f>
        <v>0</v>
      </c>
      <c r="EY41" s="89">
        <f>INDEX(Klimaatdata!$B$27:$K$38,6,$B41)</f>
        <v>0</v>
      </c>
      <c r="EZ41" s="89">
        <f>INDEX(Klimaatdata!$B$27:$K$38,7,$B41)</f>
        <v>0</v>
      </c>
      <c r="FA41" s="89">
        <f>INDEX(Klimaatdata!$B$27:$K$38,8,$B41)</f>
        <v>0</v>
      </c>
      <c r="FB41" s="89">
        <f>INDEX(Klimaatdata!$B$27:$K$38,9,$B41)</f>
        <v>0</v>
      </c>
      <c r="FC41" s="89">
        <f>INDEX(Klimaatdata!$B$27:$K$38,10,$B41)</f>
        <v>0</v>
      </c>
      <c r="FD41" s="89">
        <f>INDEX(Klimaatdata!$B$27:$K$38,11,$B41)</f>
        <v>0</v>
      </c>
      <c r="FE41" s="89">
        <f>INDEX(Klimaatdata!$B$27:$K$38,12,$B41)</f>
        <v>0</v>
      </c>
      <c r="FG41">
        <f t="shared" si="71"/>
        <v>1</v>
      </c>
      <c r="FH41">
        <f t="shared" si="72"/>
        <v>1</v>
      </c>
      <c r="FI41">
        <f t="shared" si="73"/>
        <v>1</v>
      </c>
      <c r="FJ41">
        <f t="shared" si="74"/>
        <v>1</v>
      </c>
      <c r="FK41">
        <f t="shared" si="75"/>
        <v>1</v>
      </c>
      <c r="FL41">
        <f t="shared" si="76"/>
        <v>1</v>
      </c>
      <c r="FM41">
        <f t="shared" si="77"/>
        <v>1</v>
      </c>
      <c r="FN41">
        <f t="shared" si="78"/>
        <v>1</v>
      </c>
      <c r="FO41">
        <f t="shared" si="79"/>
        <v>1</v>
      </c>
      <c r="FP41">
        <f t="shared" si="80"/>
        <v>1</v>
      </c>
      <c r="FQ41">
        <f t="shared" si="81"/>
        <v>1</v>
      </c>
      <c r="FR41">
        <f t="shared" si="82"/>
        <v>1</v>
      </c>
      <c r="FT41" s="219">
        <f>Klimaatdata!$D$7*ET41*FG41*$ER41*$G41*0.75</f>
        <v>0</v>
      </c>
      <c r="FU41" s="219">
        <f>Klimaatdata!$E$7*EU41*FH41*$ER41*$G41*0.75</f>
        <v>0</v>
      </c>
      <c r="FV41" s="219">
        <f>Klimaatdata!$F$7*EV41*FI41*$ER41*$G41*0.75</f>
        <v>0</v>
      </c>
      <c r="FW41" s="219">
        <f>Klimaatdata!$G$7*EW41*FJ41*$ER41*$G41*0.75</f>
        <v>0</v>
      </c>
      <c r="FX41" s="219">
        <f>Klimaatdata!$H$7*EX41*FK41*$ER41*$G41*0.75</f>
        <v>0</v>
      </c>
      <c r="FY41" s="219">
        <f>Klimaatdata!$I$7*EY41*FL41*$ER41*$G41*0.75</f>
        <v>0</v>
      </c>
      <c r="FZ41" s="219">
        <f>Klimaatdata!$J$7*EZ41*FM41*$ER41*$G41*0.75</f>
        <v>0</v>
      </c>
      <c r="GA41" s="219">
        <f>Klimaatdata!$K$7*FA41*FN41*$ER41*$G41*0.75</f>
        <v>0</v>
      </c>
      <c r="GB41" s="219">
        <f>Klimaatdata!$L$7*FB41*FO41*$ER41*$G41*0.75</f>
        <v>0</v>
      </c>
      <c r="GC41" s="219">
        <f>Klimaatdata!$M$7*FC41*FP41*$ER41*$G41*0.75</f>
        <v>0</v>
      </c>
      <c r="GD41" s="219">
        <f>Klimaatdata!$N$7*FD41*FQ41*$ER41*$G41*0.75</f>
        <v>0</v>
      </c>
      <c r="GE41" s="219">
        <f>Klimaatdata!$O$7*FE41*FR41*$ER41*$G41*0.75</f>
        <v>0</v>
      </c>
      <c r="GG41">
        <f t="shared" si="43"/>
        <v>0</v>
      </c>
      <c r="GH41">
        <f t="shared" si="44"/>
        <v>0</v>
      </c>
      <c r="GI41">
        <f t="shared" si="83"/>
        <v>0</v>
      </c>
      <c r="GJ41">
        <f t="shared" si="84"/>
        <v>0</v>
      </c>
      <c r="GK41">
        <f t="shared" si="85"/>
        <v>0</v>
      </c>
      <c r="GL41">
        <f t="shared" si="86"/>
        <v>0</v>
      </c>
      <c r="GM41">
        <f t="shared" si="87"/>
        <v>0</v>
      </c>
      <c r="GN41">
        <f t="shared" si="88"/>
        <v>0</v>
      </c>
      <c r="GO41">
        <f>'Invoer Gebouwschil'!Q41</f>
        <v>0</v>
      </c>
      <c r="GP41">
        <f t="shared" si="89"/>
        <v>0</v>
      </c>
      <c r="GR41">
        <f t="shared" si="90"/>
        <v>1</v>
      </c>
      <c r="GS41">
        <f t="shared" si="91"/>
        <v>0</v>
      </c>
      <c r="GT41">
        <f t="shared" si="92"/>
        <v>0</v>
      </c>
      <c r="GU41">
        <f t="shared" si="93"/>
        <v>0</v>
      </c>
      <c r="GV41">
        <f t="shared" si="94"/>
        <v>0</v>
      </c>
      <c r="GW41">
        <f t="shared" si="95"/>
        <v>0</v>
      </c>
      <c r="GX41">
        <f t="shared" si="96"/>
        <v>0</v>
      </c>
      <c r="GZ41" s="12">
        <f t="shared" si="59"/>
        <v>0</v>
      </c>
      <c r="HA41" s="13">
        <f t="shared" si="60"/>
        <v>0</v>
      </c>
      <c r="HB41" s="13">
        <f t="shared" si="61"/>
        <v>0</v>
      </c>
      <c r="HC41" s="14">
        <f t="shared" si="62"/>
        <v>0</v>
      </c>
      <c r="HE41" s="12">
        <f t="shared" si="63"/>
        <v>0</v>
      </c>
      <c r="HF41" s="13">
        <f t="shared" si="64"/>
        <v>0</v>
      </c>
      <c r="HG41" s="13">
        <f t="shared" si="65"/>
        <v>0</v>
      </c>
      <c r="HH41" s="14">
        <f t="shared" si="66"/>
        <v>0</v>
      </c>
    </row>
    <row r="42" spans="1:216" x14ac:dyDescent="0.2">
      <c r="A42">
        <v>1</v>
      </c>
      <c r="B42">
        <v>1</v>
      </c>
      <c r="C42">
        <v>1</v>
      </c>
      <c r="D42">
        <f>'Invoer Gebouwschil'!D42</f>
        <v>0</v>
      </c>
      <c r="E42">
        <v>1</v>
      </c>
      <c r="F42">
        <v>1</v>
      </c>
      <c r="G42">
        <f>'Invoer Gebouwschil'!H42</f>
        <v>0</v>
      </c>
      <c r="H42">
        <v>1</v>
      </c>
      <c r="I42">
        <v>1</v>
      </c>
      <c r="K42" s="89">
        <f>INDEX('Verwerking Bouwdelen'!$CB$79:$CB$103,'Verwerking Bouwdelen'!E42)</f>
        <v>0</v>
      </c>
      <c r="L42" s="89">
        <v>0.13</v>
      </c>
      <c r="M42" s="89">
        <f t="shared" si="14"/>
        <v>0</v>
      </c>
      <c r="N42" s="89">
        <f>IF(F42=6,1/((1/1/(L43+M43+'Invoer Gebouwschil'!F42))+5),1/(L42+M42+'Invoer Gebouwschil'!F42))</f>
        <v>7.6923076923076916</v>
      </c>
      <c r="O42" s="89">
        <v>0.1</v>
      </c>
      <c r="P42" s="28">
        <f t="shared" si="15"/>
        <v>1</v>
      </c>
      <c r="Q42" s="89">
        <f t="shared" si="0"/>
        <v>0</v>
      </c>
      <c r="R42" s="89">
        <v>19</v>
      </c>
      <c r="S42" s="89"/>
      <c r="T42" s="89">
        <f>$Q42*($R42-Klimaatdata!$B$7)*2.63</f>
        <v>0</v>
      </c>
      <c r="U42" s="89">
        <f>$Q42*($R42-Klimaatdata!$B$8)*2.63</f>
        <v>0</v>
      </c>
      <c r="V42" s="89">
        <f>$Q42*($R42-Klimaatdata!$B$9)*2.63</f>
        <v>0</v>
      </c>
      <c r="W42" s="89">
        <f>$Q42*($R42-Klimaatdata!$B$10)*2.63</f>
        <v>0</v>
      </c>
      <c r="X42" s="89">
        <f>$Q42*($R42-Klimaatdata!$B$11)*2.63</f>
        <v>0</v>
      </c>
      <c r="Y42" s="89">
        <f>$Q42*($R42-Klimaatdata!$B$12)*2.63</f>
        <v>0</v>
      </c>
      <c r="Z42" s="89">
        <f>$Q42*($R42-Klimaatdata!$B$13)*2.63</f>
        <v>0</v>
      </c>
      <c r="AA42" s="89">
        <f>$Q42*($R42-Klimaatdata!$B$14)*2.63</f>
        <v>0</v>
      </c>
      <c r="AB42" s="89">
        <f>$Q42*($R42-Klimaatdata!$B$15)*2.63</f>
        <v>0</v>
      </c>
      <c r="AC42" s="89">
        <f>$Q42*($R42-Klimaatdata!$B$16)*2.63</f>
        <v>0</v>
      </c>
      <c r="AD42" s="89">
        <f>$Q42*($R42-Klimaatdata!$B$17)*2.63</f>
        <v>0</v>
      </c>
      <c r="AE42" s="89">
        <f>$Q42*($R42-Klimaatdata!$B$18)*2.63</f>
        <v>0</v>
      </c>
      <c r="AF42" s="89"/>
      <c r="AG42" s="205">
        <f t="shared" si="16"/>
        <v>0</v>
      </c>
      <c r="AH42" s="25">
        <f t="shared" si="17"/>
        <v>0</v>
      </c>
      <c r="AI42" s="25">
        <f t="shared" si="18"/>
        <v>0</v>
      </c>
      <c r="AJ42" s="206">
        <f t="shared" si="19"/>
        <v>0</v>
      </c>
      <c r="AK42" s="25"/>
      <c r="AL42" s="89">
        <f t="shared" si="20"/>
        <v>1</v>
      </c>
      <c r="AM42" s="89">
        <f t="shared" si="21"/>
        <v>0</v>
      </c>
      <c r="AN42" s="89">
        <f t="shared" si="22"/>
        <v>0</v>
      </c>
      <c r="AO42" s="89">
        <f t="shared" si="23"/>
        <v>0</v>
      </c>
      <c r="AP42" s="89">
        <v>0.1</v>
      </c>
      <c r="AQ42" s="28">
        <v>1</v>
      </c>
      <c r="AR42" s="89">
        <f t="shared" si="1"/>
        <v>0</v>
      </c>
      <c r="AS42" s="89">
        <v>19</v>
      </c>
      <c r="AT42" s="89"/>
      <c r="AU42" s="89">
        <f>$AR42*($R42-Klimaatdata!$B$7)*2.63</f>
        <v>0</v>
      </c>
      <c r="AV42" s="89">
        <f>$AR42*($R42-Klimaatdata!$B$8)*2.63</f>
        <v>0</v>
      </c>
      <c r="AW42" s="89">
        <f>$AR42*($R42-Klimaatdata!$B$9)*2.63</f>
        <v>0</v>
      </c>
      <c r="AX42" s="89">
        <f>$AR42*($R42-Klimaatdata!$B$10)*2.63</f>
        <v>0</v>
      </c>
      <c r="AY42" s="89">
        <f>$AR42*($R42-Klimaatdata!$B$11)*2.63</f>
        <v>0</v>
      </c>
      <c r="AZ42" s="89">
        <f>$AR42*($R42-Klimaatdata!$B$12)*2.63</f>
        <v>0</v>
      </c>
      <c r="BA42" s="89">
        <f>$AR42*($R42-Klimaatdata!$B$13)*2.63</f>
        <v>0</v>
      </c>
      <c r="BB42" s="89">
        <f>$AR42*($R42-Klimaatdata!$B$14)*2.63</f>
        <v>0</v>
      </c>
      <c r="BC42" s="89">
        <f>$AR42*($R42-Klimaatdata!$B$15)*2.63</f>
        <v>0</v>
      </c>
      <c r="BD42" s="89">
        <f>$AR42*($R42-Klimaatdata!$B$16)*2.63</f>
        <v>0</v>
      </c>
      <c r="BE42" s="89">
        <f>$AR42*($R42-Klimaatdata!$B$17)*2.63</f>
        <v>0</v>
      </c>
      <c r="BF42" s="89">
        <f>$AR42*($R42-Klimaatdata!$B$18)*2.63</f>
        <v>0</v>
      </c>
      <c r="BG42" s="25"/>
      <c r="BH42" s="89">
        <f>INDEX('Verwerking Bouwdelen'!$Y$106:$Y$130,H42)</f>
        <v>0</v>
      </c>
      <c r="BI42" s="89"/>
      <c r="BJ42" s="89">
        <f>INDEX(Klimaatdata!$B$27:$K$38,1,$B42)</f>
        <v>0</v>
      </c>
      <c r="BK42" s="89">
        <f>INDEX(Klimaatdata!$B$27:$K$38,2,$B42)</f>
        <v>0</v>
      </c>
      <c r="BL42" s="89">
        <f>INDEX(Klimaatdata!$B$27:$K$38,3,$B42)</f>
        <v>0</v>
      </c>
      <c r="BM42" s="89">
        <f>INDEX(Klimaatdata!$B$27:$K$38,4,$B42)</f>
        <v>0</v>
      </c>
      <c r="BN42" s="89">
        <f>INDEX(Klimaatdata!$B$27:$K$38,5,$B42)</f>
        <v>0</v>
      </c>
      <c r="BO42" s="89">
        <f>INDEX(Klimaatdata!$B$27:$K$38,6,$B42)</f>
        <v>0</v>
      </c>
      <c r="BP42" s="89">
        <f>INDEX(Klimaatdata!$B$27:$K$38,7,$B42)</f>
        <v>0</v>
      </c>
      <c r="BQ42" s="89">
        <f>INDEX(Klimaatdata!$B$27:$K$38,8,$B42)</f>
        <v>0</v>
      </c>
      <c r="BR42" s="89">
        <f>INDEX(Klimaatdata!$B$27:$K$38,9,$B42)</f>
        <v>0</v>
      </c>
      <c r="BS42" s="89">
        <f>INDEX(Klimaatdata!$B$27:$K$38,10,$B42)</f>
        <v>0</v>
      </c>
      <c r="BT42" s="89">
        <f>INDEX(Klimaatdata!$B$27:$K$38,11,$B42)</f>
        <v>0</v>
      </c>
      <c r="BU42" s="89">
        <f>INDEX(Klimaatdata!$B$27:$K$38,12,$B42)</f>
        <v>0</v>
      </c>
      <c r="BW42">
        <f t="shared" si="2"/>
        <v>1</v>
      </c>
      <c r="BX42">
        <f t="shared" si="3"/>
        <v>1</v>
      </c>
      <c r="BY42">
        <f t="shared" si="4"/>
        <v>1</v>
      </c>
      <c r="BZ42">
        <f t="shared" si="5"/>
        <v>1</v>
      </c>
      <c r="CA42">
        <f t="shared" si="6"/>
        <v>1</v>
      </c>
      <c r="CB42">
        <f t="shared" si="7"/>
        <v>1</v>
      </c>
      <c r="CC42">
        <f t="shared" si="8"/>
        <v>1</v>
      </c>
      <c r="CD42">
        <f t="shared" si="9"/>
        <v>1</v>
      </c>
      <c r="CE42">
        <f t="shared" si="10"/>
        <v>1</v>
      </c>
      <c r="CF42">
        <f t="shared" si="11"/>
        <v>1</v>
      </c>
      <c r="CG42">
        <f t="shared" si="12"/>
        <v>1</v>
      </c>
      <c r="CH42">
        <f t="shared" si="13"/>
        <v>1</v>
      </c>
      <c r="CJ42" s="219">
        <f>Klimaatdata!$D$7*BJ42*BW42*$BH42*$G42*0.75</f>
        <v>0</v>
      </c>
      <c r="CK42" s="219">
        <f>Klimaatdata!$E$7*BK42*BX42*$BH42*$G42*0.75</f>
        <v>0</v>
      </c>
      <c r="CL42" s="219">
        <f>Klimaatdata!$F$7*BL42*BY42*$BH42*$G42*0.75</f>
        <v>0</v>
      </c>
      <c r="CM42" s="219">
        <f>Klimaatdata!$G$7*BM42*BZ42*$BH42*$G42*0.75</f>
        <v>0</v>
      </c>
      <c r="CN42" s="219">
        <f>Klimaatdata!$H$7*BN42*CA42*$BH42*$G42*0.75</f>
        <v>0</v>
      </c>
      <c r="CO42" s="219">
        <f>Klimaatdata!$I$7*BO42*CB42*$BH42*$G42*0.75</f>
        <v>0</v>
      </c>
      <c r="CP42" s="219">
        <f>Klimaatdata!$J$7*BP42*CC42*$BH42*$G42*0.75</f>
        <v>0</v>
      </c>
      <c r="CQ42" s="219">
        <f>Klimaatdata!$K$7*BQ42*CD42*$BH42*$G42*0.75</f>
        <v>0</v>
      </c>
      <c r="CR42" s="219">
        <f>Klimaatdata!$L$7*BR42*CE42*$BH42*$G42*0.75</f>
        <v>0</v>
      </c>
      <c r="CS42" s="219">
        <f>Klimaatdata!$M$7*BS42*CF42*$BH42*$G42*0.75</f>
        <v>0</v>
      </c>
      <c r="CT42" s="219">
        <f>Klimaatdata!$N$7*BT42*CG42*$BH42*$G42*0.75</f>
        <v>0</v>
      </c>
      <c r="CU42" s="219">
        <f>Klimaatdata!$O$7*BU42*CH42*$BH42*$G42*0.75</f>
        <v>0</v>
      </c>
      <c r="CX42">
        <v>1</v>
      </c>
      <c r="CY42">
        <v>1</v>
      </c>
      <c r="CZ42">
        <v>1</v>
      </c>
      <c r="DA42">
        <f>'Invoer Gebouwschil'!Q42</f>
        <v>0</v>
      </c>
      <c r="DC42" s="89">
        <f t="shared" si="24"/>
        <v>0</v>
      </c>
      <c r="DD42" s="89">
        <v>0.13</v>
      </c>
      <c r="DE42" s="89">
        <f t="shared" si="25"/>
        <v>0</v>
      </c>
      <c r="DF42" s="89">
        <f>IF(F42=6,1/((1/1/(DD42+DE42+'Invoer Gebouwschil'!M42))+5),1/(DD42+DE42+'Invoer Gebouwschil'!M42))</f>
        <v>7.6923076923076916</v>
      </c>
      <c r="DG42" s="89">
        <v>0.1</v>
      </c>
      <c r="DH42" s="28">
        <f t="shared" si="67"/>
        <v>1</v>
      </c>
      <c r="DI42" s="89">
        <f t="shared" si="68"/>
        <v>0</v>
      </c>
      <c r="DJ42" s="89">
        <v>19</v>
      </c>
      <c r="DK42" s="89"/>
      <c r="DL42" s="89">
        <f>$DI42*($R42-Klimaatdata!$B$7)*2.63</f>
        <v>0</v>
      </c>
      <c r="DM42" s="89">
        <f>$DI42*($R42-Klimaatdata!$B$8)*2.63</f>
        <v>0</v>
      </c>
      <c r="DN42" s="89">
        <f>$DI42*($R42-Klimaatdata!$B$9)*2.63</f>
        <v>0</v>
      </c>
      <c r="DO42" s="89">
        <f>$DI42*($R42-Klimaatdata!$B$10)*2.63</f>
        <v>0</v>
      </c>
      <c r="DP42" s="89">
        <f>$DI42*($R42-Klimaatdata!$B$11)*2.63</f>
        <v>0</v>
      </c>
      <c r="DQ42" s="89">
        <f>$DI42*($R42-Klimaatdata!$B$12)*2.63</f>
        <v>0</v>
      </c>
      <c r="DR42" s="89">
        <f>$DI42*($R42-Klimaatdata!$B$13)*2.63</f>
        <v>0</v>
      </c>
      <c r="DS42" s="89">
        <f>$DI42*($R42-Klimaatdata!$B$14)*2.63</f>
        <v>0</v>
      </c>
      <c r="DT42" s="89">
        <f>$DI42*($R42-Klimaatdata!$B$15)*2.63</f>
        <v>0</v>
      </c>
      <c r="DU42" s="89">
        <f>$DI42*($R42-Klimaatdata!$B$16)*2.63</f>
        <v>0</v>
      </c>
      <c r="DV42" s="89">
        <f>$DI42*($R42-Klimaatdata!$B$17)*2.63</f>
        <v>0</v>
      </c>
      <c r="DW42" s="89">
        <f>$DI42*($R42-Klimaatdata!$B$18)*2.63</f>
        <v>0</v>
      </c>
      <c r="DX42" s="89"/>
      <c r="DY42" s="89">
        <f t="shared" si="69"/>
        <v>0</v>
      </c>
      <c r="DZ42" s="89">
        <v>0.1</v>
      </c>
      <c r="EA42" s="28">
        <v>1</v>
      </c>
      <c r="EB42" s="89">
        <f t="shared" si="70"/>
        <v>0</v>
      </c>
      <c r="EC42" s="89">
        <v>19</v>
      </c>
      <c r="ED42" s="89"/>
      <c r="EE42" s="89">
        <f>$EB42*($R42-Klimaatdata!$B$7)*2.63</f>
        <v>0</v>
      </c>
      <c r="EF42" s="89">
        <f>$EB42*($R42-Klimaatdata!$B$8)*2.63</f>
        <v>0</v>
      </c>
      <c r="EG42" s="89">
        <f>$EB42*($R42-Klimaatdata!$B$9)*2.63</f>
        <v>0</v>
      </c>
      <c r="EH42" s="89">
        <f>$EB42*($R42-Klimaatdata!$B$10)*2.63</f>
        <v>0</v>
      </c>
      <c r="EI42" s="89">
        <f>$EB42*($R42-Klimaatdata!$B$11)*2.63</f>
        <v>0</v>
      </c>
      <c r="EJ42" s="89">
        <f>$EB42*($R42-Klimaatdata!$B$12)*2.63</f>
        <v>0</v>
      </c>
      <c r="EK42" s="89">
        <f>$EB42*($R42-Klimaatdata!$B$13)*2.63</f>
        <v>0</v>
      </c>
      <c r="EL42" s="89">
        <f>$EB42*($R42-Klimaatdata!$B$14)*2.63</f>
        <v>0</v>
      </c>
      <c r="EM42" s="89">
        <f>$EB42*($R42-Klimaatdata!$B$15)*2.63</f>
        <v>0</v>
      </c>
      <c r="EN42" s="89">
        <f>$EB42*($R42-Klimaatdata!$B$16)*2.63</f>
        <v>0</v>
      </c>
      <c r="EO42" s="89">
        <f>$EB42*($R42-Klimaatdata!$B$17)*2.63</f>
        <v>0</v>
      </c>
      <c r="EP42" s="89">
        <f>$EB42*($R42-Klimaatdata!$B$18)*2.63</f>
        <v>0</v>
      </c>
      <c r="EQ42" s="25"/>
      <c r="ER42" s="89">
        <f t="shared" si="30"/>
        <v>0</v>
      </c>
      <c r="ES42" s="89"/>
      <c r="ET42" s="89">
        <f>INDEX(Klimaatdata!$B$27:$K$38,1,$B42)</f>
        <v>0</v>
      </c>
      <c r="EU42" s="89">
        <f>INDEX(Klimaatdata!$B$27:$K$38,2,$B42)</f>
        <v>0</v>
      </c>
      <c r="EV42" s="89">
        <f>INDEX(Klimaatdata!$B$27:$K$38,3,$B42)</f>
        <v>0</v>
      </c>
      <c r="EW42" s="89">
        <f>INDEX(Klimaatdata!$B$27:$K$38,4,$B42)</f>
        <v>0</v>
      </c>
      <c r="EX42" s="89">
        <f>INDEX(Klimaatdata!$B$27:$K$38,5,$B42)</f>
        <v>0</v>
      </c>
      <c r="EY42" s="89">
        <f>INDEX(Klimaatdata!$B$27:$K$38,6,$B42)</f>
        <v>0</v>
      </c>
      <c r="EZ42" s="89">
        <f>INDEX(Klimaatdata!$B$27:$K$38,7,$B42)</f>
        <v>0</v>
      </c>
      <c r="FA42" s="89">
        <f>INDEX(Klimaatdata!$B$27:$K$38,8,$B42)</f>
        <v>0</v>
      </c>
      <c r="FB42" s="89">
        <f>INDEX(Klimaatdata!$B$27:$K$38,9,$B42)</f>
        <v>0</v>
      </c>
      <c r="FC42" s="89">
        <f>INDEX(Klimaatdata!$B$27:$K$38,10,$B42)</f>
        <v>0</v>
      </c>
      <c r="FD42" s="89">
        <f>INDEX(Klimaatdata!$B$27:$K$38,11,$B42)</f>
        <v>0</v>
      </c>
      <c r="FE42" s="89">
        <f>INDEX(Klimaatdata!$B$27:$K$38,12,$B42)</f>
        <v>0</v>
      </c>
      <c r="FG42">
        <f t="shared" si="71"/>
        <v>1</v>
      </c>
      <c r="FH42">
        <f t="shared" si="72"/>
        <v>1</v>
      </c>
      <c r="FI42">
        <f t="shared" si="73"/>
        <v>1</v>
      </c>
      <c r="FJ42">
        <f t="shared" si="74"/>
        <v>1</v>
      </c>
      <c r="FK42">
        <f t="shared" si="75"/>
        <v>1</v>
      </c>
      <c r="FL42">
        <f t="shared" si="76"/>
        <v>1</v>
      </c>
      <c r="FM42">
        <f t="shared" si="77"/>
        <v>1</v>
      </c>
      <c r="FN42">
        <f t="shared" si="78"/>
        <v>1</v>
      </c>
      <c r="FO42">
        <f t="shared" si="79"/>
        <v>1</v>
      </c>
      <c r="FP42">
        <f t="shared" si="80"/>
        <v>1</v>
      </c>
      <c r="FQ42">
        <f t="shared" si="81"/>
        <v>1</v>
      </c>
      <c r="FR42">
        <f t="shared" si="82"/>
        <v>1</v>
      </c>
      <c r="FT42" s="219">
        <f>Klimaatdata!$D$7*ET42*FG42*$ER42*$G42*0.75</f>
        <v>0</v>
      </c>
      <c r="FU42" s="219">
        <f>Klimaatdata!$E$7*EU42*FH42*$ER42*$G42*0.75</f>
        <v>0</v>
      </c>
      <c r="FV42" s="219">
        <f>Klimaatdata!$F$7*EV42*FI42*$ER42*$G42*0.75</f>
        <v>0</v>
      </c>
      <c r="FW42" s="219">
        <f>Klimaatdata!$G$7*EW42*FJ42*$ER42*$G42*0.75</f>
        <v>0</v>
      </c>
      <c r="FX42" s="219">
        <f>Klimaatdata!$H$7*EX42*FK42*$ER42*$G42*0.75</f>
        <v>0</v>
      </c>
      <c r="FY42" s="219">
        <f>Klimaatdata!$I$7*EY42*FL42*$ER42*$G42*0.75</f>
        <v>0</v>
      </c>
      <c r="FZ42" s="219">
        <f>Klimaatdata!$J$7*EZ42*FM42*$ER42*$G42*0.75</f>
        <v>0</v>
      </c>
      <c r="GA42" s="219">
        <f>Klimaatdata!$K$7*FA42*FN42*$ER42*$G42*0.75</f>
        <v>0</v>
      </c>
      <c r="GB42" s="219">
        <f>Klimaatdata!$L$7*FB42*FO42*$ER42*$G42*0.75</f>
        <v>0</v>
      </c>
      <c r="GC42" s="219">
        <f>Klimaatdata!$M$7*FC42*FP42*$ER42*$G42*0.75</f>
        <v>0</v>
      </c>
      <c r="GD42" s="219">
        <f>Klimaatdata!$N$7*FD42*FQ42*$ER42*$G42*0.75</f>
        <v>0</v>
      </c>
      <c r="GE42" s="219">
        <f>Klimaatdata!$O$7*FE42*FR42*$ER42*$G42*0.75</f>
        <v>0</v>
      </c>
      <c r="GG42">
        <f t="shared" si="43"/>
        <v>0</v>
      </c>
      <c r="GH42">
        <f t="shared" si="44"/>
        <v>0</v>
      </c>
      <c r="GI42">
        <f t="shared" si="83"/>
        <v>0</v>
      </c>
      <c r="GJ42">
        <f t="shared" si="84"/>
        <v>0</v>
      </c>
      <c r="GK42">
        <f t="shared" si="85"/>
        <v>0</v>
      </c>
      <c r="GL42">
        <f t="shared" si="86"/>
        <v>0</v>
      </c>
      <c r="GM42">
        <f t="shared" si="87"/>
        <v>0</v>
      </c>
      <c r="GN42">
        <f t="shared" si="88"/>
        <v>0</v>
      </c>
      <c r="GO42">
        <f>'Invoer Gebouwschil'!Q42</f>
        <v>0</v>
      </c>
      <c r="GP42">
        <f t="shared" si="89"/>
        <v>0</v>
      </c>
      <c r="GR42">
        <f t="shared" si="90"/>
        <v>1</v>
      </c>
      <c r="GS42">
        <f t="shared" si="91"/>
        <v>0</v>
      </c>
      <c r="GT42">
        <f t="shared" si="92"/>
        <v>0</v>
      </c>
      <c r="GU42">
        <f t="shared" si="93"/>
        <v>0</v>
      </c>
      <c r="GV42">
        <f t="shared" si="94"/>
        <v>0</v>
      </c>
      <c r="GW42">
        <f t="shared" si="95"/>
        <v>0</v>
      </c>
      <c r="GX42">
        <f t="shared" si="96"/>
        <v>0</v>
      </c>
      <c r="GZ42" s="12">
        <f t="shared" si="59"/>
        <v>0</v>
      </c>
      <c r="HA42" s="13">
        <f t="shared" si="60"/>
        <v>0</v>
      </c>
      <c r="HB42" s="13">
        <f t="shared" si="61"/>
        <v>0</v>
      </c>
      <c r="HC42" s="14">
        <f t="shared" si="62"/>
        <v>0</v>
      </c>
      <c r="HE42" s="12">
        <f t="shared" si="63"/>
        <v>0</v>
      </c>
      <c r="HF42" s="13">
        <f t="shared" si="64"/>
        <v>0</v>
      </c>
      <c r="HG42" s="13">
        <f t="shared" si="65"/>
        <v>0</v>
      </c>
      <c r="HH42" s="14">
        <f t="shared" si="66"/>
        <v>0</v>
      </c>
    </row>
    <row r="43" spans="1:216" x14ac:dyDescent="0.2">
      <c r="A43">
        <v>1</v>
      </c>
      <c r="B43">
        <v>1</v>
      </c>
      <c r="C43">
        <v>1</v>
      </c>
      <c r="D43">
        <f>'Invoer Gebouwschil'!D43</f>
        <v>0</v>
      </c>
      <c r="E43">
        <v>1</v>
      </c>
      <c r="F43">
        <v>1</v>
      </c>
      <c r="G43">
        <f>'Invoer Gebouwschil'!H43</f>
        <v>0</v>
      </c>
      <c r="H43">
        <v>1</v>
      </c>
      <c r="I43">
        <v>1</v>
      </c>
      <c r="K43" s="89">
        <f>INDEX('Verwerking Bouwdelen'!$CD$79:$CD$103,'Verwerking Bouwdelen'!E43)</f>
        <v>0</v>
      </c>
      <c r="L43" s="89">
        <v>0.13</v>
      </c>
      <c r="M43" s="89">
        <f t="shared" si="14"/>
        <v>0</v>
      </c>
      <c r="N43" s="89">
        <f>IF(F43=6,1/((1/1/(L44+M44+'Invoer Gebouwschil'!F43))+5),1/(L43+M43+'Invoer Gebouwschil'!F43))</f>
        <v>7.6923076923076916</v>
      </c>
      <c r="O43" s="89">
        <v>0.1</v>
      </c>
      <c r="P43" s="28">
        <f t="shared" si="15"/>
        <v>1</v>
      </c>
      <c r="Q43" s="89">
        <f t="shared" si="0"/>
        <v>0</v>
      </c>
      <c r="R43" s="89">
        <v>19</v>
      </c>
      <c r="S43" s="89"/>
      <c r="T43" s="89">
        <f>$Q43*($R43-Klimaatdata!$B$7)*2.63</f>
        <v>0</v>
      </c>
      <c r="U43" s="89">
        <f>$Q43*($R43-Klimaatdata!$B$8)*2.63</f>
        <v>0</v>
      </c>
      <c r="V43" s="89">
        <f>$Q43*($R43-Klimaatdata!$B$9)*2.63</f>
        <v>0</v>
      </c>
      <c r="W43" s="89">
        <f>$Q43*($R43-Klimaatdata!$B$10)*2.63</f>
        <v>0</v>
      </c>
      <c r="X43" s="89">
        <f>$Q43*($R43-Klimaatdata!$B$11)*2.63</f>
        <v>0</v>
      </c>
      <c r="Y43" s="89">
        <f>$Q43*($R43-Klimaatdata!$B$12)*2.63</f>
        <v>0</v>
      </c>
      <c r="Z43" s="89">
        <f>$Q43*($R43-Klimaatdata!$B$13)*2.63</f>
        <v>0</v>
      </c>
      <c r="AA43" s="89">
        <f>$Q43*($R43-Klimaatdata!$B$14)*2.63</f>
        <v>0</v>
      </c>
      <c r="AB43" s="89">
        <f>$Q43*($R43-Klimaatdata!$B$15)*2.63</f>
        <v>0</v>
      </c>
      <c r="AC43" s="89">
        <f>$Q43*($R43-Klimaatdata!$B$16)*2.63</f>
        <v>0</v>
      </c>
      <c r="AD43" s="89">
        <f>$Q43*($R43-Klimaatdata!$B$17)*2.63</f>
        <v>0</v>
      </c>
      <c r="AE43" s="89">
        <f>$Q43*($R43-Klimaatdata!$B$18)*2.63</f>
        <v>0</v>
      </c>
      <c r="AF43" s="89"/>
      <c r="AG43" s="205">
        <f t="shared" si="16"/>
        <v>0</v>
      </c>
      <c r="AH43" s="25">
        <f t="shared" si="17"/>
        <v>0</v>
      </c>
      <c r="AI43" s="25">
        <f t="shared" si="18"/>
        <v>0</v>
      </c>
      <c r="AJ43" s="206">
        <f t="shared" si="19"/>
        <v>0</v>
      </c>
      <c r="AK43" s="25"/>
      <c r="AL43" s="89">
        <f t="shared" si="20"/>
        <v>1</v>
      </c>
      <c r="AM43" s="89">
        <f t="shared" si="21"/>
        <v>0</v>
      </c>
      <c r="AN43" s="89">
        <f t="shared" si="22"/>
        <v>0</v>
      </c>
      <c r="AO43" s="89">
        <f t="shared" si="23"/>
        <v>0</v>
      </c>
      <c r="AP43" s="89">
        <v>0.1</v>
      </c>
      <c r="AQ43" s="28">
        <v>1</v>
      </c>
      <c r="AR43" s="89">
        <f t="shared" si="1"/>
        <v>0</v>
      </c>
      <c r="AS43" s="89">
        <v>19</v>
      </c>
      <c r="AT43" s="89"/>
      <c r="AU43" s="89">
        <f>$AR43*($R43-Klimaatdata!$B$7)*2.63</f>
        <v>0</v>
      </c>
      <c r="AV43" s="89">
        <f>$AR43*($R43-Klimaatdata!$B$8)*2.63</f>
        <v>0</v>
      </c>
      <c r="AW43" s="89">
        <f>$AR43*($R43-Klimaatdata!$B$9)*2.63</f>
        <v>0</v>
      </c>
      <c r="AX43" s="89">
        <f>$AR43*($R43-Klimaatdata!$B$10)*2.63</f>
        <v>0</v>
      </c>
      <c r="AY43" s="89">
        <f>$AR43*($R43-Klimaatdata!$B$11)*2.63</f>
        <v>0</v>
      </c>
      <c r="AZ43" s="89">
        <f>$AR43*($R43-Klimaatdata!$B$12)*2.63</f>
        <v>0</v>
      </c>
      <c r="BA43" s="89">
        <f>$AR43*($R43-Klimaatdata!$B$13)*2.63</f>
        <v>0</v>
      </c>
      <c r="BB43" s="89">
        <f>$AR43*($R43-Klimaatdata!$B$14)*2.63</f>
        <v>0</v>
      </c>
      <c r="BC43" s="89">
        <f>$AR43*($R43-Klimaatdata!$B$15)*2.63</f>
        <v>0</v>
      </c>
      <c r="BD43" s="89">
        <f>$AR43*($R43-Klimaatdata!$B$16)*2.63</f>
        <v>0</v>
      </c>
      <c r="BE43" s="89">
        <f>$AR43*($R43-Klimaatdata!$B$17)*2.63</f>
        <v>0</v>
      </c>
      <c r="BF43" s="89">
        <f>$AR43*($R43-Klimaatdata!$B$18)*2.63</f>
        <v>0</v>
      </c>
      <c r="BG43" s="25"/>
      <c r="BH43" s="89">
        <f>INDEX('Verwerking Bouwdelen'!$Y$106:$Y$130,H43)</f>
        <v>0</v>
      </c>
      <c r="BI43" s="89"/>
      <c r="BJ43" s="89">
        <f>INDEX(Klimaatdata!$B$27:$K$38,1,$B43)</f>
        <v>0</v>
      </c>
      <c r="BK43" s="89">
        <f>INDEX(Klimaatdata!$B$27:$K$38,2,$B43)</f>
        <v>0</v>
      </c>
      <c r="BL43" s="89">
        <f>INDEX(Klimaatdata!$B$27:$K$38,3,$B43)</f>
        <v>0</v>
      </c>
      <c r="BM43" s="89">
        <f>INDEX(Klimaatdata!$B$27:$K$38,4,$B43)</f>
        <v>0</v>
      </c>
      <c r="BN43" s="89">
        <f>INDEX(Klimaatdata!$B$27:$K$38,5,$B43)</f>
        <v>0</v>
      </c>
      <c r="BO43" s="89">
        <f>INDEX(Klimaatdata!$B$27:$K$38,6,$B43)</f>
        <v>0</v>
      </c>
      <c r="BP43" s="89">
        <f>INDEX(Klimaatdata!$B$27:$K$38,7,$B43)</f>
        <v>0</v>
      </c>
      <c r="BQ43" s="89">
        <f>INDEX(Klimaatdata!$B$27:$K$38,8,$B43)</f>
        <v>0</v>
      </c>
      <c r="BR43" s="89">
        <f>INDEX(Klimaatdata!$B$27:$K$38,9,$B43)</f>
        <v>0</v>
      </c>
      <c r="BS43" s="89">
        <f>INDEX(Klimaatdata!$B$27:$K$38,10,$B43)</f>
        <v>0</v>
      </c>
      <c r="BT43" s="89">
        <f>INDEX(Klimaatdata!$B$27:$K$38,11,$B43)</f>
        <v>0</v>
      </c>
      <c r="BU43" s="89">
        <f>INDEX(Klimaatdata!$B$27:$K$38,12,$B43)</f>
        <v>0</v>
      </c>
      <c r="BW43">
        <f t="shared" si="2"/>
        <v>1</v>
      </c>
      <c r="BX43">
        <f t="shared" si="3"/>
        <v>1</v>
      </c>
      <c r="BY43">
        <f t="shared" si="4"/>
        <v>1</v>
      </c>
      <c r="BZ43">
        <f t="shared" si="5"/>
        <v>1</v>
      </c>
      <c r="CA43">
        <f t="shared" si="6"/>
        <v>1</v>
      </c>
      <c r="CB43">
        <f t="shared" si="7"/>
        <v>1</v>
      </c>
      <c r="CC43">
        <f t="shared" si="8"/>
        <v>1</v>
      </c>
      <c r="CD43">
        <f t="shared" si="9"/>
        <v>1</v>
      </c>
      <c r="CE43">
        <f t="shared" si="10"/>
        <v>1</v>
      </c>
      <c r="CF43">
        <f t="shared" si="11"/>
        <v>1</v>
      </c>
      <c r="CG43">
        <f t="shared" si="12"/>
        <v>1</v>
      </c>
      <c r="CH43">
        <f t="shared" si="13"/>
        <v>1</v>
      </c>
      <c r="CJ43" s="219">
        <f>Klimaatdata!$D$7*BJ43*BW43*$BH43*$G43*0.75</f>
        <v>0</v>
      </c>
      <c r="CK43" s="219">
        <f>Klimaatdata!$E$7*BK43*BX43*$BH43*$G43*0.75</f>
        <v>0</v>
      </c>
      <c r="CL43" s="219">
        <f>Klimaatdata!$F$7*BL43*BY43*$BH43*$G43*0.75</f>
        <v>0</v>
      </c>
      <c r="CM43" s="219">
        <f>Klimaatdata!$G$7*BM43*BZ43*$BH43*$G43*0.75</f>
        <v>0</v>
      </c>
      <c r="CN43" s="219">
        <f>Klimaatdata!$H$7*BN43*CA43*$BH43*$G43*0.75</f>
        <v>0</v>
      </c>
      <c r="CO43" s="219">
        <f>Klimaatdata!$I$7*BO43*CB43*$BH43*$G43*0.75</f>
        <v>0</v>
      </c>
      <c r="CP43" s="219">
        <f>Klimaatdata!$J$7*BP43*CC43*$BH43*$G43*0.75</f>
        <v>0</v>
      </c>
      <c r="CQ43" s="219">
        <f>Klimaatdata!$K$7*BQ43*CD43*$BH43*$G43*0.75</f>
        <v>0</v>
      </c>
      <c r="CR43" s="219">
        <f>Klimaatdata!$L$7*BR43*CE43*$BH43*$G43*0.75</f>
        <v>0</v>
      </c>
      <c r="CS43" s="219">
        <f>Klimaatdata!$M$7*BS43*CF43*$BH43*$G43*0.75</f>
        <v>0</v>
      </c>
      <c r="CT43" s="219">
        <f>Klimaatdata!$N$7*BT43*CG43*$BH43*$G43*0.75</f>
        <v>0</v>
      </c>
      <c r="CU43" s="219">
        <f>Klimaatdata!$O$7*BU43*CH43*$BH43*$G43*0.75</f>
        <v>0</v>
      </c>
      <c r="CX43">
        <v>1</v>
      </c>
      <c r="CY43">
        <v>1</v>
      </c>
      <c r="CZ43">
        <v>1</v>
      </c>
      <c r="DA43">
        <f>'Invoer Gebouwschil'!Q43</f>
        <v>0</v>
      </c>
      <c r="DC43" s="89">
        <f t="shared" si="24"/>
        <v>0</v>
      </c>
      <c r="DD43" s="89">
        <v>0.13</v>
      </c>
      <c r="DE43" s="89">
        <f t="shared" si="25"/>
        <v>0</v>
      </c>
      <c r="DF43" s="89">
        <f>IF(F43=6,1/((1/1/(DD43+DE43+'Invoer Gebouwschil'!M43))+5),1/(DD43+DE43+'Invoer Gebouwschil'!M43))</f>
        <v>7.6923076923076916</v>
      </c>
      <c r="DG43" s="89">
        <v>0.1</v>
      </c>
      <c r="DH43" s="28">
        <f t="shared" si="67"/>
        <v>1</v>
      </c>
      <c r="DI43" s="89">
        <f t="shared" si="68"/>
        <v>0</v>
      </c>
      <c r="DJ43" s="89">
        <v>19</v>
      </c>
      <c r="DK43" s="89"/>
      <c r="DL43" s="89">
        <f>$DI43*($R43-Klimaatdata!$B$7)*2.63</f>
        <v>0</v>
      </c>
      <c r="DM43" s="89">
        <f>$DI43*($R43-Klimaatdata!$B$8)*2.63</f>
        <v>0</v>
      </c>
      <c r="DN43" s="89">
        <f>$DI43*($R43-Klimaatdata!$B$9)*2.63</f>
        <v>0</v>
      </c>
      <c r="DO43" s="89">
        <f>$DI43*($R43-Klimaatdata!$B$10)*2.63</f>
        <v>0</v>
      </c>
      <c r="DP43" s="89">
        <f>$DI43*($R43-Klimaatdata!$B$11)*2.63</f>
        <v>0</v>
      </c>
      <c r="DQ43" s="89">
        <f>$DI43*($R43-Klimaatdata!$B$12)*2.63</f>
        <v>0</v>
      </c>
      <c r="DR43" s="89">
        <f>$DI43*($R43-Klimaatdata!$B$13)*2.63</f>
        <v>0</v>
      </c>
      <c r="DS43" s="89">
        <f>$DI43*($R43-Klimaatdata!$B$14)*2.63</f>
        <v>0</v>
      </c>
      <c r="DT43" s="89">
        <f>$DI43*($R43-Klimaatdata!$B$15)*2.63</f>
        <v>0</v>
      </c>
      <c r="DU43" s="89">
        <f>$DI43*($R43-Klimaatdata!$B$16)*2.63</f>
        <v>0</v>
      </c>
      <c r="DV43" s="89">
        <f>$DI43*($R43-Klimaatdata!$B$17)*2.63</f>
        <v>0</v>
      </c>
      <c r="DW43" s="89">
        <f>$DI43*($R43-Klimaatdata!$B$18)*2.63</f>
        <v>0</v>
      </c>
      <c r="DX43" s="89"/>
      <c r="DY43" s="89">
        <f t="shared" si="69"/>
        <v>0</v>
      </c>
      <c r="DZ43" s="89">
        <v>0.1</v>
      </c>
      <c r="EA43" s="28">
        <v>1</v>
      </c>
      <c r="EB43" s="89">
        <f t="shared" si="70"/>
        <v>0</v>
      </c>
      <c r="EC43" s="89">
        <v>19</v>
      </c>
      <c r="ED43" s="89"/>
      <c r="EE43" s="89">
        <f>$EB43*($R43-Klimaatdata!$B$7)*2.63</f>
        <v>0</v>
      </c>
      <c r="EF43" s="89">
        <f>$EB43*($R43-Klimaatdata!$B$8)*2.63</f>
        <v>0</v>
      </c>
      <c r="EG43" s="89">
        <f>$EB43*($R43-Klimaatdata!$B$9)*2.63</f>
        <v>0</v>
      </c>
      <c r="EH43" s="89">
        <f>$EB43*($R43-Klimaatdata!$B$10)*2.63</f>
        <v>0</v>
      </c>
      <c r="EI43" s="89">
        <f>$EB43*($R43-Klimaatdata!$B$11)*2.63</f>
        <v>0</v>
      </c>
      <c r="EJ43" s="89">
        <f>$EB43*($R43-Klimaatdata!$B$12)*2.63</f>
        <v>0</v>
      </c>
      <c r="EK43" s="89">
        <f>$EB43*($R43-Klimaatdata!$B$13)*2.63</f>
        <v>0</v>
      </c>
      <c r="EL43" s="89">
        <f>$EB43*($R43-Klimaatdata!$B$14)*2.63</f>
        <v>0</v>
      </c>
      <c r="EM43" s="89">
        <f>$EB43*($R43-Klimaatdata!$B$15)*2.63</f>
        <v>0</v>
      </c>
      <c r="EN43" s="89">
        <f>$EB43*($R43-Klimaatdata!$B$16)*2.63</f>
        <v>0</v>
      </c>
      <c r="EO43" s="89">
        <f>$EB43*($R43-Klimaatdata!$B$17)*2.63</f>
        <v>0</v>
      </c>
      <c r="EP43" s="89">
        <f>$EB43*($R43-Klimaatdata!$B$18)*2.63</f>
        <v>0</v>
      </c>
      <c r="EQ43" s="25"/>
      <c r="ER43" s="89">
        <f t="shared" si="30"/>
        <v>0</v>
      </c>
      <c r="ES43" s="89"/>
      <c r="ET43" s="89">
        <f>INDEX(Klimaatdata!$B$27:$K$38,1,$B43)</f>
        <v>0</v>
      </c>
      <c r="EU43" s="89">
        <f>INDEX(Klimaatdata!$B$27:$K$38,2,$B43)</f>
        <v>0</v>
      </c>
      <c r="EV43" s="89">
        <f>INDEX(Klimaatdata!$B$27:$K$38,3,$B43)</f>
        <v>0</v>
      </c>
      <c r="EW43" s="89">
        <f>INDEX(Klimaatdata!$B$27:$K$38,4,$B43)</f>
        <v>0</v>
      </c>
      <c r="EX43" s="89">
        <f>INDEX(Klimaatdata!$B$27:$K$38,5,$B43)</f>
        <v>0</v>
      </c>
      <c r="EY43" s="89">
        <f>INDEX(Klimaatdata!$B$27:$K$38,6,$B43)</f>
        <v>0</v>
      </c>
      <c r="EZ43" s="89">
        <f>INDEX(Klimaatdata!$B$27:$K$38,7,$B43)</f>
        <v>0</v>
      </c>
      <c r="FA43" s="89">
        <f>INDEX(Klimaatdata!$B$27:$K$38,8,$B43)</f>
        <v>0</v>
      </c>
      <c r="FB43" s="89">
        <f>INDEX(Klimaatdata!$B$27:$K$38,9,$B43)</f>
        <v>0</v>
      </c>
      <c r="FC43" s="89">
        <f>INDEX(Klimaatdata!$B$27:$K$38,10,$B43)</f>
        <v>0</v>
      </c>
      <c r="FD43" s="89">
        <f>INDEX(Klimaatdata!$B$27:$K$38,11,$B43)</f>
        <v>0</v>
      </c>
      <c r="FE43" s="89">
        <f>INDEX(Klimaatdata!$B$27:$K$38,12,$B43)</f>
        <v>0</v>
      </c>
      <c r="FG43">
        <f t="shared" si="71"/>
        <v>1</v>
      </c>
      <c r="FH43">
        <f t="shared" si="72"/>
        <v>1</v>
      </c>
      <c r="FI43">
        <f t="shared" si="73"/>
        <v>1</v>
      </c>
      <c r="FJ43">
        <f t="shared" si="74"/>
        <v>1</v>
      </c>
      <c r="FK43">
        <f t="shared" si="75"/>
        <v>1</v>
      </c>
      <c r="FL43">
        <f t="shared" si="76"/>
        <v>1</v>
      </c>
      <c r="FM43">
        <f t="shared" si="77"/>
        <v>1</v>
      </c>
      <c r="FN43">
        <f t="shared" si="78"/>
        <v>1</v>
      </c>
      <c r="FO43">
        <f t="shared" si="79"/>
        <v>1</v>
      </c>
      <c r="FP43">
        <f t="shared" si="80"/>
        <v>1</v>
      </c>
      <c r="FQ43">
        <f t="shared" si="81"/>
        <v>1</v>
      </c>
      <c r="FR43">
        <f t="shared" si="82"/>
        <v>1</v>
      </c>
      <c r="FT43" s="219">
        <f>Klimaatdata!$D$7*ET43*FG43*$ER43*$G43*0.75</f>
        <v>0</v>
      </c>
      <c r="FU43" s="219">
        <f>Klimaatdata!$E$7*EU43*FH43*$ER43*$G43*0.75</f>
        <v>0</v>
      </c>
      <c r="FV43" s="219">
        <f>Klimaatdata!$F$7*EV43*FI43*$ER43*$G43*0.75</f>
        <v>0</v>
      </c>
      <c r="FW43" s="219">
        <f>Klimaatdata!$G$7*EW43*FJ43*$ER43*$G43*0.75</f>
        <v>0</v>
      </c>
      <c r="FX43" s="219">
        <f>Klimaatdata!$H$7*EX43*FK43*$ER43*$G43*0.75</f>
        <v>0</v>
      </c>
      <c r="FY43" s="219">
        <f>Klimaatdata!$I$7*EY43*FL43*$ER43*$G43*0.75</f>
        <v>0</v>
      </c>
      <c r="FZ43" s="219">
        <f>Klimaatdata!$J$7*EZ43*FM43*$ER43*$G43*0.75</f>
        <v>0</v>
      </c>
      <c r="GA43" s="219">
        <f>Klimaatdata!$K$7*FA43*FN43*$ER43*$G43*0.75</f>
        <v>0</v>
      </c>
      <c r="GB43" s="219">
        <f>Klimaatdata!$L$7*FB43*FO43*$ER43*$G43*0.75</f>
        <v>0</v>
      </c>
      <c r="GC43" s="219">
        <f>Klimaatdata!$M$7*FC43*FP43*$ER43*$G43*0.75</f>
        <v>0</v>
      </c>
      <c r="GD43" s="219">
        <f>Klimaatdata!$N$7*FD43*FQ43*$ER43*$G43*0.75</f>
        <v>0</v>
      </c>
      <c r="GE43" s="219">
        <f>Klimaatdata!$O$7*FE43*FR43*$ER43*$G43*0.75</f>
        <v>0</v>
      </c>
      <c r="GG43">
        <f t="shared" si="43"/>
        <v>0</v>
      </c>
      <c r="GH43">
        <f t="shared" si="44"/>
        <v>0</v>
      </c>
      <c r="GI43">
        <f t="shared" si="83"/>
        <v>0</v>
      </c>
      <c r="GJ43">
        <f t="shared" si="84"/>
        <v>0</v>
      </c>
      <c r="GK43">
        <f t="shared" si="85"/>
        <v>0</v>
      </c>
      <c r="GL43">
        <f t="shared" si="86"/>
        <v>0</v>
      </c>
      <c r="GM43">
        <f t="shared" si="87"/>
        <v>0</v>
      </c>
      <c r="GN43">
        <f t="shared" si="88"/>
        <v>0</v>
      </c>
      <c r="GO43">
        <f>'Invoer Gebouwschil'!Q43</f>
        <v>0</v>
      </c>
      <c r="GP43">
        <f t="shared" si="89"/>
        <v>0</v>
      </c>
      <c r="GR43">
        <f t="shared" si="90"/>
        <v>1</v>
      </c>
      <c r="GS43">
        <f t="shared" si="91"/>
        <v>0</v>
      </c>
      <c r="GT43">
        <f t="shared" si="92"/>
        <v>0</v>
      </c>
      <c r="GU43">
        <f t="shared" si="93"/>
        <v>0</v>
      </c>
      <c r="GV43">
        <f t="shared" si="94"/>
        <v>0</v>
      </c>
      <c r="GW43">
        <f t="shared" si="95"/>
        <v>0</v>
      </c>
      <c r="GX43">
        <f t="shared" si="96"/>
        <v>0</v>
      </c>
      <c r="GZ43" s="12">
        <f t="shared" si="59"/>
        <v>0</v>
      </c>
      <c r="HA43" s="13">
        <f t="shared" si="60"/>
        <v>0</v>
      </c>
      <c r="HB43" s="13">
        <f t="shared" si="61"/>
        <v>0</v>
      </c>
      <c r="HC43" s="14">
        <f t="shared" si="62"/>
        <v>0</v>
      </c>
      <c r="HE43" s="12">
        <f t="shared" si="63"/>
        <v>0</v>
      </c>
      <c r="HF43" s="13">
        <f t="shared" si="64"/>
        <v>0</v>
      </c>
      <c r="HG43" s="13">
        <f t="shared" si="65"/>
        <v>0</v>
      </c>
      <c r="HH43" s="14">
        <f t="shared" si="66"/>
        <v>0</v>
      </c>
    </row>
    <row r="44" spans="1:216" x14ac:dyDescent="0.2">
      <c r="A44">
        <v>1</v>
      </c>
      <c r="B44">
        <v>1</v>
      </c>
      <c r="C44">
        <v>1</v>
      </c>
      <c r="D44">
        <f>'Invoer Gebouwschil'!D44</f>
        <v>0</v>
      </c>
      <c r="E44">
        <v>1</v>
      </c>
      <c r="F44">
        <v>1</v>
      </c>
      <c r="G44">
        <f>'Invoer Gebouwschil'!H44</f>
        <v>0</v>
      </c>
      <c r="H44">
        <v>1</v>
      </c>
      <c r="I44">
        <v>1</v>
      </c>
      <c r="K44" s="89">
        <f>INDEX('Verwerking Bouwdelen'!$CF$79:$CF$103,'Verwerking Bouwdelen'!E44)</f>
        <v>0</v>
      </c>
      <c r="L44" s="89">
        <v>0.13</v>
      </c>
      <c r="M44" s="89">
        <f t="shared" si="14"/>
        <v>0</v>
      </c>
      <c r="N44" s="89">
        <f>IF(F44=6,1/((1/1/(L45+M45+'Invoer Gebouwschil'!F44))+5),1/(L44+M44+'Invoer Gebouwschil'!F44))</f>
        <v>7.6923076923076916</v>
      </c>
      <c r="O44" s="89">
        <v>0.1</v>
      </c>
      <c r="P44" s="28">
        <f t="shared" si="15"/>
        <v>1</v>
      </c>
      <c r="Q44" s="89">
        <f t="shared" si="0"/>
        <v>0</v>
      </c>
      <c r="R44" s="89">
        <v>19</v>
      </c>
      <c r="S44" s="89"/>
      <c r="T44" s="89">
        <f>$Q44*($R44-Klimaatdata!$B$7)*2.63</f>
        <v>0</v>
      </c>
      <c r="U44" s="89">
        <f>$Q44*($R44-Klimaatdata!$B$8)*2.63</f>
        <v>0</v>
      </c>
      <c r="V44" s="89">
        <f>$Q44*($R44-Klimaatdata!$B$9)*2.63</f>
        <v>0</v>
      </c>
      <c r="W44" s="89">
        <f>$Q44*($R44-Klimaatdata!$B$10)*2.63</f>
        <v>0</v>
      </c>
      <c r="X44" s="89">
        <f>$Q44*($R44-Klimaatdata!$B$11)*2.63</f>
        <v>0</v>
      </c>
      <c r="Y44" s="89">
        <f>$Q44*($R44-Klimaatdata!$B$12)*2.63</f>
        <v>0</v>
      </c>
      <c r="Z44" s="89">
        <f>$Q44*($R44-Klimaatdata!$B$13)*2.63</f>
        <v>0</v>
      </c>
      <c r="AA44" s="89">
        <f>$Q44*($R44-Klimaatdata!$B$14)*2.63</f>
        <v>0</v>
      </c>
      <c r="AB44" s="89">
        <f>$Q44*($R44-Klimaatdata!$B$15)*2.63</f>
        <v>0</v>
      </c>
      <c r="AC44" s="89">
        <f>$Q44*($R44-Klimaatdata!$B$16)*2.63</f>
        <v>0</v>
      </c>
      <c r="AD44" s="89">
        <f>$Q44*($R44-Klimaatdata!$B$17)*2.63</f>
        <v>0</v>
      </c>
      <c r="AE44" s="89">
        <f>$Q44*($R44-Klimaatdata!$B$18)*2.63</f>
        <v>0</v>
      </c>
      <c r="AF44" s="89"/>
      <c r="AG44" s="205">
        <f t="shared" si="16"/>
        <v>0</v>
      </c>
      <c r="AH44" s="25">
        <f t="shared" si="17"/>
        <v>0</v>
      </c>
      <c r="AI44" s="25">
        <f t="shared" si="18"/>
        <v>0</v>
      </c>
      <c r="AJ44" s="206">
        <f t="shared" si="19"/>
        <v>0</v>
      </c>
      <c r="AK44" s="25"/>
      <c r="AL44" s="89">
        <f t="shared" si="20"/>
        <v>1</v>
      </c>
      <c r="AM44" s="89">
        <f t="shared" si="21"/>
        <v>0</v>
      </c>
      <c r="AN44" s="89">
        <f t="shared" si="22"/>
        <v>0</v>
      </c>
      <c r="AO44" s="89">
        <f t="shared" si="23"/>
        <v>0</v>
      </c>
      <c r="AP44" s="89">
        <v>0.1</v>
      </c>
      <c r="AQ44" s="28">
        <v>1</v>
      </c>
      <c r="AR44" s="89">
        <f t="shared" si="1"/>
        <v>0</v>
      </c>
      <c r="AS44" s="89">
        <v>19</v>
      </c>
      <c r="AT44" s="89"/>
      <c r="AU44" s="89">
        <f>$AR44*($R44-Klimaatdata!$B$7)*2.63</f>
        <v>0</v>
      </c>
      <c r="AV44" s="89">
        <f>$AR44*($R44-Klimaatdata!$B$8)*2.63</f>
        <v>0</v>
      </c>
      <c r="AW44" s="89">
        <f>$AR44*($R44-Klimaatdata!$B$9)*2.63</f>
        <v>0</v>
      </c>
      <c r="AX44" s="89">
        <f>$AR44*($R44-Klimaatdata!$B$10)*2.63</f>
        <v>0</v>
      </c>
      <c r="AY44" s="89">
        <f>$AR44*($R44-Klimaatdata!$B$11)*2.63</f>
        <v>0</v>
      </c>
      <c r="AZ44" s="89">
        <f>$AR44*($R44-Klimaatdata!$B$12)*2.63</f>
        <v>0</v>
      </c>
      <c r="BA44" s="89">
        <f>$AR44*($R44-Klimaatdata!$B$13)*2.63</f>
        <v>0</v>
      </c>
      <c r="BB44" s="89">
        <f>$AR44*($R44-Klimaatdata!$B$14)*2.63</f>
        <v>0</v>
      </c>
      <c r="BC44" s="89">
        <f>$AR44*($R44-Klimaatdata!$B$15)*2.63</f>
        <v>0</v>
      </c>
      <c r="BD44" s="89">
        <f>$AR44*($R44-Klimaatdata!$B$16)*2.63</f>
        <v>0</v>
      </c>
      <c r="BE44" s="89">
        <f>$AR44*($R44-Klimaatdata!$B$17)*2.63</f>
        <v>0</v>
      </c>
      <c r="BF44" s="89">
        <f>$AR44*($R44-Klimaatdata!$B$18)*2.63</f>
        <v>0</v>
      </c>
      <c r="BG44" s="25"/>
      <c r="BH44" s="89">
        <f>INDEX('Verwerking Bouwdelen'!$Y$106:$Y$130,H44)</f>
        <v>0</v>
      </c>
      <c r="BI44" s="89"/>
      <c r="BJ44" s="89">
        <f>INDEX(Klimaatdata!$B$27:$K$38,1,$B44)</f>
        <v>0</v>
      </c>
      <c r="BK44" s="89">
        <f>INDEX(Klimaatdata!$B$27:$K$38,2,$B44)</f>
        <v>0</v>
      </c>
      <c r="BL44" s="89">
        <f>INDEX(Klimaatdata!$B$27:$K$38,3,$B44)</f>
        <v>0</v>
      </c>
      <c r="BM44" s="89">
        <f>INDEX(Klimaatdata!$B$27:$K$38,4,$B44)</f>
        <v>0</v>
      </c>
      <c r="BN44" s="89">
        <f>INDEX(Klimaatdata!$B$27:$K$38,5,$B44)</f>
        <v>0</v>
      </c>
      <c r="BO44" s="89">
        <f>INDEX(Klimaatdata!$B$27:$K$38,6,$B44)</f>
        <v>0</v>
      </c>
      <c r="BP44" s="89">
        <f>INDEX(Klimaatdata!$B$27:$K$38,7,$B44)</f>
        <v>0</v>
      </c>
      <c r="BQ44" s="89">
        <f>INDEX(Klimaatdata!$B$27:$K$38,8,$B44)</f>
        <v>0</v>
      </c>
      <c r="BR44" s="89">
        <f>INDEX(Klimaatdata!$B$27:$K$38,9,$B44)</f>
        <v>0</v>
      </c>
      <c r="BS44" s="89">
        <f>INDEX(Klimaatdata!$B$27:$K$38,10,$B44)</f>
        <v>0</v>
      </c>
      <c r="BT44" s="89">
        <f>INDEX(Klimaatdata!$B$27:$K$38,11,$B44)</f>
        <v>0</v>
      </c>
      <c r="BU44" s="89">
        <f>INDEX(Klimaatdata!$B$27:$K$38,12,$B44)</f>
        <v>0</v>
      </c>
      <c r="BW44">
        <f t="shared" si="2"/>
        <v>1</v>
      </c>
      <c r="BX44">
        <f t="shared" si="3"/>
        <v>1</v>
      </c>
      <c r="BY44">
        <f t="shared" si="4"/>
        <v>1</v>
      </c>
      <c r="BZ44">
        <f t="shared" si="5"/>
        <v>1</v>
      </c>
      <c r="CA44">
        <f t="shared" si="6"/>
        <v>1</v>
      </c>
      <c r="CB44">
        <f t="shared" si="7"/>
        <v>1</v>
      </c>
      <c r="CC44">
        <f t="shared" si="8"/>
        <v>1</v>
      </c>
      <c r="CD44">
        <f t="shared" si="9"/>
        <v>1</v>
      </c>
      <c r="CE44">
        <f t="shared" si="10"/>
        <v>1</v>
      </c>
      <c r="CF44">
        <f t="shared" si="11"/>
        <v>1</v>
      </c>
      <c r="CG44">
        <f t="shared" si="12"/>
        <v>1</v>
      </c>
      <c r="CH44">
        <f t="shared" si="13"/>
        <v>1</v>
      </c>
      <c r="CJ44" s="219">
        <f>Klimaatdata!$D$7*BJ44*BW44*$BH44*$G44*0.75</f>
        <v>0</v>
      </c>
      <c r="CK44" s="219">
        <f>Klimaatdata!$E$7*BK44*BX44*$BH44*$G44*0.75</f>
        <v>0</v>
      </c>
      <c r="CL44" s="219">
        <f>Klimaatdata!$F$7*BL44*BY44*$BH44*$G44*0.75</f>
        <v>0</v>
      </c>
      <c r="CM44" s="219">
        <f>Klimaatdata!$G$7*BM44*BZ44*$BH44*$G44*0.75</f>
        <v>0</v>
      </c>
      <c r="CN44" s="219">
        <f>Klimaatdata!$H$7*BN44*CA44*$BH44*$G44*0.75</f>
        <v>0</v>
      </c>
      <c r="CO44" s="219">
        <f>Klimaatdata!$I$7*BO44*CB44*$BH44*$G44*0.75</f>
        <v>0</v>
      </c>
      <c r="CP44" s="219">
        <f>Klimaatdata!$J$7*BP44*CC44*$BH44*$G44*0.75</f>
        <v>0</v>
      </c>
      <c r="CQ44" s="219">
        <f>Klimaatdata!$K$7*BQ44*CD44*$BH44*$G44*0.75</f>
        <v>0</v>
      </c>
      <c r="CR44" s="219">
        <f>Klimaatdata!$L$7*BR44*CE44*$BH44*$G44*0.75</f>
        <v>0</v>
      </c>
      <c r="CS44" s="219">
        <f>Klimaatdata!$M$7*BS44*CF44*$BH44*$G44*0.75</f>
        <v>0</v>
      </c>
      <c r="CT44" s="219">
        <f>Klimaatdata!$N$7*BT44*CG44*$BH44*$G44*0.75</f>
        <v>0</v>
      </c>
      <c r="CU44" s="219">
        <f>Klimaatdata!$O$7*BU44*CH44*$BH44*$G44*0.75</f>
        <v>0</v>
      </c>
      <c r="CX44">
        <v>1</v>
      </c>
      <c r="CY44">
        <v>1</v>
      </c>
      <c r="CZ44">
        <v>1</v>
      </c>
      <c r="DA44">
        <f>'Invoer Gebouwschil'!Q44</f>
        <v>0</v>
      </c>
      <c r="DC44" s="89">
        <f t="shared" si="24"/>
        <v>0</v>
      </c>
      <c r="DD44" s="89">
        <v>0.13</v>
      </c>
      <c r="DE44" s="89">
        <f t="shared" si="25"/>
        <v>0</v>
      </c>
      <c r="DF44" s="89">
        <f>IF(F44=6,1/((1/1/(DD44+DE44+'Invoer Gebouwschil'!M44))+5),1/(DD44+DE44+'Invoer Gebouwschil'!M44))</f>
        <v>7.6923076923076916</v>
      </c>
      <c r="DG44" s="89">
        <v>0.1</v>
      </c>
      <c r="DH44" s="28">
        <f t="shared" si="67"/>
        <v>1</v>
      </c>
      <c r="DI44" s="89">
        <f t="shared" si="68"/>
        <v>0</v>
      </c>
      <c r="DJ44" s="89">
        <v>19</v>
      </c>
      <c r="DK44" s="89"/>
      <c r="DL44" s="89">
        <f>$DI44*($R44-Klimaatdata!$B$7)*2.63</f>
        <v>0</v>
      </c>
      <c r="DM44" s="89">
        <f>$DI44*($R44-Klimaatdata!$B$8)*2.63</f>
        <v>0</v>
      </c>
      <c r="DN44" s="89">
        <f>$DI44*($R44-Klimaatdata!$B$9)*2.63</f>
        <v>0</v>
      </c>
      <c r="DO44" s="89">
        <f>$DI44*($R44-Klimaatdata!$B$10)*2.63</f>
        <v>0</v>
      </c>
      <c r="DP44" s="89">
        <f>$DI44*($R44-Klimaatdata!$B$11)*2.63</f>
        <v>0</v>
      </c>
      <c r="DQ44" s="89">
        <f>$DI44*($R44-Klimaatdata!$B$12)*2.63</f>
        <v>0</v>
      </c>
      <c r="DR44" s="89">
        <f>$DI44*($R44-Klimaatdata!$B$13)*2.63</f>
        <v>0</v>
      </c>
      <c r="DS44" s="89">
        <f>$DI44*($R44-Klimaatdata!$B$14)*2.63</f>
        <v>0</v>
      </c>
      <c r="DT44" s="89">
        <f>$DI44*($R44-Klimaatdata!$B$15)*2.63</f>
        <v>0</v>
      </c>
      <c r="DU44" s="89">
        <f>$DI44*($R44-Klimaatdata!$B$16)*2.63</f>
        <v>0</v>
      </c>
      <c r="DV44" s="89">
        <f>$DI44*($R44-Klimaatdata!$B$17)*2.63</f>
        <v>0</v>
      </c>
      <c r="DW44" s="89">
        <f>$DI44*($R44-Klimaatdata!$B$18)*2.63</f>
        <v>0</v>
      </c>
      <c r="DX44" s="89"/>
      <c r="DY44" s="89">
        <f t="shared" si="69"/>
        <v>0</v>
      </c>
      <c r="DZ44" s="89">
        <v>0.1</v>
      </c>
      <c r="EA44" s="28">
        <v>1</v>
      </c>
      <c r="EB44" s="89">
        <f t="shared" si="70"/>
        <v>0</v>
      </c>
      <c r="EC44" s="89">
        <v>19</v>
      </c>
      <c r="ED44" s="89"/>
      <c r="EE44" s="89">
        <f>$EB44*($R44-Klimaatdata!$B$7)*2.63</f>
        <v>0</v>
      </c>
      <c r="EF44" s="89">
        <f>$EB44*($R44-Klimaatdata!$B$8)*2.63</f>
        <v>0</v>
      </c>
      <c r="EG44" s="89">
        <f>$EB44*($R44-Klimaatdata!$B$9)*2.63</f>
        <v>0</v>
      </c>
      <c r="EH44" s="89">
        <f>$EB44*($R44-Klimaatdata!$B$10)*2.63</f>
        <v>0</v>
      </c>
      <c r="EI44" s="89">
        <f>$EB44*($R44-Klimaatdata!$B$11)*2.63</f>
        <v>0</v>
      </c>
      <c r="EJ44" s="89">
        <f>$EB44*($R44-Klimaatdata!$B$12)*2.63</f>
        <v>0</v>
      </c>
      <c r="EK44" s="89">
        <f>$EB44*($R44-Klimaatdata!$B$13)*2.63</f>
        <v>0</v>
      </c>
      <c r="EL44" s="89">
        <f>$EB44*($R44-Klimaatdata!$B$14)*2.63</f>
        <v>0</v>
      </c>
      <c r="EM44" s="89">
        <f>$EB44*($R44-Klimaatdata!$B$15)*2.63</f>
        <v>0</v>
      </c>
      <c r="EN44" s="89">
        <f>$EB44*($R44-Klimaatdata!$B$16)*2.63</f>
        <v>0</v>
      </c>
      <c r="EO44" s="89">
        <f>$EB44*($R44-Klimaatdata!$B$17)*2.63</f>
        <v>0</v>
      </c>
      <c r="EP44" s="89">
        <f>$EB44*($R44-Klimaatdata!$B$18)*2.63</f>
        <v>0</v>
      </c>
      <c r="EQ44" s="25"/>
      <c r="ER44" s="89">
        <f t="shared" si="30"/>
        <v>0</v>
      </c>
      <c r="ES44" s="89"/>
      <c r="ET44" s="89">
        <f>INDEX(Klimaatdata!$B$27:$K$38,1,$B44)</f>
        <v>0</v>
      </c>
      <c r="EU44" s="89">
        <f>INDEX(Klimaatdata!$B$27:$K$38,2,$B44)</f>
        <v>0</v>
      </c>
      <c r="EV44" s="89">
        <f>INDEX(Klimaatdata!$B$27:$K$38,3,$B44)</f>
        <v>0</v>
      </c>
      <c r="EW44" s="89">
        <f>INDEX(Klimaatdata!$B$27:$K$38,4,$B44)</f>
        <v>0</v>
      </c>
      <c r="EX44" s="89">
        <f>INDEX(Klimaatdata!$B$27:$K$38,5,$B44)</f>
        <v>0</v>
      </c>
      <c r="EY44" s="89">
        <f>INDEX(Klimaatdata!$B$27:$K$38,6,$B44)</f>
        <v>0</v>
      </c>
      <c r="EZ44" s="89">
        <f>INDEX(Klimaatdata!$B$27:$K$38,7,$B44)</f>
        <v>0</v>
      </c>
      <c r="FA44" s="89">
        <f>INDEX(Klimaatdata!$B$27:$K$38,8,$B44)</f>
        <v>0</v>
      </c>
      <c r="FB44" s="89">
        <f>INDEX(Klimaatdata!$B$27:$K$38,9,$B44)</f>
        <v>0</v>
      </c>
      <c r="FC44" s="89">
        <f>INDEX(Klimaatdata!$B$27:$K$38,10,$B44)</f>
        <v>0</v>
      </c>
      <c r="FD44" s="89">
        <f>INDEX(Klimaatdata!$B$27:$K$38,11,$B44)</f>
        <v>0</v>
      </c>
      <c r="FE44" s="89">
        <f>INDEX(Klimaatdata!$B$27:$K$38,12,$B44)</f>
        <v>0</v>
      </c>
      <c r="FG44">
        <f t="shared" si="31"/>
        <v>1</v>
      </c>
      <c r="FH44">
        <f t="shared" si="32"/>
        <v>1</v>
      </c>
      <c r="FI44">
        <f t="shared" si="33"/>
        <v>1</v>
      </c>
      <c r="FJ44">
        <f t="shared" si="34"/>
        <v>1</v>
      </c>
      <c r="FK44">
        <f t="shared" si="35"/>
        <v>1</v>
      </c>
      <c r="FL44">
        <f t="shared" si="36"/>
        <v>1</v>
      </c>
      <c r="FM44">
        <f t="shared" si="37"/>
        <v>1</v>
      </c>
      <c r="FN44">
        <f t="shared" si="38"/>
        <v>1</v>
      </c>
      <c r="FO44">
        <f t="shared" si="39"/>
        <v>1</v>
      </c>
      <c r="FP44">
        <f t="shared" si="40"/>
        <v>1</v>
      </c>
      <c r="FQ44">
        <f t="shared" si="41"/>
        <v>1</v>
      </c>
      <c r="FR44">
        <f t="shared" si="42"/>
        <v>1</v>
      </c>
      <c r="FT44" s="219">
        <f>Klimaatdata!$D$7*ET44*FG44*$ER44*$G44*0.75</f>
        <v>0</v>
      </c>
      <c r="FU44" s="219">
        <f>Klimaatdata!$E$7*EU44*FH44*$ER44*$G44*0.75</f>
        <v>0</v>
      </c>
      <c r="FV44" s="219">
        <f>Klimaatdata!$F$7*EV44*FI44*$ER44*$G44*0.75</f>
        <v>0</v>
      </c>
      <c r="FW44" s="219">
        <f>Klimaatdata!$G$7*EW44*FJ44*$ER44*$G44*0.75</f>
        <v>0</v>
      </c>
      <c r="FX44" s="219">
        <f>Klimaatdata!$H$7*EX44*FK44*$ER44*$G44*0.75</f>
        <v>0</v>
      </c>
      <c r="FY44" s="219">
        <f>Klimaatdata!$I$7*EY44*FL44*$ER44*$G44*0.75</f>
        <v>0</v>
      </c>
      <c r="FZ44" s="219">
        <f>Klimaatdata!$J$7*EZ44*FM44*$ER44*$G44*0.75</f>
        <v>0</v>
      </c>
      <c r="GA44" s="219">
        <f>Klimaatdata!$K$7*FA44*FN44*$ER44*$G44*0.75</f>
        <v>0</v>
      </c>
      <c r="GB44" s="219">
        <f>Klimaatdata!$L$7*FB44*FO44*$ER44*$G44*0.75</f>
        <v>0</v>
      </c>
      <c r="GC44" s="219">
        <f>Klimaatdata!$M$7*FC44*FP44*$ER44*$G44*0.75</f>
        <v>0</v>
      </c>
      <c r="GD44" s="219">
        <f>Klimaatdata!$N$7*FD44*FQ44*$ER44*$G44*0.75</f>
        <v>0</v>
      </c>
      <c r="GE44" s="219">
        <f>Klimaatdata!$O$7*FE44*FR44*$ER44*$G44*0.75</f>
        <v>0</v>
      </c>
      <c r="GG44">
        <f t="shared" si="43"/>
        <v>0</v>
      </c>
      <c r="GH44">
        <f t="shared" si="44"/>
        <v>0</v>
      </c>
      <c r="GI44">
        <f t="shared" si="45"/>
        <v>0</v>
      </c>
      <c r="GJ44">
        <f t="shared" si="46"/>
        <v>0</v>
      </c>
      <c r="GK44">
        <f t="shared" si="47"/>
        <v>0</v>
      </c>
      <c r="GL44">
        <f t="shared" si="48"/>
        <v>0</v>
      </c>
      <c r="GM44">
        <f t="shared" si="49"/>
        <v>0</v>
      </c>
      <c r="GN44">
        <f t="shared" si="50"/>
        <v>0</v>
      </c>
      <c r="GO44">
        <f>'Invoer Gebouwschil'!Q44</f>
        <v>0</v>
      </c>
      <c r="GP44">
        <f t="shared" si="51"/>
        <v>0</v>
      </c>
      <c r="GR44">
        <f t="shared" si="52"/>
        <v>1</v>
      </c>
      <c r="GS44">
        <f t="shared" si="53"/>
        <v>0</v>
      </c>
      <c r="GT44">
        <f t="shared" si="54"/>
        <v>0</v>
      </c>
      <c r="GU44">
        <f t="shared" si="55"/>
        <v>0</v>
      </c>
      <c r="GV44">
        <f t="shared" si="56"/>
        <v>0</v>
      </c>
      <c r="GW44">
        <f t="shared" si="57"/>
        <v>0</v>
      </c>
      <c r="GX44">
        <f t="shared" si="58"/>
        <v>0</v>
      </c>
      <c r="GZ44" s="173">
        <f t="shared" si="59"/>
        <v>0</v>
      </c>
      <c r="HA44" s="174">
        <f t="shared" si="60"/>
        <v>0</v>
      </c>
      <c r="HB44" s="174">
        <f t="shared" si="61"/>
        <v>0</v>
      </c>
      <c r="HC44" s="175">
        <f t="shared" si="62"/>
        <v>0</v>
      </c>
      <c r="HE44" s="173">
        <f t="shared" si="63"/>
        <v>0</v>
      </c>
      <c r="HF44" s="174">
        <f t="shared" si="64"/>
        <v>0</v>
      </c>
      <c r="HG44" s="174">
        <f t="shared" si="65"/>
        <v>0</v>
      </c>
      <c r="HH44" s="175">
        <f t="shared" si="66"/>
        <v>0</v>
      </c>
    </row>
    <row r="45" spans="1:216" x14ac:dyDescent="0.2">
      <c r="AG45" s="205">
        <f>SUM(AG3:AG44)</f>
        <v>0</v>
      </c>
      <c r="AH45" s="25">
        <f>SUM(AH3:AH44)</f>
        <v>0</v>
      </c>
      <c r="AI45" s="25">
        <f>SUM(AI3:AI44)</f>
        <v>0</v>
      </c>
      <c r="AJ45" s="206">
        <f>SUM(AJ3:AJ44)</f>
        <v>0</v>
      </c>
      <c r="AK45" s="25"/>
      <c r="AL45" s="25"/>
      <c r="AM45" s="25"/>
      <c r="AN45" s="207">
        <f>SUM(AN3:AN44)</f>
        <v>0</v>
      </c>
      <c r="AO45" s="25"/>
      <c r="AP45" s="25"/>
      <c r="AQ45" s="25"/>
      <c r="AR45" s="25"/>
      <c r="AS45" s="25"/>
      <c r="AT45" s="25"/>
      <c r="AU45" s="25"/>
      <c r="AV45" s="25"/>
      <c r="AW45" s="25"/>
      <c r="AX45" s="25"/>
      <c r="AY45" s="25"/>
      <c r="AZ45" s="25"/>
      <c r="BA45" s="25"/>
      <c r="BB45" s="25"/>
      <c r="BC45" s="25"/>
      <c r="BD45" s="25"/>
      <c r="BE45" s="25"/>
      <c r="BF45" s="25"/>
      <c r="BG45" s="25"/>
      <c r="DY45" s="25"/>
      <c r="DZ45" s="25"/>
      <c r="EA45" s="25"/>
      <c r="EB45" s="25"/>
      <c r="EC45" s="25"/>
      <c r="ED45" s="25"/>
      <c r="EE45" s="25"/>
      <c r="EF45" s="25"/>
      <c r="EG45" s="25"/>
      <c r="EH45" s="25"/>
      <c r="EI45" s="25"/>
      <c r="EJ45" s="25"/>
      <c r="EK45" s="25"/>
      <c r="EL45" s="25"/>
      <c r="EM45" s="25"/>
      <c r="EN45" s="25"/>
      <c r="EO45" s="25"/>
      <c r="EP45" s="25"/>
      <c r="EQ45" s="25"/>
      <c r="GZ45" s="205">
        <f>SUM(GZ3:GZ44)</f>
        <v>0</v>
      </c>
      <c r="HA45" s="25">
        <f>SUM(HA3:HA44)</f>
        <v>0</v>
      </c>
      <c r="HB45" s="25">
        <f>SUM(HB3:HB44)</f>
        <v>0</v>
      </c>
      <c r="HC45" s="206">
        <f>SUM(HC3:HC44)</f>
        <v>0</v>
      </c>
      <c r="HE45" s="205">
        <f>SUM(HE3:HE44)</f>
        <v>0</v>
      </c>
      <c r="HF45" s="25">
        <f>SUM(HF3:HF44)</f>
        <v>0</v>
      </c>
      <c r="HG45" s="25">
        <f>SUM(HG3:HG44)</f>
        <v>0</v>
      </c>
      <c r="HH45" s="206">
        <f>SUM(HH3:HH44)</f>
        <v>0</v>
      </c>
    </row>
    <row r="46" spans="1:216" x14ac:dyDescent="0.2">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row>
    <row r="47" spans="1:216" x14ac:dyDescent="0.2">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row>
    <row r="48" spans="1:216" x14ac:dyDescent="0.2">
      <c r="B48" t="s">
        <v>592</v>
      </c>
      <c r="C48" t="s">
        <v>561</v>
      </c>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row>
    <row r="49" spans="1:63" x14ac:dyDescent="0.2">
      <c r="A49" t="s">
        <v>67</v>
      </c>
      <c r="B49" t="e">
        <f>#REF!</f>
        <v>#REF!</v>
      </c>
      <c r="C49" t="e">
        <f>#REF!</f>
        <v>#REF!</v>
      </c>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row>
    <row r="50" spans="1:63" x14ac:dyDescent="0.2">
      <c r="A50" t="s">
        <v>68</v>
      </c>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row>
    <row r="51" spans="1:63" x14ac:dyDescent="0.2">
      <c r="A51" t="s">
        <v>69</v>
      </c>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row>
    <row r="52" spans="1:63" x14ac:dyDescent="0.2">
      <c r="A52" t="s">
        <v>70</v>
      </c>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row>
    <row r="53" spans="1:63" x14ac:dyDescent="0.2">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row>
    <row r="54" spans="1:63" x14ac:dyDescent="0.2">
      <c r="A54" t="s">
        <v>588</v>
      </c>
      <c r="B54" s="28" t="e">
        <f>B49+B50+B51+B52+65*1.2*'Verwerking Bouwdelen'!AN45</f>
        <v>#REF!</v>
      </c>
    </row>
    <row r="55" spans="1:63" x14ac:dyDescent="0.2">
      <c r="A55" t="s">
        <v>561</v>
      </c>
      <c r="B55" s="28" t="e">
        <f>C49+C50+C51+C52</f>
        <v>#REF!</v>
      </c>
    </row>
    <row r="56" spans="1:63" x14ac:dyDescent="0.2">
      <c r="A56" t="s">
        <v>593</v>
      </c>
      <c r="B56" s="176" t="e">
        <f>B55/B54</f>
        <v>#REF!</v>
      </c>
    </row>
    <row r="57" spans="1:63" x14ac:dyDescent="0.2">
      <c r="N57" s="118" t="s">
        <v>532</v>
      </c>
      <c r="AA57" t="s">
        <v>594</v>
      </c>
      <c r="AO57" s="118" t="s">
        <v>532</v>
      </c>
    </row>
    <row r="58" spans="1:63" x14ac:dyDescent="0.2">
      <c r="E58" s="28" t="s">
        <v>218</v>
      </c>
      <c r="G58" s="28" t="s">
        <v>170</v>
      </c>
      <c r="I58" s="28" t="s">
        <v>225</v>
      </c>
      <c r="K58" s="28" t="s">
        <v>281</v>
      </c>
      <c r="M58" s="28" t="s">
        <v>282</v>
      </c>
      <c r="N58" s="118" t="s">
        <v>452</v>
      </c>
      <c r="O58" s="118" t="s">
        <v>453</v>
      </c>
      <c r="P58" s="118" t="s">
        <v>533</v>
      </c>
      <c r="Q58" s="118" t="s">
        <v>534</v>
      </c>
      <c r="R58" s="118" t="s">
        <v>400</v>
      </c>
      <c r="S58" s="118" t="s">
        <v>535</v>
      </c>
      <c r="T58" s="118" t="s">
        <v>536</v>
      </c>
      <c r="U58" s="118" t="s">
        <v>454</v>
      </c>
      <c r="V58" s="118" t="s">
        <v>537</v>
      </c>
      <c r="W58" s="118" t="s">
        <v>456</v>
      </c>
      <c r="X58" s="118" t="s">
        <v>457</v>
      </c>
      <c r="Y58" s="118" t="s">
        <v>458</v>
      </c>
      <c r="AA58" s="118" t="s">
        <v>38</v>
      </c>
      <c r="AB58" t="s">
        <v>240</v>
      </c>
      <c r="AC58" t="s">
        <v>47</v>
      </c>
      <c r="AD58" t="s">
        <v>597</v>
      </c>
      <c r="AG58" s="118" t="s">
        <v>530</v>
      </c>
      <c r="AH58" s="118" t="s">
        <v>600</v>
      </c>
      <c r="AI58" s="118" t="s">
        <v>370</v>
      </c>
      <c r="AJ58" t="s">
        <v>47</v>
      </c>
      <c r="AK58" t="s">
        <v>597</v>
      </c>
      <c r="AN58" s="118" t="s">
        <v>282</v>
      </c>
      <c r="AO58" s="118" t="s">
        <v>452</v>
      </c>
      <c r="AP58" s="118" t="s">
        <v>453</v>
      </c>
      <c r="AQ58" s="118" t="s">
        <v>533</v>
      </c>
      <c r="AR58" s="118" t="s">
        <v>534</v>
      </c>
      <c r="AS58" s="118" t="s">
        <v>400</v>
      </c>
      <c r="AT58" s="118" t="s">
        <v>535</v>
      </c>
      <c r="AU58" s="118" t="s">
        <v>536</v>
      </c>
      <c r="AV58" s="118" t="s">
        <v>454</v>
      </c>
      <c r="AW58" s="118" t="s">
        <v>537</v>
      </c>
      <c r="AX58" s="118" t="s">
        <v>456</v>
      </c>
      <c r="AY58" s="118" t="s">
        <v>457</v>
      </c>
      <c r="AZ58" s="118" t="s">
        <v>458</v>
      </c>
      <c r="BB58" s="118" t="s">
        <v>47</v>
      </c>
    </row>
    <row r="59" spans="1:63" x14ac:dyDescent="0.2">
      <c r="G59" s="28"/>
      <c r="I59" s="28"/>
      <c r="N59">
        <v>1</v>
      </c>
      <c r="O59">
        <v>1</v>
      </c>
      <c r="P59">
        <v>1</v>
      </c>
      <c r="Q59">
        <v>1</v>
      </c>
      <c r="R59">
        <v>1</v>
      </c>
      <c r="S59">
        <v>1</v>
      </c>
      <c r="T59">
        <v>1</v>
      </c>
      <c r="U59">
        <v>1</v>
      </c>
      <c r="V59">
        <v>1</v>
      </c>
      <c r="W59">
        <v>1</v>
      </c>
      <c r="X59">
        <v>1</v>
      </c>
      <c r="Y59">
        <v>1</v>
      </c>
      <c r="AG59" s="1"/>
      <c r="AH59" s="1"/>
      <c r="AI59" s="1"/>
      <c r="AJ59" s="1"/>
      <c r="AQ59" s="28"/>
    </row>
    <row r="60" spans="1:63" x14ac:dyDescent="0.2">
      <c r="E60">
        <v>1</v>
      </c>
      <c r="G60" s="118" t="s">
        <v>884</v>
      </c>
      <c r="I60" s="28" t="s">
        <v>226</v>
      </c>
      <c r="K60" s="28" t="s">
        <v>278</v>
      </c>
      <c r="M60" s="28" t="s">
        <v>85</v>
      </c>
      <c r="N60">
        <v>1</v>
      </c>
      <c r="O60">
        <v>1</v>
      </c>
      <c r="P60">
        <v>1</v>
      </c>
      <c r="Q60">
        <v>1</v>
      </c>
      <c r="R60">
        <v>1</v>
      </c>
      <c r="S60">
        <v>1</v>
      </c>
      <c r="T60">
        <v>1</v>
      </c>
      <c r="U60">
        <v>1</v>
      </c>
      <c r="V60">
        <v>1</v>
      </c>
      <c r="W60">
        <v>1</v>
      </c>
      <c r="X60">
        <v>1</v>
      </c>
      <c r="Y60">
        <v>1</v>
      </c>
      <c r="AA60" s="1" t="s">
        <v>39</v>
      </c>
      <c r="AB60">
        <v>1.6</v>
      </c>
      <c r="AC60" s="15">
        <f>'Kosten kengetallen'!B9</f>
        <v>24</v>
      </c>
      <c r="AD60" s="1"/>
      <c r="AG60" s="6" t="s">
        <v>44</v>
      </c>
      <c r="AH60" s="6">
        <v>3.3</v>
      </c>
      <c r="AI60" s="6">
        <v>0.7</v>
      </c>
      <c r="AJ60" s="15">
        <f>'Kosten kengetallen'!B22</f>
        <v>84</v>
      </c>
      <c r="AK60" s="1">
        <v>10</v>
      </c>
      <c r="AN60" s="118" t="s">
        <v>146</v>
      </c>
      <c r="AO60">
        <v>0.5</v>
      </c>
      <c r="AP60">
        <v>0.5</v>
      </c>
      <c r="AQ60">
        <v>0.5</v>
      </c>
      <c r="AR60">
        <v>0.5</v>
      </c>
      <c r="AS60">
        <v>0.5</v>
      </c>
      <c r="AT60">
        <v>0.5</v>
      </c>
      <c r="AU60">
        <v>0.5</v>
      </c>
      <c r="AV60">
        <v>0.5</v>
      </c>
      <c r="AW60">
        <v>0.5</v>
      </c>
      <c r="AX60">
        <v>0.5</v>
      </c>
      <c r="AY60">
        <v>0.5</v>
      </c>
      <c r="AZ60">
        <v>0.5</v>
      </c>
      <c r="BB60">
        <f>'Kosten kengetallen'!B27</f>
        <v>157</v>
      </c>
    </row>
    <row r="61" spans="1:63" x14ac:dyDescent="0.2">
      <c r="E61">
        <v>2</v>
      </c>
      <c r="G61" s="118" t="s">
        <v>941</v>
      </c>
      <c r="I61" s="28" t="s">
        <v>227</v>
      </c>
      <c r="K61" s="118" t="s">
        <v>628</v>
      </c>
      <c r="M61" s="28" t="s">
        <v>147</v>
      </c>
      <c r="N61">
        <v>1</v>
      </c>
      <c r="O61">
        <v>1</v>
      </c>
      <c r="P61">
        <v>1</v>
      </c>
      <c r="Q61">
        <v>1</v>
      </c>
      <c r="R61">
        <v>1</v>
      </c>
      <c r="S61">
        <v>1</v>
      </c>
      <c r="T61">
        <v>1</v>
      </c>
      <c r="U61">
        <v>1</v>
      </c>
      <c r="V61">
        <v>1</v>
      </c>
      <c r="W61">
        <v>1</v>
      </c>
      <c r="X61">
        <v>1</v>
      </c>
      <c r="Y61">
        <v>1</v>
      </c>
      <c r="AA61" s="1" t="s">
        <v>40</v>
      </c>
      <c r="AB61">
        <v>1.6</v>
      </c>
      <c r="AC61" s="15">
        <f>'Kosten kengetallen'!B10</f>
        <v>48</v>
      </c>
      <c r="AD61" s="1">
        <v>20</v>
      </c>
      <c r="AG61" s="1" t="s">
        <v>598</v>
      </c>
      <c r="AH61" s="1">
        <v>1.64</v>
      </c>
      <c r="AI61" s="1">
        <v>0.6</v>
      </c>
      <c r="AJ61" s="15">
        <f>'Kosten kengetallen'!B23</f>
        <v>181</v>
      </c>
      <c r="AK61" s="1">
        <v>25</v>
      </c>
      <c r="AN61" s="118" t="s">
        <v>601</v>
      </c>
      <c r="AO61">
        <v>0.5</v>
      </c>
      <c r="AP61">
        <v>0.5</v>
      </c>
      <c r="AQ61">
        <v>0.5</v>
      </c>
      <c r="AR61">
        <v>0.5</v>
      </c>
      <c r="AS61">
        <v>0.5</v>
      </c>
      <c r="AT61">
        <v>0.5</v>
      </c>
      <c r="AU61">
        <v>0.5</v>
      </c>
      <c r="AV61">
        <v>0.5</v>
      </c>
      <c r="AW61">
        <v>0.5</v>
      </c>
      <c r="AX61">
        <v>0.5</v>
      </c>
      <c r="AY61">
        <v>0.5</v>
      </c>
      <c r="AZ61">
        <v>0.5</v>
      </c>
      <c r="BB61">
        <f>'Kosten kengetallen'!B28</f>
        <v>157</v>
      </c>
    </row>
    <row r="62" spans="1:63" x14ac:dyDescent="0.2">
      <c r="E62">
        <v>3</v>
      </c>
      <c r="G62" s="118" t="s">
        <v>942</v>
      </c>
      <c r="I62" s="28" t="s">
        <v>243</v>
      </c>
      <c r="K62" s="118" t="s">
        <v>629</v>
      </c>
      <c r="M62" s="118" t="s">
        <v>143</v>
      </c>
      <c r="N62">
        <v>0.3</v>
      </c>
      <c r="O62">
        <v>0.3</v>
      </c>
      <c r="P62">
        <v>0.3</v>
      </c>
      <c r="Q62">
        <v>0.3</v>
      </c>
      <c r="R62">
        <v>0.3</v>
      </c>
      <c r="S62">
        <v>0.3</v>
      </c>
      <c r="T62">
        <v>0.3</v>
      </c>
      <c r="U62">
        <v>0.3</v>
      </c>
      <c r="V62">
        <v>0.3</v>
      </c>
      <c r="W62">
        <v>0.3</v>
      </c>
      <c r="X62">
        <v>0.3</v>
      </c>
      <c r="Y62">
        <v>0.3</v>
      </c>
      <c r="AA62" s="1" t="s">
        <v>595</v>
      </c>
      <c r="AB62">
        <v>2.5</v>
      </c>
      <c r="AC62" s="15">
        <f>'Kosten kengetallen'!B11</f>
        <v>90</v>
      </c>
      <c r="AD62" s="1"/>
      <c r="AG62" s="1" t="s">
        <v>599</v>
      </c>
      <c r="AH62" s="1">
        <v>1.64</v>
      </c>
      <c r="AI62" s="1">
        <v>0.6</v>
      </c>
      <c r="AJ62" s="15">
        <f>'Kosten kengetallen'!B24</f>
        <v>600</v>
      </c>
      <c r="AK62" s="1">
        <v>28</v>
      </c>
      <c r="AN62" s="118" t="s">
        <v>602</v>
      </c>
      <c r="AO62">
        <v>0.9</v>
      </c>
      <c r="AP62">
        <v>0.9</v>
      </c>
      <c r="AQ62">
        <v>0.9</v>
      </c>
      <c r="AR62">
        <v>0.9</v>
      </c>
      <c r="AS62">
        <v>0.75</v>
      </c>
      <c r="AT62">
        <v>0.75</v>
      </c>
      <c r="AU62">
        <v>0.75</v>
      </c>
      <c r="AV62">
        <v>0.75</v>
      </c>
      <c r="AW62">
        <v>0.75</v>
      </c>
      <c r="AX62">
        <v>0.9</v>
      </c>
      <c r="AY62">
        <v>0.9</v>
      </c>
      <c r="AZ62">
        <v>0.9</v>
      </c>
      <c r="BB62">
        <f>'Kosten kengetallen'!B29</f>
        <v>157</v>
      </c>
    </row>
    <row r="63" spans="1:63" x14ac:dyDescent="0.2">
      <c r="E63">
        <v>4</v>
      </c>
      <c r="G63" s="118" t="s">
        <v>943</v>
      </c>
      <c r="I63" s="28" t="s">
        <v>228</v>
      </c>
      <c r="K63" s="28" t="s">
        <v>279</v>
      </c>
      <c r="M63" s="28" t="s">
        <v>283</v>
      </c>
      <c r="N63">
        <v>0.5</v>
      </c>
      <c r="O63">
        <v>0.5</v>
      </c>
      <c r="P63">
        <v>0.5</v>
      </c>
      <c r="Q63">
        <v>0.5</v>
      </c>
      <c r="R63">
        <v>0.5</v>
      </c>
      <c r="S63">
        <v>0.5</v>
      </c>
      <c r="T63">
        <v>0.5</v>
      </c>
      <c r="U63">
        <v>0.5</v>
      </c>
      <c r="V63">
        <v>0.5</v>
      </c>
      <c r="W63">
        <v>0.5</v>
      </c>
      <c r="X63">
        <v>0.5</v>
      </c>
      <c r="Y63">
        <v>0.5</v>
      </c>
      <c r="AA63" s="1" t="s">
        <v>596</v>
      </c>
      <c r="AB63">
        <v>2.5</v>
      </c>
      <c r="AC63" s="15">
        <f>'Kosten kengetallen'!B12</f>
        <v>181</v>
      </c>
      <c r="AG63" s="1"/>
      <c r="AH63" s="15"/>
      <c r="AI63" s="15"/>
      <c r="AJ63" s="1"/>
      <c r="AQ63" s="118"/>
    </row>
    <row r="64" spans="1:63" x14ac:dyDescent="0.2">
      <c r="G64" s="118" t="s">
        <v>885</v>
      </c>
      <c r="I64" s="118" t="s">
        <v>783</v>
      </c>
      <c r="K64" s="28" t="s">
        <v>280</v>
      </c>
      <c r="M64" s="28" t="s">
        <v>284</v>
      </c>
      <c r="N64">
        <v>0.5</v>
      </c>
      <c r="O64">
        <v>0.5</v>
      </c>
      <c r="P64">
        <v>0.5</v>
      </c>
      <c r="Q64">
        <v>0.5</v>
      </c>
      <c r="R64">
        <v>0.35</v>
      </c>
      <c r="S64">
        <v>0.35</v>
      </c>
      <c r="T64">
        <v>0.35</v>
      </c>
      <c r="U64">
        <v>0.35</v>
      </c>
      <c r="V64">
        <v>0.35</v>
      </c>
      <c r="W64">
        <v>0.5</v>
      </c>
      <c r="X64">
        <v>0.5</v>
      </c>
      <c r="Y64">
        <v>0.5</v>
      </c>
      <c r="AA64" s="1" t="s">
        <v>41</v>
      </c>
      <c r="AC64" s="15">
        <f>'Kosten kengetallen'!B13</f>
        <v>60</v>
      </c>
      <c r="AD64" s="1">
        <v>100</v>
      </c>
      <c r="AG64" s="1"/>
      <c r="AH64" s="15"/>
      <c r="AI64" s="15"/>
      <c r="AJ64" s="1"/>
      <c r="AQ64" s="28"/>
    </row>
    <row r="65" spans="1:88" x14ac:dyDescent="0.2">
      <c r="G65" s="118" t="s">
        <v>944</v>
      </c>
      <c r="M65" s="28" t="s">
        <v>285</v>
      </c>
      <c r="N65">
        <v>0.9</v>
      </c>
      <c r="O65">
        <v>0.9</v>
      </c>
      <c r="P65">
        <v>0.9</v>
      </c>
      <c r="Q65">
        <v>0.9</v>
      </c>
      <c r="R65">
        <v>0.75</v>
      </c>
      <c r="S65">
        <v>0.75</v>
      </c>
      <c r="T65">
        <v>0.75</v>
      </c>
      <c r="U65">
        <v>0.75</v>
      </c>
      <c r="V65">
        <v>0.75</v>
      </c>
      <c r="W65">
        <v>0.9</v>
      </c>
      <c r="X65">
        <v>0.9</v>
      </c>
      <c r="Y65">
        <v>0.9</v>
      </c>
      <c r="AA65" s="1" t="s">
        <v>784</v>
      </c>
      <c r="AB65">
        <v>1.6</v>
      </c>
      <c r="AC65" s="15">
        <f>'Kosten kengetallen'!B14</f>
        <v>84</v>
      </c>
      <c r="AD65" s="1"/>
      <c r="AG65" s="1"/>
      <c r="AH65" s="3"/>
      <c r="AI65" s="3"/>
      <c r="AJ65" s="1"/>
      <c r="AQ65" s="28"/>
    </row>
    <row r="66" spans="1:88" x14ac:dyDescent="0.2">
      <c r="G66" s="118" t="s">
        <v>945</v>
      </c>
      <c r="M66" s="28" t="s">
        <v>286</v>
      </c>
      <c r="N66">
        <v>0.75</v>
      </c>
      <c r="O66">
        <v>0.75</v>
      </c>
      <c r="P66">
        <v>0.75</v>
      </c>
      <c r="Q66">
        <v>0.75</v>
      </c>
      <c r="R66">
        <v>0.6</v>
      </c>
      <c r="S66">
        <v>0.6</v>
      </c>
      <c r="T66">
        <v>0.6</v>
      </c>
      <c r="U66">
        <v>0.6</v>
      </c>
      <c r="V66">
        <v>0.6</v>
      </c>
      <c r="W66">
        <v>0.75</v>
      </c>
      <c r="X66">
        <v>0.75</v>
      </c>
      <c r="Y66">
        <v>0.75</v>
      </c>
      <c r="AA66" s="1" t="s">
        <v>42</v>
      </c>
      <c r="AB66">
        <v>2.5</v>
      </c>
      <c r="AC66" s="15">
        <f>'Kosten kengetallen'!B15</f>
        <v>12</v>
      </c>
      <c r="AD66" s="1"/>
      <c r="AQ66" s="28"/>
    </row>
    <row r="67" spans="1:88" x14ac:dyDescent="0.2">
      <c r="G67" s="118" t="s">
        <v>946</v>
      </c>
      <c r="AA67" s="1" t="s">
        <v>45</v>
      </c>
      <c r="AB67">
        <v>2.5</v>
      </c>
      <c r="AC67" s="15">
        <f>'Kosten kengetallen'!B16</f>
        <v>54</v>
      </c>
      <c r="AD67" s="1"/>
      <c r="AQ67" s="28"/>
    </row>
    <row r="68" spans="1:88" x14ac:dyDescent="0.2">
      <c r="G68" s="118" t="s">
        <v>947</v>
      </c>
      <c r="AA68" s="1" t="s">
        <v>1022</v>
      </c>
      <c r="AB68">
        <v>2.5</v>
      </c>
      <c r="AC68" s="15">
        <f>'Kosten kengetallen'!B17</f>
        <v>24</v>
      </c>
      <c r="AD68" s="1"/>
    </row>
    <row r="69" spans="1:88" x14ac:dyDescent="0.2">
      <c r="G69" s="118"/>
      <c r="AA69" s="1" t="s">
        <v>1082</v>
      </c>
      <c r="AB69">
        <v>2.5</v>
      </c>
      <c r="AC69" s="15">
        <f>'Kosten kengetallen'!B18</f>
        <v>60</v>
      </c>
      <c r="AD69" s="1"/>
    </row>
    <row r="70" spans="1:88" x14ac:dyDescent="0.2">
      <c r="G70" s="28"/>
      <c r="AA70" s="1" t="s">
        <v>1054</v>
      </c>
      <c r="AB70">
        <v>2.5</v>
      </c>
      <c r="AC70" s="15">
        <f>'Kosten kengetallen'!B19</f>
        <v>72</v>
      </c>
    </row>
    <row r="71" spans="1:88" x14ac:dyDescent="0.2">
      <c r="G71" s="28"/>
      <c r="AA71" s="1"/>
    </row>
    <row r="72" spans="1:88" x14ac:dyDescent="0.2">
      <c r="G72" s="28"/>
      <c r="AA72" s="1"/>
    </row>
    <row r="73" spans="1:88" x14ac:dyDescent="0.2">
      <c r="G73" s="28"/>
      <c r="AA73" s="6"/>
      <c r="AB73" s="15"/>
      <c r="AC73" s="1"/>
    </row>
    <row r="74" spans="1:88" x14ac:dyDescent="0.2">
      <c r="G74" s="28"/>
      <c r="AA74" s="1"/>
    </row>
    <row r="75" spans="1:88" x14ac:dyDescent="0.2">
      <c r="G75" s="28"/>
      <c r="AA75" s="1"/>
    </row>
    <row r="76" spans="1:88" x14ac:dyDescent="0.2">
      <c r="A76" s="24" t="s">
        <v>244</v>
      </c>
      <c r="B76" s="49"/>
      <c r="C76" s="49"/>
      <c r="D76" s="49"/>
      <c r="E76" s="49"/>
      <c r="F76" s="49"/>
      <c r="G76" s="49"/>
      <c r="H76" s="49"/>
      <c r="I76" s="49"/>
      <c r="J76" s="49"/>
      <c r="K76" s="49"/>
      <c r="L76" s="49"/>
      <c r="AA76" s="1"/>
      <c r="AB76" s="16"/>
      <c r="AC76" s="1"/>
    </row>
    <row r="77" spans="1:88" x14ac:dyDescent="0.2">
      <c r="A77" s="563" t="s">
        <v>245</v>
      </c>
      <c r="B77" s="563"/>
      <c r="C77" s="567" t="s">
        <v>374</v>
      </c>
      <c r="D77" s="563"/>
      <c r="E77" s="567" t="s">
        <v>373</v>
      </c>
      <c r="F77" s="567"/>
      <c r="G77" s="567" t="s">
        <v>372</v>
      </c>
      <c r="H77" s="563"/>
      <c r="I77" s="563" t="s">
        <v>246</v>
      </c>
      <c r="J77" s="563"/>
      <c r="K77" s="561" t="s">
        <v>371</v>
      </c>
      <c r="L77" s="562"/>
      <c r="M77" s="563" t="s">
        <v>253</v>
      </c>
      <c r="N77" s="563"/>
      <c r="O77" s="563" t="s">
        <v>256</v>
      </c>
      <c r="P77" s="563"/>
      <c r="Q77" s="563" t="s">
        <v>257</v>
      </c>
      <c r="R77" s="563"/>
      <c r="S77" s="563" t="s">
        <v>259</v>
      </c>
      <c r="T77" s="563"/>
      <c r="U77" s="563" t="s">
        <v>261</v>
      </c>
      <c r="V77" s="563"/>
      <c r="W77" s="563" t="s">
        <v>263</v>
      </c>
      <c r="X77" s="563"/>
      <c r="Y77" s="563" t="s">
        <v>265</v>
      </c>
      <c r="Z77" s="563"/>
      <c r="AA77" s="563" t="s">
        <v>267</v>
      </c>
      <c r="AB77" s="563"/>
      <c r="AC77" s="563" t="s">
        <v>269</v>
      </c>
      <c r="AD77" s="563"/>
      <c r="AE77" s="563" t="s">
        <v>271</v>
      </c>
      <c r="AF77" s="563"/>
      <c r="AG77" s="563" t="s">
        <v>273</v>
      </c>
      <c r="AH77" s="563"/>
      <c r="AI77" s="563" t="s">
        <v>275</v>
      </c>
      <c r="AJ77" s="563"/>
      <c r="AK77" s="559" t="s">
        <v>277</v>
      </c>
      <c r="AL77" s="560"/>
      <c r="AM77" s="559" t="s">
        <v>288</v>
      </c>
      <c r="AN77" s="560"/>
      <c r="AO77" s="563" t="s">
        <v>290</v>
      </c>
      <c r="AP77" s="563"/>
      <c r="AQ77" s="563" t="s">
        <v>292</v>
      </c>
      <c r="AR77" s="563"/>
      <c r="AS77" s="563" t="s">
        <v>294</v>
      </c>
      <c r="AT77" s="563"/>
      <c r="AU77" s="563" t="s">
        <v>350</v>
      </c>
      <c r="AV77" s="563"/>
      <c r="AW77" s="567" t="s">
        <v>987</v>
      </c>
      <c r="AX77" s="563"/>
      <c r="AY77" s="561" t="s">
        <v>988</v>
      </c>
      <c r="AZ77" s="562"/>
      <c r="BA77" s="567" t="s">
        <v>989</v>
      </c>
      <c r="BB77" s="563"/>
      <c r="BC77" s="567" t="s">
        <v>990</v>
      </c>
      <c r="BD77" s="563"/>
      <c r="BE77" s="567" t="s">
        <v>991</v>
      </c>
      <c r="BF77" s="563"/>
      <c r="BG77" s="567" t="s">
        <v>992</v>
      </c>
      <c r="BH77" s="563"/>
      <c r="BI77" s="567" t="s">
        <v>993</v>
      </c>
      <c r="BJ77" s="563"/>
      <c r="BK77" s="567" t="s">
        <v>994</v>
      </c>
      <c r="BL77" s="563"/>
      <c r="BM77" s="567" t="s">
        <v>995</v>
      </c>
      <c r="BN77" s="563"/>
      <c r="BO77" s="567" t="s">
        <v>996</v>
      </c>
      <c r="BP77" s="563"/>
      <c r="BQ77" s="567" t="s">
        <v>997</v>
      </c>
      <c r="BR77" s="563"/>
      <c r="BS77" s="567" t="s">
        <v>998</v>
      </c>
      <c r="BT77" s="563"/>
      <c r="BU77" s="567" t="s">
        <v>999</v>
      </c>
      <c r="BV77" s="563"/>
      <c r="BW77" s="567" t="s">
        <v>1000</v>
      </c>
      <c r="BX77" s="563"/>
      <c r="BY77" s="561" t="s">
        <v>1001</v>
      </c>
      <c r="BZ77" s="560"/>
      <c r="CA77" s="561" t="s">
        <v>1002</v>
      </c>
      <c r="CB77" s="560"/>
      <c r="CC77" s="567" t="s">
        <v>1003</v>
      </c>
      <c r="CD77" s="563"/>
      <c r="CE77" s="567" t="s">
        <v>1004</v>
      </c>
      <c r="CF77" s="563"/>
      <c r="CG77" s="567" t="s">
        <v>1005</v>
      </c>
      <c r="CH77" s="563"/>
      <c r="CI77" s="567" t="s">
        <v>1006</v>
      </c>
      <c r="CJ77" s="563"/>
    </row>
    <row r="78" spans="1:88" x14ac:dyDescent="0.2">
      <c r="A78" s="18" t="s">
        <v>247</v>
      </c>
      <c r="B78" s="18" t="s">
        <v>240</v>
      </c>
      <c r="C78" s="18" t="s">
        <v>248</v>
      </c>
      <c r="D78" s="18" t="s">
        <v>240</v>
      </c>
      <c r="E78" s="18" t="s">
        <v>249</v>
      </c>
      <c r="F78" s="18" t="s">
        <v>240</v>
      </c>
      <c r="G78" s="18" t="s">
        <v>250</v>
      </c>
      <c r="H78" s="18"/>
      <c r="I78" s="18" t="s">
        <v>251</v>
      </c>
      <c r="J78" s="18" t="s">
        <v>240</v>
      </c>
      <c r="K78" s="18" t="s">
        <v>252</v>
      </c>
      <c r="L78" s="18" t="s">
        <v>240</v>
      </c>
      <c r="M78" s="18" t="s">
        <v>254</v>
      </c>
      <c r="N78" s="18" t="s">
        <v>240</v>
      </c>
      <c r="O78" s="18" t="s">
        <v>255</v>
      </c>
      <c r="P78" s="18" t="s">
        <v>240</v>
      </c>
      <c r="Q78" s="18" t="s">
        <v>258</v>
      </c>
      <c r="R78" s="18" t="s">
        <v>240</v>
      </c>
      <c r="S78" s="18" t="s">
        <v>260</v>
      </c>
      <c r="T78" s="18"/>
      <c r="U78" s="18" t="s">
        <v>262</v>
      </c>
      <c r="V78" s="18" t="s">
        <v>240</v>
      </c>
      <c r="W78" s="18" t="s">
        <v>264</v>
      </c>
      <c r="X78" s="18" t="s">
        <v>240</v>
      </c>
      <c r="Y78" s="18" t="s">
        <v>266</v>
      </c>
      <c r="Z78" s="18" t="s">
        <v>240</v>
      </c>
      <c r="AA78" s="18" t="s">
        <v>268</v>
      </c>
      <c r="AB78" s="18" t="s">
        <v>240</v>
      </c>
      <c r="AC78" s="18" t="s">
        <v>270</v>
      </c>
      <c r="AD78" s="18" t="s">
        <v>240</v>
      </c>
      <c r="AE78" s="18" t="s">
        <v>272</v>
      </c>
      <c r="AF78" s="18"/>
      <c r="AG78" s="18" t="s">
        <v>274</v>
      </c>
      <c r="AH78" s="18" t="s">
        <v>240</v>
      </c>
      <c r="AI78" s="18" t="s">
        <v>276</v>
      </c>
      <c r="AJ78" s="18" t="s">
        <v>240</v>
      </c>
      <c r="AK78" s="18" t="s">
        <v>287</v>
      </c>
      <c r="AL78" s="18" t="s">
        <v>240</v>
      </c>
      <c r="AM78" s="18" t="s">
        <v>289</v>
      </c>
      <c r="AN78" s="18" t="s">
        <v>240</v>
      </c>
      <c r="AO78" s="18" t="s">
        <v>291</v>
      </c>
      <c r="AP78" s="18" t="s">
        <v>240</v>
      </c>
      <c r="AQ78" s="18" t="s">
        <v>293</v>
      </c>
      <c r="AR78" s="18" t="s">
        <v>240</v>
      </c>
      <c r="AS78" s="18" t="s">
        <v>295</v>
      </c>
      <c r="AT78" s="18" t="s">
        <v>240</v>
      </c>
      <c r="AU78" s="18" t="s">
        <v>296</v>
      </c>
      <c r="AV78" s="18" t="s">
        <v>240</v>
      </c>
      <c r="AW78" s="18" t="s">
        <v>251</v>
      </c>
      <c r="AX78" s="18" t="s">
        <v>240</v>
      </c>
      <c r="AY78" s="18" t="s">
        <v>252</v>
      </c>
      <c r="AZ78" s="18" t="s">
        <v>240</v>
      </c>
      <c r="BA78" s="18" t="s">
        <v>254</v>
      </c>
      <c r="BB78" s="18" t="s">
        <v>240</v>
      </c>
      <c r="BC78" s="18" t="s">
        <v>255</v>
      </c>
      <c r="BD78" s="18" t="s">
        <v>240</v>
      </c>
      <c r="BE78" s="18" t="s">
        <v>258</v>
      </c>
      <c r="BF78" s="18" t="s">
        <v>240</v>
      </c>
      <c r="BG78" s="18" t="s">
        <v>260</v>
      </c>
      <c r="BH78" s="18"/>
      <c r="BI78" s="18" t="s">
        <v>262</v>
      </c>
      <c r="BJ78" s="18" t="s">
        <v>240</v>
      </c>
      <c r="BK78" s="18" t="s">
        <v>264</v>
      </c>
      <c r="BL78" s="18" t="s">
        <v>240</v>
      </c>
      <c r="BM78" s="18" t="s">
        <v>266</v>
      </c>
      <c r="BN78" s="18" t="s">
        <v>240</v>
      </c>
      <c r="BO78" s="18" t="s">
        <v>268</v>
      </c>
      <c r="BP78" s="18" t="s">
        <v>240</v>
      </c>
      <c r="BQ78" s="18" t="s">
        <v>270</v>
      </c>
      <c r="BR78" s="18" t="s">
        <v>240</v>
      </c>
      <c r="BS78" s="18" t="s">
        <v>272</v>
      </c>
      <c r="BT78" s="18"/>
      <c r="BU78" s="18" t="s">
        <v>274</v>
      </c>
      <c r="BV78" s="18" t="s">
        <v>240</v>
      </c>
      <c r="BW78" s="18" t="s">
        <v>276</v>
      </c>
      <c r="BX78" s="18" t="s">
        <v>240</v>
      </c>
      <c r="BY78" s="18" t="s">
        <v>287</v>
      </c>
      <c r="BZ78" s="18" t="s">
        <v>240</v>
      </c>
      <c r="CA78" s="18" t="s">
        <v>289</v>
      </c>
      <c r="CB78" s="18" t="s">
        <v>240</v>
      </c>
      <c r="CC78" s="18" t="s">
        <v>291</v>
      </c>
      <c r="CD78" s="18" t="s">
        <v>240</v>
      </c>
      <c r="CE78" s="18" t="s">
        <v>293</v>
      </c>
      <c r="CF78" s="18" t="s">
        <v>240</v>
      </c>
      <c r="CG78" s="18" t="s">
        <v>295</v>
      </c>
      <c r="CH78" s="18" t="s">
        <v>240</v>
      </c>
      <c r="CI78" s="18" t="s">
        <v>296</v>
      </c>
      <c r="CJ78" s="18" t="s">
        <v>240</v>
      </c>
    </row>
    <row r="79" spans="1:88" x14ac:dyDescent="0.2">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row>
    <row r="80" spans="1:88" x14ac:dyDescent="0.2">
      <c r="A80" s="27" t="str">
        <f t="shared" ref="A80:A103" si="97">IF($C$3=2,A107,IF($C$3=3,E107,IF($C$3=4,K107,IF($C$3=5,O107,IF($C$3=6,S107," ")))))</f>
        <v xml:space="preserve"> </v>
      </c>
      <c r="B80" s="27" t="str">
        <f t="shared" ref="B80:B103" si="98">IF($C$3=2,B107,IF($C$3=3,F107,IF($C$3=4,L107,IF($C$3=5,P107,IF($C$3=6,T107," ")))))</f>
        <v xml:space="preserve"> </v>
      </c>
      <c r="C80" s="27" t="str">
        <f t="shared" ref="C80:C103" si="99">IF($C$4=2,A107,IF($C$4=3,E107,IF($C$4=4,K107,IF($C$4=5,O107,IF($C$4=6,S107," ")))))</f>
        <v xml:space="preserve"> </v>
      </c>
      <c r="D80" s="27" t="str">
        <f t="shared" ref="D80:D103" si="100">IF($C$4=2,B107,IF($C$4=3,F107,IF($C$4=4,L107,IF($C$4=5,P107,IF($C$4=6,T107," ")))))</f>
        <v xml:space="preserve"> </v>
      </c>
      <c r="E80" s="27" t="str">
        <f t="shared" ref="E80:E103" si="101">IF($C$5=2,A107,IF($C$5=3,E107,IF($C$5=4,K107,IF($C$5=5,O107,IF($C$5=6,S107," ")))))</f>
        <v xml:space="preserve"> </v>
      </c>
      <c r="F80" s="27" t="str">
        <f t="shared" ref="F80:F103" si="102">IF($C$5=2,B107,IF($C$5=3,F107,IF($C$5=4,L107,IF($C$5=5,P107,IF($C$5=6,T107," ")))))</f>
        <v xml:space="preserve"> </v>
      </c>
      <c r="G80" s="27" t="str">
        <f t="shared" ref="G80:G103" si="103">IF($C$6=2,A107,IF($C$6=3,E107,IF($C$6=4,K107,IF($C$6=5,O107,IF($C$6=6,S107," ")))))</f>
        <v xml:space="preserve"> </v>
      </c>
      <c r="H80" s="27" t="str">
        <f t="shared" ref="H80:H103" si="104">IF($C$6=2,B107,IF($C$6=3,F107,IF($C$6=4,L107,IF($C$6=5,P107,IF($C$6=6,T107," ")))))</f>
        <v xml:space="preserve"> </v>
      </c>
      <c r="I80" s="27" t="str">
        <f t="shared" ref="I80:I103" si="105">IF($C$7=2,A107,IF($C$7=3,E107,IF($C$7=4,K107,IF($C$7=5,O107,IF($C$7=6,S107," ")))))</f>
        <v xml:space="preserve"> </v>
      </c>
      <c r="J80" s="27" t="str">
        <f t="shared" ref="J80:J103" si="106">IF($C$7=2,B107,IF($C$7=3,F107,IF($C$7=4,L107,IF($C$7=5,P107,IF($C$7=6,T107," ")))))</f>
        <v xml:space="preserve"> </v>
      </c>
      <c r="K80" s="27" t="str">
        <f t="shared" ref="K80:K103" si="107">IF($C$8=2,A107,IF($C$8=3,E107,IF($C$8=4,K107,IF($C$8=5,O107,IF($C$8=6,S107," ")))))</f>
        <v xml:space="preserve"> </v>
      </c>
      <c r="L80" s="27" t="str">
        <f t="shared" ref="L80:L103" si="108">IF($C$8=2,B107,IF($C$8=3,F107,IF($C$8=4,L107,IF($C$8=5,P107,IF($C$8=6,T107," ")))))</f>
        <v xml:space="preserve"> </v>
      </c>
      <c r="M80" s="27" t="str">
        <f t="shared" ref="M80:M103" si="109">IF($C$9=2,A107,IF($C$9=3,E107,IF($C$9=4,K107,IF($C$9=5,O107,IF($C$9=6,S107," ")))))</f>
        <v xml:space="preserve"> </v>
      </c>
      <c r="N80" s="27" t="str">
        <f t="shared" ref="N80:N103" si="110">IF($C$9=2,B107,IF($C$9=3,F107,IF($C$9=4,L107,IF($C$9=5,P107,IF($C$9=6,T107," ")))))</f>
        <v xml:space="preserve"> </v>
      </c>
      <c r="O80" s="27" t="str">
        <f t="shared" ref="O80:O103" si="111">IF($C$10=2,A107,IF($C$10=3,E107,IF($C$10=4,K107,IF($C$10=5,O107,IF($C$10=6,S107," ")))))</f>
        <v xml:space="preserve"> </v>
      </c>
      <c r="P80" s="27" t="str">
        <f t="shared" ref="P80:P103" si="112">IF($C$10=2,B107,IF($C$10=3,F107,IF($C$10=4,L107,IF($C$10=5,P107,IF($C$10=6,T107," ")))))</f>
        <v xml:space="preserve"> </v>
      </c>
      <c r="Q80" s="27" t="str">
        <f t="shared" ref="Q80:Q103" si="113">IF($C$11=2,A107,IF($C$11=3,E107,IF($C$11=4,K107,IF($C$11=5,O107,IF($C$11=6,S107," ")))))</f>
        <v xml:space="preserve"> </v>
      </c>
      <c r="R80" s="27" t="str">
        <f t="shared" ref="R80:R103" si="114">IF($C$11=2,B107,IF($C$11=3,F107,IF($C$11=4,L107,IF($C$11=5,P107,IF($C$11=6,T107," ")))))</f>
        <v xml:space="preserve"> </v>
      </c>
      <c r="S80" s="27" t="str">
        <f t="shared" ref="S80:S103" si="115">IF($C$12=2,A107,IF($C$12=3,E107,IF($C$12=4,K107,IF($C$12=5,O107,IF($C$12=6,S107," ")))))</f>
        <v xml:space="preserve"> </v>
      </c>
      <c r="T80" s="27" t="str">
        <f t="shared" ref="T80:T103" si="116">IF($C$12=2,B107,IF($C$12=3,F107,IF($C$12=4,L107,IF($C$12=5,P107,IF($C$12=6,T107," ")))))</f>
        <v xml:space="preserve"> </v>
      </c>
      <c r="U80" s="27" t="str">
        <f t="shared" ref="U80:U103" si="117">IF($C$13=2,A107,IF($C$13=3,E107,IF($C$13=4,K107,IF($C$13=5,O107,IF($C$13=6,S107," ")))))</f>
        <v xml:space="preserve"> </v>
      </c>
      <c r="V80" s="27" t="str">
        <f t="shared" ref="V80:V103" si="118">IF($C$13=2,B107,IF($C$13=3,F107,IF($C$13=4,L107,IF($C$13=5,P107,IF($C$13=6,T107," ")))))</f>
        <v xml:space="preserve"> </v>
      </c>
      <c r="W80" s="27" t="str">
        <f t="shared" ref="W80:W103" si="119">IF($C$14=2,A107,IF($C$14=3,E107,IF($C$14=4,K107,IF($C$14=5,O107,IF($C$14=6,S107," ")))))</f>
        <v xml:space="preserve"> </v>
      </c>
      <c r="X80" s="27" t="str">
        <f t="shared" ref="X80:X103" si="120">IF($C$14=2,B107,IF($C$14=3,F107,IF($C$14=4,L107,IF($C$14=5,P107,IF($C$14=6,T107," ")))))</f>
        <v xml:space="preserve"> </v>
      </c>
      <c r="Y80" s="27" t="str">
        <f t="shared" ref="Y80:Y103" si="121">IF($C$15=2,A107,IF($C$15=3,E107,IF($C$15=4,K107,IF($C$15=5,O107,IF($C$15=6,S107," ")))))</f>
        <v xml:space="preserve"> </v>
      </c>
      <c r="Z80" s="27" t="str">
        <f t="shared" ref="Z80:Z103" si="122">IF($C$15=2,B107,IF($C$15=3,F107,IF($C$15=4,L107,IF($C$15=5,P107,IF($C$15=6,T107," ")))))</f>
        <v xml:space="preserve"> </v>
      </c>
      <c r="AA80" s="27" t="str">
        <f t="shared" ref="AA80:AA103" si="123">IF($C$16=2,A107,IF($C$16=3,E107,IF($C$16=4,K107,IF($C$16=5,O107,IF($C$16=6,S107," ")))))</f>
        <v xml:space="preserve"> </v>
      </c>
      <c r="AB80" s="27" t="str">
        <f t="shared" ref="AB80:AB103" si="124">IF($C$16=2,B107,IF($C$16=3,F107,IF($C$16=4,L107,IF($C$16=5,P107,IF($C$16=6,T107," ")))))</f>
        <v xml:space="preserve"> </v>
      </c>
      <c r="AC80" s="27" t="str">
        <f t="shared" ref="AC80:AC103" si="125">IF($C$17=2,A107,IF($C$17=3,E107,IF($C$17=4,K107,IF($C$17=5,O107,IF($C$17=6,S107," ")))))</f>
        <v xml:space="preserve"> </v>
      </c>
      <c r="AD80" s="27" t="str">
        <f t="shared" ref="AD80:AD103" si="126">IF($C$17=2,B107,IF($C$17=3,F107,IF($C$17=4,L107,IF($C$17=5,P107,IF($C$17=6,T107," ")))))</f>
        <v xml:space="preserve"> </v>
      </c>
      <c r="AE80" s="27" t="str">
        <f t="shared" ref="AE80:AE103" si="127">IF($C$18=2,A107,IF($C$18=3,E107,IF($C$18=4,K107,IF($C$18=5,O107,IF($C$18=6,S107," ")))))</f>
        <v xml:space="preserve"> </v>
      </c>
      <c r="AF80" s="27" t="str">
        <f t="shared" ref="AF80:AF103" si="128">IF($C$18=2,B107,IF($C$18=3,F107,IF($C$18=4,L107,IF($C$18=5,P107,IF($C$18=6,T107," ")))))</f>
        <v xml:space="preserve"> </v>
      </c>
      <c r="AG80" s="27" t="str">
        <f t="shared" ref="AG80:AG103" si="129">IF($C$19=2,A107,IF($C$19=3,E107,IF($C$19=4,K107,IF($C$19=5,O107,IF($C$19=6,S107," ")))))</f>
        <v xml:space="preserve"> </v>
      </c>
      <c r="AH80" s="27" t="str">
        <f t="shared" ref="AH80:AH103" si="130">IF($C$19=2,B107,IF($C$19=3,F107,IF($C$19=4,L107,IF($C$19=5,P107,IF($C$19=6,T107," ")))))</f>
        <v xml:space="preserve"> </v>
      </c>
      <c r="AI80" s="27" t="str">
        <f t="shared" ref="AI80:AI103" si="131">IF($C$20=2,A107,IF($C$20=3,E107,IF($C$20=4,K107,IF($C$20=5,O107,IF($C$20=6,S107," ")))))</f>
        <v xml:space="preserve"> </v>
      </c>
      <c r="AJ80" s="27" t="str">
        <f t="shared" ref="AJ80:AJ103" si="132">IF($C$20=2,B107,IF($C$20=3,F107,IF($C$20=4,L107,IF($C$20=5,P107,IF($C$20=6,T107," ")))))</f>
        <v xml:space="preserve"> </v>
      </c>
      <c r="AK80" s="27" t="str">
        <f t="shared" ref="AK80:AK103" si="133">IF($C$21=2,A107,IF($C$21=3,E107,IF($C$21=4,K107,IF($C$21=5,O107,IF($C$21=6,S107," ")))))</f>
        <v xml:space="preserve"> </v>
      </c>
      <c r="AL80" s="27" t="str">
        <f t="shared" ref="AL80:AL103" si="134">IF($C$21=2,B107,IF($C$21=3,F107,IF($C$21=4,L107,IF($C$21=5,P107,IF($C$21=6,T107," ")))))</f>
        <v xml:space="preserve"> </v>
      </c>
      <c r="AM80" s="27" t="str">
        <f t="shared" ref="AM80:AM103" si="135">IF($C$22=2,A107,IF($C$22=3,E107,IF($C$22=4,K107,IF($C$22=5,O107,IF($C$22=6,S107," ")))))</f>
        <v xml:space="preserve"> </v>
      </c>
      <c r="AN80" s="27" t="str">
        <f t="shared" ref="AN80:AN103" si="136">IF($C$22=2,B107,IF($C$22=3,F107,IF($C$22=4,L107,IF($C$22=5,P107,IF($C$22=6,T107," ")))))</f>
        <v xml:space="preserve"> </v>
      </c>
      <c r="AO80" s="27" t="str">
        <f>IF($C$23=2,$A107,IF($C$23=3,$E107,IF($C$23=4,$K107,IF($C$23=5,$O107,IF($C$23=6,$S107," ")))))</f>
        <v xml:space="preserve"> </v>
      </c>
      <c r="AP80" s="27" t="str">
        <f>IF($C$23=2,$B107,IF($C$23=3,$F107,IF($C$23=4,$L107,IF($C$23=5,$P107,IF($C$23=6,$T107," ")))))</f>
        <v xml:space="preserve"> </v>
      </c>
      <c r="AQ80" s="27" t="str">
        <f>IF($C$24=2,$A107,IF($C$24=3,$E107,IF($C$24=4,$K107,IF($C$24=5,$O107,IF($C$24=6,$S107," ")))))</f>
        <v xml:space="preserve"> </v>
      </c>
      <c r="AR80" s="27" t="str">
        <f>IF($C$24=2,$B107,IF($C$24=3,$F107,IF($C$24=4,$L107,IF($C$24=5,$P107,IF($C$24=6,$T107," ")))))</f>
        <v xml:space="preserve"> </v>
      </c>
      <c r="AS80" s="27" t="str">
        <f>IF($C$25=2,$A107,IF($C$25=3,$E107,IF($C$25=4,$K107,IF($C$25=5,$O107,IF($C$25=6,$S107," ")))))</f>
        <v xml:space="preserve"> </v>
      </c>
      <c r="AT80" s="27" t="str">
        <f>IF($C$25=2,$B107,IF($C$25=3,$F107,IF($C$25=4,$L107,IF($C$25=5,$P107,IF($C$25=6,$T107," ")))))</f>
        <v xml:space="preserve"> </v>
      </c>
      <c r="AU80" s="27" t="str">
        <f>IF($C$26=2,$A107,IF($C$26=3,$E107,IF($C$26=4,$K107,IF($C$26=5,$O107,IF($C$26=6,$S107," ")))))</f>
        <v xml:space="preserve"> </v>
      </c>
      <c r="AV80" s="27" t="str">
        <f>IF($C$26=2,$B107,IF($C$26=3,$F107,IF($C$26=4,$L107,IF($C$26=5,$P107,IF($C$26=6,$T107," ")))))</f>
        <v xml:space="preserve"> </v>
      </c>
      <c r="AW80" s="27" t="str">
        <f>IF($C$27=2,$A107,IF($C$27=3,$E107,IF($C$27=4,$K107,IF($C$27=5,$O107,IF($C$27=6,$S107," ")))))</f>
        <v xml:space="preserve"> </v>
      </c>
      <c r="AX80" s="27" t="str">
        <f>IF($C$27=2,$B107,IF($C$27=3,$F107,IF($C$27=4,$L107,IF($C$27=5,$P107,IF($C$27=6,$T107," ")))))</f>
        <v xml:space="preserve"> </v>
      </c>
      <c r="AY80" s="27" t="str">
        <f>IF($C$28=2,$A107,IF($C$28=3,$E107,IF($C$28=4,$K107,IF($C$28=5,$O107,IF($C$28=6,$S107," ")))))</f>
        <v xml:space="preserve"> </v>
      </c>
      <c r="AZ80" s="27" t="str">
        <f>IF($C$28=2,$B107,IF($C$28=3,$F107,IF($C$28=4,$L107,IF($C$28=5,$P107,IF($C$28=6,$T107," ")))))</f>
        <v xml:space="preserve"> </v>
      </c>
      <c r="BA80" s="27" t="str">
        <f>IF($C$29=2,$A107,IF($C$29=3,$E107,IF($C$29=4,$K107,IF($C$29=5,$O107,IF($C$29=6,$S107," ")))))</f>
        <v xml:space="preserve"> </v>
      </c>
      <c r="BB80" s="27" t="str">
        <f>IF($C$29=2,$B107,IF($C$29=3,$F107,IF($C$29=4,$L107,IF($C$29=5,$P107,IF($C$29=6,$T107," ")))))</f>
        <v xml:space="preserve"> </v>
      </c>
      <c r="BC80" s="27" t="str">
        <f>IF($C$30=2,$A107,IF($C$30=3,$E107,IF($C$30=4,$K107,IF($C$30=5,$O107,IF($C$30=6,$S107," ")))))</f>
        <v xml:space="preserve"> </v>
      </c>
      <c r="BD80" s="27" t="str">
        <f>IF($C$30=2,$B107,IF($C$30=3,$F107,IF($C$30=4,$L107,IF($C$30=5,$P107,IF($C$30=6,$T107," ")))))</f>
        <v xml:space="preserve"> </v>
      </c>
      <c r="BE80" s="27" t="str">
        <f>IF($C$31=2,$A107,IF($C$31=3,$E107,IF($C$31=4,$K107,IF($C$31=5,$O107,IF($C$31=6,$S107," ")))))</f>
        <v xml:space="preserve"> </v>
      </c>
      <c r="BF80" s="27" t="str">
        <f>IF($C$31=2,$B107,IF($C$31=3,$F107,IF($C$31=4,$L107,IF($C$31=5,$P107,IF($C$31=6,$T107," ")))))</f>
        <v xml:space="preserve"> </v>
      </c>
      <c r="BG80" s="27" t="str">
        <f>IF($C$32=2,$A107,IF($C$32=3,$E107,IF($C$32=4,$K107,IF($C$32=5,$O107,IF($C$32=6,$S107," ")))))</f>
        <v xml:space="preserve"> </v>
      </c>
      <c r="BH80" s="27" t="str">
        <f>IF($C$32=2,$B107,IF($C$32=3,$F107,IF($C$32=4,$L107,IF($C$32=5,$P107,IF($C$32=6,$T107," ")))))</f>
        <v xml:space="preserve"> </v>
      </c>
      <c r="BI80" s="27" t="str">
        <f>IF($C$33=2,$A107,IF($C$33=3,$E107,IF($C$33=4,$K107,IF($C$33=5,$O107,IF($C$33=6,$S107," ")))))</f>
        <v xml:space="preserve"> </v>
      </c>
      <c r="BJ80" s="27" t="str">
        <f>IF($C$33=2,$B107,IF($C$33=3,$F107,IF($C$33=4,$L107,IF($C$33=5,$P107,IF($C$33=6,$T107," ")))))</f>
        <v xml:space="preserve"> </v>
      </c>
      <c r="BK80" s="27" t="str">
        <f>IF($C$34=2,$A107,IF($C$34=3,$E107,IF($C$34=4,$K107,IF($C$34=5,$O107,IF($C$34=6,$S107," ")))))</f>
        <v xml:space="preserve"> </v>
      </c>
      <c r="BL80" s="27" t="str">
        <f>IF($C$34=2,$B107,IF($C$34=3,$F107,IF($C$34=4,$L107,IF($C$34=5,$P107,IF($C$34=6,$T107," ")))))</f>
        <v xml:space="preserve"> </v>
      </c>
      <c r="BM80" s="27" t="str">
        <f>IF($C$35=2,$A107,IF($C$35=3,$E107,IF($C$35=4,$K107,IF($C$35=5,$O107,IF($C$35=6,$S107," ")))))</f>
        <v xml:space="preserve"> </v>
      </c>
      <c r="BN80" s="27" t="str">
        <f>IF($C$35=2,$B107,IF($C$35=3,$F107,IF($C$35=4,$L107,IF($C$35=5,$P107,IF($C$35=6,$T107," ")))))</f>
        <v xml:space="preserve"> </v>
      </c>
      <c r="BO80" s="27" t="str">
        <f>IF($C$36=2,$A107,IF($C$36=3,$E107,IF($C$36=4,$K107,IF($C$36=5,$O107,IF($C$36=6,$S107," ")))))</f>
        <v xml:space="preserve"> </v>
      </c>
      <c r="BP80" s="27" t="str">
        <f>IF($C$36=2,$B107,IF($C$36=3,$F107,IF($C$36=4,$L107,IF($C$36=5,$P107,IF($C$36=6,$T107," ")))))</f>
        <v xml:space="preserve"> </v>
      </c>
      <c r="BQ80" s="27" t="str">
        <f>IF($C$37=2,$A107,IF($C$37=3,$E107,IF($C$37=4,$K107,IF($C$37=5,$O107,IF($C$37=6,$S107," ")))))</f>
        <v xml:space="preserve"> </v>
      </c>
      <c r="BR80" s="27" t="str">
        <f>IF($C$37=2,$B107,IF($C$37=3,$F107,IF($C$37=4,$L107,IF($C$37=5,$P107,IF($C$37=6,$T107," ")))))</f>
        <v xml:space="preserve"> </v>
      </c>
      <c r="BS80" s="27" t="str">
        <f>IF($C$38=2,$A107,IF($C$38=3,$E107,IF($C$38=4,$K107,IF($C$38=5,$O107,IF($C$38=6,$S107," ")))))</f>
        <v xml:space="preserve"> </v>
      </c>
      <c r="BT80" s="27" t="str">
        <f>IF($C$38=2,$B107,IF($C$38=3,$F107,IF($C$38=4,$L107,IF($C$38=5,$P107,IF($C$38=6,$T107," ")))))</f>
        <v xml:space="preserve"> </v>
      </c>
      <c r="BU80" s="27" t="str">
        <f>IF($C$39=2,$A107,IF($C$39=3,$E107,IF($C$39=4,$K107,IF($C$39=5,$O107,IF($C$39=6,$S107," ")))))</f>
        <v xml:space="preserve"> </v>
      </c>
      <c r="BV80" s="27" t="str">
        <f>IF($C$39=2,$B107,IF($C$39=3,$F107,IF($C$39=4,$L107,IF($C$39=5,$P107,IF($C$39=6,$T107," ")))))</f>
        <v xml:space="preserve"> </v>
      </c>
      <c r="BW80" s="27" t="str">
        <f>IF($C$40=2,$A107,IF($C$40=3,$E107,IF($C$40=4,$K107,IF($C$40=5,$O107,IF($C$40=6,$S107," ")))))</f>
        <v xml:space="preserve"> </v>
      </c>
      <c r="BX80" s="27" t="str">
        <f>IF($C$40=2,$B107,IF($C$40=3,$F107,IF($C$40=4,$L107,IF($C$40=5,$P107,IF($C$40=6,$T107," ")))))</f>
        <v xml:space="preserve"> </v>
      </c>
      <c r="BY80" s="27" t="str">
        <f>IF($C$41=2,$A107,IF($C$41=3,$E107,IF($C$41=4,$K107,IF($C$41=5,$O107,IF($C$41=6,$S107," ")))))</f>
        <v xml:space="preserve"> </v>
      </c>
      <c r="BZ80" s="27" t="str">
        <f>IF($C$41=2,$B107,IF($C$41=3,$F107,IF($C$41=4,$L107,IF($C$41=5,$P107,IF($C$41=6,$T107," ")))))</f>
        <v xml:space="preserve"> </v>
      </c>
      <c r="CA80" s="27" t="str">
        <f>IF($C$42=2,$A107,IF($C$42=3,$E107,IF($C$42=4,$K107,IF($C$42=5,$O107,IF($C$42=6,$S107," ")))))</f>
        <v xml:space="preserve"> </v>
      </c>
      <c r="CB80" s="27" t="str">
        <f>IF($C$42=2,$B107,IF($C$42=3,$F107,IF($C$42=4,$L107,IF($C$42=5,$P107,IF($C$42=6,$T107," ")))))</f>
        <v xml:space="preserve"> </v>
      </c>
      <c r="CC80" s="27" t="str">
        <f>IF($C$43=2,$A107,IF($C$43=3,$E107,IF($C$43=4,$K107,IF($C$43=5,$O107,IF($C$43=6,$S107," ")))))</f>
        <v xml:space="preserve"> </v>
      </c>
      <c r="CD80" s="27" t="str">
        <f>IF($C$43=2,$B107,IF($C$43=3,$F107,IF($C$43=4,$L107,IF($C$43=5,$P107,IF($C$43=6,$T107," ")))))</f>
        <v xml:space="preserve"> </v>
      </c>
      <c r="CE80" s="27"/>
      <c r="CF80" s="27"/>
      <c r="CG80" s="27"/>
      <c r="CH80" s="27"/>
      <c r="CI80" s="27"/>
      <c r="CJ80" s="27"/>
    </row>
    <row r="81" spans="1:88" x14ac:dyDescent="0.2">
      <c r="A81" s="27" t="str">
        <f t="shared" si="97"/>
        <v xml:space="preserve"> </v>
      </c>
      <c r="B81" s="27" t="str">
        <f t="shared" si="98"/>
        <v xml:space="preserve"> </v>
      </c>
      <c r="C81" s="27" t="str">
        <f t="shared" si="99"/>
        <v xml:space="preserve"> </v>
      </c>
      <c r="D81" s="27" t="str">
        <f t="shared" si="100"/>
        <v xml:space="preserve"> </v>
      </c>
      <c r="E81" s="27" t="str">
        <f t="shared" si="101"/>
        <v xml:space="preserve"> </v>
      </c>
      <c r="F81" s="27" t="str">
        <f t="shared" si="102"/>
        <v xml:space="preserve"> </v>
      </c>
      <c r="G81" s="27" t="str">
        <f t="shared" si="103"/>
        <v xml:space="preserve"> </v>
      </c>
      <c r="H81" s="27" t="str">
        <f t="shared" si="104"/>
        <v xml:space="preserve"> </v>
      </c>
      <c r="I81" s="27" t="str">
        <f t="shared" si="105"/>
        <v xml:space="preserve"> </v>
      </c>
      <c r="J81" s="27" t="str">
        <f t="shared" si="106"/>
        <v xml:space="preserve"> </v>
      </c>
      <c r="K81" s="27" t="str">
        <f t="shared" si="107"/>
        <v xml:space="preserve"> </v>
      </c>
      <c r="L81" s="27" t="str">
        <f t="shared" si="108"/>
        <v xml:space="preserve"> </v>
      </c>
      <c r="M81" s="27" t="str">
        <f t="shared" si="109"/>
        <v xml:space="preserve"> </v>
      </c>
      <c r="N81" s="27" t="str">
        <f t="shared" si="110"/>
        <v xml:space="preserve"> </v>
      </c>
      <c r="O81" s="27" t="str">
        <f t="shared" si="111"/>
        <v xml:space="preserve"> </v>
      </c>
      <c r="P81" s="27" t="str">
        <f t="shared" si="112"/>
        <v xml:space="preserve"> </v>
      </c>
      <c r="Q81" s="27" t="str">
        <f t="shared" si="113"/>
        <v xml:space="preserve"> </v>
      </c>
      <c r="R81" s="27" t="str">
        <f t="shared" si="114"/>
        <v xml:space="preserve"> </v>
      </c>
      <c r="S81" s="27" t="str">
        <f t="shared" si="115"/>
        <v xml:space="preserve"> </v>
      </c>
      <c r="T81" s="27" t="str">
        <f t="shared" si="116"/>
        <v xml:space="preserve"> </v>
      </c>
      <c r="U81" s="27" t="str">
        <f t="shared" si="117"/>
        <v xml:space="preserve"> </v>
      </c>
      <c r="V81" s="27" t="str">
        <f t="shared" si="118"/>
        <v xml:space="preserve"> </v>
      </c>
      <c r="W81" s="27" t="str">
        <f t="shared" si="119"/>
        <v xml:space="preserve"> </v>
      </c>
      <c r="X81" s="27" t="str">
        <f t="shared" si="120"/>
        <v xml:space="preserve"> </v>
      </c>
      <c r="Y81" s="27" t="str">
        <f t="shared" si="121"/>
        <v xml:space="preserve"> </v>
      </c>
      <c r="Z81" s="27" t="str">
        <f t="shared" si="122"/>
        <v xml:space="preserve"> </v>
      </c>
      <c r="AA81" s="27" t="str">
        <f t="shared" si="123"/>
        <v xml:space="preserve"> </v>
      </c>
      <c r="AB81" s="27" t="str">
        <f t="shared" si="124"/>
        <v xml:space="preserve"> </v>
      </c>
      <c r="AC81" s="27" t="str">
        <f t="shared" si="125"/>
        <v xml:space="preserve"> </v>
      </c>
      <c r="AD81" s="27" t="str">
        <f t="shared" si="126"/>
        <v xml:space="preserve"> </v>
      </c>
      <c r="AE81" s="27" t="str">
        <f t="shared" si="127"/>
        <v xml:space="preserve"> </v>
      </c>
      <c r="AF81" s="27" t="str">
        <f t="shared" si="128"/>
        <v xml:space="preserve"> </v>
      </c>
      <c r="AG81" s="27" t="str">
        <f t="shared" si="129"/>
        <v xml:space="preserve"> </v>
      </c>
      <c r="AH81" s="27" t="str">
        <f t="shared" si="130"/>
        <v xml:space="preserve"> </v>
      </c>
      <c r="AI81" s="27" t="str">
        <f t="shared" si="131"/>
        <v xml:space="preserve"> </v>
      </c>
      <c r="AJ81" s="27" t="str">
        <f t="shared" si="132"/>
        <v xml:space="preserve"> </v>
      </c>
      <c r="AK81" s="27" t="str">
        <f t="shared" si="133"/>
        <v xml:space="preserve"> </v>
      </c>
      <c r="AL81" s="27" t="str">
        <f t="shared" si="134"/>
        <v xml:space="preserve"> </v>
      </c>
      <c r="AM81" s="27" t="str">
        <f t="shared" si="135"/>
        <v xml:space="preserve"> </v>
      </c>
      <c r="AN81" s="27" t="str">
        <f t="shared" si="136"/>
        <v xml:space="preserve"> </v>
      </c>
      <c r="AO81" s="27" t="str">
        <f t="shared" ref="AO81:AO103" si="137">IF($C$23=2,A108,IF($C$23=3,E108,IF($C$23=4,K108,IF($C$23=5,O108,IF($C$23=6,S108," ")))))</f>
        <v xml:space="preserve"> </v>
      </c>
      <c r="AP81" s="27" t="str">
        <f t="shared" ref="AP81:AP103" si="138">IF($C$23=2,B108,IF($C$23=3,F108,IF($C$23=4,L108,IF($C$23=5,P108,IF($C$23=6,T108," ")))))</f>
        <v xml:space="preserve"> </v>
      </c>
      <c r="AQ81" s="27" t="str">
        <f t="shared" ref="AQ81:AQ103" si="139">IF($C$24=2,$A108,IF($C$24=3,$E108,IF($C$24=4,$K108,IF($C$24=5,$O108,IF($C$24=6,$S108," ")))))</f>
        <v xml:space="preserve"> </v>
      </c>
      <c r="AR81" s="27" t="str">
        <f t="shared" ref="AR81:AR103" si="140">IF($C$24=2,$B108,IF($C$24=3,$F108,IF($C$24=4,$L108,IF($C$24=5,$P108,IF($C$24=6,$T108," ")))))</f>
        <v xml:space="preserve"> </v>
      </c>
      <c r="AS81" s="27" t="str">
        <f t="shared" ref="AS81:AS103" si="141">IF($C$25=2,$A108,IF($C$25=3,$E108,IF($C$25=4,$K108,IF($C$25=5,$O108,IF($C$25=6,$S108," ")))))</f>
        <v xml:space="preserve"> </v>
      </c>
      <c r="AT81" s="27" t="str">
        <f t="shared" ref="AT81:AT103" si="142">IF($C$25=2,$B108,IF($C$25=3,$F108,IF($C$25=4,$L108,IF($C$25=5,$P108,IF($C$25=6,$T108," ")))))</f>
        <v xml:space="preserve"> </v>
      </c>
      <c r="AU81" s="27" t="str">
        <f t="shared" ref="AU81:AU103" si="143">IF($C$26=2,$A108,IF($C$26=3,$E108,IF($C$26=4,$K108,IF($C$26=5,$O108,IF($C$26=6,$S108," ")))))</f>
        <v xml:space="preserve"> </v>
      </c>
      <c r="AV81" s="27" t="str">
        <f t="shared" ref="AV81:AV103" si="144">IF($C$26=2,$B108,IF($C$26=3,$F108,IF($C$26=4,$L108,IF($C$26=5,$P108,IF($C$26=6,$T108," ")))))</f>
        <v xml:space="preserve"> </v>
      </c>
      <c r="AW81" s="27" t="str">
        <f t="shared" ref="AW81:AW103" si="145">IF($C$27=2,$A108,IF($C$27=3,$E108,IF($C$27=4,$K108,IF($C$27=5,$O108,IF($C$27=6,$S108," ")))))</f>
        <v xml:space="preserve"> </v>
      </c>
      <c r="AX81" s="27" t="str">
        <f t="shared" ref="AX81:AX103" si="146">IF($C$27=2,$B108,IF($C$27=3,$F108,IF($C$27=4,$L108,IF($C$27=5,$P108,IF($C$27=6,$T108," ")))))</f>
        <v xml:space="preserve"> </v>
      </c>
      <c r="AY81" s="27" t="str">
        <f t="shared" ref="AY81:AY103" si="147">IF($C$28=2,$A108,IF($C$28=3,$E108,IF($C$28=4,$K108,IF($C$28=5,$O108,IF($C$28=6,$S108," ")))))</f>
        <v xml:space="preserve"> </v>
      </c>
      <c r="AZ81" s="27" t="str">
        <f t="shared" ref="AZ81:AZ103" si="148">IF($C$28=2,$B108,IF($C$28=3,$F108,IF($C$28=4,$L108,IF($C$28=5,$P108,IF($C$28=6,$T108," ")))))</f>
        <v xml:space="preserve"> </v>
      </c>
      <c r="BA81" s="27" t="str">
        <f t="shared" ref="BA81:BA103" si="149">IF($C$29=2,$A108,IF($C$29=3,$E108,IF($C$29=4,$K108,IF($C$29=5,$O108,IF($C$29=6,$S108," ")))))</f>
        <v xml:space="preserve"> </v>
      </c>
      <c r="BB81" s="27" t="str">
        <f t="shared" ref="BB81:BB103" si="150">IF($C$29=2,$B108,IF($C$29=3,$F108,IF($C$29=4,$L108,IF($C$29=5,$P108,IF($C$29=6,$T108," ")))))</f>
        <v xml:space="preserve"> </v>
      </c>
      <c r="BC81" s="27" t="str">
        <f t="shared" ref="BC81:BC103" si="151">IF($C$30=2,$A108,IF($C$30=3,$E108,IF($C$30=4,$K108,IF($C$30=5,$O108,IF($C$30=6,$S108," ")))))</f>
        <v xml:space="preserve"> </v>
      </c>
      <c r="BD81" s="27" t="str">
        <f t="shared" ref="BD81:BD103" si="152">IF($C$30=2,$B108,IF($C$30=3,$F108,IF($C$30=4,$L108,IF($C$30=5,$P108,IF($C$30=6,$T108," ")))))</f>
        <v xml:space="preserve"> </v>
      </c>
      <c r="BE81" s="27" t="str">
        <f t="shared" ref="BE81:BE103" si="153">IF($C$31=2,$A108,IF($C$31=3,$E108,IF($C$31=4,$K108,IF($C$31=5,$O108,IF($C$31=6,$S108," ")))))</f>
        <v xml:space="preserve"> </v>
      </c>
      <c r="BF81" s="27" t="str">
        <f t="shared" ref="BF81:BF103" si="154">IF($C$31=2,$B108,IF($C$31=3,$F108,IF($C$31=4,$L108,IF($C$31=5,$P108,IF($C$31=6,$T108," ")))))</f>
        <v xml:space="preserve"> </v>
      </c>
      <c r="BG81" s="27" t="str">
        <f t="shared" ref="BG81:BG103" si="155">IF($C$32=2,$A108,IF($C$32=3,$E108,IF($C$32=4,$K108,IF($C$32=5,$O108,IF($C$32=6,$S108," ")))))</f>
        <v xml:space="preserve"> </v>
      </c>
      <c r="BH81" s="27" t="str">
        <f t="shared" ref="BH81:BH103" si="156">IF($C$32=2,$B108,IF($C$32=3,$F108,IF($C$32=4,$L108,IF($C$32=5,$P108,IF($C$32=6,$T108," ")))))</f>
        <v xml:space="preserve"> </v>
      </c>
      <c r="BI81" s="27" t="str">
        <f t="shared" ref="BI81:BI103" si="157">IF($C$33=2,$A108,IF($C$33=3,$E108,IF($C$33=4,$K108,IF($C$33=5,$O108,IF($C$33=6,$S108," ")))))</f>
        <v xml:space="preserve"> </v>
      </c>
      <c r="BJ81" s="27" t="str">
        <f t="shared" ref="BJ81:BJ103" si="158">IF($C$33=2,$B108,IF($C$33=3,$F108,IF($C$33=4,$L108,IF($C$33=5,$P108,IF($C$33=6,$T108," ")))))</f>
        <v xml:space="preserve"> </v>
      </c>
      <c r="BK81" s="27" t="str">
        <f t="shared" ref="BK81:BK103" si="159">IF($C$34=2,$A108,IF($C$34=3,$E108,IF($C$34=4,$K108,IF($C$34=5,$O108,IF($C$34=6,$S108," ")))))</f>
        <v xml:space="preserve"> </v>
      </c>
      <c r="BL81" s="27" t="str">
        <f t="shared" ref="BL81:BL103" si="160">IF($C$34=2,$B108,IF($C$34=3,$F108,IF($C$34=4,$L108,IF($C$34=5,$P108,IF($C$34=6,$T108," ")))))</f>
        <v xml:space="preserve"> </v>
      </c>
      <c r="BM81" s="27" t="str">
        <f t="shared" ref="BM81:BM103" si="161">IF($C$35=2,$A108,IF($C$35=3,$E108,IF($C$35=4,$K108,IF($C$35=5,$O108,IF($C$35=6,$S108," ")))))</f>
        <v xml:space="preserve"> </v>
      </c>
      <c r="BN81" s="27" t="str">
        <f t="shared" ref="BN81:BN103" si="162">IF($C$35=2,$B108,IF($C$35=3,$F108,IF($C$35=4,$L108,IF($C$35=5,$P108,IF($C$35=6,$T108," ")))))</f>
        <v xml:space="preserve"> </v>
      </c>
      <c r="BO81" s="27" t="str">
        <f t="shared" ref="BO81:BO103" si="163">IF($C$36=2,$A108,IF($C$36=3,$E108,IF($C$36=4,$K108,IF($C$36=5,$O108,IF($C$36=6,$S108," ")))))</f>
        <v xml:space="preserve"> </v>
      </c>
      <c r="BP81" s="27" t="str">
        <f t="shared" ref="BP81:BP103" si="164">IF($C$36=2,$B108,IF($C$36=3,$F108,IF($C$36=4,$L108,IF($C$36=5,$P108,IF($C$36=6,$T108," ")))))</f>
        <v xml:space="preserve"> </v>
      </c>
      <c r="BQ81" s="27" t="str">
        <f t="shared" ref="BQ81:BQ103" si="165">IF($C$37=2,$A108,IF($C$37=3,$E108,IF($C$37=4,$K108,IF($C$37=5,$O108,IF($C$37=6,$S108," ")))))</f>
        <v xml:space="preserve"> </v>
      </c>
      <c r="BR81" s="27" t="str">
        <f t="shared" ref="BR81:BR103" si="166">IF($C$37=2,$B108,IF($C$37=3,$F108,IF($C$37=4,$L108,IF($C$37=5,$P108,IF($C$37=6,$T108," ")))))</f>
        <v xml:space="preserve"> </v>
      </c>
      <c r="BS81" s="27" t="str">
        <f t="shared" ref="BS81:BS103" si="167">IF($C$38=2,$A108,IF($C$38=3,$E108,IF($C$38=4,$K108,IF($C$38=5,$O108,IF($C$38=6,$S108," ")))))</f>
        <v xml:space="preserve"> </v>
      </c>
      <c r="BT81" s="27" t="str">
        <f t="shared" ref="BT81:BT103" si="168">IF($C$38=2,$B108,IF($C$38=3,$F108,IF($C$38=4,$L108,IF($C$38=5,$P108,IF($C$38=6,$T108," ")))))</f>
        <v xml:space="preserve"> </v>
      </c>
      <c r="BU81" s="27" t="str">
        <f t="shared" ref="BU81:BU103" si="169">IF($C$39=2,$A108,IF($C$39=3,$E108,IF($C$39=4,$K108,IF($C$39=5,$O108,IF($C$39=6,$S108," ")))))</f>
        <v xml:space="preserve"> </v>
      </c>
      <c r="BV81" s="27" t="str">
        <f t="shared" ref="BV81:BV103" si="170">IF($C$39=2,$B108,IF($C$39=3,$F108,IF($C$39=4,$L108,IF($C$39=5,$P108,IF($C$39=6,$T108," ")))))</f>
        <v xml:space="preserve"> </v>
      </c>
      <c r="BW81" s="27" t="str">
        <f t="shared" ref="BW81:BW103" si="171">IF($C$40=2,$A108,IF($C$40=3,$E108,IF($C$40=4,$K108,IF($C$40=5,$O108,IF($C$40=6,$S108," ")))))</f>
        <v xml:space="preserve"> </v>
      </c>
      <c r="BX81" s="27" t="str">
        <f t="shared" ref="BX81:BX103" si="172">IF($C$40=2,$B108,IF($C$40=3,$F108,IF($C$40=4,$L108,IF($C$40=5,$P108,IF($C$40=6,$T108," ")))))</f>
        <v xml:space="preserve"> </v>
      </c>
      <c r="BY81" s="27" t="str">
        <f t="shared" ref="BY81:BY103" si="173">IF($C$41=2,$A108,IF($C$41=3,$E108,IF($C$41=4,$K108,IF($C$41=5,$O108,IF($C$41=6,$S108," ")))))</f>
        <v xml:space="preserve"> </v>
      </c>
      <c r="BZ81" s="27" t="str">
        <f t="shared" ref="BZ81:BZ103" si="174">IF($C$41=2,$B108,IF($C$41=3,$F108,IF($C$41=4,$L108,IF($C$41=5,$P108,IF($C$41=6,$T108," ")))))</f>
        <v xml:space="preserve"> </v>
      </c>
      <c r="CA81" s="27" t="str">
        <f t="shared" ref="CA81:CA103" si="175">IF($C$42=2,$A108,IF($C$42=3,$E108,IF($C$42=4,$K108,IF($C$42=5,$O108,IF($C$42=6,$S108," ")))))</f>
        <v xml:space="preserve"> </v>
      </c>
      <c r="CB81" s="27" t="str">
        <f t="shared" ref="CB81:CB103" si="176">IF($C$42=2,$B108,IF($C$42=3,$F108,IF($C$42=4,$L108,IF($C$42=5,$P108,IF($C$42=6,$T108," ")))))</f>
        <v xml:space="preserve"> </v>
      </c>
      <c r="CC81" s="27" t="str">
        <f t="shared" ref="CC81:CC103" si="177">IF($C$43=2,$A108,IF($C$43=3,$E108,IF($C$43=4,$K108,IF($C$43=5,$O108,IF($C$43=6,$S108," ")))))</f>
        <v xml:space="preserve"> </v>
      </c>
      <c r="CD81" s="27" t="str">
        <f t="shared" ref="CD81:CD103" si="178">IF($C$43=2,$B108,IF($C$43=3,$F108,IF($C$43=4,$L108,IF($C$43=5,$P108,IF($C$43=6,$T108," ")))))</f>
        <v xml:space="preserve"> </v>
      </c>
      <c r="CE81" s="27"/>
      <c r="CF81" s="27"/>
      <c r="CG81" s="27"/>
      <c r="CH81" s="27"/>
      <c r="CI81" s="27"/>
      <c r="CJ81" s="27"/>
    </row>
    <row r="82" spans="1:88" x14ac:dyDescent="0.2">
      <c r="A82" s="27" t="str">
        <f t="shared" si="97"/>
        <v xml:space="preserve"> </v>
      </c>
      <c r="B82" s="27" t="str">
        <f t="shared" si="98"/>
        <v xml:space="preserve"> </v>
      </c>
      <c r="C82" s="27" t="str">
        <f t="shared" si="99"/>
        <v xml:space="preserve"> </v>
      </c>
      <c r="D82" s="27" t="str">
        <f t="shared" si="100"/>
        <v xml:space="preserve"> </v>
      </c>
      <c r="E82" s="27" t="str">
        <f t="shared" si="101"/>
        <v xml:space="preserve"> </v>
      </c>
      <c r="F82" s="27" t="str">
        <f t="shared" si="102"/>
        <v xml:space="preserve"> </v>
      </c>
      <c r="G82" s="27" t="str">
        <f t="shared" si="103"/>
        <v xml:space="preserve"> </v>
      </c>
      <c r="H82" s="27" t="str">
        <f t="shared" si="104"/>
        <v xml:space="preserve"> </v>
      </c>
      <c r="I82" s="27" t="str">
        <f t="shared" si="105"/>
        <v xml:space="preserve"> </v>
      </c>
      <c r="J82" s="27" t="str">
        <f t="shared" si="106"/>
        <v xml:space="preserve"> </v>
      </c>
      <c r="K82" s="27" t="str">
        <f t="shared" si="107"/>
        <v xml:space="preserve"> </v>
      </c>
      <c r="L82" s="27" t="str">
        <f t="shared" si="108"/>
        <v xml:space="preserve"> </v>
      </c>
      <c r="M82" s="27" t="str">
        <f t="shared" si="109"/>
        <v xml:space="preserve"> </v>
      </c>
      <c r="N82" s="27" t="str">
        <f t="shared" si="110"/>
        <v xml:space="preserve"> </v>
      </c>
      <c r="O82" s="27" t="str">
        <f t="shared" si="111"/>
        <v xml:space="preserve"> </v>
      </c>
      <c r="P82" s="27" t="str">
        <f t="shared" si="112"/>
        <v xml:space="preserve"> </v>
      </c>
      <c r="Q82" s="27" t="str">
        <f t="shared" si="113"/>
        <v xml:space="preserve"> </v>
      </c>
      <c r="R82" s="27" t="str">
        <f t="shared" si="114"/>
        <v xml:space="preserve"> </v>
      </c>
      <c r="S82" s="27" t="str">
        <f t="shared" si="115"/>
        <v xml:space="preserve"> </v>
      </c>
      <c r="T82" s="27" t="str">
        <f t="shared" si="116"/>
        <v xml:space="preserve"> </v>
      </c>
      <c r="U82" s="27" t="str">
        <f t="shared" si="117"/>
        <v xml:space="preserve"> </v>
      </c>
      <c r="V82" s="27" t="str">
        <f t="shared" si="118"/>
        <v xml:space="preserve"> </v>
      </c>
      <c r="W82" s="27" t="str">
        <f t="shared" si="119"/>
        <v xml:space="preserve"> </v>
      </c>
      <c r="X82" s="27" t="str">
        <f t="shared" si="120"/>
        <v xml:space="preserve"> </v>
      </c>
      <c r="Y82" s="27" t="str">
        <f t="shared" si="121"/>
        <v xml:space="preserve"> </v>
      </c>
      <c r="Z82" s="27" t="str">
        <f t="shared" si="122"/>
        <v xml:space="preserve"> </v>
      </c>
      <c r="AA82" s="27" t="str">
        <f t="shared" si="123"/>
        <v xml:space="preserve"> </v>
      </c>
      <c r="AB82" s="27" t="str">
        <f t="shared" si="124"/>
        <v xml:space="preserve"> </v>
      </c>
      <c r="AC82" s="27" t="str">
        <f t="shared" si="125"/>
        <v xml:space="preserve"> </v>
      </c>
      <c r="AD82" s="27" t="str">
        <f t="shared" si="126"/>
        <v xml:space="preserve"> </v>
      </c>
      <c r="AE82" s="27" t="str">
        <f t="shared" si="127"/>
        <v xml:space="preserve"> </v>
      </c>
      <c r="AF82" s="27" t="str">
        <f t="shared" si="128"/>
        <v xml:space="preserve"> </v>
      </c>
      <c r="AG82" s="27" t="str">
        <f t="shared" si="129"/>
        <v xml:space="preserve"> </v>
      </c>
      <c r="AH82" s="27" t="str">
        <f t="shared" si="130"/>
        <v xml:space="preserve"> </v>
      </c>
      <c r="AI82" s="27" t="str">
        <f t="shared" si="131"/>
        <v xml:space="preserve"> </v>
      </c>
      <c r="AJ82" s="27" t="str">
        <f t="shared" si="132"/>
        <v xml:space="preserve"> </v>
      </c>
      <c r="AK82" s="27" t="str">
        <f t="shared" si="133"/>
        <v xml:space="preserve"> </v>
      </c>
      <c r="AL82" s="27" t="str">
        <f t="shared" si="134"/>
        <v xml:space="preserve"> </v>
      </c>
      <c r="AM82" s="27" t="str">
        <f t="shared" si="135"/>
        <v xml:space="preserve"> </v>
      </c>
      <c r="AN82" s="27" t="str">
        <f t="shared" si="136"/>
        <v xml:space="preserve"> </v>
      </c>
      <c r="AO82" s="27" t="str">
        <f t="shared" si="137"/>
        <v xml:space="preserve"> </v>
      </c>
      <c r="AP82" s="27" t="str">
        <f t="shared" si="138"/>
        <v xml:space="preserve"> </v>
      </c>
      <c r="AQ82" s="27" t="str">
        <f t="shared" si="139"/>
        <v xml:space="preserve"> </v>
      </c>
      <c r="AR82" s="27" t="str">
        <f t="shared" si="140"/>
        <v xml:space="preserve"> </v>
      </c>
      <c r="AS82" s="27" t="str">
        <f t="shared" si="141"/>
        <v xml:space="preserve"> </v>
      </c>
      <c r="AT82" s="27" t="str">
        <f t="shared" si="142"/>
        <v xml:space="preserve"> </v>
      </c>
      <c r="AU82" s="27" t="str">
        <f t="shared" si="143"/>
        <v xml:space="preserve"> </v>
      </c>
      <c r="AV82" s="27" t="str">
        <f t="shared" si="144"/>
        <v xml:space="preserve"> </v>
      </c>
      <c r="AW82" s="27" t="str">
        <f t="shared" si="145"/>
        <v xml:space="preserve"> </v>
      </c>
      <c r="AX82" s="27" t="str">
        <f t="shared" si="146"/>
        <v xml:space="preserve"> </v>
      </c>
      <c r="AY82" s="27" t="str">
        <f t="shared" si="147"/>
        <v xml:space="preserve"> </v>
      </c>
      <c r="AZ82" s="27" t="str">
        <f t="shared" si="148"/>
        <v xml:space="preserve"> </v>
      </c>
      <c r="BA82" s="27" t="str">
        <f t="shared" si="149"/>
        <v xml:space="preserve"> </v>
      </c>
      <c r="BB82" s="27" t="str">
        <f t="shared" si="150"/>
        <v xml:space="preserve"> </v>
      </c>
      <c r="BC82" s="27" t="str">
        <f t="shared" si="151"/>
        <v xml:space="preserve"> </v>
      </c>
      <c r="BD82" s="27" t="str">
        <f t="shared" si="152"/>
        <v xml:space="preserve"> </v>
      </c>
      <c r="BE82" s="27" t="str">
        <f t="shared" si="153"/>
        <v xml:space="preserve"> </v>
      </c>
      <c r="BF82" s="27" t="str">
        <f t="shared" si="154"/>
        <v xml:space="preserve"> </v>
      </c>
      <c r="BG82" s="27" t="str">
        <f t="shared" si="155"/>
        <v xml:space="preserve"> </v>
      </c>
      <c r="BH82" s="27" t="str">
        <f t="shared" si="156"/>
        <v xml:space="preserve"> </v>
      </c>
      <c r="BI82" s="27" t="str">
        <f t="shared" si="157"/>
        <v xml:space="preserve"> </v>
      </c>
      <c r="BJ82" s="27" t="str">
        <f t="shared" si="158"/>
        <v xml:space="preserve"> </v>
      </c>
      <c r="BK82" s="27" t="str">
        <f t="shared" si="159"/>
        <v xml:space="preserve"> </v>
      </c>
      <c r="BL82" s="27" t="str">
        <f t="shared" si="160"/>
        <v xml:space="preserve"> </v>
      </c>
      <c r="BM82" s="27" t="str">
        <f t="shared" si="161"/>
        <v xml:space="preserve"> </v>
      </c>
      <c r="BN82" s="27" t="str">
        <f t="shared" si="162"/>
        <v xml:space="preserve"> </v>
      </c>
      <c r="BO82" s="27" t="str">
        <f t="shared" si="163"/>
        <v xml:space="preserve"> </v>
      </c>
      <c r="BP82" s="27" t="str">
        <f t="shared" si="164"/>
        <v xml:space="preserve"> </v>
      </c>
      <c r="BQ82" s="27" t="str">
        <f t="shared" si="165"/>
        <v xml:space="preserve"> </v>
      </c>
      <c r="BR82" s="27" t="str">
        <f t="shared" si="166"/>
        <v xml:space="preserve"> </v>
      </c>
      <c r="BS82" s="27" t="str">
        <f t="shared" si="167"/>
        <v xml:space="preserve"> </v>
      </c>
      <c r="BT82" s="27" t="str">
        <f t="shared" si="168"/>
        <v xml:space="preserve"> </v>
      </c>
      <c r="BU82" s="27" t="str">
        <f t="shared" si="169"/>
        <v xml:space="preserve"> </v>
      </c>
      <c r="BV82" s="27" t="str">
        <f t="shared" si="170"/>
        <v xml:space="preserve"> </v>
      </c>
      <c r="BW82" s="27" t="str">
        <f t="shared" si="171"/>
        <v xml:space="preserve"> </v>
      </c>
      <c r="BX82" s="27" t="str">
        <f t="shared" si="172"/>
        <v xml:space="preserve"> </v>
      </c>
      <c r="BY82" s="27" t="str">
        <f t="shared" si="173"/>
        <v xml:space="preserve"> </v>
      </c>
      <c r="BZ82" s="27" t="str">
        <f t="shared" si="174"/>
        <v xml:space="preserve"> </v>
      </c>
      <c r="CA82" s="27" t="str">
        <f t="shared" si="175"/>
        <v xml:space="preserve"> </v>
      </c>
      <c r="CB82" s="27" t="str">
        <f t="shared" si="176"/>
        <v xml:space="preserve"> </v>
      </c>
      <c r="CC82" s="27" t="str">
        <f t="shared" si="177"/>
        <v xml:space="preserve"> </v>
      </c>
      <c r="CD82" s="27" t="str">
        <f t="shared" si="178"/>
        <v xml:space="preserve"> </v>
      </c>
      <c r="CE82" s="27"/>
      <c r="CF82" s="27"/>
      <c r="CG82" s="27"/>
      <c r="CH82" s="27"/>
      <c r="CI82" s="27"/>
      <c r="CJ82" s="27"/>
    </row>
    <row r="83" spans="1:88" x14ac:dyDescent="0.2">
      <c r="A83" s="27" t="str">
        <f t="shared" si="97"/>
        <v xml:space="preserve"> </v>
      </c>
      <c r="B83" s="27" t="str">
        <f t="shared" si="98"/>
        <v xml:space="preserve"> </v>
      </c>
      <c r="C83" s="27" t="str">
        <f t="shared" si="99"/>
        <v xml:space="preserve"> </v>
      </c>
      <c r="D83" s="27" t="str">
        <f t="shared" si="100"/>
        <v xml:space="preserve"> </v>
      </c>
      <c r="E83" s="27" t="str">
        <f t="shared" si="101"/>
        <v xml:space="preserve"> </v>
      </c>
      <c r="F83" s="27" t="str">
        <f t="shared" si="102"/>
        <v xml:space="preserve"> </v>
      </c>
      <c r="G83" s="27" t="str">
        <f t="shared" si="103"/>
        <v xml:space="preserve"> </v>
      </c>
      <c r="H83" s="27" t="str">
        <f t="shared" si="104"/>
        <v xml:space="preserve"> </v>
      </c>
      <c r="I83" s="27" t="str">
        <f t="shared" si="105"/>
        <v xml:space="preserve"> </v>
      </c>
      <c r="J83" s="27" t="str">
        <f t="shared" si="106"/>
        <v xml:space="preserve"> </v>
      </c>
      <c r="K83" s="27" t="str">
        <f t="shared" si="107"/>
        <v xml:space="preserve"> </v>
      </c>
      <c r="L83" s="27" t="str">
        <f t="shared" si="108"/>
        <v xml:space="preserve"> </v>
      </c>
      <c r="M83" s="27" t="str">
        <f t="shared" si="109"/>
        <v xml:space="preserve"> </v>
      </c>
      <c r="N83" s="27" t="str">
        <f t="shared" si="110"/>
        <v xml:space="preserve"> </v>
      </c>
      <c r="O83" s="27" t="str">
        <f t="shared" si="111"/>
        <v xml:space="preserve"> </v>
      </c>
      <c r="P83" s="27" t="str">
        <f t="shared" si="112"/>
        <v xml:space="preserve"> </v>
      </c>
      <c r="Q83" s="27" t="str">
        <f t="shared" si="113"/>
        <v xml:space="preserve"> </v>
      </c>
      <c r="R83" s="27" t="str">
        <f t="shared" si="114"/>
        <v xml:space="preserve"> </v>
      </c>
      <c r="S83" s="27" t="str">
        <f t="shared" si="115"/>
        <v xml:space="preserve"> </v>
      </c>
      <c r="T83" s="27" t="str">
        <f t="shared" si="116"/>
        <v xml:space="preserve"> </v>
      </c>
      <c r="U83" s="27" t="str">
        <f t="shared" si="117"/>
        <v xml:space="preserve"> </v>
      </c>
      <c r="V83" s="27" t="str">
        <f t="shared" si="118"/>
        <v xml:space="preserve"> </v>
      </c>
      <c r="W83" s="27" t="str">
        <f t="shared" si="119"/>
        <v xml:space="preserve"> </v>
      </c>
      <c r="X83" s="27" t="str">
        <f t="shared" si="120"/>
        <v xml:space="preserve"> </v>
      </c>
      <c r="Y83" s="27" t="str">
        <f t="shared" si="121"/>
        <v xml:space="preserve"> </v>
      </c>
      <c r="Z83" s="27" t="str">
        <f t="shared" si="122"/>
        <v xml:space="preserve"> </v>
      </c>
      <c r="AA83" s="27" t="str">
        <f t="shared" si="123"/>
        <v xml:space="preserve"> </v>
      </c>
      <c r="AB83" s="27" t="str">
        <f t="shared" si="124"/>
        <v xml:space="preserve"> </v>
      </c>
      <c r="AC83" s="27" t="str">
        <f t="shared" si="125"/>
        <v xml:space="preserve"> </v>
      </c>
      <c r="AD83" s="27" t="str">
        <f t="shared" si="126"/>
        <v xml:space="preserve"> </v>
      </c>
      <c r="AE83" s="27" t="str">
        <f t="shared" si="127"/>
        <v xml:space="preserve"> </v>
      </c>
      <c r="AF83" s="27" t="str">
        <f t="shared" si="128"/>
        <v xml:space="preserve"> </v>
      </c>
      <c r="AG83" s="27" t="str">
        <f t="shared" si="129"/>
        <v xml:space="preserve"> </v>
      </c>
      <c r="AH83" s="27" t="str">
        <f t="shared" si="130"/>
        <v xml:space="preserve"> </v>
      </c>
      <c r="AI83" s="27" t="str">
        <f t="shared" si="131"/>
        <v xml:space="preserve"> </v>
      </c>
      <c r="AJ83" s="27" t="str">
        <f t="shared" si="132"/>
        <v xml:space="preserve"> </v>
      </c>
      <c r="AK83" s="27" t="str">
        <f t="shared" si="133"/>
        <v xml:space="preserve"> </v>
      </c>
      <c r="AL83" s="27" t="str">
        <f t="shared" si="134"/>
        <v xml:space="preserve"> </v>
      </c>
      <c r="AM83" s="27" t="str">
        <f t="shared" si="135"/>
        <v xml:space="preserve"> </v>
      </c>
      <c r="AN83" s="27" t="str">
        <f t="shared" si="136"/>
        <v xml:space="preserve"> </v>
      </c>
      <c r="AO83" s="27" t="str">
        <f t="shared" si="137"/>
        <v xml:space="preserve"> </v>
      </c>
      <c r="AP83" s="27" t="str">
        <f t="shared" si="138"/>
        <v xml:space="preserve"> </v>
      </c>
      <c r="AQ83" s="27" t="str">
        <f t="shared" si="139"/>
        <v xml:space="preserve"> </v>
      </c>
      <c r="AR83" s="27" t="str">
        <f t="shared" si="140"/>
        <v xml:space="preserve"> </v>
      </c>
      <c r="AS83" s="27" t="str">
        <f t="shared" si="141"/>
        <v xml:space="preserve"> </v>
      </c>
      <c r="AT83" s="27" t="str">
        <f t="shared" si="142"/>
        <v xml:space="preserve"> </v>
      </c>
      <c r="AU83" s="27" t="str">
        <f t="shared" si="143"/>
        <v xml:space="preserve"> </v>
      </c>
      <c r="AV83" s="27" t="str">
        <f t="shared" si="144"/>
        <v xml:space="preserve"> </v>
      </c>
      <c r="AW83" s="27" t="str">
        <f t="shared" si="145"/>
        <v xml:space="preserve"> </v>
      </c>
      <c r="AX83" s="27" t="str">
        <f t="shared" si="146"/>
        <v xml:space="preserve"> </v>
      </c>
      <c r="AY83" s="27" t="str">
        <f t="shared" si="147"/>
        <v xml:space="preserve"> </v>
      </c>
      <c r="AZ83" s="27" t="str">
        <f t="shared" si="148"/>
        <v xml:space="preserve"> </v>
      </c>
      <c r="BA83" s="27" t="str">
        <f t="shared" si="149"/>
        <v xml:space="preserve"> </v>
      </c>
      <c r="BB83" s="27" t="str">
        <f t="shared" si="150"/>
        <v xml:space="preserve"> </v>
      </c>
      <c r="BC83" s="27" t="str">
        <f t="shared" si="151"/>
        <v xml:space="preserve"> </v>
      </c>
      <c r="BD83" s="27" t="str">
        <f t="shared" si="152"/>
        <v xml:space="preserve"> </v>
      </c>
      <c r="BE83" s="27" t="str">
        <f t="shared" si="153"/>
        <v xml:space="preserve"> </v>
      </c>
      <c r="BF83" s="27" t="str">
        <f t="shared" si="154"/>
        <v xml:space="preserve"> </v>
      </c>
      <c r="BG83" s="27" t="str">
        <f t="shared" si="155"/>
        <v xml:space="preserve"> </v>
      </c>
      <c r="BH83" s="27" t="str">
        <f t="shared" si="156"/>
        <v xml:space="preserve"> </v>
      </c>
      <c r="BI83" s="27" t="str">
        <f t="shared" si="157"/>
        <v xml:space="preserve"> </v>
      </c>
      <c r="BJ83" s="27" t="str">
        <f t="shared" si="158"/>
        <v xml:space="preserve"> </v>
      </c>
      <c r="BK83" s="27" t="str">
        <f t="shared" si="159"/>
        <v xml:space="preserve"> </v>
      </c>
      <c r="BL83" s="27" t="str">
        <f t="shared" si="160"/>
        <v xml:space="preserve"> </v>
      </c>
      <c r="BM83" s="27" t="str">
        <f t="shared" si="161"/>
        <v xml:space="preserve"> </v>
      </c>
      <c r="BN83" s="27" t="str">
        <f t="shared" si="162"/>
        <v xml:space="preserve"> </v>
      </c>
      <c r="BO83" s="27" t="str">
        <f t="shared" si="163"/>
        <v xml:space="preserve"> </v>
      </c>
      <c r="BP83" s="27" t="str">
        <f t="shared" si="164"/>
        <v xml:space="preserve"> </v>
      </c>
      <c r="BQ83" s="27" t="str">
        <f t="shared" si="165"/>
        <v xml:space="preserve"> </v>
      </c>
      <c r="BR83" s="27" t="str">
        <f t="shared" si="166"/>
        <v xml:space="preserve"> </v>
      </c>
      <c r="BS83" s="27" t="str">
        <f t="shared" si="167"/>
        <v xml:space="preserve"> </v>
      </c>
      <c r="BT83" s="27" t="str">
        <f t="shared" si="168"/>
        <v xml:space="preserve"> </v>
      </c>
      <c r="BU83" s="27" t="str">
        <f t="shared" si="169"/>
        <v xml:space="preserve"> </v>
      </c>
      <c r="BV83" s="27" t="str">
        <f t="shared" si="170"/>
        <v xml:space="preserve"> </v>
      </c>
      <c r="BW83" s="27" t="str">
        <f t="shared" si="171"/>
        <v xml:space="preserve"> </v>
      </c>
      <c r="BX83" s="27" t="str">
        <f t="shared" si="172"/>
        <v xml:space="preserve"> </v>
      </c>
      <c r="BY83" s="27" t="str">
        <f t="shared" si="173"/>
        <v xml:space="preserve"> </v>
      </c>
      <c r="BZ83" s="27" t="str">
        <f t="shared" si="174"/>
        <v xml:space="preserve"> </v>
      </c>
      <c r="CA83" s="27" t="str">
        <f t="shared" si="175"/>
        <v xml:space="preserve"> </v>
      </c>
      <c r="CB83" s="27" t="str">
        <f t="shared" si="176"/>
        <v xml:space="preserve"> </v>
      </c>
      <c r="CC83" s="27" t="str">
        <f t="shared" si="177"/>
        <v xml:space="preserve"> </v>
      </c>
      <c r="CD83" s="27" t="str">
        <f t="shared" si="178"/>
        <v xml:space="preserve"> </v>
      </c>
      <c r="CE83" s="27"/>
      <c r="CF83" s="27"/>
      <c r="CG83" s="27"/>
      <c r="CH83" s="27"/>
      <c r="CI83" s="27"/>
      <c r="CJ83" s="27"/>
    </row>
    <row r="84" spans="1:88" x14ac:dyDescent="0.2">
      <c r="A84" s="27" t="str">
        <f t="shared" si="97"/>
        <v xml:space="preserve"> </v>
      </c>
      <c r="B84" s="27" t="str">
        <f t="shared" si="98"/>
        <v xml:space="preserve"> </v>
      </c>
      <c r="C84" s="27" t="str">
        <f t="shared" si="99"/>
        <v xml:space="preserve"> </v>
      </c>
      <c r="D84" s="27" t="str">
        <f t="shared" si="100"/>
        <v xml:space="preserve"> </v>
      </c>
      <c r="E84" s="27" t="str">
        <f t="shared" si="101"/>
        <v xml:space="preserve"> </v>
      </c>
      <c r="F84" s="27" t="str">
        <f t="shared" si="102"/>
        <v xml:space="preserve"> </v>
      </c>
      <c r="G84" s="27" t="str">
        <f t="shared" si="103"/>
        <v xml:space="preserve"> </v>
      </c>
      <c r="H84" s="27" t="str">
        <f t="shared" si="104"/>
        <v xml:space="preserve"> </v>
      </c>
      <c r="I84" s="27" t="str">
        <f t="shared" si="105"/>
        <v xml:space="preserve"> </v>
      </c>
      <c r="J84" s="27" t="str">
        <f t="shared" si="106"/>
        <v xml:space="preserve"> </v>
      </c>
      <c r="K84" s="27" t="str">
        <f t="shared" si="107"/>
        <v xml:space="preserve"> </v>
      </c>
      <c r="L84" s="27" t="str">
        <f t="shared" si="108"/>
        <v xml:space="preserve"> </v>
      </c>
      <c r="M84" s="27" t="str">
        <f t="shared" si="109"/>
        <v xml:space="preserve"> </v>
      </c>
      <c r="N84" s="27" t="str">
        <f t="shared" si="110"/>
        <v xml:space="preserve"> </v>
      </c>
      <c r="O84" s="27" t="str">
        <f t="shared" si="111"/>
        <v xml:space="preserve"> </v>
      </c>
      <c r="P84" s="27" t="str">
        <f t="shared" si="112"/>
        <v xml:space="preserve"> </v>
      </c>
      <c r="Q84" s="27" t="str">
        <f t="shared" si="113"/>
        <v xml:space="preserve"> </v>
      </c>
      <c r="R84" s="27" t="str">
        <f t="shared" si="114"/>
        <v xml:space="preserve"> </v>
      </c>
      <c r="S84" s="27" t="str">
        <f t="shared" si="115"/>
        <v xml:space="preserve"> </v>
      </c>
      <c r="T84" s="27" t="str">
        <f t="shared" si="116"/>
        <v xml:space="preserve"> </v>
      </c>
      <c r="U84" s="27" t="str">
        <f t="shared" si="117"/>
        <v xml:space="preserve"> </v>
      </c>
      <c r="V84" s="27" t="str">
        <f t="shared" si="118"/>
        <v xml:space="preserve"> </v>
      </c>
      <c r="W84" s="27" t="str">
        <f t="shared" si="119"/>
        <v xml:space="preserve"> </v>
      </c>
      <c r="X84" s="27" t="str">
        <f t="shared" si="120"/>
        <v xml:space="preserve"> </v>
      </c>
      <c r="Y84" s="27" t="str">
        <f t="shared" si="121"/>
        <v xml:space="preserve"> </v>
      </c>
      <c r="Z84" s="27" t="str">
        <f t="shared" si="122"/>
        <v xml:space="preserve"> </v>
      </c>
      <c r="AA84" s="27" t="str">
        <f t="shared" si="123"/>
        <v xml:space="preserve"> </v>
      </c>
      <c r="AB84" s="27" t="str">
        <f t="shared" si="124"/>
        <v xml:space="preserve"> </v>
      </c>
      <c r="AC84" s="27" t="str">
        <f t="shared" si="125"/>
        <v xml:space="preserve"> </v>
      </c>
      <c r="AD84" s="27" t="str">
        <f t="shared" si="126"/>
        <v xml:space="preserve"> </v>
      </c>
      <c r="AE84" s="27" t="str">
        <f t="shared" si="127"/>
        <v xml:space="preserve"> </v>
      </c>
      <c r="AF84" s="27" t="str">
        <f t="shared" si="128"/>
        <v xml:space="preserve"> </v>
      </c>
      <c r="AG84" s="27" t="str">
        <f t="shared" si="129"/>
        <v xml:space="preserve"> </v>
      </c>
      <c r="AH84" s="27" t="str">
        <f t="shared" si="130"/>
        <v xml:space="preserve"> </v>
      </c>
      <c r="AI84" s="27" t="str">
        <f t="shared" si="131"/>
        <v xml:space="preserve"> </v>
      </c>
      <c r="AJ84" s="27" t="str">
        <f t="shared" si="132"/>
        <v xml:space="preserve"> </v>
      </c>
      <c r="AK84" s="27" t="str">
        <f t="shared" si="133"/>
        <v xml:space="preserve"> </v>
      </c>
      <c r="AL84" s="27" t="str">
        <f t="shared" si="134"/>
        <v xml:space="preserve"> </v>
      </c>
      <c r="AM84" s="27" t="str">
        <f t="shared" si="135"/>
        <v xml:space="preserve"> </v>
      </c>
      <c r="AN84" s="27" t="str">
        <f t="shared" si="136"/>
        <v xml:space="preserve"> </v>
      </c>
      <c r="AO84" s="27" t="str">
        <f t="shared" si="137"/>
        <v xml:space="preserve"> </v>
      </c>
      <c r="AP84" s="27" t="str">
        <f t="shared" si="138"/>
        <v xml:space="preserve"> </v>
      </c>
      <c r="AQ84" s="27" t="str">
        <f t="shared" si="139"/>
        <v xml:space="preserve"> </v>
      </c>
      <c r="AR84" s="27" t="str">
        <f t="shared" si="140"/>
        <v xml:space="preserve"> </v>
      </c>
      <c r="AS84" s="27" t="str">
        <f t="shared" si="141"/>
        <v xml:space="preserve"> </v>
      </c>
      <c r="AT84" s="27" t="str">
        <f t="shared" si="142"/>
        <v xml:space="preserve"> </v>
      </c>
      <c r="AU84" s="27" t="str">
        <f t="shared" si="143"/>
        <v xml:space="preserve"> </v>
      </c>
      <c r="AV84" s="27" t="str">
        <f t="shared" si="144"/>
        <v xml:space="preserve"> </v>
      </c>
      <c r="AW84" s="27" t="str">
        <f t="shared" si="145"/>
        <v xml:space="preserve"> </v>
      </c>
      <c r="AX84" s="27" t="str">
        <f t="shared" si="146"/>
        <v xml:space="preserve"> </v>
      </c>
      <c r="AY84" s="27" t="str">
        <f t="shared" si="147"/>
        <v xml:space="preserve"> </v>
      </c>
      <c r="AZ84" s="27" t="str">
        <f t="shared" si="148"/>
        <v xml:space="preserve"> </v>
      </c>
      <c r="BA84" s="27" t="str">
        <f t="shared" si="149"/>
        <v xml:space="preserve"> </v>
      </c>
      <c r="BB84" s="27" t="str">
        <f t="shared" si="150"/>
        <v xml:space="preserve"> </v>
      </c>
      <c r="BC84" s="27" t="str">
        <f t="shared" si="151"/>
        <v xml:space="preserve"> </v>
      </c>
      <c r="BD84" s="27" t="str">
        <f t="shared" si="152"/>
        <v xml:space="preserve"> </v>
      </c>
      <c r="BE84" s="27" t="str">
        <f t="shared" si="153"/>
        <v xml:space="preserve"> </v>
      </c>
      <c r="BF84" s="27" t="str">
        <f t="shared" si="154"/>
        <v xml:space="preserve"> </v>
      </c>
      <c r="BG84" s="27" t="str">
        <f t="shared" si="155"/>
        <v xml:space="preserve"> </v>
      </c>
      <c r="BH84" s="27" t="str">
        <f t="shared" si="156"/>
        <v xml:space="preserve"> </v>
      </c>
      <c r="BI84" s="27" t="str">
        <f t="shared" si="157"/>
        <v xml:space="preserve"> </v>
      </c>
      <c r="BJ84" s="27" t="str">
        <f t="shared" si="158"/>
        <v xml:space="preserve"> </v>
      </c>
      <c r="BK84" s="27" t="str">
        <f t="shared" si="159"/>
        <v xml:space="preserve"> </v>
      </c>
      <c r="BL84" s="27" t="str">
        <f t="shared" si="160"/>
        <v xml:space="preserve"> </v>
      </c>
      <c r="BM84" s="27" t="str">
        <f t="shared" si="161"/>
        <v xml:space="preserve"> </v>
      </c>
      <c r="BN84" s="27" t="str">
        <f t="shared" si="162"/>
        <v xml:space="preserve"> </v>
      </c>
      <c r="BO84" s="27" t="str">
        <f t="shared" si="163"/>
        <v xml:space="preserve"> </v>
      </c>
      <c r="BP84" s="27" t="str">
        <f t="shared" si="164"/>
        <v xml:space="preserve"> </v>
      </c>
      <c r="BQ84" s="27" t="str">
        <f t="shared" si="165"/>
        <v xml:space="preserve"> </v>
      </c>
      <c r="BR84" s="27" t="str">
        <f t="shared" si="166"/>
        <v xml:space="preserve"> </v>
      </c>
      <c r="BS84" s="27" t="str">
        <f t="shared" si="167"/>
        <v xml:space="preserve"> </v>
      </c>
      <c r="BT84" s="27" t="str">
        <f t="shared" si="168"/>
        <v xml:space="preserve"> </v>
      </c>
      <c r="BU84" s="27" t="str">
        <f t="shared" si="169"/>
        <v xml:space="preserve"> </v>
      </c>
      <c r="BV84" s="27" t="str">
        <f t="shared" si="170"/>
        <v xml:space="preserve"> </v>
      </c>
      <c r="BW84" s="27" t="str">
        <f t="shared" si="171"/>
        <v xml:space="preserve"> </v>
      </c>
      <c r="BX84" s="27" t="str">
        <f t="shared" si="172"/>
        <v xml:space="preserve"> </v>
      </c>
      <c r="BY84" s="27" t="str">
        <f t="shared" si="173"/>
        <v xml:space="preserve"> </v>
      </c>
      <c r="BZ84" s="27" t="str">
        <f t="shared" si="174"/>
        <v xml:space="preserve"> </v>
      </c>
      <c r="CA84" s="27" t="str">
        <f t="shared" si="175"/>
        <v xml:space="preserve"> </v>
      </c>
      <c r="CB84" s="27" t="str">
        <f t="shared" si="176"/>
        <v xml:space="preserve"> </v>
      </c>
      <c r="CC84" s="27" t="str">
        <f t="shared" si="177"/>
        <v xml:space="preserve"> </v>
      </c>
      <c r="CD84" s="27" t="str">
        <f t="shared" si="178"/>
        <v xml:space="preserve"> </v>
      </c>
      <c r="CE84" s="27"/>
      <c r="CF84" s="27"/>
      <c r="CG84" s="27"/>
      <c r="CH84" s="27"/>
      <c r="CI84" s="27"/>
      <c r="CJ84" s="27"/>
    </row>
    <row r="85" spans="1:88" x14ac:dyDescent="0.2">
      <c r="A85" s="27" t="str">
        <f t="shared" si="97"/>
        <v xml:space="preserve"> </v>
      </c>
      <c r="B85" s="27" t="str">
        <f t="shared" si="98"/>
        <v xml:space="preserve"> </v>
      </c>
      <c r="C85" s="27" t="str">
        <f t="shared" si="99"/>
        <v xml:space="preserve"> </v>
      </c>
      <c r="D85" s="27" t="str">
        <f t="shared" si="100"/>
        <v xml:space="preserve"> </v>
      </c>
      <c r="E85" s="27" t="str">
        <f t="shared" si="101"/>
        <v xml:space="preserve"> </v>
      </c>
      <c r="F85" s="27" t="str">
        <f t="shared" si="102"/>
        <v xml:space="preserve"> </v>
      </c>
      <c r="G85" s="27" t="str">
        <f t="shared" si="103"/>
        <v xml:space="preserve"> </v>
      </c>
      <c r="H85" s="27" t="str">
        <f t="shared" si="104"/>
        <v xml:space="preserve"> </v>
      </c>
      <c r="I85" s="27" t="str">
        <f t="shared" si="105"/>
        <v xml:space="preserve"> </v>
      </c>
      <c r="J85" s="27" t="str">
        <f t="shared" si="106"/>
        <v xml:space="preserve"> </v>
      </c>
      <c r="K85" s="27" t="str">
        <f t="shared" si="107"/>
        <v xml:space="preserve"> </v>
      </c>
      <c r="L85" s="27" t="str">
        <f t="shared" si="108"/>
        <v xml:space="preserve"> </v>
      </c>
      <c r="M85" s="27" t="str">
        <f t="shared" si="109"/>
        <v xml:space="preserve"> </v>
      </c>
      <c r="N85" s="27" t="str">
        <f t="shared" si="110"/>
        <v xml:space="preserve"> </v>
      </c>
      <c r="O85" s="27" t="str">
        <f t="shared" si="111"/>
        <v xml:space="preserve"> </v>
      </c>
      <c r="P85" s="27" t="str">
        <f t="shared" si="112"/>
        <v xml:space="preserve"> </v>
      </c>
      <c r="Q85" s="27" t="str">
        <f t="shared" si="113"/>
        <v xml:space="preserve"> </v>
      </c>
      <c r="R85" s="27" t="str">
        <f t="shared" si="114"/>
        <v xml:space="preserve"> </v>
      </c>
      <c r="S85" s="27" t="str">
        <f t="shared" si="115"/>
        <v xml:space="preserve"> </v>
      </c>
      <c r="T85" s="27" t="str">
        <f t="shared" si="116"/>
        <v xml:space="preserve"> </v>
      </c>
      <c r="U85" s="27" t="str">
        <f t="shared" si="117"/>
        <v xml:space="preserve"> </v>
      </c>
      <c r="V85" s="27" t="str">
        <f t="shared" si="118"/>
        <v xml:space="preserve"> </v>
      </c>
      <c r="W85" s="27" t="str">
        <f t="shared" si="119"/>
        <v xml:space="preserve"> </v>
      </c>
      <c r="X85" s="27" t="str">
        <f t="shared" si="120"/>
        <v xml:space="preserve"> </v>
      </c>
      <c r="Y85" s="27" t="str">
        <f t="shared" si="121"/>
        <v xml:space="preserve"> </v>
      </c>
      <c r="Z85" s="27" t="str">
        <f t="shared" si="122"/>
        <v xml:space="preserve"> </v>
      </c>
      <c r="AA85" s="27" t="str">
        <f t="shared" si="123"/>
        <v xml:space="preserve"> </v>
      </c>
      <c r="AB85" s="27" t="str">
        <f t="shared" si="124"/>
        <v xml:space="preserve"> </v>
      </c>
      <c r="AC85" s="27" t="str">
        <f t="shared" si="125"/>
        <v xml:space="preserve"> </v>
      </c>
      <c r="AD85" s="27" t="str">
        <f t="shared" si="126"/>
        <v xml:space="preserve"> </v>
      </c>
      <c r="AE85" s="27" t="str">
        <f t="shared" si="127"/>
        <v xml:space="preserve"> </v>
      </c>
      <c r="AF85" s="27" t="str">
        <f t="shared" si="128"/>
        <v xml:space="preserve"> </v>
      </c>
      <c r="AG85" s="27" t="str">
        <f t="shared" si="129"/>
        <v xml:space="preserve"> </v>
      </c>
      <c r="AH85" s="27" t="str">
        <f t="shared" si="130"/>
        <v xml:space="preserve"> </v>
      </c>
      <c r="AI85" s="27" t="str">
        <f t="shared" si="131"/>
        <v xml:space="preserve"> </v>
      </c>
      <c r="AJ85" s="27" t="str">
        <f t="shared" si="132"/>
        <v xml:space="preserve"> </v>
      </c>
      <c r="AK85" s="27" t="str">
        <f t="shared" si="133"/>
        <v xml:space="preserve"> </v>
      </c>
      <c r="AL85" s="27" t="str">
        <f t="shared" si="134"/>
        <v xml:space="preserve"> </v>
      </c>
      <c r="AM85" s="27" t="str">
        <f t="shared" si="135"/>
        <v xml:space="preserve"> </v>
      </c>
      <c r="AN85" s="27" t="str">
        <f t="shared" si="136"/>
        <v xml:space="preserve"> </v>
      </c>
      <c r="AO85" s="27" t="str">
        <f t="shared" si="137"/>
        <v xml:space="preserve"> </v>
      </c>
      <c r="AP85" s="27" t="str">
        <f t="shared" si="138"/>
        <v xml:space="preserve"> </v>
      </c>
      <c r="AQ85" s="27" t="str">
        <f t="shared" si="139"/>
        <v xml:space="preserve"> </v>
      </c>
      <c r="AR85" s="27" t="str">
        <f t="shared" si="140"/>
        <v xml:space="preserve"> </v>
      </c>
      <c r="AS85" s="27" t="str">
        <f t="shared" si="141"/>
        <v xml:space="preserve"> </v>
      </c>
      <c r="AT85" s="27" t="str">
        <f t="shared" si="142"/>
        <v xml:space="preserve"> </v>
      </c>
      <c r="AU85" s="27" t="str">
        <f t="shared" si="143"/>
        <v xml:space="preserve"> </v>
      </c>
      <c r="AV85" s="27" t="str">
        <f t="shared" si="144"/>
        <v xml:space="preserve"> </v>
      </c>
      <c r="AW85" s="27" t="str">
        <f t="shared" si="145"/>
        <v xml:space="preserve"> </v>
      </c>
      <c r="AX85" s="27" t="str">
        <f t="shared" si="146"/>
        <v xml:space="preserve"> </v>
      </c>
      <c r="AY85" s="27" t="str">
        <f t="shared" si="147"/>
        <v xml:space="preserve"> </v>
      </c>
      <c r="AZ85" s="27" t="str">
        <f t="shared" si="148"/>
        <v xml:space="preserve"> </v>
      </c>
      <c r="BA85" s="27" t="str">
        <f t="shared" si="149"/>
        <v xml:space="preserve"> </v>
      </c>
      <c r="BB85" s="27" t="str">
        <f t="shared" si="150"/>
        <v xml:space="preserve"> </v>
      </c>
      <c r="BC85" s="27" t="str">
        <f t="shared" si="151"/>
        <v xml:space="preserve"> </v>
      </c>
      <c r="BD85" s="27" t="str">
        <f t="shared" si="152"/>
        <v xml:space="preserve"> </v>
      </c>
      <c r="BE85" s="27" t="str">
        <f t="shared" si="153"/>
        <v xml:space="preserve"> </v>
      </c>
      <c r="BF85" s="27" t="str">
        <f t="shared" si="154"/>
        <v xml:space="preserve"> </v>
      </c>
      <c r="BG85" s="27" t="str">
        <f t="shared" si="155"/>
        <v xml:space="preserve"> </v>
      </c>
      <c r="BH85" s="27" t="str">
        <f t="shared" si="156"/>
        <v xml:space="preserve"> </v>
      </c>
      <c r="BI85" s="27" t="str">
        <f t="shared" si="157"/>
        <v xml:space="preserve"> </v>
      </c>
      <c r="BJ85" s="27" t="str">
        <f t="shared" si="158"/>
        <v xml:space="preserve"> </v>
      </c>
      <c r="BK85" s="27" t="str">
        <f t="shared" si="159"/>
        <v xml:space="preserve"> </v>
      </c>
      <c r="BL85" s="27" t="str">
        <f t="shared" si="160"/>
        <v xml:space="preserve"> </v>
      </c>
      <c r="BM85" s="27" t="str">
        <f t="shared" si="161"/>
        <v xml:space="preserve"> </v>
      </c>
      <c r="BN85" s="27" t="str">
        <f t="shared" si="162"/>
        <v xml:space="preserve"> </v>
      </c>
      <c r="BO85" s="27" t="str">
        <f t="shared" si="163"/>
        <v xml:space="preserve"> </v>
      </c>
      <c r="BP85" s="27" t="str">
        <f t="shared" si="164"/>
        <v xml:space="preserve"> </v>
      </c>
      <c r="BQ85" s="27" t="str">
        <f t="shared" si="165"/>
        <v xml:space="preserve"> </v>
      </c>
      <c r="BR85" s="27" t="str">
        <f t="shared" si="166"/>
        <v xml:space="preserve"> </v>
      </c>
      <c r="BS85" s="27" t="str">
        <f t="shared" si="167"/>
        <v xml:space="preserve"> </v>
      </c>
      <c r="BT85" s="27" t="str">
        <f t="shared" si="168"/>
        <v xml:space="preserve"> </v>
      </c>
      <c r="BU85" s="27" t="str">
        <f t="shared" si="169"/>
        <v xml:space="preserve"> </v>
      </c>
      <c r="BV85" s="27" t="str">
        <f t="shared" si="170"/>
        <v xml:space="preserve"> </v>
      </c>
      <c r="BW85" s="27" t="str">
        <f t="shared" si="171"/>
        <v xml:space="preserve"> </v>
      </c>
      <c r="BX85" s="27" t="str">
        <f t="shared" si="172"/>
        <v xml:space="preserve"> </v>
      </c>
      <c r="BY85" s="27" t="str">
        <f t="shared" si="173"/>
        <v xml:space="preserve"> </v>
      </c>
      <c r="BZ85" s="27" t="str">
        <f t="shared" si="174"/>
        <v xml:space="preserve"> </v>
      </c>
      <c r="CA85" s="27" t="str">
        <f t="shared" si="175"/>
        <v xml:space="preserve"> </v>
      </c>
      <c r="CB85" s="27" t="str">
        <f t="shared" si="176"/>
        <v xml:space="preserve"> </v>
      </c>
      <c r="CC85" s="27" t="str">
        <f t="shared" si="177"/>
        <v xml:space="preserve"> </v>
      </c>
      <c r="CD85" s="27" t="str">
        <f t="shared" si="178"/>
        <v xml:space="preserve"> </v>
      </c>
      <c r="CE85" s="27"/>
      <c r="CF85" s="27"/>
      <c r="CG85" s="27"/>
      <c r="CH85" s="27"/>
      <c r="CI85" s="27"/>
      <c r="CJ85" s="27"/>
    </row>
    <row r="86" spans="1:88" x14ac:dyDescent="0.2">
      <c r="A86" s="27" t="str">
        <f t="shared" si="97"/>
        <v xml:space="preserve"> </v>
      </c>
      <c r="B86" s="27" t="str">
        <f t="shared" si="98"/>
        <v xml:space="preserve"> </v>
      </c>
      <c r="C86" s="27" t="str">
        <f t="shared" si="99"/>
        <v xml:space="preserve"> </v>
      </c>
      <c r="D86" s="27" t="str">
        <f t="shared" si="100"/>
        <v xml:space="preserve"> </v>
      </c>
      <c r="E86" s="27" t="str">
        <f t="shared" si="101"/>
        <v xml:space="preserve"> </v>
      </c>
      <c r="F86" s="27" t="str">
        <f t="shared" si="102"/>
        <v xml:space="preserve"> </v>
      </c>
      <c r="G86" s="27" t="str">
        <f t="shared" si="103"/>
        <v xml:space="preserve"> </v>
      </c>
      <c r="H86" s="27" t="str">
        <f t="shared" si="104"/>
        <v xml:space="preserve"> </v>
      </c>
      <c r="I86" s="27" t="str">
        <f t="shared" si="105"/>
        <v xml:space="preserve"> </v>
      </c>
      <c r="J86" s="27" t="str">
        <f t="shared" si="106"/>
        <v xml:space="preserve"> </v>
      </c>
      <c r="K86" s="27" t="str">
        <f t="shared" si="107"/>
        <v xml:space="preserve"> </v>
      </c>
      <c r="L86" s="27" t="str">
        <f t="shared" si="108"/>
        <v xml:space="preserve"> </v>
      </c>
      <c r="M86" s="27" t="str">
        <f t="shared" si="109"/>
        <v xml:space="preserve"> </v>
      </c>
      <c r="N86" s="27" t="str">
        <f t="shared" si="110"/>
        <v xml:space="preserve"> </v>
      </c>
      <c r="O86" s="27" t="str">
        <f t="shared" si="111"/>
        <v xml:space="preserve"> </v>
      </c>
      <c r="P86" s="27" t="str">
        <f t="shared" si="112"/>
        <v xml:space="preserve"> </v>
      </c>
      <c r="Q86" s="27" t="str">
        <f t="shared" si="113"/>
        <v xml:space="preserve"> </v>
      </c>
      <c r="R86" s="27" t="str">
        <f t="shared" si="114"/>
        <v xml:space="preserve"> </v>
      </c>
      <c r="S86" s="27" t="str">
        <f t="shared" si="115"/>
        <v xml:space="preserve"> </v>
      </c>
      <c r="T86" s="27" t="str">
        <f t="shared" si="116"/>
        <v xml:space="preserve"> </v>
      </c>
      <c r="U86" s="27" t="str">
        <f t="shared" si="117"/>
        <v xml:space="preserve"> </v>
      </c>
      <c r="V86" s="27" t="str">
        <f t="shared" si="118"/>
        <v xml:space="preserve"> </v>
      </c>
      <c r="W86" s="27" t="str">
        <f t="shared" si="119"/>
        <v xml:space="preserve"> </v>
      </c>
      <c r="X86" s="27" t="str">
        <f t="shared" si="120"/>
        <v xml:space="preserve"> </v>
      </c>
      <c r="Y86" s="27" t="str">
        <f t="shared" si="121"/>
        <v xml:space="preserve"> </v>
      </c>
      <c r="Z86" s="27" t="str">
        <f t="shared" si="122"/>
        <v xml:space="preserve"> </v>
      </c>
      <c r="AA86" s="27" t="str">
        <f t="shared" si="123"/>
        <v xml:space="preserve"> </v>
      </c>
      <c r="AB86" s="27" t="str">
        <f t="shared" si="124"/>
        <v xml:space="preserve"> </v>
      </c>
      <c r="AC86" s="27" t="str">
        <f t="shared" si="125"/>
        <v xml:space="preserve"> </v>
      </c>
      <c r="AD86" s="27" t="str">
        <f t="shared" si="126"/>
        <v xml:space="preserve"> </v>
      </c>
      <c r="AE86" s="27" t="str">
        <f t="shared" si="127"/>
        <v xml:space="preserve"> </v>
      </c>
      <c r="AF86" s="27" t="str">
        <f t="shared" si="128"/>
        <v xml:space="preserve"> </v>
      </c>
      <c r="AG86" s="27" t="str">
        <f t="shared" si="129"/>
        <v xml:space="preserve"> </v>
      </c>
      <c r="AH86" s="27" t="str">
        <f t="shared" si="130"/>
        <v xml:space="preserve"> </v>
      </c>
      <c r="AI86" s="27" t="str">
        <f t="shared" si="131"/>
        <v xml:space="preserve"> </v>
      </c>
      <c r="AJ86" s="27" t="str">
        <f t="shared" si="132"/>
        <v xml:space="preserve"> </v>
      </c>
      <c r="AK86" s="27" t="str">
        <f t="shared" si="133"/>
        <v xml:space="preserve"> </v>
      </c>
      <c r="AL86" s="27" t="str">
        <f t="shared" si="134"/>
        <v xml:space="preserve"> </v>
      </c>
      <c r="AM86" s="27" t="str">
        <f t="shared" si="135"/>
        <v xml:space="preserve"> </v>
      </c>
      <c r="AN86" s="27" t="str">
        <f t="shared" si="136"/>
        <v xml:space="preserve"> </v>
      </c>
      <c r="AO86" s="27" t="str">
        <f t="shared" si="137"/>
        <v xml:space="preserve"> </v>
      </c>
      <c r="AP86" s="27" t="str">
        <f t="shared" si="138"/>
        <v xml:space="preserve"> </v>
      </c>
      <c r="AQ86" s="27" t="str">
        <f t="shared" si="139"/>
        <v xml:space="preserve"> </v>
      </c>
      <c r="AR86" s="27" t="str">
        <f t="shared" si="140"/>
        <v xml:space="preserve"> </v>
      </c>
      <c r="AS86" s="27" t="str">
        <f t="shared" si="141"/>
        <v xml:space="preserve"> </v>
      </c>
      <c r="AT86" s="27" t="str">
        <f t="shared" si="142"/>
        <v xml:space="preserve"> </v>
      </c>
      <c r="AU86" s="27" t="str">
        <f t="shared" si="143"/>
        <v xml:space="preserve"> </v>
      </c>
      <c r="AV86" s="27" t="str">
        <f t="shared" si="144"/>
        <v xml:space="preserve"> </v>
      </c>
      <c r="AW86" s="27" t="str">
        <f t="shared" si="145"/>
        <v xml:space="preserve"> </v>
      </c>
      <c r="AX86" s="27" t="str">
        <f t="shared" si="146"/>
        <v xml:space="preserve"> </v>
      </c>
      <c r="AY86" s="27" t="str">
        <f t="shared" si="147"/>
        <v xml:space="preserve"> </v>
      </c>
      <c r="AZ86" s="27" t="str">
        <f t="shared" si="148"/>
        <v xml:space="preserve"> </v>
      </c>
      <c r="BA86" s="27" t="str">
        <f t="shared" si="149"/>
        <v xml:space="preserve"> </v>
      </c>
      <c r="BB86" s="27" t="str">
        <f t="shared" si="150"/>
        <v xml:space="preserve"> </v>
      </c>
      <c r="BC86" s="27" t="str">
        <f t="shared" si="151"/>
        <v xml:space="preserve"> </v>
      </c>
      <c r="BD86" s="27" t="str">
        <f t="shared" si="152"/>
        <v xml:space="preserve"> </v>
      </c>
      <c r="BE86" s="27" t="str">
        <f t="shared" si="153"/>
        <v xml:space="preserve"> </v>
      </c>
      <c r="BF86" s="27" t="str">
        <f t="shared" si="154"/>
        <v xml:space="preserve"> </v>
      </c>
      <c r="BG86" s="27" t="str">
        <f t="shared" si="155"/>
        <v xml:space="preserve"> </v>
      </c>
      <c r="BH86" s="27" t="str">
        <f t="shared" si="156"/>
        <v xml:space="preserve"> </v>
      </c>
      <c r="BI86" s="27" t="str">
        <f t="shared" si="157"/>
        <v xml:space="preserve"> </v>
      </c>
      <c r="BJ86" s="27" t="str">
        <f t="shared" si="158"/>
        <v xml:space="preserve"> </v>
      </c>
      <c r="BK86" s="27" t="str">
        <f t="shared" si="159"/>
        <v xml:space="preserve"> </v>
      </c>
      <c r="BL86" s="27" t="str">
        <f t="shared" si="160"/>
        <v xml:space="preserve"> </v>
      </c>
      <c r="BM86" s="27" t="str">
        <f t="shared" si="161"/>
        <v xml:space="preserve"> </v>
      </c>
      <c r="BN86" s="27" t="str">
        <f t="shared" si="162"/>
        <v xml:space="preserve"> </v>
      </c>
      <c r="BO86" s="27" t="str">
        <f t="shared" si="163"/>
        <v xml:space="preserve"> </v>
      </c>
      <c r="BP86" s="27" t="str">
        <f t="shared" si="164"/>
        <v xml:space="preserve"> </v>
      </c>
      <c r="BQ86" s="27" t="str">
        <f t="shared" si="165"/>
        <v xml:space="preserve"> </v>
      </c>
      <c r="BR86" s="27" t="str">
        <f t="shared" si="166"/>
        <v xml:space="preserve"> </v>
      </c>
      <c r="BS86" s="27" t="str">
        <f t="shared" si="167"/>
        <v xml:space="preserve"> </v>
      </c>
      <c r="BT86" s="27" t="str">
        <f t="shared" si="168"/>
        <v xml:space="preserve"> </v>
      </c>
      <c r="BU86" s="27" t="str">
        <f t="shared" si="169"/>
        <v xml:space="preserve"> </v>
      </c>
      <c r="BV86" s="27" t="str">
        <f t="shared" si="170"/>
        <v xml:space="preserve"> </v>
      </c>
      <c r="BW86" s="27" t="str">
        <f t="shared" si="171"/>
        <v xml:space="preserve"> </v>
      </c>
      <c r="BX86" s="27" t="str">
        <f t="shared" si="172"/>
        <v xml:space="preserve"> </v>
      </c>
      <c r="BY86" s="27" t="str">
        <f t="shared" si="173"/>
        <v xml:space="preserve"> </v>
      </c>
      <c r="BZ86" s="27" t="str">
        <f t="shared" si="174"/>
        <v xml:space="preserve"> </v>
      </c>
      <c r="CA86" s="27" t="str">
        <f t="shared" si="175"/>
        <v xml:space="preserve"> </v>
      </c>
      <c r="CB86" s="27" t="str">
        <f t="shared" si="176"/>
        <v xml:space="preserve"> </v>
      </c>
      <c r="CC86" s="27" t="str">
        <f t="shared" si="177"/>
        <v xml:space="preserve"> </v>
      </c>
      <c r="CD86" s="27" t="str">
        <f t="shared" si="178"/>
        <v xml:space="preserve"> </v>
      </c>
      <c r="CE86" s="27"/>
      <c r="CF86" s="27"/>
      <c r="CG86" s="27"/>
      <c r="CH86" s="27"/>
      <c r="CI86" s="27"/>
      <c r="CJ86" s="27"/>
    </row>
    <row r="87" spans="1:88" x14ac:dyDescent="0.2">
      <c r="A87" s="27" t="str">
        <f t="shared" si="97"/>
        <v xml:space="preserve"> </v>
      </c>
      <c r="B87" s="27" t="str">
        <f t="shared" si="98"/>
        <v xml:space="preserve"> </v>
      </c>
      <c r="C87" s="27" t="str">
        <f t="shared" si="99"/>
        <v xml:space="preserve"> </v>
      </c>
      <c r="D87" s="27" t="str">
        <f t="shared" si="100"/>
        <v xml:space="preserve"> </v>
      </c>
      <c r="E87" s="27" t="str">
        <f t="shared" si="101"/>
        <v xml:space="preserve"> </v>
      </c>
      <c r="F87" s="27" t="str">
        <f t="shared" si="102"/>
        <v xml:space="preserve"> </v>
      </c>
      <c r="G87" s="27" t="str">
        <f t="shared" si="103"/>
        <v xml:space="preserve"> </v>
      </c>
      <c r="H87" s="27" t="str">
        <f t="shared" si="104"/>
        <v xml:space="preserve"> </v>
      </c>
      <c r="I87" s="27" t="str">
        <f t="shared" si="105"/>
        <v xml:space="preserve"> </v>
      </c>
      <c r="J87" s="27" t="str">
        <f t="shared" si="106"/>
        <v xml:space="preserve"> </v>
      </c>
      <c r="K87" s="27" t="str">
        <f t="shared" si="107"/>
        <v xml:space="preserve"> </v>
      </c>
      <c r="L87" s="27" t="str">
        <f t="shared" si="108"/>
        <v xml:space="preserve"> </v>
      </c>
      <c r="M87" s="27" t="str">
        <f t="shared" si="109"/>
        <v xml:space="preserve"> </v>
      </c>
      <c r="N87" s="27" t="str">
        <f t="shared" si="110"/>
        <v xml:space="preserve"> </v>
      </c>
      <c r="O87" s="27" t="str">
        <f t="shared" si="111"/>
        <v xml:space="preserve"> </v>
      </c>
      <c r="P87" s="27" t="str">
        <f t="shared" si="112"/>
        <v xml:space="preserve"> </v>
      </c>
      <c r="Q87" s="27" t="str">
        <f t="shared" si="113"/>
        <v xml:space="preserve"> </v>
      </c>
      <c r="R87" s="27" t="str">
        <f t="shared" si="114"/>
        <v xml:space="preserve"> </v>
      </c>
      <c r="S87" s="27" t="str">
        <f t="shared" si="115"/>
        <v xml:space="preserve"> </v>
      </c>
      <c r="T87" s="27" t="str">
        <f t="shared" si="116"/>
        <v xml:space="preserve"> </v>
      </c>
      <c r="U87" s="27" t="str">
        <f t="shared" si="117"/>
        <v xml:space="preserve"> </v>
      </c>
      <c r="V87" s="27" t="str">
        <f t="shared" si="118"/>
        <v xml:space="preserve"> </v>
      </c>
      <c r="W87" s="27" t="str">
        <f t="shared" si="119"/>
        <v xml:space="preserve"> </v>
      </c>
      <c r="X87" s="27" t="str">
        <f t="shared" si="120"/>
        <v xml:space="preserve"> </v>
      </c>
      <c r="Y87" s="27" t="str">
        <f t="shared" si="121"/>
        <v xml:space="preserve"> </v>
      </c>
      <c r="Z87" s="27" t="str">
        <f t="shared" si="122"/>
        <v xml:space="preserve"> </v>
      </c>
      <c r="AA87" s="27" t="str">
        <f t="shared" si="123"/>
        <v xml:space="preserve"> </v>
      </c>
      <c r="AB87" s="27" t="str">
        <f t="shared" si="124"/>
        <v xml:space="preserve"> </v>
      </c>
      <c r="AC87" s="27" t="str">
        <f t="shared" si="125"/>
        <v xml:space="preserve"> </v>
      </c>
      <c r="AD87" s="27" t="str">
        <f t="shared" si="126"/>
        <v xml:space="preserve"> </v>
      </c>
      <c r="AE87" s="27" t="str">
        <f t="shared" si="127"/>
        <v xml:space="preserve"> </v>
      </c>
      <c r="AF87" s="27" t="str">
        <f t="shared" si="128"/>
        <v xml:space="preserve"> </v>
      </c>
      <c r="AG87" s="27" t="str">
        <f t="shared" si="129"/>
        <v xml:space="preserve"> </v>
      </c>
      <c r="AH87" s="27" t="str">
        <f t="shared" si="130"/>
        <v xml:space="preserve"> </v>
      </c>
      <c r="AI87" s="27" t="str">
        <f t="shared" si="131"/>
        <v xml:space="preserve"> </v>
      </c>
      <c r="AJ87" s="27" t="str">
        <f t="shared" si="132"/>
        <v xml:space="preserve"> </v>
      </c>
      <c r="AK87" s="27" t="str">
        <f t="shared" si="133"/>
        <v xml:space="preserve"> </v>
      </c>
      <c r="AL87" s="27" t="str">
        <f t="shared" si="134"/>
        <v xml:space="preserve"> </v>
      </c>
      <c r="AM87" s="27" t="str">
        <f t="shared" si="135"/>
        <v xml:space="preserve"> </v>
      </c>
      <c r="AN87" s="27" t="str">
        <f t="shared" si="136"/>
        <v xml:space="preserve"> </v>
      </c>
      <c r="AO87" s="27" t="str">
        <f t="shared" si="137"/>
        <v xml:space="preserve"> </v>
      </c>
      <c r="AP87" s="27" t="str">
        <f t="shared" si="138"/>
        <v xml:space="preserve"> </v>
      </c>
      <c r="AQ87" s="27" t="str">
        <f t="shared" si="139"/>
        <v xml:space="preserve"> </v>
      </c>
      <c r="AR87" s="27" t="str">
        <f t="shared" si="140"/>
        <v xml:space="preserve"> </v>
      </c>
      <c r="AS87" s="27" t="str">
        <f t="shared" si="141"/>
        <v xml:space="preserve"> </v>
      </c>
      <c r="AT87" s="27" t="str">
        <f t="shared" si="142"/>
        <v xml:space="preserve"> </v>
      </c>
      <c r="AU87" s="27" t="str">
        <f t="shared" si="143"/>
        <v xml:space="preserve"> </v>
      </c>
      <c r="AV87" s="27" t="str">
        <f t="shared" si="144"/>
        <v xml:space="preserve"> </v>
      </c>
      <c r="AW87" s="27" t="str">
        <f t="shared" si="145"/>
        <v xml:space="preserve"> </v>
      </c>
      <c r="AX87" s="27" t="str">
        <f t="shared" si="146"/>
        <v xml:space="preserve"> </v>
      </c>
      <c r="AY87" s="27" t="str">
        <f t="shared" si="147"/>
        <v xml:space="preserve"> </v>
      </c>
      <c r="AZ87" s="27" t="str">
        <f t="shared" si="148"/>
        <v xml:space="preserve"> </v>
      </c>
      <c r="BA87" s="27" t="str">
        <f t="shared" si="149"/>
        <v xml:space="preserve"> </v>
      </c>
      <c r="BB87" s="27" t="str">
        <f t="shared" si="150"/>
        <v xml:space="preserve"> </v>
      </c>
      <c r="BC87" s="27" t="str">
        <f t="shared" si="151"/>
        <v xml:space="preserve"> </v>
      </c>
      <c r="BD87" s="27" t="str">
        <f t="shared" si="152"/>
        <v xml:space="preserve"> </v>
      </c>
      <c r="BE87" s="27" t="str">
        <f t="shared" si="153"/>
        <v xml:space="preserve"> </v>
      </c>
      <c r="BF87" s="27" t="str">
        <f t="shared" si="154"/>
        <v xml:space="preserve"> </v>
      </c>
      <c r="BG87" s="27" t="str">
        <f t="shared" si="155"/>
        <v xml:space="preserve"> </v>
      </c>
      <c r="BH87" s="27" t="str">
        <f t="shared" si="156"/>
        <v xml:space="preserve"> </v>
      </c>
      <c r="BI87" s="27" t="str">
        <f t="shared" si="157"/>
        <v xml:space="preserve"> </v>
      </c>
      <c r="BJ87" s="27" t="str">
        <f t="shared" si="158"/>
        <v xml:space="preserve"> </v>
      </c>
      <c r="BK87" s="27" t="str">
        <f t="shared" si="159"/>
        <v xml:space="preserve"> </v>
      </c>
      <c r="BL87" s="27" t="str">
        <f t="shared" si="160"/>
        <v xml:space="preserve"> </v>
      </c>
      <c r="BM87" s="27" t="str">
        <f t="shared" si="161"/>
        <v xml:space="preserve"> </v>
      </c>
      <c r="BN87" s="27" t="str">
        <f t="shared" si="162"/>
        <v xml:space="preserve"> </v>
      </c>
      <c r="BO87" s="27" t="str">
        <f t="shared" si="163"/>
        <v xml:space="preserve"> </v>
      </c>
      <c r="BP87" s="27" t="str">
        <f t="shared" si="164"/>
        <v xml:space="preserve"> </v>
      </c>
      <c r="BQ87" s="27" t="str">
        <f t="shared" si="165"/>
        <v xml:space="preserve"> </v>
      </c>
      <c r="BR87" s="27" t="str">
        <f t="shared" si="166"/>
        <v xml:space="preserve"> </v>
      </c>
      <c r="BS87" s="27" t="str">
        <f t="shared" si="167"/>
        <v xml:space="preserve"> </v>
      </c>
      <c r="BT87" s="27" t="str">
        <f t="shared" si="168"/>
        <v xml:space="preserve"> </v>
      </c>
      <c r="BU87" s="27" t="str">
        <f t="shared" si="169"/>
        <v xml:space="preserve"> </v>
      </c>
      <c r="BV87" s="27" t="str">
        <f t="shared" si="170"/>
        <v xml:space="preserve"> </v>
      </c>
      <c r="BW87" s="27" t="str">
        <f t="shared" si="171"/>
        <v xml:space="preserve"> </v>
      </c>
      <c r="BX87" s="27" t="str">
        <f t="shared" si="172"/>
        <v xml:space="preserve"> </v>
      </c>
      <c r="BY87" s="27" t="str">
        <f t="shared" si="173"/>
        <v xml:space="preserve"> </v>
      </c>
      <c r="BZ87" s="27" t="str">
        <f t="shared" si="174"/>
        <v xml:space="preserve"> </v>
      </c>
      <c r="CA87" s="27" t="str">
        <f t="shared" si="175"/>
        <v xml:space="preserve"> </v>
      </c>
      <c r="CB87" s="27" t="str">
        <f t="shared" si="176"/>
        <v xml:space="preserve"> </v>
      </c>
      <c r="CC87" s="27" t="str">
        <f t="shared" si="177"/>
        <v xml:space="preserve"> </v>
      </c>
      <c r="CD87" s="27" t="str">
        <f t="shared" si="178"/>
        <v xml:space="preserve"> </v>
      </c>
      <c r="CE87" s="27"/>
      <c r="CF87" s="27"/>
      <c r="CG87" s="27"/>
      <c r="CH87" s="27"/>
      <c r="CI87" s="27"/>
      <c r="CJ87" s="27"/>
    </row>
    <row r="88" spans="1:88" x14ac:dyDescent="0.2">
      <c r="A88" s="27" t="str">
        <f t="shared" si="97"/>
        <v xml:space="preserve"> </v>
      </c>
      <c r="B88" s="27" t="str">
        <f t="shared" si="98"/>
        <v xml:space="preserve"> </v>
      </c>
      <c r="C88" s="27" t="str">
        <f t="shared" si="99"/>
        <v xml:space="preserve"> </v>
      </c>
      <c r="D88" s="27" t="str">
        <f t="shared" si="100"/>
        <v xml:space="preserve"> </v>
      </c>
      <c r="E88" s="27" t="str">
        <f t="shared" si="101"/>
        <v xml:space="preserve"> </v>
      </c>
      <c r="F88" s="27" t="str">
        <f t="shared" si="102"/>
        <v xml:space="preserve"> </v>
      </c>
      <c r="G88" s="27" t="str">
        <f t="shared" si="103"/>
        <v xml:space="preserve"> </v>
      </c>
      <c r="H88" s="27" t="str">
        <f t="shared" si="104"/>
        <v xml:space="preserve"> </v>
      </c>
      <c r="I88" s="27" t="str">
        <f t="shared" si="105"/>
        <v xml:space="preserve"> </v>
      </c>
      <c r="J88" s="27" t="str">
        <f t="shared" si="106"/>
        <v xml:space="preserve"> </v>
      </c>
      <c r="K88" s="27" t="str">
        <f t="shared" si="107"/>
        <v xml:space="preserve"> </v>
      </c>
      <c r="L88" s="27" t="str">
        <f t="shared" si="108"/>
        <v xml:space="preserve"> </v>
      </c>
      <c r="M88" s="27" t="str">
        <f t="shared" si="109"/>
        <v xml:space="preserve"> </v>
      </c>
      <c r="N88" s="27" t="str">
        <f t="shared" si="110"/>
        <v xml:space="preserve"> </v>
      </c>
      <c r="O88" s="27" t="str">
        <f t="shared" si="111"/>
        <v xml:space="preserve"> </v>
      </c>
      <c r="P88" s="27" t="str">
        <f t="shared" si="112"/>
        <v xml:space="preserve"> </v>
      </c>
      <c r="Q88" s="27" t="str">
        <f t="shared" si="113"/>
        <v xml:space="preserve"> </v>
      </c>
      <c r="R88" s="27" t="str">
        <f t="shared" si="114"/>
        <v xml:space="preserve"> </v>
      </c>
      <c r="S88" s="27" t="str">
        <f t="shared" si="115"/>
        <v xml:space="preserve"> </v>
      </c>
      <c r="T88" s="27" t="str">
        <f t="shared" si="116"/>
        <v xml:space="preserve"> </v>
      </c>
      <c r="U88" s="27" t="str">
        <f t="shared" si="117"/>
        <v xml:space="preserve"> </v>
      </c>
      <c r="V88" s="27" t="str">
        <f t="shared" si="118"/>
        <v xml:space="preserve"> </v>
      </c>
      <c r="W88" s="27" t="str">
        <f t="shared" si="119"/>
        <v xml:space="preserve"> </v>
      </c>
      <c r="X88" s="27" t="str">
        <f t="shared" si="120"/>
        <v xml:space="preserve"> </v>
      </c>
      <c r="Y88" s="27" t="str">
        <f t="shared" si="121"/>
        <v xml:space="preserve"> </v>
      </c>
      <c r="Z88" s="27" t="str">
        <f t="shared" si="122"/>
        <v xml:space="preserve"> </v>
      </c>
      <c r="AA88" s="27" t="str">
        <f t="shared" si="123"/>
        <v xml:space="preserve"> </v>
      </c>
      <c r="AB88" s="27" t="str">
        <f t="shared" si="124"/>
        <v xml:space="preserve"> </v>
      </c>
      <c r="AC88" s="27" t="str">
        <f t="shared" si="125"/>
        <v xml:space="preserve"> </v>
      </c>
      <c r="AD88" s="27" t="str">
        <f t="shared" si="126"/>
        <v xml:space="preserve"> </v>
      </c>
      <c r="AE88" s="27" t="str">
        <f t="shared" si="127"/>
        <v xml:space="preserve"> </v>
      </c>
      <c r="AF88" s="27" t="str">
        <f t="shared" si="128"/>
        <v xml:space="preserve"> </v>
      </c>
      <c r="AG88" s="27" t="str">
        <f t="shared" si="129"/>
        <v xml:space="preserve"> </v>
      </c>
      <c r="AH88" s="27" t="str">
        <f t="shared" si="130"/>
        <v xml:space="preserve"> </v>
      </c>
      <c r="AI88" s="27" t="str">
        <f t="shared" si="131"/>
        <v xml:space="preserve"> </v>
      </c>
      <c r="AJ88" s="27" t="str">
        <f t="shared" si="132"/>
        <v xml:space="preserve"> </v>
      </c>
      <c r="AK88" s="27" t="str">
        <f t="shared" si="133"/>
        <v xml:space="preserve"> </v>
      </c>
      <c r="AL88" s="27" t="str">
        <f t="shared" si="134"/>
        <v xml:space="preserve"> </v>
      </c>
      <c r="AM88" s="27" t="str">
        <f t="shared" si="135"/>
        <v xml:space="preserve"> </v>
      </c>
      <c r="AN88" s="27" t="str">
        <f t="shared" si="136"/>
        <v xml:space="preserve"> </v>
      </c>
      <c r="AO88" s="27" t="str">
        <f t="shared" si="137"/>
        <v xml:space="preserve"> </v>
      </c>
      <c r="AP88" s="27" t="str">
        <f t="shared" si="138"/>
        <v xml:space="preserve"> </v>
      </c>
      <c r="AQ88" s="27" t="str">
        <f t="shared" si="139"/>
        <v xml:space="preserve"> </v>
      </c>
      <c r="AR88" s="27" t="str">
        <f t="shared" si="140"/>
        <v xml:space="preserve"> </v>
      </c>
      <c r="AS88" s="27" t="str">
        <f t="shared" si="141"/>
        <v xml:space="preserve"> </v>
      </c>
      <c r="AT88" s="27" t="str">
        <f t="shared" si="142"/>
        <v xml:space="preserve"> </v>
      </c>
      <c r="AU88" s="27" t="str">
        <f t="shared" si="143"/>
        <v xml:space="preserve"> </v>
      </c>
      <c r="AV88" s="27" t="str">
        <f t="shared" si="144"/>
        <v xml:space="preserve"> </v>
      </c>
      <c r="AW88" s="27" t="str">
        <f t="shared" si="145"/>
        <v xml:space="preserve"> </v>
      </c>
      <c r="AX88" s="27" t="str">
        <f t="shared" si="146"/>
        <v xml:space="preserve"> </v>
      </c>
      <c r="AY88" s="27" t="str">
        <f t="shared" si="147"/>
        <v xml:space="preserve"> </v>
      </c>
      <c r="AZ88" s="27" t="str">
        <f t="shared" si="148"/>
        <v xml:space="preserve"> </v>
      </c>
      <c r="BA88" s="27" t="str">
        <f t="shared" si="149"/>
        <v xml:space="preserve"> </v>
      </c>
      <c r="BB88" s="27" t="str">
        <f t="shared" si="150"/>
        <v xml:space="preserve"> </v>
      </c>
      <c r="BC88" s="27" t="str">
        <f t="shared" si="151"/>
        <v xml:space="preserve"> </v>
      </c>
      <c r="BD88" s="27" t="str">
        <f t="shared" si="152"/>
        <v xml:space="preserve"> </v>
      </c>
      <c r="BE88" s="27" t="str">
        <f t="shared" si="153"/>
        <v xml:space="preserve"> </v>
      </c>
      <c r="BF88" s="27" t="str">
        <f t="shared" si="154"/>
        <v xml:space="preserve"> </v>
      </c>
      <c r="BG88" s="27" t="str">
        <f t="shared" si="155"/>
        <v xml:space="preserve"> </v>
      </c>
      <c r="BH88" s="27" t="str">
        <f t="shared" si="156"/>
        <v xml:space="preserve"> </v>
      </c>
      <c r="BI88" s="27" t="str">
        <f t="shared" si="157"/>
        <v xml:space="preserve"> </v>
      </c>
      <c r="BJ88" s="27" t="str">
        <f t="shared" si="158"/>
        <v xml:space="preserve"> </v>
      </c>
      <c r="BK88" s="27" t="str">
        <f t="shared" si="159"/>
        <v xml:space="preserve"> </v>
      </c>
      <c r="BL88" s="27" t="str">
        <f t="shared" si="160"/>
        <v xml:space="preserve"> </v>
      </c>
      <c r="BM88" s="27" t="str">
        <f t="shared" si="161"/>
        <v xml:space="preserve"> </v>
      </c>
      <c r="BN88" s="27" t="str">
        <f t="shared" si="162"/>
        <v xml:space="preserve"> </v>
      </c>
      <c r="BO88" s="27" t="str">
        <f t="shared" si="163"/>
        <v xml:space="preserve"> </v>
      </c>
      <c r="BP88" s="27" t="str">
        <f t="shared" si="164"/>
        <v xml:space="preserve"> </v>
      </c>
      <c r="BQ88" s="27" t="str">
        <f t="shared" si="165"/>
        <v xml:space="preserve"> </v>
      </c>
      <c r="BR88" s="27" t="str">
        <f t="shared" si="166"/>
        <v xml:space="preserve"> </v>
      </c>
      <c r="BS88" s="27" t="str">
        <f t="shared" si="167"/>
        <v xml:space="preserve"> </v>
      </c>
      <c r="BT88" s="27" t="str">
        <f t="shared" si="168"/>
        <v xml:space="preserve"> </v>
      </c>
      <c r="BU88" s="27" t="str">
        <f t="shared" si="169"/>
        <v xml:space="preserve"> </v>
      </c>
      <c r="BV88" s="27" t="str">
        <f t="shared" si="170"/>
        <v xml:space="preserve"> </v>
      </c>
      <c r="BW88" s="27" t="str">
        <f t="shared" si="171"/>
        <v xml:space="preserve"> </v>
      </c>
      <c r="BX88" s="27" t="str">
        <f t="shared" si="172"/>
        <v xml:space="preserve"> </v>
      </c>
      <c r="BY88" s="27" t="str">
        <f t="shared" si="173"/>
        <v xml:space="preserve"> </v>
      </c>
      <c r="BZ88" s="27" t="str">
        <f t="shared" si="174"/>
        <v xml:space="preserve"> </v>
      </c>
      <c r="CA88" s="27" t="str">
        <f t="shared" si="175"/>
        <v xml:space="preserve"> </v>
      </c>
      <c r="CB88" s="27" t="str">
        <f t="shared" si="176"/>
        <v xml:space="preserve"> </v>
      </c>
      <c r="CC88" s="27" t="str">
        <f t="shared" si="177"/>
        <v xml:space="preserve"> </v>
      </c>
      <c r="CD88" s="27" t="str">
        <f t="shared" si="178"/>
        <v xml:space="preserve"> </v>
      </c>
      <c r="CE88" s="27"/>
      <c r="CF88" s="27"/>
      <c r="CG88" s="27"/>
      <c r="CH88" s="27"/>
      <c r="CI88" s="27"/>
      <c r="CJ88" s="27"/>
    </row>
    <row r="89" spans="1:88" x14ac:dyDescent="0.2">
      <c r="A89" s="27" t="str">
        <f t="shared" si="97"/>
        <v xml:space="preserve"> </v>
      </c>
      <c r="B89" s="27" t="str">
        <f t="shared" si="98"/>
        <v xml:space="preserve"> </v>
      </c>
      <c r="C89" s="27" t="str">
        <f t="shared" si="99"/>
        <v xml:space="preserve"> </v>
      </c>
      <c r="D89" s="27" t="str">
        <f t="shared" si="100"/>
        <v xml:space="preserve"> </v>
      </c>
      <c r="E89" s="27" t="str">
        <f t="shared" si="101"/>
        <v xml:space="preserve"> </v>
      </c>
      <c r="F89" s="27" t="str">
        <f t="shared" si="102"/>
        <v xml:space="preserve"> </v>
      </c>
      <c r="G89" s="27" t="str">
        <f t="shared" si="103"/>
        <v xml:space="preserve"> </v>
      </c>
      <c r="H89" s="27" t="str">
        <f t="shared" si="104"/>
        <v xml:space="preserve"> </v>
      </c>
      <c r="I89" s="27" t="str">
        <f t="shared" si="105"/>
        <v xml:space="preserve"> </v>
      </c>
      <c r="J89" s="27" t="str">
        <f t="shared" si="106"/>
        <v xml:space="preserve"> </v>
      </c>
      <c r="K89" s="27" t="str">
        <f t="shared" si="107"/>
        <v xml:space="preserve"> </v>
      </c>
      <c r="L89" s="27" t="str">
        <f t="shared" si="108"/>
        <v xml:space="preserve"> </v>
      </c>
      <c r="M89" s="27" t="str">
        <f t="shared" si="109"/>
        <v xml:space="preserve"> </v>
      </c>
      <c r="N89" s="27" t="str">
        <f t="shared" si="110"/>
        <v xml:space="preserve"> </v>
      </c>
      <c r="O89" s="27" t="str">
        <f t="shared" si="111"/>
        <v xml:space="preserve"> </v>
      </c>
      <c r="P89" s="27" t="str">
        <f t="shared" si="112"/>
        <v xml:space="preserve"> </v>
      </c>
      <c r="Q89" s="27" t="str">
        <f t="shared" si="113"/>
        <v xml:space="preserve"> </v>
      </c>
      <c r="R89" s="27" t="str">
        <f t="shared" si="114"/>
        <v xml:space="preserve"> </v>
      </c>
      <c r="S89" s="27" t="str">
        <f t="shared" si="115"/>
        <v xml:space="preserve"> </v>
      </c>
      <c r="T89" s="27" t="str">
        <f t="shared" si="116"/>
        <v xml:space="preserve"> </v>
      </c>
      <c r="U89" s="27" t="str">
        <f t="shared" si="117"/>
        <v xml:space="preserve"> </v>
      </c>
      <c r="V89" s="27" t="str">
        <f t="shared" si="118"/>
        <v xml:space="preserve"> </v>
      </c>
      <c r="W89" s="27" t="str">
        <f t="shared" si="119"/>
        <v xml:space="preserve"> </v>
      </c>
      <c r="X89" s="27" t="str">
        <f t="shared" si="120"/>
        <v xml:space="preserve"> </v>
      </c>
      <c r="Y89" s="27" t="str">
        <f t="shared" si="121"/>
        <v xml:space="preserve"> </v>
      </c>
      <c r="Z89" s="27" t="str">
        <f t="shared" si="122"/>
        <v xml:space="preserve"> </v>
      </c>
      <c r="AA89" s="27" t="str">
        <f t="shared" si="123"/>
        <v xml:space="preserve"> </v>
      </c>
      <c r="AB89" s="27" t="str">
        <f t="shared" si="124"/>
        <v xml:space="preserve"> </v>
      </c>
      <c r="AC89" s="27" t="str">
        <f t="shared" si="125"/>
        <v xml:space="preserve"> </v>
      </c>
      <c r="AD89" s="27" t="str">
        <f t="shared" si="126"/>
        <v xml:space="preserve"> </v>
      </c>
      <c r="AE89" s="27" t="str">
        <f t="shared" si="127"/>
        <v xml:space="preserve"> </v>
      </c>
      <c r="AF89" s="27" t="str">
        <f t="shared" si="128"/>
        <v xml:space="preserve"> </v>
      </c>
      <c r="AG89" s="27" t="str">
        <f t="shared" si="129"/>
        <v xml:space="preserve"> </v>
      </c>
      <c r="AH89" s="27" t="str">
        <f t="shared" si="130"/>
        <v xml:space="preserve"> </v>
      </c>
      <c r="AI89" s="27" t="str">
        <f t="shared" si="131"/>
        <v xml:space="preserve"> </v>
      </c>
      <c r="AJ89" s="27" t="str">
        <f t="shared" si="132"/>
        <v xml:space="preserve"> </v>
      </c>
      <c r="AK89" s="27" t="str">
        <f t="shared" si="133"/>
        <v xml:space="preserve"> </v>
      </c>
      <c r="AL89" s="27" t="str">
        <f t="shared" si="134"/>
        <v xml:space="preserve"> </v>
      </c>
      <c r="AM89" s="27" t="str">
        <f t="shared" si="135"/>
        <v xml:space="preserve"> </v>
      </c>
      <c r="AN89" s="27" t="str">
        <f t="shared" si="136"/>
        <v xml:space="preserve"> </v>
      </c>
      <c r="AO89" s="27" t="str">
        <f t="shared" si="137"/>
        <v xml:space="preserve"> </v>
      </c>
      <c r="AP89" s="27" t="str">
        <f t="shared" si="138"/>
        <v xml:space="preserve"> </v>
      </c>
      <c r="AQ89" s="27" t="str">
        <f t="shared" si="139"/>
        <v xml:space="preserve"> </v>
      </c>
      <c r="AR89" s="27" t="str">
        <f t="shared" si="140"/>
        <v xml:space="preserve"> </v>
      </c>
      <c r="AS89" s="27" t="str">
        <f t="shared" si="141"/>
        <v xml:space="preserve"> </v>
      </c>
      <c r="AT89" s="27" t="str">
        <f t="shared" si="142"/>
        <v xml:space="preserve"> </v>
      </c>
      <c r="AU89" s="27" t="str">
        <f t="shared" si="143"/>
        <v xml:space="preserve"> </v>
      </c>
      <c r="AV89" s="27" t="str">
        <f t="shared" si="144"/>
        <v xml:space="preserve"> </v>
      </c>
      <c r="AW89" s="27" t="str">
        <f t="shared" si="145"/>
        <v xml:space="preserve"> </v>
      </c>
      <c r="AX89" s="27" t="str">
        <f t="shared" si="146"/>
        <v xml:space="preserve"> </v>
      </c>
      <c r="AY89" s="27" t="str">
        <f t="shared" si="147"/>
        <v xml:space="preserve"> </v>
      </c>
      <c r="AZ89" s="27" t="str">
        <f t="shared" si="148"/>
        <v xml:space="preserve"> </v>
      </c>
      <c r="BA89" s="27" t="str">
        <f t="shared" si="149"/>
        <v xml:space="preserve"> </v>
      </c>
      <c r="BB89" s="27" t="str">
        <f t="shared" si="150"/>
        <v xml:space="preserve"> </v>
      </c>
      <c r="BC89" s="27" t="str">
        <f t="shared" si="151"/>
        <v xml:space="preserve"> </v>
      </c>
      <c r="BD89" s="27" t="str">
        <f t="shared" si="152"/>
        <v xml:space="preserve"> </v>
      </c>
      <c r="BE89" s="27" t="str">
        <f t="shared" si="153"/>
        <v xml:space="preserve"> </v>
      </c>
      <c r="BF89" s="27" t="str">
        <f t="shared" si="154"/>
        <v xml:space="preserve"> </v>
      </c>
      <c r="BG89" s="27" t="str">
        <f t="shared" si="155"/>
        <v xml:space="preserve"> </v>
      </c>
      <c r="BH89" s="27" t="str">
        <f t="shared" si="156"/>
        <v xml:space="preserve"> </v>
      </c>
      <c r="BI89" s="27" t="str">
        <f t="shared" si="157"/>
        <v xml:space="preserve"> </v>
      </c>
      <c r="BJ89" s="27" t="str">
        <f t="shared" si="158"/>
        <v xml:space="preserve"> </v>
      </c>
      <c r="BK89" s="27" t="str">
        <f t="shared" si="159"/>
        <v xml:space="preserve"> </v>
      </c>
      <c r="BL89" s="27" t="str">
        <f t="shared" si="160"/>
        <v xml:space="preserve"> </v>
      </c>
      <c r="BM89" s="27" t="str">
        <f t="shared" si="161"/>
        <v xml:space="preserve"> </v>
      </c>
      <c r="BN89" s="27" t="str">
        <f t="shared" si="162"/>
        <v xml:space="preserve"> </v>
      </c>
      <c r="BO89" s="27" t="str">
        <f t="shared" si="163"/>
        <v xml:space="preserve"> </v>
      </c>
      <c r="BP89" s="27" t="str">
        <f t="shared" si="164"/>
        <v xml:space="preserve"> </v>
      </c>
      <c r="BQ89" s="27" t="str">
        <f t="shared" si="165"/>
        <v xml:space="preserve"> </v>
      </c>
      <c r="BR89" s="27" t="str">
        <f t="shared" si="166"/>
        <v xml:space="preserve"> </v>
      </c>
      <c r="BS89" s="27" t="str">
        <f t="shared" si="167"/>
        <v xml:space="preserve"> </v>
      </c>
      <c r="BT89" s="27" t="str">
        <f t="shared" si="168"/>
        <v xml:space="preserve"> </v>
      </c>
      <c r="BU89" s="27" t="str">
        <f t="shared" si="169"/>
        <v xml:space="preserve"> </v>
      </c>
      <c r="BV89" s="27" t="str">
        <f t="shared" si="170"/>
        <v xml:space="preserve"> </v>
      </c>
      <c r="BW89" s="27" t="str">
        <f t="shared" si="171"/>
        <v xml:space="preserve"> </v>
      </c>
      <c r="BX89" s="27" t="str">
        <f t="shared" si="172"/>
        <v xml:space="preserve"> </v>
      </c>
      <c r="BY89" s="27" t="str">
        <f t="shared" si="173"/>
        <v xml:space="preserve"> </v>
      </c>
      <c r="BZ89" s="27" t="str">
        <f t="shared" si="174"/>
        <v xml:space="preserve"> </v>
      </c>
      <c r="CA89" s="27" t="str">
        <f t="shared" si="175"/>
        <v xml:space="preserve"> </v>
      </c>
      <c r="CB89" s="27" t="str">
        <f t="shared" si="176"/>
        <v xml:space="preserve"> </v>
      </c>
      <c r="CC89" s="27" t="str">
        <f t="shared" si="177"/>
        <v xml:space="preserve"> </v>
      </c>
      <c r="CD89" s="27" t="str">
        <f t="shared" si="178"/>
        <v xml:space="preserve"> </v>
      </c>
      <c r="CE89" s="27"/>
      <c r="CF89" s="27"/>
      <c r="CG89" s="27"/>
      <c r="CH89" s="27"/>
      <c r="CI89" s="27"/>
      <c r="CJ89" s="27"/>
    </row>
    <row r="90" spans="1:88" x14ac:dyDescent="0.2">
      <c r="A90" s="27" t="str">
        <f t="shared" si="97"/>
        <v xml:space="preserve"> </v>
      </c>
      <c r="B90" s="27" t="str">
        <f t="shared" si="98"/>
        <v xml:space="preserve"> </v>
      </c>
      <c r="C90" s="27" t="str">
        <f t="shared" si="99"/>
        <v xml:space="preserve"> </v>
      </c>
      <c r="D90" s="27" t="str">
        <f t="shared" si="100"/>
        <v xml:space="preserve"> </v>
      </c>
      <c r="E90" s="27" t="str">
        <f t="shared" si="101"/>
        <v xml:space="preserve"> </v>
      </c>
      <c r="F90" s="27" t="str">
        <f t="shared" si="102"/>
        <v xml:space="preserve"> </v>
      </c>
      <c r="G90" s="27" t="str">
        <f t="shared" si="103"/>
        <v xml:space="preserve"> </v>
      </c>
      <c r="H90" s="27" t="str">
        <f t="shared" si="104"/>
        <v xml:space="preserve"> </v>
      </c>
      <c r="I90" s="27" t="str">
        <f t="shared" si="105"/>
        <v xml:space="preserve"> </v>
      </c>
      <c r="J90" s="27" t="str">
        <f t="shared" si="106"/>
        <v xml:space="preserve"> </v>
      </c>
      <c r="K90" s="27" t="str">
        <f t="shared" si="107"/>
        <v xml:space="preserve"> </v>
      </c>
      <c r="L90" s="27" t="str">
        <f t="shared" si="108"/>
        <v xml:space="preserve"> </v>
      </c>
      <c r="M90" s="27" t="str">
        <f t="shared" si="109"/>
        <v xml:space="preserve"> </v>
      </c>
      <c r="N90" s="27" t="str">
        <f t="shared" si="110"/>
        <v xml:space="preserve"> </v>
      </c>
      <c r="O90" s="27" t="str">
        <f t="shared" si="111"/>
        <v xml:space="preserve"> </v>
      </c>
      <c r="P90" s="27" t="str">
        <f t="shared" si="112"/>
        <v xml:space="preserve"> </v>
      </c>
      <c r="Q90" s="27" t="str">
        <f t="shared" si="113"/>
        <v xml:space="preserve"> </v>
      </c>
      <c r="R90" s="27" t="str">
        <f t="shared" si="114"/>
        <v xml:space="preserve"> </v>
      </c>
      <c r="S90" s="27" t="str">
        <f t="shared" si="115"/>
        <v xml:space="preserve"> </v>
      </c>
      <c r="T90" s="27" t="str">
        <f t="shared" si="116"/>
        <v xml:space="preserve"> </v>
      </c>
      <c r="U90" s="27" t="str">
        <f t="shared" si="117"/>
        <v xml:space="preserve"> </v>
      </c>
      <c r="V90" s="27" t="str">
        <f t="shared" si="118"/>
        <v xml:space="preserve"> </v>
      </c>
      <c r="W90" s="27" t="str">
        <f t="shared" si="119"/>
        <v xml:space="preserve"> </v>
      </c>
      <c r="X90" s="27" t="str">
        <f t="shared" si="120"/>
        <v xml:space="preserve"> </v>
      </c>
      <c r="Y90" s="27" t="str">
        <f t="shared" si="121"/>
        <v xml:space="preserve"> </v>
      </c>
      <c r="Z90" s="27" t="str">
        <f t="shared" si="122"/>
        <v xml:space="preserve"> </v>
      </c>
      <c r="AA90" s="27" t="str">
        <f t="shared" si="123"/>
        <v xml:space="preserve"> </v>
      </c>
      <c r="AB90" s="27" t="str">
        <f t="shared" si="124"/>
        <v xml:space="preserve"> </v>
      </c>
      <c r="AC90" s="27" t="str">
        <f t="shared" si="125"/>
        <v xml:space="preserve"> </v>
      </c>
      <c r="AD90" s="27" t="str">
        <f t="shared" si="126"/>
        <v xml:space="preserve"> </v>
      </c>
      <c r="AE90" s="27" t="str">
        <f t="shared" si="127"/>
        <v xml:space="preserve"> </v>
      </c>
      <c r="AF90" s="27" t="str">
        <f t="shared" si="128"/>
        <v xml:space="preserve"> </v>
      </c>
      <c r="AG90" s="27" t="str">
        <f t="shared" si="129"/>
        <v xml:space="preserve"> </v>
      </c>
      <c r="AH90" s="27" t="str">
        <f t="shared" si="130"/>
        <v xml:space="preserve"> </v>
      </c>
      <c r="AI90" s="27" t="str">
        <f t="shared" si="131"/>
        <v xml:space="preserve"> </v>
      </c>
      <c r="AJ90" s="27" t="str">
        <f t="shared" si="132"/>
        <v xml:space="preserve"> </v>
      </c>
      <c r="AK90" s="27" t="str">
        <f t="shared" si="133"/>
        <v xml:space="preserve"> </v>
      </c>
      <c r="AL90" s="27" t="str">
        <f t="shared" si="134"/>
        <v xml:space="preserve"> </v>
      </c>
      <c r="AM90" s="27" t="str">
        <f t="shared" si="135"/>
        <v xml:space="preserve"> </v>
      </c>
      <c r="AN90" s="27" t="str">
        <f t="shared" si="136"/>
        <v xml:space="preserve"> </v>
      </c>
      <c r="AO90" s="27" t="str">
        <f t="shared" si="137"/>
        <v xml:space="preserve"> </v>
      </c>
      <c r="AP90" s="27" t="str">
        <f t="shared" si="138"/>
        <v xml:space="preserve"> </v>
      </c>
      <c r="AQ90" s="27" t="str">
        <f t="shared" si="139"/>
        <v xml:space="preserve"> </v>
      </c>
      <c r="AR90" s="27" t="str">
        <f t="shared" si="140"/>
        <v xml:space="preserve"> </v>
      </c>
      <c r="AS90" s="27" t="str">
        <f t="shared" si="141"/>
        <v xml:space="preserve"> </v>
      </c>
      <c r="AT90" s="27" t="str">
        <f t="shared" si="142"/>
        <v xml:space="preserve"> </v>
      </c>
      <c r="AU90" s="27" t="str">
        <f t="shared" si="143"/>
        <v xml:space="preserve"> </v>
      </c>
      <c r="AV90" s="27" t="str">
        <f t="shared" si="144"/>
        <v xml:space="preserve"> </v>
      </c>
      <c r="AW90" s="27" t="str">
        <f t="shared" si="145"/>
        <v xml:space="preserve"> </v>
      </c>
      <c r="AX90" s="27" t="str">
        <f t="shared" si="146"/>
        <v xml:space="preserve"> </v>
      </c>
      <c r="AY90" s="27" t="str">
        <f t="shared" si="147"/>
        <v xml:space="preserve"> </v>
      </c>
      <c r="AZ90" s="27" t="str">
        <f t="shared" si="148"/>
        <v xml:space="preserve"> </v>
      </c>
      <c r="BA90" s="27" t="str">
        <f t="shared" si="149"/>
        <v xml:space="preserve"> </v>
      </c>
      <c r="BB90" s="27" t="str">
        <f t="shared" si="150"/>
        <v xml:space="preserve"> </v>
      </c>
      <c r="BC90" s="27" t="str">
        <f t="shared" si="151"/>
        <v xml:space="preserve"> </v>
      </c>
      <c r="BD90" s="27" t="str">
        <f t="shared" si="152"/>
        <v xml:space="preserve"> </v>
      </c>
      <c r="BE90" s="27" t="str">
        <f t="shared" si="153"/>
        <v xml:space="preserve"> </v>
      </c>
      <c r="BF90" s="27" t="str">
        <f t="shared" si="154"/>
        <v xml:space="preserve"> </v>
      </c>
      <c r="BG90" s="27" t="str">
        <f t="shared" si="155"/>
        <v xml:space="preserve"> </v>
      </c>
      <c r="BH90" s="27" t="str">
        <f t="shared" si="156"/>
        <v xml:space="preserve"> </v>
      </c>
      <c r="BI90" s="27" t="str">
        <f t="shared" si="157"/>
        <v xml:space="preserve"> </v>
      </c>
      <c r="BJ90" s="27" t="str">
        <f t="shared" si="158"/>
        <v xml:space="preserve"> </v>
      </c>
      <c r="BK90" s="27" t="str">
        <f t="shared" si="159"/>
        <v xml:space="preserve"> </v>
      </c>
      <c r="BL90" s="27" t="str">
        <f t="shared" si="160"/>
        <v xml:space="preserve"> </v>
      </c>
      <c r="BM90" s="27" t="str">
        <f t="shared" si="161"/>
        <v xml:space="preserve"> </v>
      </c>
      <c r="BN90" s="27" t="str">
        <f t="shared" si="162"/>
        <v xml:space="preserve"> </v>
      </c>
      <c r="BO90" s="27" t="str">
        <f t="shared" si="163"/>
        <v xml:space="preserve"> </v>
      </c>
      <c r="BP90" s="27" t="str">
        <f t="shared" si="164"/>
        <v xml:space="preserve"> </v>
      </c>
      <c r="BQ90" s="27" t="str">
        <f t="shared" si="165"/>
        <v xml:space="preserve"> </v>
      </c>
      <c r="BR90" s="27" t="str">
        <f t="shared" si="166"/>
        <v xml:space="preserve"> </v>
      </c>
      <c r="BS90" s="27" t="str">
        <f t="shared" si="167"/>
        <v xml:space="preserve"> </v>
      </c>
      <c r="BT90" s="27" t="str">
        <f t="shared" si="168"/>
        <v xml:space="preserve"> </v>
      </c>
      <c r="BU90" s="27" t="str">
        <f t="shared" si="169"/>
        <v xml:space="preserve"> </v>
      </c>
      <c r="BV90" s="27" t="str">
        <f t="shared" si="170"/>
        <v xml:space="preserve"> </v>
      </c>
      <c r="BW90" s="27" t="str">
        <f t="shared" si="171"/>
        <v xml:space="preserve"> </v>
      </c>
      <c r="BX90" s="27" t="str">
        <f t="shared" si="172"/>
        <v xml:space="preserve"> </v>
      </c>
      <c r="BY90" s="27" t="str">
        <f t="shared" si="173"/>
        <v xml:space="preserve"> </v>
      </c>
      <c r="BZ90" s="27" t="str">
        <f t="shared" si="174"/>
        <v xml:space="preserve"> </v>
      </c>
      <c r="CA90" s="27" t="str">
        <f t="shared" si="175"/>
        <v xml:space="preserve"> </v>
      </c>
      <c r="CB90" s="27" t="str">
        <f t="shared" si="176"/>
        <v xml:space="preserve"> </v>
      </c>
      <c r="CC90" s="27" t="str">
        <f t="shared" si="177"/>
        <v xml:space="preserve"> </v>
      </c>
      <c r="CD90" s="27" t="str">
        <f t="shared" si="178"/>
        <v xml:space="preserve"> </v>
      </c>
      <c r="CE90" s="27"/>
      <c r="CF90" s="27"/>
      <c r="CG90" s="27"/>
      <c r="CH90" s="27"/>
      <c r="CI90" s="27"/>
      <c r="CJ90" s="27"/>
    </row>
    <row r="91" spans="1:88" x14ac:dyDescent="0.2">
      <c r="A91" s="27" t="str">
        <f t="shared" si="97"/>
        <v xml:space="preserve"> </v>
      </c>
      <c r="B91" s="27" t="str">
        <f t="shared" si="98"/>
        <v xml:space="preserve"> </v>
      </c>
      <c r="C91" s="27" t="str">
        <f t="shared" si="99"/>
        <v xml:space="preserve"> </v>
      </c>
      <c r="D91" s="27" t="str">
        <f t="shared" si="100"/>
        <v xml:space="preserve"> </v>
      </c>
      <c r="E91" s="27" t="str">
        <f t="shared" si="101"/>
        <v xml:space="preserve"> </v>
      </c>
      <c r="F91" s="27" t="str">
        <f t="shared" si="102"/>
        <v xml:space="preserve"> </v>
      </c>
      <c r="G91" s="27" t="str">
        <f t="shared" si="103"/>
        <v xml:space="preserve"> </v>
      </c>
      <c r="H91" s="27" t="str">
        <f t="shared" si="104"/>
        <v xml:space="preserve"> </v>
      </c>
      <c r="I91" s="27" t="str">
        <f t="shared" si="105"/>
        <v xml:space="preserve"> </v>
      </c>
      <c r="J91" s="27" t="str">
        <f t="shared" si="106"/>
        <v xml:space="preserve"> </v>
      </c>
      <c r="K91" s="27" t="str">
        <f t="shared" si="107"/>
        <v xml:space="preserve"> </v>
      </c>
      <c r="L91" s="27" t="str">
        <f t="shared" si="108"/>
        <v xml:space="preserve"> </v>
      </c>
      <c r="M91" s="27" t="str">
        <f t="shared" si="109"/>
        <v xml:space="preserve"> </v>
      </c>
      <c r="N91" s="27" t="str">
        <f t="shared" si="110"/>
        <v xml:space="preserve"> </v>
      </c>
      <c r="O91" s="27" t="str">
        <f t="shared" si="111"/>
        <v xml:space="preserve"> </v>
      </c>
      <c r="P91" s="27" t="str">
        <f t="shared" si="112"/>
        <v xml:space="preserve"> </v>
      </c>
      <c r="Q91" s="27" t="str">
        <f t="shared" si="113"/>
        <v xml:space="preserve"> </v>
      </c>
      <c r="R91" s="27" t="str">
        <f t="shared" si="114"/>
        <v xml:space="preserve"> </v>
      </c>
      <c r="S91" s="27" t="str">
        <f t="shared" si="115"/>
        <v xml:space="preserve"> </v>
      </c>
      <c r="T91" s="27" t="str">
        <f t="shared" si="116"/>
        <v xml:space="preserve"> </v>
      </c>
      <c r="U91" s="27" t="str">
        <f t="shared" si="117"/>
        <v xml:space="preserve"> </v>
      </c>
      <c r="V91" s="27" t="str">
        <f t="shared" si="118"/>
        <v xml:space="preserve"> </v>
      </c>
      <c r="W91" s="27" t="str">
        <f t="shared" si="119"/>
        <v xml:space="preserve"> </v>
      </c>
      <c r="X91" s="27" t="str">
        <f t="shared" si="120"/>
        <v xml:space="preserve"> </v>
      </c>
      <c r="Y91" s="27" t="str">
        <f t="shared" si="121"/>
        <v xml:space="preserve"> </v>
      </c>
      <c r="Z91" s="27" t="str">
        <f t="shared" si="122"/>
        <v xml:space="preserve"> </v>
      </c>
      <c r="AA91" s="27" t="str">
        <f t="shared" si="123"/>
        <v xml:space="preserve"> </v>
      </c>
      <c r="AB91" s="27" t="str">
        <f t="shared" si="124"/>
        <v xml:space="preserve"> </v>
      </c>
      <c r="AC91" s="27" t="str">
        <f t="shared" si="125"/>
        <v xml:space="preserve"> </v>
      </c>
      <c r="AD91" s="27" t="str">
        <f t="shared" si="126"/>
        <v xml:space="preserve"> </v>
      </c>
      <c r="AE91" s="27" t="str">
        <f t="shared" si="127"/>
        <v xml:space="preserve"> </v>
      </c>
      <c r="AF91" s="27" t="str">
        <f t="shared" si="128"/>
        <v xml:space="preserve"> </v>
      </c>
      <c r="AG91" s="27" t="str">
        <f t="shared" si="129"/>
        <v xml:space="preserve"> </v>
      </c>
      <c r="AH91" s="27" t="str">
        <f t="shared" si="130"/>
        <v xml:space="preserve"> </v>
      </c>
      <c r="AI91" s="27" t="str">
        <f t="shared" si="131"/>
        <v xml:space="preserve"> </v>
      </c>
      <c r="AJ91" s="27" t="str">
        <f t="shared" si="132"/>
        <v xml:space="preserve"> </v>
      </c>
      <c r="AK91" s="27" t="str">
        <f t="shared" si="133"/>
        <v xml:space="preserve"> </v>
      </c>
      <c r="AL91" s="27" t="str">
        <f t="shared" si="134"/>
        <v xml:space="preserve"> </v>
      </c>
      <c r="AM91" s="27" t="str">
        <f t="shared" si="135"/>
        <v xml:space="preserve"> </v>
      </c>
      <c r="AN91" s="27" t="str">
        <f t="shared" si="136"/>
        <v xml:space="preserve"> </v>
      </c>
      <c r="AO91" s="27" t="str">
        <f t="shared" si="137"/>
        <v xml:space="preserve"> </v>
      </c>
      <c r="AP91" s="27" t="str">
        <f t="shared" si="138"/>
        <v xml:space="preserve"> </v>
      </c>
      <c r="AQ91" s="27" t="str">
        <f t="shared" si="139"/>
        <v xml:space="preserve"> </v>
      </c>
      <c r="AR91" s="27" t="str">
        <f t="shared" si="140"/>
        <v xml:space="preserve"> </v>
      </c>
      <c r="AS91" s="27" t="str">
        <f t="shared" si="141"/>
        <v xml:space="preserve"> </v>
      </c>
      <c r="AT91" s="27" t="str">
        <f t="shared" si="142"/>
        <v xml:space="preserve"> </v>
      </c>
      <c r="AU91" s="27" t="str">
        <f t="shared" si="143"/>
        <v xml:space="preserve"> </v>
      </c>
      <c r="AV91" s="27" t="str">
        <f t="shared" si="144"/>
        <v xml:space="preserve"> </v>
      </c>
      <c r="AW91" s="27" t="str">
        <f t="shared" si="145"/>
        <v xml:space="preserve"> </v>
      </c>
      <c r="AX91" s="27" t="str">
        <f t="shared" si="146"/>
        <v xml:space="preserve"> </v>
      </c>
      <c r="AY91" s="27" t="str">
        <f t="shared" si="147"/>
        <v xml:space="preserve"> </v>
      </c>
      <c r="AZ91" s="27" t="str">
        <f t="shared" si="148"/>
        <v xml:space="preserve"> </v>
      </c>
      <c r="BA91" s="27" t="str">
        <f t="shared" si="149"/>
        <v xml:space="preserve"> </v>
      </c>
      <c r="BB91" s="27" t="str">
        <f t="shared" si="150"/>
        <v xml:space="preserve"> </v>
      </c>
      <c r="BC91" s="27" t="str">
        <f t="shared" si="151"/>
        <v xml:space="preserve"> </v>
      </c>
      <c r="BD91" s="27" t="str">
        <f t="shared" si="152"/>
        <v xml:space="preserve"> </v>
      </c>
      <c r="BE91" s="27" t="str">
        <f t="shared" si="153"/>
        <v xml:space="preserve"> </v>
      </c>
      <c r="BF91" s="27" t="str">
        <f t="shared" si="154"/>
        <v xml:space="preserve"> </v>
      </c>
      <c r="BG91" s="27" t="str">
        <f t="shared" si="155"/>
        <v xml:space="preserve"> </v>
      </c>
      <c r="BH91" s="27" t="str">
        <f t="shared" si="156"/>
        <v xml:space="preserve"> </v>
      </c>
      <c r="BI91" s="27" t="str">
        <f t="shared" si="157"/>
        <v xml:space="preserve"> </v>
      </c>
      <c r="BJ91" s="27" t="str">
        <f t="shared" si="158"/>
        <v xml:space="preserve"> </v>
      </c>
      <c r="BK91" s="27" t="str">
        <f t="shared" si="159"/>
        <v xml:space="preserve"> </v>
      </c>
      <c r="BL91" s="27" t="str">
        <f t="shared" si="160"/>
        <v xml:space="preserve"> </v>
      </c>
      <c r="BM91" s="27" t="str">
        <f t="shared" si="161"/>
        <v xml:space="preserve"> </v>
      </c>
      <c r="BN91" s="27" t="str">
        <f t="shared" si="162"/>
        <v xml:space="preserve"> </v>
      </c>
      <c r="BO91" s="27" t="str">
        <f t="shared" si="163"/>
        <v xml:space="preserve"> </v>
      </c>
      <c r="BP91" s="27" t="str">
        <f t="shared" si="164"/>
        <v xml:space="preserve"> </v>
      </c>
      <c r="BQ91" s="27" t="str">
        <f t="shared" si="165"/>
        <v xml:space="preserve"> </v>
      </c>
      <c r="BR91" s="27" t="str">
        <f t="shared" si="166"/>
        <v xml:space="preserve"> </v>
      </c>
      <c r="BS91" s="27" t="str">
        <f t="shared" si="167"/>
        <v xml:space="preserve"> </v>
      </c>
      <c r="BT91" s="27" t="str">
        <f t="shared" si="168"/>
        <v xml:space="preserve"> </v>
      </c>
      <c r="BU91" s="27" t="str">
        <f t="shared" si="169"/>
        <v xml:space="preserve"> </v>
      </c>
      <c r="BV91" s="27" t="str">
        <f t="shared" si="170"/>
        <v xml:space="preserve"> </v>
      </c>
      <c r="BW91" s="27" t="str">
        <f t="shared" si="171"/>
        <v xml:space="preserve"> </v>
      </c>
      <c r="BX91" s="27" t="str">
        <f t="shared" si="172"/>
        <v xml:space="preserve"> </v>
      </c>
      <c r="BY91" s="27" t="str">
        <f t="shared" si="173"/>
        <v xml:space="preserve"> </v>
      </c>
      <c r="BZ91" s="27" t="str">
        <f t="shared" si="174"/>
        <v xml:space="preserve"> </v>
      </c>
      <c r="CA91" s="27" t="str">
        <f t="shared" si="175"/>
        <v xml:space="preserve"> </v>
      </c>
      <c r="CB91" s="27" t="str">
        <f t="shared" si="176"/>
        <v xml:space="preserve"> </v>
      </c>
      <c r="CC91" s="27" t="str">
        <f t="shared" si="177"/>
        <v xml:space="preserve"> </v>
      </c>
      <c r="CD91" s="27" t="str">
        <f t="shared" si="178"/>
        <v xml:space="preserve"> </v>
      </c>
      <c r="CE91" s="27"/>
      <c r="CF91" s="27"/>
      <c r="CG91" s="27"/>
      <c r="CH91" s="27"/>
      <c r="CI91" s="27"/>
      <c r="CJ91" s="27"/>
    </row>
    <row r="92" spans="1:88" x14ac:dyDescent="0.2">
      <c r="A92" s="27" t="str">
        <f t="shared" si="97"/>
        <v xml:space="preserve"> </v>
      </c>
      <c r="B92" s="27" t="str">
        <f t="shared" si="98"/>
        <v xml:space="preserve"> </v>
      </c>
      <c r="C92" s="27" t="str">
        <f t="shared" si="99"/>
        <v xml:space="preserve"> </v>
      </c>
      <c r="D92" s="27" t="str">
        <f t="shared" si="100"/>
        <v xml:space="preserve"> </v>
      </c>
      <c r="E92" s="27" t="str">
        <f t="shared" si="101"/>
        <v xml:space="preserve"> </v>
      </c>
      <c r="F92" s="27" t="str">
        <f t="shared" si="102"/>
        <v xml:space="preserve"> </v>
      </c>
      <c r="G92" s="27" t="str">
        <f t="shared" si="103"/>
        <v xml:space="preserve"> </v>
      </c>
      <c r="H92" s="27" t="str">
        <f t="shared" si="104"/>
        <v xml:space="preserve"> </v>
      </c>
      <c r="I92" s="27" t="str">
        <f t="shared" si="105"/>
        <v xml:space="preserve"> </v>
      </c>
      <c r="J92" s="27" t="str">
        <f t="shared" si="106"/>
        <v xml:space="preserve"> </v>
      </c>
      <c r="K92" s="27" t="str">
        <f t="shared" si="107"/>
        <v xml:space="preserve"> </v>
      </c>
      <c r="L92" s="27" t="str">
        <f t="shared" si="108"/>
        <v xml:space="preserve"> </v>
      </c>
      <c r="M92" s="27" t="str">
        <f t="shared" si="109"/>
        <v xml:space="preserve"> </v>
      </c>
      <c r="N92" s="27" t="str">
        <f t="shared" si="110"/>
        <v xml:space="preserve"> </v>
      </c>
      <c r="O92" s="27" t="str">
        <f t="shared" si="111"/>
        <v xml:space="preserve"> </v>
      </c>
      <c r="P92" s="27" t="str">
        <f t="shared" si="112"/>
        <v xml:space="preserve"> </v>
      </c>
      <c r="Q92" s="27" t="str">
        <f t="shared" si="113"/>
        <v xml:space="preserve"> </v>
      </c>
      <c r="R92" s="27" t="str">
        <f t="shared" si="114"/>
        <v xml:space="preserve"> </v>
      </c>
      <c r="S92" s="27" t="str">
        <f t="shared" si="115"/>
        <v xml:space="preserve"> </v>
      </c>
      <c r="T92" s="27" t="str">
        <f t="shared" si="116"/>
        <v xml:space="preserve"> </v>
      </c>
      <c r="U92" s="27" t="str">
        <f t="shared" si="117"/>
        <v xml:space="preserve"> </v>
      </c>
      <c r="V92" s="27" t="str">
        <f t="shared" si="118"/>
        <v xml:space="preserve"> </v>
      </c>
      <c r="W92" s="27" t="str">
        <f t="shared" si="119"/>
        <v xml:space="preserve"> </v>
      </c>
      <c r="X92" s="27" t="str">
        <f t="shared" si="120"/>
        <v xml:space="preserve"> </v>
      </c>
      <c r="Y92" s="27" t="str">
        <f t="shared" si="121"/>
        <v xml:space="preserve"> </v>
      </c>
      <c r="Z92" s="27" t="str">
        <f t="shared" si="122"/>
        <v xml:space="preserve"> </v>
      </c>
      <c r="AA92" s="27" t="str">
        <f t="shared" si="123"/>
        <v xml:space="preserve"> </v>
      </c>
      <c r="AB92" s="27" t="str">
        <f t="shared" si="124"/>
        <v xml:space="preserve"> </v>
      </c>
      <c r="AC92" s="27" t="str">
        <f t="shared" si="125"/>
        <v xml:space="preserve"> </v>
      </c>
      <c r="AD92" s="27" t="str">
        <f t="shared" si="126"/>
        <v xml:space="preserve"> </v>
      </c>
      <c r="AE92" s="27" t="str">
        <f t="shared" si="127"/>
        <v xml:space="preserve"> </v>
      </c>
      <c r="AF92" s="27" t="str">
        <f t="shared" si="128"/>
        <v xml:space="preserve"> </v>
      </c>
      <c r="AG92" s="27" t="str">
        <f t="shared" si="129"/>
        <v xml:space="preserve"> </v>
      </c>
      <c r="AH92" s="27" t="str">
        <f t="shared" si="130"/>
        <v xml:space="preserve"> </v>
      </c>
      <c r="AI92" s="27" t="str">
        <f t="shared" si="131"/>
        <v xml:space="preserve"> </v>
      </c>
      <c r="AJ92" s="27" t="str">
        <f t="shared" si="132"/>
        <v xml:space="preserve"> </v>
      </c>
      <c r="AK92" s="27" t="str">
        <f t="shared" si="133"/>
        <v xml:space="preserve"> </v>
      </c>
      <c r="AL92" s="27" t="str">
        <f t="shared" si="134"/>
        <v xml:space="preserve"> </v>
      </c>
      <c r="AM92" s="27" t="str">
        <f t="shared" si="135"/>
        <v xml:space="preserve"> </v>
      </c>
      <c r="AN92" s="27" t="str">
        <f t="shared" si="136"/>
        <v xml:space="preserve"> </v>
      </c>
      <c r="AO92" s="27" t="str">
        <f t="shared" si="137"/>
        <v xml:space="preserve"> </v>
      </c>
      <c r="AP92" s="27" t="str">
        <f t="shared" si="138"/>
        <v xml:space="preserve"> </v>
      </c>
      <c r="AQ92" s="27" t="str">
        <f t="shared" si="139"/>
        <v xml:space="preserve"> </v>
      </c>
      <c r="AR92" s="27" t="str">
        <f t="shared" si="140"/>
        <v xml:space="preserve"> </v>
      </c>
      <c r="AS92" s="27" t="str">
        <f t="shared" si="141"/>
        <v xml:space="preserve"> </v>
      </c>
      <c r="AT92" s="27" t="str">
        <f t="shared" si="142"/>
        <v xml:space="preserve"> </v>
      </c>
      <c r="AU92" s="27" t="str">
        <f t="shared" si="143"/>
        <v xml:space="preserve"> </v>
      </c>
      <c r="AV92" s="27" t="str">
        <f t="shared" si="144"/>
        <v xml:space="preserve"> </v>
      </c>
      <c r="AW92" s="27" t="str">
        <f t="shared" si="145"/>
        <v xml:space="preserve"> </v>
      </c>
      <c r="AX92" s="27" t="str">
        <f t="shared" si="146"/>
        <v xml:space="preserve"> </v>
      </c>
      <c r="AY92" s="27" t="str">
        <f t="shared" si="147"/>
        <v xml:space="preserve"> </v>
      </c>
      <c r="AZ92" s="27" t="str">
        <f t="shared" si="148"/>
        <v xml:space="preserve"> </v>
      </c>
      <c r="BA92" s="27" t="str">
        <f t="shared" si="149"/>
        <v xml:space="preserve"> </v>
      </c>
      <c r="BB92" s="27" t="str">
        <f t="shared" si="150"/>
        <v xml:space="preserve"> </v>
      </c>
      <c r="BC92" s="27" t="str">
        <f t="shared" si="151"/>
        <v xml:space="preserve"> </v>
      </c>
      <c r="BD92" s="27" t="str">
        <f t="shared" si="152"/>
        <v xml:space="preserve"> </v>
      </c>
      <c r="BE92" s="27" t="str">
        <f t="shared" si="153"/>
        <v xml:space="preserve"> </v>
      </c>
      <c r="BF92" s="27" t="str">
        <f t="shared" si="154"/>
        <v xml:space="preserve"> </v>
      </c>
      <c r="BG92" s="27" t="str">
        <f t="shared" si="155"/>
        <v xml:space="preserve"> </v>
      </c>
      <c r="BH92" s="27" t="str">
        <f t="shared" si="156"/>
        <v xml:space="preserve"> </v>
      </c>
      <c r="BI92" s="27" t="str">
        <f t="shared" si="157"/>
        <v xml:space="preserve"> </v>
      </c>
      <c r="BJ92" s="27" t="str">
        <f t="shared" si="158"/>
        <v xml:space="preserve"> </v>
      </c>
      <c r="BK92" s="27" t="str">
        <f t="shared" si="159"/>
        <v xml:space="preserve"> </v>
      </c>
      <c r="BL92" s="27" t="str">
        <f t="shared" si="160"/>
        <v xml:space="preserve"> </v>
      </c>
      <c r="BM92" s="27" t="str">
        <f t="shared" si="161"/>
        <v xml:space="preserve"> </v>
      </c>
      <c r="BN92" s="27" t="str">
        <f t="shared" si="162"/>
        <v xml:space="preserve"> </v>
      </c>
      <c r="BO92" s="27" t="str">
        <f t="shared" si="163"/>
        <v xml:space="preserve"> </v>
      </c>
      <c r="BP92" s="27" t="str">
        <f t="shared" si="164"/>
        <v xml:space="preserve"> </v>
      </c>
      <c r="BQ92" s="27" t="str">
        <f t="shared" si="165"/>
        <v xml:space="preserve"> </v>
      </c>
      <c r="BR92" s="27" t="str">
        <f t="shared" si="166"/>
        <v xml:space="preserve"> </v>
      </c>
      <c r="BS92" s="27" t="str">
        <f t="shared" si="167"/>
        <v xml:space="preserve"> </v>
      </c>
      <c r="BT92" s="27" t="str">
        <f t="shared" si="168"/>
        <v xml:space="preserve"> </v>
      </c>
      <c r="BU92" s="27" t="str">
        <f t="shared" si="169"/>
        <v xml:space="preserve"> </v>
      </c>
      <c r="BV92" s="27" t="str">
        <f t="shared" si="170"/>
        <v xml:space="preserve"> </v>
      </c>
      <c r="BW92" s="27" t="str">
        <f t="shared" si="171"/>
        <v xml:space="preserve"> </v>
      </c>
      <c r="BX92" s="27" t="str">
        <f t="shared" si="172"/>
        <v xml:space="preserve"> </v>
      </c>
      <c r="BY92" s="27" t="str">
        <f t="shared" si="173"/>
        <v xml:space="preserve"> </v>
      </c>
      <c r="BZ92" s="27" t="str">
        <f t="shared" si="174"/>
        <v xml:space="preserve"> </v>
      </c>
      <c r="CA92" s="27" t="str">
        <f t="shared" si="175"/>
        <v xml:space="preserve"> </v>
      </c>
      <c r="CB92" s="27" t="str">
        <f t="shared" si="176"/>
        <v xml:space="preserve"> </v>
      </c>
      <c r="CC92" s="27" t="str">
        <f t="shared" si="177"/>
        <v xml:space="preserve"> </v>
      </c>
      <c r="CD92" s="27" t="str">
        <f t="shared" si="178"/>
        <v xml:space="preserve"> </v>
      </c>
      <c r="CE92" s="27"/>
      <c r="CF92" s="27"/>
      <c r="CG92" s="27"/>
      <c r="CH92" s="27"/>
      <c r="CI92" s="27"/>
      <c r="CJ92" s="27"/>
    </row>
    <row r="93" spans="1:88" x14ac:dyDescent="0.2">
      <c r="A93" s="27" t="str">
        <f t="shared" si="97"/>
        <v xml:space="preserve"> </v>
      </c>
      <c r="B93" s="27" t="str">
        <f t="shared" si="98"/>
        <v xml:space="preserve"> </v>
      </c>
      <c r="C93" s="27" t="str">
        <f t="shared" si="99"/>
        <v xml:space="preserve"> </v>
      </c>
      <c r="D93" s="27" t="str">
        <f t="shared" si="100"/>
        <v xml:space="preserve"> </v>
      </c>
      <c r="E93" s="27" t="str">
        <f t="shared" si="101"/>
        <v xml:space="preserve"> </v>
      </c>
      <c r="F93" s="27" t="str">
        <f t="shared" si="102"/>
        <v xml:space="preserve"> </v>
      </c>
      <c r="G93" s="27" t="str">
        <f t="shared" si="103"/>
        <v xml:space="preserve"> </v>
      </c>
      <c r="H93" s="27" t="str">
        <f t="shared" si="104"/>
        <v xml:space="preserve"> </v>
      </c>
      <c r="I93" s="27" t="str">
        <f t="shared" si="105"/>
        <v xml:space="preserve"> </v>
      </c>
      <c r="J93" s="27" t="str">
        <f t="shared" si="106"/>
        <v xml:space="preserve"> </v>
      </c>
      <c r="K93" s="27" t="str">
        <f t="shared" si="107"/>
        <v xml:space="preserve"> </v>
      </c>
      <c r="L93" s="27" t="str">
        <f t="shared" si="108"/>
        <v xml:space="preserve"> </v>
      </c>
      <c r="M93" s="27" t="str">
        <f t="shared" si="109"/>
        <v xml:space="preserve"> </v>
      </c>
      <c r="N93" s="27" t="str">
        <f t="shared" si="110"/>
        <v xml:space="preserve"> </v>
      </c>
      <c r="O93" s="27" t="str">
        <f t="shared" si="111"/>
        <v xml:space="preserve"> </v>
      </c>
      <c r="P93" s="27" t="str">
        <f t="shared" si="112"/>
        <v xml:space="preserve"> </v>
      </c>
      <c r="Q93" s="27" t="str">
        <f t="shared" si="113"/>
        <v xml:space="preserve"> </v>
      </c>
      <c r="R93" s="27" t="str">
        <f t="shared" si="114"/>
        <v xml:space="preserve"> </v>
      </c>
      <c r="S93" s="27" t="str">
        <f t="shared" si="115"/>
        <v xml:space="preserve"> </v>
      </c>
      <c r="T93" s="27" t="str">
        <f t="shared" si="116"/>
        <v xml:space="preserve"> </v>
      </c>
      <c r="U93" s="27" t="str">
        <f t="shared" si="117"/>
        <v xml:space="preserve"> </v>
      </c>
      <c r="V93" s="27" t="str">
        <f t="shared" si="118"/>
        <v xml:space="preserve"> </v>
      </c>
      <c r="W93" s="27" t="str">
        <f t="shared" si="119"/>
        <v xml:space="preserve"> </v>
      </c>
      <c r="X93" s="27" t="str">
        <f t="shared" si="120"/>
        <v xml:space="preserve"> </v>
      </c>
      <c r="Y93" s="27" t="str">
        <f t="shared" si="121"/>
        <v xml:space="preserve"> </v>
      </c>
      <c r="Z93" s="27" t="str">
        <f t="shared" si="122"/>
        <v xml:space="preserve"> </v>
      </c>
      <c r="AA93" s="27" t="str">
        <f t="shared" si="123"/>
        <v xml:space="preserve"> </v>
      </c>
      <c r="AB93" s="27" t="str">
        <f t="shared" si="124"/>
        <v xml:space="preserve"> </v>
      </c>
      <c r="AC93" s="27" t="str">
        <f t="shared" si="125"/>
        <v xml:space="preserve"> </v>
      </c>
      <c r="AD93" s="27" t="str">
        <f t="shared" si="126"/>
        <v xml:space="preserve"> </v>
      </c>
      <c r="AE93" s="27" t="str">
        <f t="shared" si="127"/>
        <v xml:space="preserve"> </v>
      </c>
      <c r="AF93" s="27" t="str">
        <f t="shared" si="128"/>
        <v xml:space="preserve"> </v>
      </c>
      <c r="AG93" s="27" t="str">
        <f t="shared" si="129"/>
        <v xml:space="preserve"> </v>
      </c>
      <c r="AH93" s="27" t="str">
        <f t="shared" si="130"/>
        <v xml:space="preserve"> </v>
      </c>
      <c r="AI93" s="27" t="str">
        <f t="shared" si="131"/>
        <v xml:space="preserve"> </v>
      </c>
      <c r="AJ93" s="27" t="str">
        <f t="shared" si="132"/>
        <v xml:space="preserve"> </v>
      </c>
      <c r="AK93" s="27" t="str">
        <f t="shared" si="133"/>
        <v xml:space="preserve"> </v>
      </c>
      <c r="AL93" s="27" t="str">
        <f t="shared" si="134"/>
        <v xml:space="preserve"> </v>
      </c>
      <c r="AM93" s="27" t="str">
        <f t="shared" si="135"/>
        <v xml:space="preserve"> </v>
      </c>
      <c r="AN93" s="27" t="str">
        <f t="shared" si="136"/>
        <v xml:space="preserve"> </v>
      </c>
      <c r="AO93" s="27" t="str">
        <f t="shared" si="137"/>
        <v xml:space="preserve"> </v>
      </c>
      <c r="AP93" s="27" t="str">
        <f t="shared" si="138"/>
        <v xml:space="preserve"> </v>
      </c>
      <c r="AQ93" s="27" t="str">
        <f t="shared" si="139"/>
        <v xml:space="preserve"> </v>
      </c>
      <c r="AR93" s="27" t="str">
        <f t="shared" si="140"/>
        <v xml:space="preserve"> </v>
      </c>
      <c r="AS93" s="27" t="str">
        <f t="shared" si="141"/>
        <v xml:space="preserve"> </v>
      </c>
      <c r="AT93" s="27" t="str">
        <f t="shared" si="142"/>
        <v xml:space="preserve"> </v>
      </c>
      <c r="AU93" s="27" t="str">
        <f t="shared" si="143"/>
        <v xml:space="preserve"> </v>
      </c>
      <c r="AV93" s="27" t="str">
        <f t="shared" si="144"/>
        <v xml:space="preserve"> </v>
      </c>
      <c r="AW93" s="27" t="str">
        <f t="shared" si="145"/>
        <v xml:space="preserve"> </v>
      </c>
      <c r="AX93" s="27" t="str">
        <f t="shared" si="146"/>
        <v xml:space="preserve"> </v>
      </c>
      <c r="AY93" s="27" t="str">
        <f t="shared" si="147"/>
        <v xml:space="preserve"> </v>
      </c>
      <c r="AZ93" s="27" t="str">
        <f t="shared" si="148"/>
        <v xml:space="preserve"> </v>
      </c>
      <c r="BA93" s="27" t="str">
        <f t="shared" si="149"/>
        <v xml:space="preserve"> </v>
      </c>
      <c r="BB93" s="27" t="str">
        <f t="shared" si="150"/>
        <v xml:space="preserve"> </v>
      </c>
      <c r="BC93" s="27" t="str">
        <f t="shared" si="151"/>
        <v xml:space="preserve"> </v>
      </c>
      <c r="BD93" s="27" t="str">
        <f t="shared" si="152"/>
        <v xml:space="preserve"> </v>
      </c>
      <c r="BE93" s="27" t="str">
        <f t="shared" si="153"/>
        <v xml:space="preserve"> </v>
      </c>
      <c r="BF93" s="27" t="str">
        <f t="shared" si="154"/>
        <v xml:space="preserve"> </v>
      </c>
      <c r="BG93" s="27" t="str">
        <f t="shared" si="155"/>
        <v xml:space="preserve"> </v>
      </c>
      <c r="BH93" s="27" t="str">
        <f t="shared" si="156"/>
        <v xml:space="preserve"> </v>
      </c>
      <c r="BI93" s="27" t="str">
        <f t="shared" si="157"/>
        <v xml:space="preserve"> </v>
      </c>
      <c r="BJ93" s="27" t="str">
        <f t="shared" si="158"/>
        <v xml:space="preserve"> </v>
      </c>
      <c r="BK93" s="27" t="str">
        <f t="shared" si="159"/>
        <v xml:space="preserve"> </v>
      </c>
      <c r="BL93" s="27" t="str">
        <f t="shared" si="160"/>
        <v xml:space="preserve"> </v>
      </c>
      <c r="BM93" s="27" t="str">
        <f t="shared" si="161"/>
        <v xml:space="preserve"> </v>
      </c>
      <c r="BN93" s="27" t="str">
        <f t="shared" si="162"/>
        <v xml:space="preserve"> </v>
      </c>
      <c r="BO93" s="27" t="str">
        <f t="shared" si="163"/>
        <v xml:space="preserve"> </v>
      </c>
      <c r="BP93" s="27" t="str">
        <f t="shared" si="164"/>
        <v xml:space="preserve"> </v>
      </c>
      <c r="BQ93" s="27" t="str">
        <f t="shared" si="165"/>
        <v xml:space="preserve"> </v>
      </c>
      <c r="BR93" s="27" t="str">
        <f t="shared" si="166"/>
        <v xml:space="preserve"> </v>
      </c>
      <c r="BS93" s="27" t="str">
        <f t="shared" si="167"/>
        <v xml:space="preserve"> </v>
      </c>
      <c r="BT93" s="27" t="str">
        <f t="shared" si="168"/>
        <v xml:space="preserve"> </v>
      </c>
      <c r="BU93" s="27" t="str">
        <f t="shared" si="169"/>
        <v xml:space="preserve"> </v>
      </c>
      <c r="BV93" s="27" t="str">
        <f t="shared" si="170"/>
        <v xml:space="preserve"> </v>
      </c>
      <c r="BW93" s="27" t="str">
        <f t="shared" si="171"/>
        <v xml:space="preserve"> </v>
      </c>
      <c r="BX93" s="27" t="str">
        <f t="shared" si="172"/>
        <v xml:space="preserve"> </v>
      </c>
      <c r="BY93" s="27" t="str">
        <f t="shared" si="173"/>
        <v xml:space="preserve"> </v>
      </c>
      <c r="BZ93" s="27" t="str">
        <f t="shared" si="174"/>
        <v xml:space="preserve"> </v>
      </c>
      <c r="CA93" s="27" t="str">
        <f t="shared" si="175"/>
        <v xml:space="preserve"> </v>
      </c>
      <c r="CB93" s="27" t="str">
        <f t="shared" si="176"/>
        <v xml:space="preserve"> </v>
      </c>
      <c r="CC93" s="27" t="str">
        <f t="shared" si="177"/>
        <v xml:space="preserve"> </v>
      </c>
      <c r="CD93" s="27" t="str">
        <f t="shared" si="178"/>
        <v xml:space="preserve"> </v>
      </c>
      <c r="CE93" s="27"/>
      <c r="CF93" s="27"/>
      <c r="CG93" s="27"/>
      <c r="CH93" s="27"/>
      <c r="CI93" s="27"/>
      <c r="CJ93" s="27"/>
    </row>
    <row r="94" spans="1:88" x14ac:dyDescent="0.2">
      <c r="A94" s="27" t="str">
        <f t="shared" si="97"/>
        <v xml:space="preserve"> </v>
      </c>
      <c r="B94" s="27" t="str">
        <f t="shared" si="98"/>
        <v xml:space="preserve"> </v>
      </c>
      <c r="C94" s="27" t="str">
        <f t="shared" si="99"/>
        <v xml:space="preserve"> </v>
      </c>
      <c r="D94" s="27" t="str">
        <f t="shared" si="100"/>
        <v xml:space="preserve"> </v>
      </c>
      <c r="E94" s="27" t="str">
        <f t="shared" si="101"/>
        <v xml:space="preserve"> </v>
      </c>
      <c r="F94" s="27" t="str">
        <f t="shared" si="102"/>
        <v xml:space="preserve"> </v>
      </c>
      <c r="G94" s="27" t="str">
        <f t="shared" si="103"/>
        <v xml:space="preserve"> </v>
      </c>
      <c r="H94" s="27" t="str">
        <f t="shared" si="104"/>
        <v xml:space="preserve"> </v>
      </c>
      <c r="I94" s="27" t="str">
        <f t="shared" si="105"/>
        <v xml:space="preserve"> </v>
      </c>
      <c r="J94" s="27" t="str">
        <f t="shared" si="106"/>
        <v xml:space="preserve"> </v>
      </c>
      <c r="K94" s="27" t="str">
        <f t="shared" si="107"/>
        <v xml:space="preserve"> </v>
      </c>
      <c r="L94" s="27" t="str">
        <f t="shared" si="108"/>
        <v xml:space="preserve"> </v>
      </c>
      <c r="M94" s="27" t="str">
        <f t="shared" si="109"/>
        <v xml:space="preserve"> </v>
      </c>
      <c r="N94" s="27" t="str">
        <f t="shared" si="110"/>
        <v xml:space="preserve"> </v>
      </c>
      <c r="O94" s="27" t="str">
        <f t="shared" si="111"/>
        <v xml:space="preserve"> </v>
      </c>
      <c r="P94" s="27" t="str">
        <f t="shared" si="112"/>
        <v xml:space="preserve"> </v>
      </c>
      <c r="Q94" s="27" t="str">
        <f t="shared" si="113"/>
        <v xml:space="preserve"> </v>
      </c>
      <c r="R94" s="27" t="str">
        <f t="shared" si="114"/>
        <v xml:space="preserve"> </v>
      </c>
      <c r="S94" s="27" t="str">
        <f t="shared" si="115"/>
        <v xml:space="preserve"> </v>
      </c>
      <c r="T94" s="27" t="str">
        <f t="shared" si="116"/>
        <v xml:space="preserve"> </v>
      </c>
      <c r="U94" s="27" t="str">
        <f t="shared" si="117"/>
        <v xml:space="preserve"> </v>
      </c>
      <c r="V94" s="27" t="str">
        <f t="shared" si="118"/>
        <v xml:space="preserve"> </v>
      </c>
      <c r="W94" s="27" t="str">
        <f t="shared" si="119"/>
        <v xml:space="preserve"> </v>
      </c>
      <c r="X94" s="27" t="str">
        <f t="shared" si="120"/>
        <v xml:space="preserve"> </v>
      </c>
      <c r="Y94" s="27" t="str">
        <f t="shared" si="121"/>
        <v xml:space="preserve"> </v>
      </c>
      <c r="Z94" s="27" t="str">
        <f t="shared" si="122"/>
        <v xml:space="preserve"> </v>
      </c>
      <c r="AA94" s="27" t="str">
        <f t="shared" si="123"/>
        <v xml:space="preserve"> </v>
      </c>
      <c r="AB94" s="27" t="str">
        <f t="shared" si="124"/>
        <v xml:space="preserve"> </v>
      </c>
      <c r="AC94" s="27" t="str">
        <f t="shared" si="125"/>
        <v xml:space="preserve"> </v>
      </c>
      <c r="AD94" s="27" t="str">
        <f t="shared" si="126"/>
        <v xml:space="preserve"> </v>
      </c>
      <c r="AE94" s="27" t="str">
        <f t="shared" si="127"/>
        <v xml:space="preserve"> </v>
      </c>
      <c r="AF94" s="27" t="str">
        <f t="shared" si="128"/>
        <v xml:space="preserve"> </v>
      </c>
      <c r="AG94" s="27" t="str">
        <f t="shared" si="129"/>
        <v xml:space="preserve"> </v>
      </c>
      <c r="AH94" s="27" t="str">
        <f t="shared" si="130"/>
        <v xml:space="preserve"> </v>
      </c>
      <c r="AI94" s="27" t="str">
        <f t="shared" si="131"/>
        <v xml:space="preserve"> </v>
      </c>
      <c r="AJ94" s="27" t="str">
        <f t="shared" si="132"/>
        <v xml:space="preserve"> </v>
      </c>
      <c r="AK94" s="27" t="str">
        <f t="shared" si="133"/>
        <v xml:space="preserve"> </v>
      </c>
      <c r="AL94" s="27" t="str">
        <f t="shared" si="134"/>
        <v xml:space="preserve"> </v>
      </c>
      <c r="AM94" s="27" t="str">
        <f t="shared" si="135"/>
        <v xml:space="preserve"> </v>
      </c>
      <c r="AN94" s="27" t="str">
        <f t="shared" si="136"/>
        <v xml:space="preserve"> </v>
      </c>
      <c r="AO94" s="27" t="str">
        <f t="shared" si="137"/>
        <v xml:space="preserve"> </v>
      </c>
      <c r="AP94" s="27" t="str">
        <f t="shared" si="138"/>
        <v xml:space="preserve"> </v>
      </c>
      <c r="AQ94" s="27" t="str">
        <f t="shared" si="139"/>
        <v xml:space="preserve"> </v>
      </c>
      <c r="AR94" s="27" t="str">
        <f t="shared" si="140"/>
        <v xml:space="preserve"> </v>
      </c>
      <c r="AS94" s="27" t="str">
        <f t="shared" si="141"/>
        <v xml:space="preserve"> </v>
      </c>
      <c r="AT94" s="27" t="str">
        <f t="shared" si="142"/>
        <v xml:space="preserve"> </v>
      </c>
      <c r="AU94" s="27" t="str">
        <f t="shared" si="143"/>
        <v xml:space="preserve"> </v>
      </c>
      <c r="AV94" s="27" t="str">
        <f t="shared" si="144"/>
        <v xml:space="preserve"> </v>
      </c>
      <c r="AW94" s="27" t="str">
        <f t="shared" si="145"/>
        <v xml:space="preserve"> </v>
      </c>
      <c r="AX94" s="27" t="str">
        <f t="shared" si="146"/>
        <v xml:space="preserve"> </v>
      </c>
      <c r="AY94" s="27" t="str">
        <f t="shared" si="147"/>
        <v xml:space="preserve"> </v>
      </c>
      <c r="AZ94" s="27" t="str">
        <f t="shared" si="148"/>
        <v xml:space="preserve"> </v>
      </c>
      <c r="BA94" s="27" t="str">
        <f t="shared" si="149"/>
        <v xml:space="preserve"> </v>
      </c>
      <c r="BB94" s="27" t="str">
        <f t="shared" si="150"/>
        <v xml:space="preserve"> </v>
      </c>
      <c r="BC94" s="27" t="str">
        <f t="shared" si="151"/>
        <v xml:space="preserve"> </v>
      </c>
      <c r="BD94" s="27" t="str">
        <f t="shared" si="152"/>
        <v xml:space="preserve"> </v>
      </c>
      <c r="BE94" s="27" t="str">
        <f t="shared" si="153"/>
        <v xml:space="preserve"> </v>
      </c>
      <c r="BF94" s="27" t="str">
        <f t="shared" si="154"/>
        <v xml:space="preserve"> </v>
      </c>
      <c r="BG94" s="27" t="str">
        <f t="shared" si="155"/>
        <v xml:space="preserve"> </v>
      </c>
      <c r="BH94" s="27" t="str">
        <f t="shared" si="156"/>
        <v xml:space="preserve"> </v>
      </c>
      <c r="BI94" s="27" t="str">
        <f t="shared" si="157"/>
        <v xml:space="preserve"> </v>
      </c>
      <c r="BJ94" s="27" t="str">
        <f t="shared" si="158"/>
        <v xml:space="preserve"> </v>
      </c>
      <c r="BK94" s="27" t="str">
        <f t="shared" si="159"/>
        <v xml:space="preserve"> </v>
      </c>
      <c r="BL94" s="27" t="str">
        <f t="shared" si="160"/>
        <v xml:space="preserve"> </v>
      </c>
      <c r="BM94" s="27" t="str">
        <f t="shared" si="161"/>
        <v xml:space="preserve"> </v>
      </c>
      <c r="BN94" s="27" t="str">
        <f t="shared" si="162"/>
        <v xml:space="preserve"> </v>
      </c>
      <c r="BO94" s="27" t="str">
        <f t="shared" si="163"/>
        <v xml:space="preserve"> </v>
      </c>
      <c r="BP94" s="27" t="str">
        <f t="shared" si="164"/>
        <v xml:space="preserve"> </v>
      </c>
      <c r="BQ94" s="27" t="str">
        <f t="shared" si="165"/>
        <v xml:space="preserve"> </v>
      </c>
      <c r="BR94" s="27" t="str">
        <f t="shared" si="166"/>
        <v xml:space="preserve"> </v>
      </c>
      <c r="BS94" s="27" t="str">
        <f t="shared" si="167"/>
        <v xml:space="preserve"> </v>
      </c>
      <c r="BT94" s="27" t="str">
        <f t="shared" si="168"/>
        <v xml:space="preserve"> </v>
      </c>
      <c r="BU94" s="27" t="str">
        <f t="shared" si="169"/>
        <v xml:space="preserve"> </v>
      </c>
      <c r="BV94" s="27" t="str">
        <f t="shared" si="170"/>
        <v xml:space="preserve"> </v>
      </c>
      <c r="BW94" s="27" t="str">
        <f t="shared" si="171"/>
        <v xml:space="preserve"> </v>
      </c>
      <c r="BX94" s="27" t="str">
        <f t="shared" si="172"/>
        <v xml:space="preserve"> </v>
      </c>
      <c r="BY94" s="27" t="str">
        <f t="shared" si="173"/>
        <v xml:space="preserve"> </v>
      </c>
      <c r="BZ94" s="27" t="str">
        <f t="shared" si="174"/>
        <v xml:space="preserve"> </v>
      </c>
      <c r="CA94" s="27" t="str">
        <f t="shared" si="175"/>
        <v xml:space="preserve"> </v>
      </c>
      <c r="CB94" s="27" t="str">
        <f t="shared" si="176"/>
        <v xml:space="preserve"> </v>
      </c>
      <c r="CC94" s="27" t="str">
        <f t="shared" si="177"/>
        <v xml:space="preserve"> </v>
      </c>
      <c r="CD94" s="27" t="str">
        <f t="shared" si="178"/>
        <v xml:space="preserve"> </v>
      </c>
      <c r="CE94" s="27"/>
      <c r="CF94" s="27"/>
      <c r="CG94" s="27"/>
      <c r="CH94" s="27"/>
      <c r="CI94" s="27"/>
      <c r="CJ94" s="27"/>
    </row>
    <row r="95" spans="1:88" x14ac:dyDescent="0.2">
      <c r="A95" s="27" t="str">
        <f t="shared" si="97"/>
        <v xml:space="preserve"> </v>
      </c>
      <c r="B95" s="27" t="str">
        <f t="shared" si="98"/>
        <v xml:space="preserve"> </v>
      </c>
      <c r="C95" s="27" t="str">
        <f t="shared" si="99"/>
        <v xml:space="preserve"> </v>
      </c>
      <c r="D95" s="27" t="str">
        <f t="shared" si="100"/>
        <v xml:space="preserve"> </v>
      </c>
      <c r="E95" s="27" t="str">
        <f t="shared" si="101"/>
        <v xml:space="preserve"> </v>
      </c>
      <c r="F95" s="27" t="str">
        <f t="shared" si="102"/>
        <v xml:space="preserve"> </v>
      </c>
      <c r="G95" s="27" t="str">
        <f t="shared" si="103"/>
        <v xml:space="preserve"> </v>
      </c>
      <c r="H95" s="27" t="str">
        <f t="shared" si="104"/>
        <v xml:space="preserve"> </v>
      </c>
      <c r="I95" s="27" t="str">
        <f t="shared" si="105"/>
        <v xml:space="preserve"> </v>
      </c>
      <c r="J95" s="27" t="str">
        <f t="shared" si="106"/>
        <v xml:space="preserve"> </v>
      </c>
      <c r="K95" s="27" t="str">
        <f t="shared" si="107"/>
        <v xml:space="preserve"> </v>
      </c>
      <c r="L95" s="27" t="str">
        <f t="shared" si="108"/>
        <v xml:space="preserve"> </v>
      </c>
      <c r="M95" s="27" t="str">
        <f t="shared" si="109"/>
        <v xml:space="preserve"> </v>
      </c>
      <c r="N95" s="27" t="str">
        <f t="shared" si="110"/>
        <v xml:space="preserve"> </v>
      </c>
      <c r="O95" s="27" t="str">
        <f t="shared" si="111"/>
        <v xml:space="preserve"> </v>
      </c>
      <c r="P95" s="27" t="str">
        <f t="shared" si="112"/>
        <v xml:space="preserve"> </v>
      </c>
      <c r="Q95" s="27" t="str">
        <f t="shared" si="113"/>
        <v xml:space="preserve"> </v>
      </c>
      <c r="R95" s="27" t="str">
        <f t="shared" si="114"/>
        <v xml:space="preserve"> </v>
      </c>
      <c r="S95" s="27" t="str">
        <f t="shared" si="115"/>
        <v xml:space="preserve"> </v>
      </c>
      <c r="T95" s="27" t="str">
        <f t="shared" si="116"/>
        <v xml:space="preserve"> </v>
      </c>
      <c r="U95" s="27" t="str">
        <f t="shared" si="117"/>
        <v xml:space="preserve"> </v>
      </c>
      <c r="V95" s="27" t="str">
        <f t="shared" si="118"/>
        <v xml:space="preserve"> </v>
      </c>
      <c r="W95" s="27" t="str">
        <f t="shared" si="119"/>
        <v xml:space="preserve"> </v>
      </c>
      <c r="X95" s="27" t="str">
        <f t="shared" si="120"/>
        <v xml:space="preserve"> </v>
      </c>
      <c r="Y95" s="27" t="str">
        <f t="shared" si="121"/>
        <v xml:space="preserve"> </v>
      </c>
      <c r="Z95" s="27" t="str">
        <f t="shared" si="122"/>
        <v xml:space="preserve"> </v>
      </c>
      <c r="AA95" s="27" t="str">
        <f t="shared" si="123"/>
        <v xml:space="preserve"> </v>
      </c>
      <c r="AB95" s="27" t="str">
        <f t="shared" si="124"/>
        <v xml:space="preserve"> </v>
      </c>
      <c r="AC95" s="27" t="str">
        <f t="shared" si="125"/>
        <v xml:space="preserve"> </v>
      </c>
      <c r="AD95" s="27" t="str">
        <f t="shared" si="126"/>
        <v xml:space="preserve"> </v>
      </c>
      <c r="AE95" s="27" t="str">
        <f t="shared" si="127"/>
        <v xml:space="preserve"> </v>
      </c>
      <c r="AF95" s="27" t="str">
        <f t="shared" si="128"/>
        <v xml:space="preserve"> </v>
      </c>
      <c r="AG95" s="27" t="str">
        <f t="shared" si="129"/>
        <v xml:space="preserve"> </v>
      </c>
      <c r="AH95" s="27" t="str">
        <f t="shared" si="130"/>
        <v xml:space="preserve"> </v>
      </c>
      <c r="AI95" s="27" t="str">
        <f t="shared" si="131"/>
        <v xml:space="preserve"> </v>
      </c>
      <c r="AJ95" s="27" t="str">
        <f t="shared" si="132"/>
        <v xml:space="preserve"> </v>
      </c>
      <c r="AK95" s="27" t="str">
        <f t="shared" si="133"/>
        <v xml:space="preserve"> </v>
      </c>
      <c r="AL95" s="27" t="str">
        <f t="shared" si="134"/>
        <v xml:space="preserve"> </v>
      </c>
      <c r="AM95" s="27" t="str">
        <f t="shared" si="135"/>
        <v xml:space="preserve"> </v>
      </c>
      <c r="AN95" s="27" t="str">
        <f t="shared" si="136"/>
        <v xml:space="preserve"> </v>
      </c>
      <c r="AO95" s="27" t="str">
        <f t="shared" si="137"/>
        <v xml:space="preserve"> </v>
      </c>
      <c r="AP95" s="27" t="str">
        <f t="shared" si="138"/>
        <v xml:space="preserve"> </v>
      </c>
      <c r="AQ95" s="27" t="str">
        <f t="shared" si="139"/>
        <v xml:space="preserve"> </v>
      </c>
      <c r="AR95" s="27" t="str">
        <f t="shared" si="140"/>
        <v xml:space="preserve"> </v>
      </c>
      <c r="AS95" s="27" t="str">
        <f t="shared" si="141"/>
        <v xml:space="preserve"> </v>
      </c>
      <c r="AT95" s="27" t="str">
        <f t="shared" si="142"/>
        <v xml:space="preserve"> </v>
      </c>
      <c r="AU95" s="27" t="str">
        <f t="shared" si="143"/>
        <v xml:space="preserve"> </v>
      </c>
      <c r="AV95" s="27" t="str">
        <f t="shared" si="144"/>
        <v xml:space="preserve"> </v>
      </c>
      <c r="AW95" s="27" t="str">
        <f t="shared" si="145"/>
        <v xml:space="preserve"> </v>
      </c>
      <c r="AX95" s="27" t="str">
        <f t="shared" si="146"/>
        <v xml:space="preserve"> </v>
      </c>
      <c r="AY95" s="27" t="str">
        <f t="shared" si="147"/>
        <v xml:space="preserve"> </v>
      </c>
      <c r="AZ95" s="27" t="str">
        <f t="shared" si="148"/>
        <v xml:space="preserve"> </v>
      </c>
      <c r="BA95" s="27" t="str">
        <f t="shared" si="149"/>
        <v xml:space="preserve"> </v>
      </c>
      <c r="BB95" s="27" t="str">
        <f t="shared" si="150"/>
        <v xml:space="preserve"> </v>
      </c>
      <c r="BC95" s="27" t="str">
        <f t="shared" si="151"/>
        <v xml:space="preserve"> </v>
      </c>
      <c r="BD95" s="27" t="str">
        <f t="shared" si="152"/>
        <v xml:space="preserve"> </v>
      </c>
      <c r="BE95" s="27" t="str">
        <f t="shared" si="153"/>
        <v xml:space="preserve"> </v>
      </c>
      <c r="BF95" s="27" t="str">
        <f t="shared" si="154"/>
        <v xml:space="preserve"> </v>
      </c>
      <c r="BG95" s="27" t="str">
        <f t="shared" si="155"/>
        <v xml:space="preserve"> </v>
      </c>
      <c r="BH95" s="27" t="str">
        <f t="shared" si="156"/>
        <v xml:space="preserve"> </v>
      </c>
      <c r="BI95" s="27" t="str">
        <f t="shared" si="157"/>
        <v xml:space="preserve"> </v>
      </c>
      <c r="BJ95" s="27" t="str">
        <f t="shared" si="158"/>
        <v xml:space="preserve"> </v>
      </c>
      <c r="BK95" s="27" t="str">
        <f t="shared" si="159"/>
        <v xml:space="preserve"> </v>
      </c>
      <c r="BL95" s="27" t="str">
        <f t="shared" si="160"/>
        <v xml:space="preserve"> </v>
      </c>
      <c r="BM95" s="27" t="str">
        <f t="shared" si="161"/>
        <v xml:space="preserve"> </v>
      </c>
      <c r="BN95" s="27" t="str">
        <f t="shared" si="162"/>
        <v xml:space="preserve"> </v>
      </c>
      <c r="BO95" s="27" t="str">
        <f t="shared" si="163"/>
        <v xml:space="preserve"> </v>
      </c>
      <c r="BP95" s="27" t="str">
        <f t="shared" si="164"/>
        <v xml:space="preserve"> </v>
      </c>
      <c r="BQ95" s="27" t="str">
        <f t="shared" si="165"/>
        <v xml:space="preserve"> </v>
      </c>
      <c r="BR95" s="27" t="str">
        <f t="shared" si="166"/>
        <v xml:space="preserve"> </v>
      </c>
      <c r="BS95" s="27" t="str">
        <f t="shared" si="167"/>
        <v xml:space="preserve"> </v>
      </c>
      <c r="BT95" s="27" t="str">
        <f t="shared" si="168"/>
        <v xml:space="preserve"> </v>
      </c>
      <c r="BU95" s="27" t="str">
        <f t="shared" si="169"/>
        <v xml:space="preserve"> </v>
      </c>
      <c r="BV95" s="27" t="str">
        <f t="shared" si="170"/>
        <v xml:space="preserve"> </v>
      </c>
      <c r="BW95" s="27" t="str">
        <f t="shared" si="171"/>
        <v xml:space="preserve"> </v>
      </c>
      <c r="BX95" s="27" t="str">
        <f t="shared" si="172"/>
        <v xml:space="preserve"> </v>
      </c>
      <c r="BY95" s="27" t="str">
        <f t="shared" si="173"/>
        <v xml:space="preserve"> </v>
      </c>
      <c r="BZ95" s="27" t="str">
        <f t="shared" si="174"/>
        <v xml:space="preserve"> </v>
      </c>
      <c r="CA95" s="27" t="str">
        <f t="shared" si="175"/>
        <v xml:space="preserve"> </v>
      </c>
      <c r="CB95" s="27" t="str">
        <f t="shared" si="176"/>
        <v xml:space="preserve"> </v>
      </c>
      <c r="CC95" s="27" t="str">
        <f t="shared" si="177"/>
        <v xml:space="preserve"> </v>
      </c>
      <c r="CD95" s="27" t="str">
        <f t="shared" si="178"/>
        <v xml:space="preserve"> </v>
      </c>
      <c r="CE95" s="27"/>
      <c r="CF95" s="27"/>
      <c r="CG95" s="27"/>
      <c r="CH95" s="27"/>
      <c r="CI95" s="27"/>
      <c r="CJ95" s="27"/>
    </row>
    <row r="96" spans="1:88" x14ac:dyDescent="0.2">
      <c r="A96" s="27" t="str">
        <f t="shared" si="97"/>
        <v xml:space="preserve"> </v>
      </c>
      <c r="B96" s="27" t="str">
        <f t="shared" si="98"/>
        <v xml:space="preserve"> </v>
      </c>
      <c r="C96" s="27" t="str">
        <f t="shared" si="99"/>
        <v xml:space="preserve"> </v>
      </c>
      <c r="D96" s="27" t="str">
        <f t="shared" si="100"/>
        <v xml:space="preserve"> </v>
      </c>
      <c r="E96" s="27" t="str">
        <f t="shared" si="101"/>
        <v xml:space="preserve"> </v>
      </c>
      <c r="F96" s="27" t="str">
        <f t="shared" si="102"/>
        <v xml:space="preserve"> </v>
      </c>
      <c r="G96" s="27" t="str">
        <f t="shared" si="103"/>
        <v xml:space="preserve"> </v>
      </c>
      <c r="H96" s="27" t="str">
        <f t="shared" si="104"/>
        <v xml:space="preserve"> </v>
      </c>
      <c r="I96" s="27" t="str">
        <f t="shared" si="105"/>
        <v xml:space="preserve"> </v>
      </c>
      <c r="J96" s="27" t="str">
        <f t="shared" si="106"/>
        <v xml:space="preserve"> </v>
      </c>
      <c r="K96" s="27" t="str">
        <f t="shared" si="107"/>
        <v xml:space="preserve"> </v>
      </c>
      <c r="L96" s="27" t="str">
        <f t="shared" si="108"/>
        <v xml:space="preserve"> </v>
      </c>
      <c r="M96" s="27" t="str">
        <f t="shared" si="109"/>
        <v xml:space="preserve"> </v>
      </c>
      <c r="N96" s="27" t="str">
        <f t="shared" si="110"/>
        <v xml:space="preserve"> </v>
      </c>
      <c r="O96" s="27" t="str">
        <f t="shared" si="111"/>
        <v xml:space="preserve"> </v>
      </c>
      <c r="P96" s="27" t="str">
        <f t="shared" si="112"/>
        <v xml:space="preserve"> </v>
      </c>
      <c r="Q96" s="27" t="str">
        <f t="shared" si="113"/>
        <v xml:space="preserve"> </v>
      </c>
      <c r="R96" s="27" t="str">
        <f t="shared" si="114"/>
        <v xml:space="preserve"> </v>
      </c>
      <c r="S96" s="27" t="str">
        <f t="shared" si="115"/>
        <v xml:space="preserve"> </v>
      </c>
      <c r="T96" s="27" t="str">
        <f t="shared" si="116"/>
        <v xml:space="preserve"> </v>
      </c>
      <c r="U96" s="27" t="str">
        <f t="shared" si="117"/>
        <v xml:space="preserve"> </v>
      </c>
      <c r="V96" s="27" t="str">
        <f t="shared" si="118"/>
        <v xml:space="preserve"> </v>
      </c>
      <c r="W96" s="27" t="str">
        <f t="shared" si="119"/>
        <v xml:space="preserve"> </v>
      </c>
      <c r="X96" s="27" t="str">
        <f t="shared" si="120"/>
        <v xml:space="preserve"> </v>
      </c>
      <c r="Y96" s="27" t="str">
        <f t="shared" si="121"/>
        <v xml:space="preserve"> </v>
      </c>
      <c r="Z96" s="27" t="str">
        <f t="shared" si="122"/>
        <v xml:space="preserve"> </v>
      </c>
      <c r="AA96" s="27" t="str">
        <f t="shared" si="123"/>
        <v xml:space="preserve"> </v>
      </c>
      <c r="AB96" s="27" t="str">
        <f t="shared" si="124"/>
        <v xml:space="preserve"> </v>
      </c>
      <c r="AC96" s="27" t="str">
        <f t="shared" si="125"/>
        <v xml:space="preserve"> </v>
      </c>
      <c r="AD96" s="27" t="str">
        <f t="shared" si="126"/>
        <v xml:space="preserve"> </v>
      </c>
      <c r="AE96" s="27" t="str">
        <f t="shared" si="127"/>
        <v xml:space="preserve"> </v>
      </c>
      <c r="AF96" s="27" t="str">
        <f t="shared" si="128"/>
        <v xml:space="preserve"> </v>
      </c>
      <c r="AG96" s="27" t="str">
        <f t="shared" si="129"/>
        <v xml:space="preserve"> </v>
      </c>
      <c r="AH96" s="27" t="str">
        <f t="shared" si="130"/>
        <v xml:space="preserve"> </v>
      </c>
      <c r="AI96" s="27" t="str">
        <f t="shared" si="131"/>
        <v xml:space="preserve"> </v>
      </c>
      <c r="AJ96" s="27" t="str">
        <f t="shared" si="132"/>
        <v xml:space="preserve"> </v>
      </c>
      <c r="AK96" s="27" t="str">
        <f t="shared" si="133"/>
        <v xml:space="preserve"> </v>
      </c>
      <c r="AL96" s="27" t="str">
        <f t="shared" si="134"/>
        <v xml:space="preserve"> </v>
      </c>
      <c r="AM96" s="27" t="str">
        <f t="shared" si="135"/>
        <v xml:space="preserve"> </v>
      </c>
      <c r="AN96" s="27" t="str">
        <f t="shared" si="136"/>
        <v xml:space="preserve"> </v>
      </c>
      <c r="AO96" s="27" t="str">
        <f t="shared" si="137"/>
        <v xml:space="preserve"> </v>
      </c>
      <c r="AP96" s="27" t="str">
        <f t="shared" si="138"/>
        <v xml:space="preserve"> </v>
      </c>
      <c r="AQ96" s="27" t="str">
        <f t="shared" si="139"/>
        <v xml:space="preserve"> </v>
      </c>
      <c r="AR96" s="27" t="str">
        <f t="shared" si="140"/>
        <v xml:space="preserve"> </v>
      </c>
      <c r="AS96" s="27" t="str">
        <f t="shared" si="141"/>
        <v xml:space="preserve"> </v>
      </c>
      <c r="AT96" s="27" t="str">
        <f t="shared" si="142"/>
        <v xml:space="preserve"> </v>
      </c>
      <c r="AU96" s="27" t="str">
        <f t="shared" si="143"/>
        <v xml:space="preserve"> </v>
      </c>
      <c r="AV96" s="27" t="str">
        <f t="shared" si="144"/>
        <v xml:space="preserve"> </v>
      </c>
      <c r="AW96" s="27" t="str">
        <f t="shared" si="145"/>
        <v xml:space="preserve"> </v>
      </c>
      <c r="AX96" s="27" t="str">
        <f t="shared" si="146"/>
        <v xml:space="preserve"> </v>
      </c>
      <c r="AY96" s="27" t="str">
        <f t="shared" si="147"/>
        <v xml:space="preserve"> </v>
      </c>
      <c r="AZ96" s="27" t="str">
        <f t="shared" si="148"/>
        <v xml:space="preserve"> </v>
      </c>
      <c r="BA96" s="27" t="str">
        <f t="shared" si="149"/>
        <v xml:space="preserve"> </v>
      </c>
      <c r="BB96" s="27" t="str">
        <f t="shared" si="150"/>
        <v xml:space="preserve"> </v>
      </c>
      <c r="BC96" s="27" t="str">
        <f t="shared" si="151"/>
        <v xml:space="preserve"> </v>
      </c>
      <c r="BD96" s="27" t="str">
        <f t="shared" si="152"/>
        <v xml:space="preserve"> </v>
      </c>
      <c r="BE96" s="27" t="str">
        <f t="shared" si="153"/>
        <v xml:space="preserve"> </v>
      </c>
      <c r="BF96" s="27" t="str">
        <f t="shared" si="154"/>
        <v xml:space="preserve"> </v>
      </c>
      <c r="BG96" s="27" t="str">
        <f t="shared" si="155"/>
        <v xml:space="preserve"> </v>
      </c>
      <c r="BH96" s="27" t="str">
        <f t="shared" si="156"/>
        <v xml:space="preserve"> </v>
      </c>
      <c r="BI96" s="27" t="str">
        <f t="shared" si="157"/>
        <v xml:space="preserve"> </v>
      </c>
      <c r="BJ96" s="27" t="str">
        <f t="shared" si="158"/>
        <v xml:space="preserve"> </v>
      </c>
      <c r="BK96" s="27" t="str">
        <f t="shared" si="159"/>
        <v xml:space="preserve"> </v>
      </c>
      <c r="BL96" s="27" t="str">
        <f t="shared" si="160"/>
        <v xml:space="preserve"> </v>
      </c>
      <c r="BM96" s="27" t="str">
        <f t="shared" si="161"/>
        <v xml:space="preserve"> </v>
      </c>
      <c r="BN96" s="27" t="str">
        <f t="shared" si="162"/>
        <v xml:space="preserve"> </v>
      </c>
      <c r="BO96" s="27" t="str">
        <f t="shared" si="163"/>
        <v xml:space="preserve"> </v>
      </c>
      <c r="BP96" s="27" t="str">
        <f t="shared" si="164"/>
        <v xml:space="preserve"> </v>
      </c>
      <c r="BQ96" s="27" t="str">
        <f t="shared" si="165"/>
        <v xml:space="preserve"> </v>
      </c>
      <c r="BR96" s="27" t="str">
        <f t="shared" si="166"/>
        <v xml:space="preserve"> </v>
      </c>
      <c r="BS96" s="27" t="str">
        <f t="shared" si="167"/>
        <v xml:space="preserve"> </v>
      </c>
      <c r="BT96" s="27" t="str">
        <f t="shared" si="168"/>
        <v xml:space="preserve"> </v>
      </c>
      <c r="BU96" s="27" t="str">
        <f t="shared" si="169"/>
        <v xml:space="preserve"> </v>
      </c>
      <c r="BV96" s="27" t="str">
        <f t="shared" si="170"/>
        <v xml:space="preserve"> </v>
      </c>
      <c r="BW96" s="27" t="str">
        <f t="shared" si="171"/>
        <v xml:space="preserve"> </v>
      </c>
      <c r="BX96" s="27" t="str">
        <f t="shared" si="172"/>
        <v xml:space="preserve"> </v>
      </c>
      <c r="BY96" s="27" t="str">
        <f t="shared" si="173"/>
        <v xml:space="preserve"> </v>
      </c>
      <c r="BZ96" s="27" t="str">
        <f t="shared" si="174"/>
        <v xml:space="preserve"> </v>
      </c>
      <c r="CA96" s="27" t="str">
        <f t="shared" si="175"/>
        <v xml:space="preserve"> </v>
      </c>
      <c r="CB96" s="27" t="str">
        <f t="shared" si="176"/>
        <v xml:space="preserve"> </v>
      </c>
      <c r="CC96" s="27" t="str">
        <f t="shared" si="177"/>
        <v xml:space="preserve"> </v>
      </c>
      <c r="CD96" s="27" t="str">
        <f t="shared" si="178"/>
        <v xml:space="preserve"> </v>
      </c>
      <c r="CE96" s="27"/>
      <c r="CF96" s="27"/>
      <c r="CG96" s="27"/>
      <c r="CH96" s="27"/>
      <c r="CI96" s="27"/>
      <c r="CJ96" s="27"/>
    </row>
    <row r="97" spans="1:88" x14ac:dyDescent="0.2">
      <c r="A97" s="27" t="str">
        <f t="shared" si="97"/>
        <v xml:space="preserve"> </v>
      </c>
      <c r="B97" s="27" t="str">
        <f t="shared" si="98"/>
        <v xml:space="preserve"> </v>
      </c>
      <c r="C97" s="27" t="str">
        <f t="shared" si="99"/>
        <v xml:space="preserve"> </v>
      </c>
      <c r="D97" s="27" t="str">
        <f t="shared" si="100"/>
        <v xml:space="preserve"> </v>
      </c>
      <c r="E97" s="27" t="str">
        <f t="shared" si="101"/>
        <v xml:space="preserve"> </v>
      </c>
      <c r="F97" s="27" t="str">
        <f t="shared" si="102"/>
        <v xml:space="preserve"> </v>
      </c>
      <c r="G97" s="27" t="str">
        <f t="shared" si="103"/>
        <v xml:space="preserve"> </v>
      </c>
      <c r="H97" s="27" t="str">
        <f t="shared" si="104"/>
        <v xml:space="preserve"> </v>
      </c>
      <c r="I97" s="27" t="str">
        <f t="shared" si="105"/>
        <v xml:space="preserve"> </v>
      </c>
      <c r="J97" s="27" t="str">
        <f t="shared" si="106"/>
        <v xml:space="preserve"> </v>
      </c>
      <c r="K97" s="27" t="str">
        <f t="shared" si="107"/>
        <v xml:space="preserve"> </v>
      </c>
      <c r="L97" s="27" t="str">
        <f t="shared" si="108"/>
        <v xml:space="preserve"> </v>
      </c>
      <c r="M97" s="27" t="str">
        <f t="shared" si="109"/>
        <v xml:space="preserve"> </v>
      </c>
      <c r="N97" s="27" t="str">
        <f t="shared" si="110"/>
        <v xml:space="preserve"> </v>
      </c>
      <c r="O97" s="27" t="str">
        <f t="shared" si="111"/>
        <v xml:space="preserve"> </v>
      </c>
      <c r="P97" s="27" t="str">
        <f t="shared" si="112"/>
        <v xml:space="preserve"> </v>
      </c>
      <c r="Q97" s="27" t="str">
        <f t="shared" si="113"/>
        <v xml:space="preserve"> </v>
      </c>
      <c r="R97" s="27" t="str">
        <f t="shared" si="114"/>
        <v xml:space="preserve"> </v>
      </c>
      <c r="S97" s="27" t="str">
        <f t="shared" si="115"/>
        <v xml:space="preserve"> </v>
      </c>
      <c r="T97" s="27" t="str">
        <f t="shared" si="116"/>
        <v xml:space="preserve"> </v>
      </c>
      <c r="U97" s="27" t="str">
        <f t="shared" si="117"/>
        <v xml:space="preserve"> </v>
      </c>
      <c r="V97" s="27" t="str">
        <f t="shared" si="118"/>
        <v xml:space="preserve"> </v>
      </c>
      <c r="W97" s="27" t="str">
        <f t="shared" si="119"/>
        <v xml:space="preserve"> </v>
      </c>
      <c r="X97" s="27" t="str">
        <f t="shared" si="120"/>
        <v xml:space="preserve"> </v>
      </c>
      <c r="Y97" s="27" t="str">
        <f t="shared" si="121"/>
        <v xml:space="preserve"> </v>
      </c>
      <c r="Z97" s="27" t="str">
        <f t="shared" si="122"/>
        <v xml:space="preserve"> </v>
      </c>
      <c r="AA97" s="27" t="str">
        <f t="shared" si="123"/>
        <v xml:space="preserve"> </v>
      </c>
      <c r="AB97" s="27" t="str">
        <f t="shared" si="124"/>
        <v xml:space="preserve"> </v>
      </c>
      <c r="AC97" s="27" t="str">
        <f t="shared" si="125"/>
        <v xml:space="preserve"> </v>
      </c>
      <c r="AD97" s="27" t="str">
        <f t="shared" si="126"/>
        <v xml:space="preserve"> </v>
      </c>
      <c r="AE97" s="27" t="str">
        <f t="shared" si="127"/>
        <v xml:space="preserve"> </v>
      </c>
      <c r="AF97" s="27" t="str">
        <f t="shared" si="128"/>
        <v xml:space="preserve"> </v>
      </c>
      <c r="AG97" s="27" t="str">
        <f t="shared" si="129"/>
        <v xml:space="preserve"> </v>
      </c>
      <c r="AH97" s="27" t="str">
        <f t="shared" si="130"/>
        <v xml:space="preserve"> </v>
      </c>
      <c r="AI97" s="27" t="str">
        <f t="shared" si="131"/>
        <v xml:space="preserve"> </v>
      </c>
      <c r="AJ97" s="27" t="str">
        <f t="shared" si="132"/>
        <v xml:space="preserve"> </v>
      </c>
      <c r="AK97" s="27" t="str">
        <f t="shared" si="133"/>
        <v xml:space="preserve"> </v>
      </c>
      <c r="AL97" s="27" t="str">
        <f t="shared" si="134"/>
        <v xml:space="preserve"> </v>
      </c>
      <c r="AM97" s="27" t="str">
        <f t="shared" si="135"/>
        <v xml:space="preserve"> </v>
      </c>
      <c r="AN97" s="27" t="str">
        <f t="shared" si="136"/>
        <v xml:space="preserve"> </v>
      </c>
      <c r="AO97" s="27" t="str">
        <f t="shared" si="137"/>
        <v xml:space="preserve"> </v>
      </c>
      <c r="AP97" s="27" t="str">
        <f t="shared" si="138"/>
        <v xml:space="preserve"> </v>
      </c>
      <c r="AQ97" s="27" t="str">
        <f t="shared" si="139"/>
        <v xml:space="preserve"> </v>
      </c>
      <c r="AR97" s="27" t="str">
        <f t="shared" si="140"/>
        <v xml:space="preserve"> </v>
      </c>
      <c r="AS97" s="27" t="str">
        <f t="shared" si="141"/>
        <v xml:space="preserve"> </v>
      </c>
      <c r="AT97" s="27" t="str">
        <f t="shared" si="142"/>
        <v xml:space="preserve"> </v>
      </c>
      <c r="AU97" s="27" t="str">
        <f t="shared" si="143"/>
        <v xml:space="preserve"> </v>
      </c>
      <c r="AV97" s="27" t="str">
        <f t="shared" si="144"/>
        <v xml:space="preserve"> </v>
      </c>
      <c r="AW97" s="27" t="str">
        <f t="shared" si="145"/>
        <v xml:space="preserve"> </v>
      </c>
      <c r="AX97" s="27" t="str">
        <f t="shared" si="146"/>
        <v xml:space="preserve"> </v>
      </c>
      <c r="AY97" s="27" t="str">
        <f t="shared" si="147"/>
        <v xml:space="preserve"> </v>
      </c>
      <c r="AZ97" s="27" t="str">
        <f t="shared" si="148"/>
        <v xml:space="preserve"> </v>
      </c>
      <c r="BA97" s="27" t="str">
        <f t="shared" si="149"/>
        <v xml:space="preserve"> </v>
      </c>
      <c r="BB97" s="27" t="str">
        <f t="shared" si="150"/>
        <v xml:space="preserve"> </v>
      </c>
      <c r="BC97" s="27" t="str">
        <f t="shared" si="151"/>
        <v xml:space="preserve"> </v>
      </c>
      <c r="BD97" s="27" t="str">
        <f t="shared" si="152"/>
        <v xml:space="preserve"> </v>
      </c>
      <c r="BE97" s="27" t="str">
        <f t="shared" si="153"/>
        <v xml:space="preserve"> </v>
      </c>
      <c r="BF97" s="27" t="str">
        <f t="shared" si="154"/>
        <v xml:space="preserve"> </v>
      </c>
      <c r="BG97" s="27" t="str">
        <f t="shared" si="155"/>
        <v xml:space="preserve"> </v>
      </c>
      <c r="BH97" s="27" t="str">
        <f t="shared" si="156"/>
        <v xml:space="preserve"> </v>
      </c>
      <c r="BI97" s="27" t="str">
        <f t="shared" si="157"/>
        <v xml:space="preserve"> </v>
      </c>
      <c r="BJ97" s="27" t="str">
        <f t="shared" si="158"/>
        <v xml:space="preserve"> </v>
      </c>
      <c r="BK97" s="27" t="str">
        <f t="shared" si="159"/>
        <v xml:space="preserve"> </v>
      </c>
      <c r="BL97" s="27" t="str">
        <f t="shared" si="160"/>
        <v xml:space="preserve"> </v>
      </c>
      <c r="BM97" s="27" t="str">
        <f t="shared" si="161"/>
        <v xml:space="preserve"> </v>
      </c>
      <c r="BN97" s="27" t="str">
        <f t="shared" si="162"/>
        <v xml:space="preserve"> </v>
      </c>
      <c r="BO97" s="27" t="str">
        <f t="shared" si="163"/>
        <v xml:space="preserve"> </v>
      </c>
      <c r="BP97" s="27" t="str">
        <f t="shared" si="164"/>
        <v xml:space="preserve"> </v>
      </c>
      <c r="BQ97" s="27" t="str">
        <f t="shared" si="165"/>
        <v xml:space="preserve"> </v>
      </c>
      <c r="BR97" s="27" t="str">
        <f t="shared" si="166"/>
        <v xml:space="preserve"> </v>
      </c>
      <c r="BS97" s="27" t="str">
        <f t="shared" si="167"/>
        <v xml:space="preserve"> </v>
      </c>
      <c r="BT97" s="27" t="str">
        <f t="shared" si="168"/>
        <v xml:space="preserve"> </v>
      </c>
      <c r="BU97" s="27" t="str">
        <f t="shared" si="169"/>
        <v xml:space="preserve"> </v>
      </c>
      <c r="BV97" s="27" t="str">
        <f t="shared" si="170"/>
        <v xml:space="preserve"> </v>
      </c>
      <c r="BW97" s="27" t="str">
        <f t="shared" si="171"/>
        <v xml:space="preserve"> </v>
      </c>
      <c r="BX97" s="27" t="str">
        <f t="shared" si="172"/>
        <v xml:space="preserve"> </v>
      </c>
      <c r="BY97" s="27" t="str">
        <f t="shared" si="173"/>
        <v xml:space="preserve"> </v>
      </c>
      <c r="BZ97" s="27" t="str">
        <f t="shared" si="174"/>
        <v xml:space="preserve"> </v>
      </c>
      <c r="CA97" s="27" t="str">
        <f t="shared" si="175"/>
        <v xml:space="preserve"> </v>
      </c>
      <c r="CB97" s="27" t="str">
        <f t="shared" si="176"/>
        <v xml:space="preserve"> </v>
      </c>
      <c r="CC97" s="27" t="str">
        <f t="shared" si="177"/>
        <v xml:space="preserve"> </v>
      </c>
      <c r="CD97" s="27" t="str">
        <f t="shared" si="178"/>
        <v xml:space="preserve"> </v>
      </c>
      <c r="CE97" s="27"/>
      <c r="CF97" s="27"/>
      <c r="CG97" s="27"/>
      <c r="CH97" s="27"/>
      <c r="CI97" s="27"/>
      <c r="CJ97" s="27"/>
    </row>
    <row r="98" spans="1:88" x14ac:dyDescent="0.2">
      <c r="A98" s="27" t="str">
        <f t="shared" si="97"/>
        <v xml:space="preserve"> </v>
      </c>
      <c r="B98" s="27" t="str">
        <f t="shared" si="98"/>
        <v xml:space="preserve"> </v>
      </c>
      <c r="C98" s="27" t="str">
        <f t="shared" si="99"/>
        <v xml:space="preserve"> </v>
      </c>
      <c r="D98" s="27" t="str">
        <f t="shared" si="100"/>
        <v xml:space="preserve"> </v>
      </c>
      <c r="E98" s="27" t="str">
        <f t="shared" si="101"/>
        <v xml:space="preserve"> </v>
      </c>
      <c r="F98" s="27" t="str">
        <f t="shared" si="102"/>
        <v xml:space="preserve"> </v>
      </c>
      <c r="G98" s="27" t="str">
        <f t="shared" si="103"/>
        <v xml:space="preserve"> </v>
      </c>
      <c r="H98" s="27" t="str">
        <f t="shared" si="104"/>
        <v xml:space="preserve"> </v>
      </c>
      <c r="I98" s="27" t="str">
        <f t="shared" si="105"/>
        <v xml:space="preserve"> </v>
      </c>
      <c r="J98" s="27" t="str">
        <f t="shared" si="106"/>
        <v xml:space="preserve"> </v>
      </c>
      <c r="K98" s="27" t="str">
        <f t="shared" si="107"/>
        <v xml:space="preserve"> </v>
      </c>
      <c r="L98" s="27" t="str">
        <f t="shared" si="108"/>
        <v xml:space="preserve"> </v>
      </c>
      <c r="M98" s="27" t="str">
        <f t="shared" si="109"/>
        <v xml:space="preserve"> </v>
      </c>
      <c r="N98" s="27" t="str">
        <f t="shared" si="110"/>
        <v xml:space="preserve"> </v>
      </c>
      <c r="O98" s="27" t="str">
        <f t="shared" si="111"/>
        <v xml:space="preserve"> </v>
      </c>
      <c r="P98" s="27" t="str">
        <f t="shared" si="112"/>
        <v xml:space="preserve"> </v>
      </c>
      <c r="Q98" s="27" t="str">
        <f t="shared" si="113"/>
        <v xml:space="preserve"> </v>
      </c>
      <c r="R98" s="27" t="str">
        <f t="shared" si="114"/>
        <v xml:space="preserve"> </v>
      </c>
      <c r="S98" s="27" t="str">
        <f t="shared" si="115"/>
        <v xml:space="preserve"> </v>
      </c>
      <c r="T98" s="27" t="str">
        <f t="shared" si="116"/>
        <v xml:space="preserve"> </v>
      </c>
      <c r="U98" s="27" t="str">
        <f t="shared" si="117"/>
        <v xml:space="preserve"> </v>
      </c>
      <c r="V98" s="27" t="str">
        <f t="shared" si="118"/>
        <v xml:space="preserve"> </v>
      </c>
      <c r="W98" s="27" t="str">
        <f t="shared" si="119"/>
        <v xml:space="preserve"> </v>
      </c>
      <c r="X98" s="27" t="str">
        <f t="shared" si="120"/>
        <v xml:space="preserve"> </v>
      </c>
      <c r="Y98" s="27" t="str">
        <f t="shared" si="121"/>
        <v xml:space="preserve"> </v>
      </c>
      <c r="Z98" s="27" t="str">
        <f t="shared" si="122"/>
        <v xml:space="preserve"> </v>
      </c>
      <c r="AA98" s="27" t="str">
        <f t="shared" si="123"/>
        <v xml:space="preserve"> </v>
      </c>
      <c r="AB98" s="27" t="str">
        <f t="shared" si="124"/>
        <v xml:space="preserve"> </v>
      </c>
      <c r="AC98" s="27" t="str">
        <f t="shared" si="125"/>
        <v xml:space="preserve"> </v>
      </c>
      <c r="AD98" s="27" t="str">
        <f t="shared" si="126"/>
        <v xml:space="preserve"> </v>
      </c>
      <c r="AE98" s="27" t="str">
        <f t="shared" si="127"/>
        <v xml:space="preserve"> </v>
      </c>
      <c r="AF98" s="27" t="str">
        <f t="shared" si="128"/>
        <v xml:space="preserve"> </v>
      </c>
      <c r="AG98" s="27" t="str">
        <f t="shared" si="129"/>
        <v xml:space="preserve"> </v>
      </c>
      <c r="AH98" s="27" t="str">
        <f t="shared" si="130"/>
        <v xml:space="preserve"> </v>
      </c>
      <c r="AI98" s="27" t="str">
        <f t="shared" si="131"/>
        <v xml:space="preserve"> </v>
      </c>
      <c r="AJ98" s="27" t="str">
        <f t="shared" si="132"/>
        <v xml:space="preserve"> </v>
      </c>
      <c r="AK98" s="27" t="str">
        <f t="shared" si="133"/>
        <v xml:space="preserve"> </v>
      </c>
      <c r="AL98" s="27" t="str">
        <f t="shared" si="134"/>
        <v xml:space="preserve"> </v>
      </c>
      <c r="AM98" s="27" t="str">
        <f t="shared" si="135"/>
        <v xml:space="preserve"> </v>
      </c>
      <c r="AN98" s="27" t="str">
        <f t="shared" si="136"/>
        <v xml:space="preserve"> </v>
      </c>
      <c r="AO98" s="27" t="str">
        <f t="shared" si="137"/>
        <v xml:space="preserve"> </v>
      </c>
      <c r="AP98" s="27" t="str">
        <f t="shared" si="138"/>
        <v xml:space="preserve"> </v>
      </c>
      <c r="AQ98" s="27" t="str">
        <f t="shared" si="139"/>
        <v xml:space="preserve"> </v>
      </c>
      <c r="AR98" s="27" t="str">
        <f t="shared" si="140"/>
        <v xml:space="preserve"> </v>
      </c>
      <c r="AS98" s="27" t="str">
        <f t="shared" si="141"/>
        <v xml:space="preserve"> </v>
      </c>
      <c r="AT98" s="27" t="str">
        <f t="shared" si="142"/>
        <v xml:space="preserve"> </v>
      </c>
      <c r="AU98" s="27" t="str">
        <f t="shared" si="143"/>
        <v xml:space="preserve"> </v>
      </c>
      <c r="AV98" s="27" t="str">
        <f t="shared" si="144"/>
        <v xml:space="preserve"> </v>
      </c>
      <c r="AW98" s="27" t="str">
        <f t="shared" si="145"/>
        <v xml:space="preserve"> </v>
      </c>
      <c r="AX98" s="27" t="str">
        <f t="shared" si="146"/>
        <v xml:space="preserve"> </v>
      </c>
      <c r="AY98" s="27" t="str">
        <f t="shared" si="147"/>
        <v xml:space="preserve"> </v>
      </c>
      <c r="AZ98" s="27" t="str">
        <f t="shared" si="148"/>
        <v xml:space="preserve"> </v>
      </c>
      <c r="BA98" s="27" t="str">
        <f t="shared" si="149"/>
        <v xml:space="preserve"> </v>
      </c>
      <c r="BB98" s="27" t="str">
        <f t="shared" si="150"/>
        <v xml:space="preserve"> </v>
      </c>
      <c r="BC98" s="27" t="str">
        <f t="shared" si="151"/>
        <v xml:space="preserve"> </v>
      </c>
      <c r="BD98" s="27" t="str">
        <f t="shared" si="152"/>
        <v xml:space="preserve"> </v>
      </c>
      <c r="BE98" s="27" t="str">
        <f t="shared" si="153"/>
        <v xml:space="preserve"> </v>
      </c>
      <c r="BF98" s="27" t="str">
        <f t="shared" si="154"/>
        <v xml:space="preserve"> </v>
      </c>
      <c r="BG98" s="27" t="str">
        <f t="shared" si="155"/>
        <v xml:space="preserve"> </v>
      </c>
      <c r="BH98" s="27" t="str">
        <f t="shared" si="156"/>
        <v xml:space="preserve"> </v>
      </c>
      <c r="BI98" s="27" t="str">
        <f t="shared" si="157"/>
        <v xml:space="preserve"> </v>
      </c>
      <c r="BJ98" s="27" t="str">
        <f t="shared" si="158"/>
        <v xml:space="preserve"> </v>
      </c>
      <c r="BK98" s="27" t="str">
        <f t="shared" si="159"/>
        <v xml:space="preserve"> </v>
      </c>
      <c r="BL98" s="27" t="str">
        <f t="shared" si="160"/>
        <v xml:space="preserve"> </v>
      </c>
      <c r="BM98" s="27" t="str">
        <f t="shared" si="161"/>
        <v xml:space="preserve"> </v>
      </c>
      <c r="BN98" s="27" t="str">
        <f t="shared" si="162"/>
        <v xml:space="preserve"> </v>
      </c>
      <c r="BO98" s="27" t="str">
        <f t="shared" si="163"/>
        <v xml:space="preserve"> </v>
      </c>
      <c r="BP98" s="27" t="str">
        <f t="shared" si="164"/>
        <v xml:space="preserve"> </v>
      </c>
      <c r="BQ98" s="27" t="str">
        <f t="shared" si="165"/>
        <v xml:space="preserve"> </v>
      </c>
      <c r="BR98" s="27" t="str">
        <f t="shared" si="166"/>
        <v xml:space="preserve"> </v>
      </c>
      <c r="BS98" s="27" t="str">
        <f t="shared" si="167"/>
        <v xml:space="preserve"> </v>
      </c>
      <c r="BT98" s="27" t="str">
        <f t="shared" si="168"/>
        <v xml:space="preserve"> </v>
      </c>
      <c r="BU98" s="27" t="str">
        <f t="shared" si="169"/>
        <v xml:space="preserve"> </v>
      </c>
      <c r="BV98" s="27" t="str">
        <f t="shared" si="170"/>
        <v xml:space="preserve"> </v>
      </c>
      <c r="BW98" s="27" t="str">
        <f t="shared" si="171"/>
        <v xml:space="preserve"> </v>
      </c>
      <c r="BX98" s="27" t="str">
        <f t="shared" si="172"/>
        <v xml:space="preserve"> </v>
      </c>
      <c r="BY98" s="27" t="str">
        <f t="shared" si="173"/>
        <v xml:space="preserve"> </v>
      </c>
      <c r="BZ98" s="27" t="str">
        <f t="shared" si="174"/>
        <v xml:space="preserve"> </v>
      </c>
      <c r="CA98" s="27" t="str">
        <f t="shared" si="175"/>
        <v xml:space="preserve"> </v>
      </c>
      <c r="CB98" s="27" t="str">
        <f t="shared" si="176"/>
        <v xml:space="preserve"> </v>
      </c>
      <c r="CC98" s="27" t="str">
        <f t="shared" si="177"/>
        <v xml:space="preserve"> </v>
      </c>
      <c r="CD98" s="27" t="str">
        <f t="shared" si="178"/>
        <v xml:space="preserve"> </v>
      </c>
      <c r="CE98" s="27"/>
      <c r="CF98" s="27"/>
      <c r="CG98" s="27"/>
      <c r="CH98" s="27"/>
      <c r="CI98" s="27"/>
      <c r="CJ98" s="27"/>
    </row>
    <row r="99" spans="1:88" x14ac:dyDescent="0.2">
      <c r="A99" s="27" t="str">
        <f t="shared" si="97"/>
        <v xml:space="preserve"> </v>
      </c>
      <c r="B99" s="27" t="str">
        <f t="shared" si="98"/>
        <v xml:space="preserve"> </v>
      </c>
      <c r="C99" s="27" t="str">
        <f t="shared" si="99"/>
        <v xml:space="preserve"> </v>
      </c>
      <c r="D99" s="27" t="str">
        <f t="shared" si="100"/>
        <v xml:space="preserve"> </v>
      </c>
      <c r="E99" s="27" t="str">
        <f t="shared" si="101"/>
        <v xml:space="preserve"> </v>
      </c>
      <c r="F99" s="27" t="str">
        <f t="shared" si="102"/>
        <v xml:space="preserve"> </v>
      </c>
      <c r="G99" s="27" t="str">
        <f t="shared" si="103"/>
        <v xml:space="preserve"> </v>
      </c>
      <c r="H99" s="27" t="str">
        <f t="shared" si="104"/>
        <v xml:space="preserve"> </v>
      </c>
      <c r="I99" s="27" t="str">
        <f t="shared" si="105"/>
        <v xml:space="preserve"> </v>
      </c>
      <c r="J99" s="27" t="str">
        <f t="shared" si="106"/>
        <v xml:space="preserve"> </v>
      </c>
      <c r="K99" s="27" t="str">
        <f t="shared" si="107"/>
        <v xml:space="preserve"> </v>
      </c>
      <c r="L99" s="27" t="str">
        <f t="shared" si="108"/>
        <v xml:space="preserve"> </v>
      </c>
      <c r="M99" s="27" t="str">
        <f t="shared" si="109"/>
        <v xml:space="preserve"> </v>
      </c>
      <c r="N99" s="27" t="str">
        <f t="shared" si="110"/>
        <v xml:space="preserve"> </v>
      </c>
      <c r="O99" s="27" t="str">
        <f t="shared" si="111"/>
        <v xml:space="preserve"> </v>
      </c>
      <c r="P99" s="27" t="str">
        <f t="shared" si="112"/>
        <v xml:space="preserve"> </v>
      </c>
      <c r="Q99" s="27" t="str">
        <f t="shared" si="113"/>
        <v xml:space="preserve"> </v>
      </c>
      <c r="R99" s="27" t="str">
        <f t="shared" si="114"/>
        <v xml:space="preserve"> </v>
      </c>
      <c r="S99" s="27" t="str">
        <f t="shared" si="115"/>
        <v xml:space="preserve"> </v>
      </c>
      <c r="T99" s="27" t="str">
        <f t="shared" si="116"/>
        <v xml:space="preserve"> </v>
      </c>
      <c r="U99" s="27" t="str">
        <f t="shared" si="117"/>
        <v xml:space="preserve"> </v>
      </c>
      <c r="V99" s="27" t="str">
        <f t="shared" si="118"/>
        <v xml:space="preserve"> </v>
      </c>
      <c r="W99" s="27" t="str">
        <f t="shared" si="119"/>
        <v xml:space="preserve"> </v>
      </c>
      <c r="X99" s="27" t="str">
        <f t="shared" si="120"/>
        <v xml:space="preserve"> </v>
      </c>
      <c r="Y99" s="27" t="str">
        <f t="shared" si="121"/>
        <v xml:space="preserve"> </v>
      </c>
      <c r="Z99" s="27" t="str">
        <f t="shared" si="122"/>
        <v xml:space="preserve"> </v>
      </c>
      <c r="AA99" s="27" t="str">
        <f t="shared" si="123"/>
        <v xml:space="preserve"> </v>
      </c>
      <c r="AB99" s="27" t="str">
        <f t="shared" si="124"/>
        <v xml:space="preserve"> </v>
      </c>
      <c r="AC99" s="27" t="str">
        <f t="shared" si="125"/>
        <v xml:space="preserve"> </v>
      </c>
      <c r="AD99" s="27" t="str">
        <f t="shared" si="126"/>
        <v xml:space="preserve"> </v>
      </c>
      <c r="AE99" s="27" t="str">
        <f t="shared" si="127"/>
        <v xml:space="preserve"> </v>
      </c>
      <c r="AF99" s="27" t="str">
        <f t="shared" si="128"/>
        <v xml:space="preserve"> </v>
      </c>
      <c r="AG99" s="27" t="str">
        <f t="shared" si="129"/>
        <v xml:space="preserve"> </v>
      </c>
      <c r="AH99" s="27" t="str">
        <f t="shared" si="130"/>
        <v xml:space="preserve"> </v>
      </c>
      <c r="AI99" s="27" t="str">
        <f t="shared" si="131"/>
        <v xml:space="preserve"> </v>
      </c>
      <c r="AJ99" s="27" t="str">
        <f t="shared" si="132"/>
        <v xml:space="preserve"> </v>
      </c>
      <c r="AK99" s="27" t="str">
        <f t="shared" si="133"/>
        <v xml:space="preserve"> </v>
      </c>
      <c r="AL99" s="27" t="str">
        <f t="shared" si="134"/>
        <v xml:space="preserve"> </v>
      </c>
      <c r="AM99" s="27" t="str">
        <f t="shared" si="135"/>
        <v xml:space="preserve"> </v>
      </c>
      <c r="AN99" s="27" t="str">
        <f t="shared" si="136"/>
        <v xml:space="preserve"> </v>
      </c>
      <c r="AO99" s="27" t="str">
        <f t="shared" si="137"/>
        <v xml:space="preserve"> </v>
      </c>
      <c r="AP99" s="27" t="str">
        <f t="shared" si="138"/>
        <v xml:space="preserve"> </v>
      </c>
      <c r="AQ99" s="27" t="str">
        <f t="shared" si="139"/>
        <v xml:space="preserve"> </v>
      </c>
      <c r="AR99" s="27" t="str">
        <f t="shared" si="140"/>
        <v xml:space="preserve"> </v>
      </c>
      <c r="AS99" s="27" t="str">
        <f t="shared" si="141"/>
        <v xml:space="preserve"> </v>
      </c>
      <c r="AT99" s="27" t="str">
        <f t="shared" si="142"/>
        <v xml:space="preserve"> </v>
      </c>
      <c r="AU99" s="27" t="str">
        <f t="shared" si="143"/>
        <v xml:space="preserve"> </v>
      </c>
      <c r="AV99" s="27" t="str">
        <f t="shared" si="144"/>
        <v xml:space="preserve"> </v>
      </c>
      <c r="AW99" s="27" t="str">
        <f t="shared" si="145"/>
        <v xml:space="preserve"> </v>
      </c>
      <c r="AX99" s="27" t="str">
        <f t="shared" si="146"/>
        <v xml:space="preserve"> </v>
      </c>
      <c r="AY99" s="27" t="str">
        <f t="shared" si="147"/>
        <v xml:space="preserve"> </v>
      </c>
      <c r="AZ99" s="27" t="str">
        <f t="shared" si="148"/>
        <v xml:space="preserve"> </v>
      </c>
      <c r="BA99" s="27" t="str">
        <f t="shared" si="149"/>
        <v xml:space="preserve"> </v>
      </c>
      <c r="BB99" s="27" t="str">
        <f t="shared" si="150"/>
        <v xml:space="preserve"> </v>
      </c>
      <c r="BC99" s="27" t="str">
        <f t="shared" si="151"/>
        <v xml:space="preserve"> </v>
      </c>
      <c r="BD99" s="27" t="str">
        <f t="shared" si="152"/>
        <v xml:space="preserve"> </v>
      </c>
      <c r="BE99" s="27" t="str">
        <f t="shared" si="153"/>
        <v xml:space="preserve"> </v>
      </c>
      <c r="BF99" s="27" t="str">
        <f t="shared" si="154"/>
        <v xml:space="preserve"> </v>
      </c>
      <c r="BG99" s="27" t="str">
        <f t="shared" si="155"/>
        <v xml:space="preserve"> </v>
      </c>
      <c r="BH99" s="27" t="str">
        <f t="shared" si="156"/>
        <v xml:space="preserve"> </v>
      </c>
      <c r="BI99" s="27" t="str">
        <f t="shared" si="157"/>
        <v xml:space="preserve"> </v>
      </c>
      <c r="BJ99" s="27" t="str">
        <f t="shared" si="158"/>
        <v xml:space="preserve"> </v>
      </c>
      <c r="BK99" s="27" t="str">
        <f t="shared" si="159"/>
        <v xml:space="preserve"> </v>
      </c>
      <c r="BL99" s="27" t="str">
        <f t="shared" si="160"/>
        <v xml:space="preserve"> </v>
      </c>
      <c r="BM99" s="27" t="str">
        <f t="shared" si="161"/>
        <v xml:space="preserve"> </v>
      </c>
      <c r="BN99" s="27" t="str">
        <f t="shared" si="162"/>
        <v xml:space="preserve"> </v>
      </c>
      <c r="BO99" s="27" t="str">
        <f t="shared" si="163"/>
        <v xml:space="preserve"> </v>
      </c>
      <c r="BP99" s="27" t="str">
        <f t="shared" si="164"/>
        <v xml:space="preserve"> </v>
      </c>
      <c r="BQ99" s="27" t="str">
        <f t="shared" si="165"/>
        <v xml:space="preserve"> </v>
      </c>
      <c r="BR99" s="27" t="str">
        <f t="shared" si="166"/>
        <v xml:space="preserve"> </v>
      </c>
      <c r="BS99" s="27" t="str">
        <f t="shared" si="167"/>
        <v xml:space="preserve"> </v>
      </c>
      <c r="BT99" s="27" t="str">
        <f t="shared" si="168"/>
        <v xml:space="preserve"> </v>
      </c>
      <c r="BU99" s="27" t="str">
        <f t="shared" si="169"/>
        <v xml:space="preserve"> </v>
      </c>
      <c r="BV99" s="27" t="str">
        <f t="shared" si="170"/>
        <v xml:space="preserve"> </v>
      </c>
      <c r="BW99" s="27" t="str">
        <f t="shared" si="171"/>
        <v xml:space="preserve"> </v>
      </c>
      <c r="BX99" s="27" t="str">
        <f t="shared" si="172"/>
        <v xml:space="preserve"> </v>
      </c>
      <c r="BY99" s="27" t="str">
        <f t="shared" si="173"/>
        <v xml:space="preserve"> </v>
      </c>
      <c r="BZ99" s="27" t="str">
        <f t="shared" si="174"/>
        <v xml:space="preserve"> </v>
      </c>
      <c r="CA99" s="27" t="str">
        <f t="shared" si="175"/>
        <v xml:space="preserve"> </v>
      </c>
      <c r="CB99" s="27" t="str">
        <f t="shared" si="176"/>
        <v xml:space="preserve"> </v>
      </c>
      <c r="CC99" s="27" t="str">
        <f t="shared" si="177"/>
        <v xml:space="preserve"> </v>
      </c>
      <c r="CD99" s="27" t="str">
        <f t="shared" si="178"/>
        <v xml:space="preserve"> </v>
      </c>
      <c r="CE99" s="27"/>
      <c r="CF99" s="27"/>
      <c r="CG99" s="27"/>
      <c r="CH99" s="27"/>
      <c r="CI99" s="27"/>
      <c r="CJ99" s="27"/>
    </row>
    <row r="100" spans="1:88" x14ac:dyDescent="0.2">
      <c r="A100" s="27" t="str">
        <f t="shared" si="97"/>
        <v xml:space="preserve"> </v>
      </c>
      <c r="B100" s="27" t="str">
        <f t="shared" si="98"/>
        <v xml:space="preserve"> </v>
      </c>
      <c r="C100" s="27" t="str">
        <f t="shared" si="99"/>
        <v xml:space="preserve"> </v>
      </c>
      <c r="D100" s="27" t="str">
        <f t="shared" si="100"/>
        <v xml:space="preserve"> </v>
      </c>
      <c r="E100" s="27" t="str">
        <f t="shared" si="101"/>
        <v xml:space="preserve"> </v>
      </c>
      <c r="F100" s="27" t="str">
        <f t="shared" si="102"/>
        <v xml:space="preserve"> </v>
      </c>
      <c r="G100" s="27" t="str">
        <f t="shared" si="103"/>
        <v xml:space="preserve"> </v>
      </c>
      <c r="H100" s="27" t="str">
        <f t="shared" si="104"/>
        <v xml:space="preserve"> </v>
      </c>
      <c r="I100" s="27" t="str">
        <f t="shared" si="105"/>
        <v xml:space="preserve"> </v>
      </c>
      <c r="J100" s="27" t="str">
        <f t="shared" si="106"/>
        <v xml:space="preserve"> </v>
      </c>
      <c r="K100" s="27" t="str">
        <f t="shared" si="107"/>
        <v xml:space="preserve"> </v>
      </c>
      <c r="L100" s="27" t="str">
        <f t="shared" si="108"/>
        <v xml:space="preserve"> </v>
      </c>
      <c r="M100" s="27" t="str">
        <f t="shared" si="109"/>
        <v xml:space="preserve"> </v>
      </c>
      <c r="N100" s="27" t="str">
        <f t="shared" si="110"/>
        <v xml:space="preserve"> </v>
      </c>
      <c r="O100" s="27" t="str">
        <f t="shared" si="111"/>
        <v xml:space="preserve"> </v>
      </c>
      <c r="P100" s="27" t="str">
        <f t="shared" si="112"/>
        <v xml:space="preserve"> </v>
      </c>
      <c r="Q100" s="27" t="str">
        <f t="shared" si="113"/>
        <v xml:space="preserve"> </v>
      </c>
      <c r="R100" s="27" t="str">
        <f t="shared" si="114"/>
        <v xml:space="preserve"> </v>
      </c>
      <c r="S100" s="27" t="str">
        <f t="shared" si="115"/>
        <v xml:space="preserve"> </v>
      </c>
      <c r="T100" s="27" t="str">
        <f t="shared" si="116"/>
        <v xml:space="preserve"> </v>
      </c>
      <c r="U100" s="27" t="str">
        <f t="shared" si="117"/>
        <v xml:space="preserve"> </v>
      </c>
      <c r="V100" s="27" t="str">
        <f t="shared" si="118"/>
        <v xml:space="preserve"> </v>
      </c>
      <c r="W100" s="27" t="str">
        <f t="shared" si="119"/>
        <v xml:space="preserve"> </v>
      </c>
      <c r="X100" s="27" t="str">
        <f t="shared" si="120"/>
        <v xml:space="preserve"> </v>
      </c>
      <c r="Y100" s="27" t="str">
        <f t="shared" si="121"/>
        <v xml:space="preserve"> </v>
      </c>
      <c r="Z100" s="27" t="str">
        <f t="shared" si="122"/>
        <v xml:space="preserve"> </v>
      </c>
      <c r="AA100" s="27" t="str">
        <f t="shared" si="123"/>
        <v xml:space="preserve"> </v>
      </c>
      <c r="AB100" s="27" t="str">
        <f t="shared" si="124"/>
        <v xml:space="preserve"> </v>
      </c>
      <c r="AC100" s="27" t="str">
        <f t="shared" si="125"/>
        <v xml:space="preserve"> </v>
      </c>
      <c r="AD100" s="27" t="str">
        <f t="shared" si="126"/>
        <v xml:space="preserve"> </v>
      </c>
      <c r="AE100" s="27" t="str">
        <f t="shared" si="127"/>
        <v xml:space="preserve"> </v>
      </c>
      <c r="AF100" s="27" t="str">
        <f t="shared" si="128"/>
        <v xml:space="preserve"> </v>
      </c>
      <c r="AG100" s="27" t="str">
        <f t="shared" si="129"/>
        <v xml:space="preserve"> </v>
      </c>
      <c r="AH100" s="27" t="str">
        <f t="shared" si="130"/>
        <v xml:space="preserve"> </v>
      </c>
      <c r="AI100" s="27" t="str">
        <f t="shared" si="131"/>
        <v xml:space="preserve"> </v>
      </c>
      <c r="AJ100" s="27" t="str">
        <f t="shared" si="132"/>
        <v xml:space="preserve"> </v>
      </c>
      <c r="AK100" s="27" t="str">
        <f t="shared" si="133"/>
        <v xml:space="preserve"> </v>
      </c>
      <c r="AL100" s="27" t="str">
        <f t="shared" si="134"/>
        <v xml:space="preserve"> </v>
      </c>
      <c r="AM100" s="27" t="str">
        <f t="shared" si="135"/>
        <v xml:space="preserve"> </v>
      </c>
      <c r="AN100" s="27" t="str">
        <f t="shared" si="136"/>
        <v xml:space="preserve"> </v>
      </c>
      <c r="AO100" s="27" t="str">
        <f t="shared" si="137"/>
        <v xml:space="preserve"> </v>
      </c>
      <c r="AP100" s="27" t="str">
        <f t="shared" si="138"/>
        <v xml:space="preserve"> </v>
      </c>
      <c r="AQ100" s="27" t="str">
        <f t="shared" si="139"/>
        <v xml:space="preserve"> </v>
      </c>
      <c r="AR100" s="27" t="str">
        <f t="shared" si="140"/>
        <v xml:space="preserve"> </v>
      </c>
      <c r="AS100" s="27" t="str">
        <f t="shared" si="141"/>
        <v xml:space="preserve"> </v>
      </c>
      <c r="AT100" s="27" t="str">
        <f t="shared" si="142"/>
        <v xml:space="preserve"> </v>
      </c>
      <c r="AU100" s="27" t="str">
        <f t="shared" si="143"/>
        <v xml:space="preserve"> </v>
      </c>
      <c r="AV100" s="27" t="str">
        <f t="shared" si="144"/>
        <v xml:space="preserve"> </v>
      </c>
      <c r="AW100" s="27" t="str">
        <f t="shared" si="145"/>
        <v xml:space="preserve"> </v>
      </c>
      <c r="AX100" s="27" t="str">
        <f t="shared" si="146"/>
        <v xml:space="preserve"> </v>
      </c>
      <c r="AY100" s="27" t="str">
        <f t="shared" si="147"/>
        <v xml:space="preserve"> </v>
      </c>
      <c r="AZ100" s="27" t="str">
        <f t="shared" si="148"/>
        <v xml:space="preserve"> </v>
      </c>
      <c r="BA100" s="27" t="str">
        <f t="shared" si="149"/>
        <v xml:space="preserve"> </v>
      </c>
      <c r="BB100" s="27" t="str">
        <f t="shared" si="150"/>
        <v xml:space="preserve"> </v>
      </c>
      <c r="BC100" s="27" t="str">
        <f t="shared" si="151"/>
        <v xml:space="preserve"> </v>
      </c>
      <c r="BD100" s="27" t="str">
        <f t="shared" si="152"/>
        <v xml:space="preserve"> </v>
      </c>
      <c r="BE100" s="27" t="str">
        <f t="shared" si="153"/>
        <v xml:space="preserve"> </v>
      </c>
      <c r="BF100" s="27" t="str">
        <f t="shared" si="154"/>
        <v xml:space="preserve"> </v>
      </c>
      <c r="BG100" s="27" t="str">
        <f t="shared" si="155"/>
        <v xml:space="preserve"> </v>
      </c>
      <c r="BH100" s="27" t="str">
        <f t="shared" si="156"/>
        <v xml:space="preserve"> </v>
      </c>
      <c r="BI100" s="27" t="str">
        <f t="shared" si="157"/>
        <v xml:space="preserve"> </v>
      </c>
      <c r="BJ100" s="27" t="str">
        <f t="shared" si="158"/>
        <v xml:space="preserve"> </v>
      </c>
      <c r="BK100" s="27" t="str">
        <f t="shared" si="159"/>
        <v xml:space="preserve"> </v>
      </c>
      <c r="BL100" s="27" t="str">
        <f t="shared" si="160"/>
        <v xml:space="preserve"> </v>
      </c>
      <c r="BM100" s="27" t="str">
        <f t="shared" si="161"/>
        <v xml:space="preserve"> </v>
      </c>
      <c r="BN100" s="27" t="str">
        <f t="shared" si="162"/>
        <v xml:space="preserve"> </v>
      </c>
      <c r="BO100" s="27" t="str">
        <f t="shared" si="163"/>
        <v xml:space="preserve"> </v>
      </c>
      <c r="BP100" s="27" t="str">
        <f t="shared" si="164"/>
        <v xml:space="preserve"> </v>
      </c>
      <c r="BQ100" s="27" t="str">
        <f t="shared" si="165"/>
        <v xml:space="preserve"> </v>
      </c>
      <c r="BR100" s="27" t="str">
        <f t="shared" si="166"/>
        <v xml:space="preserve"> </v>
      </c>
      <c r="BS100" s="27" t="str">
        <f t="shared" si="167"/>
        <v xml:space="preserve"> </v>
      </c>
      <c r="BT100" s="27" t="str">
        <f t="shared" si="168"/>
        <v xml:space="preserve"> </v>
      </c>
      <c r="BU100" s="27" t="str">
        <f t="shared" si="169"/>
        <v xml:space="preserve"> </v>
      </c>
      <c r="BV100" s="27" t="str">
        <f t="shared" si="170"/>
        <v xml:space="preserve"> </v>
      </c>
      <c r="BW100" s="27" t="str">
        <f t="shared" si="171"/>
        <v xml:space="preserve"> </v>
      </c>
      <c r="BX100" s="27" t="str">
        <f t="shared" si="172"/>
        <v xml:space="preserve"> </v>
      </c>
      <c r="BY100" s="27" t="str">
        <f t="shared" si="173"/>
        <v xml:space="preserve"> </v>
      </c>
      <c r="BZ100" s="27" t="str">
        <f t="shared" si="174"/>
        <v xml:space="preserve"> </v>
      </c>
      <c r="CA100" s="27" t="str">
        <f t="shared" si="175"/>
        <v xml:space="preserve"> </v>
      </c>
      <c r="CB100" s="27" t="str">
        <f t="shared" si="176"/>
        <v xml:space="preserve"> </v>
      </c>
      <c r="CC100" s="27" t="str">
        <f t="shared" si="177"/>
        <v xml:space="preserve"> </v>
      </c>
      <c r="CD100" s="27" t="str">
        <f t="shared" si="178"/>
        <v xml:space="preserve"> </v>
      </c>
      <c r="CE100" s="27"/>
      <c r="CF100" s="27"/>
      <c r="CG100" s="27"/>
      <c r="CH100" s="27"/>
      <c r="CI100" s="27"/>
      <c r="CJ100" s="27"/>
    </row>
    <row r="101" spans="1:88" x14ac:dyDescent="0.2">
      <c r="A101" s="27" t="str">
        <f t="shared" si="97"/>
        <v xml:space="preserve"> </v>
      </c>
      <c r="B101" s="27" t="str">
        <f t="shared" si="98"/>
        <v xml:space="preserve"> </v>
      </c>
      <c r="C101" s="27" t="str">
        <f t="shared" si="99"/>
        <v xml:space="preserve"> </v>
      </c>
      <c r="D101" s="27" t="str">
        <f t="shared" si="100"/>
        <v xml:space="preserve"> </v>
      </c>
      <c r="E101" s="27" t="str">
        <f t="shared" si="101"/>
        <v xml:space="preserve"> </v>
      </c>
      <c r="F101" s="27" t="str">
        <f t="shared" si="102"/>
        <v xml:space="preserve"> </v>
      </c>
      <c r="G101" s="27" t="str">
        <f t="shared" si="103"/>
        <v xml:space="preserve"> </v>
      </c>
      <c r="H101" s="27" t="str">
        <f t="shared" si="104"/>
        <v xml:space="preserve"> </v>
      </c>
      <c r="I101" s="27" t="str">
        <f t="shared" si="105"/>
        <v xml:space="preserve"> </v>
      </c>
      <c r="J101" s="27" t="str">
        <f t="shared" si="106"/>
        <v xml:space="preserve"> </v>
      </c>
      <c r="K101" s="27" t="str">
        <f t="shared" si="107"/>
        <v xml:space="preserve"> </v>
      </c>
      <c r="L101" s="27" t="str">
        <f t="shared" si="108"/>
        <v xml:space="preserve"> </v>
      </c>
      <c r="M101" s="27" t="str">
        <f t="shared" si="109"/>
        <v xml:space="preserve"> </v>
      </c>
      <c r="N101" s="27" t="str">
        <f t="shared" si="110"/>
        <v xml:space="preserve"> </v>
      </c>
      <c r="O101" s="27" t="str">
        <f t="shared" si="111"/>
        <v xml:space="preserve"> </v>
      </c>
      <c r="P101" s="27" t="str">
        <f t="shared" si="112"/>
        <v xml:space="preserve"> </v>
      </c>
      <c r="Q101" s="27" t="str">
        <f t="shared" si="113"/>
        <v xml:space="preserve"> </v>
      </c>
      <c r="R101" s="27" t="str">
        <f t="shared" si="114"/>
        <v xml:space="preserve"> </v>
      </c>
      <c r="S101" s="27" t="str">
        <f t="shared" si="115"/>
        <v xml:space="preserve"> </v>
      </c>
      <c r="T101" s="27" t="str">
        <f t="shared" si="116"/>
        <v xml:space="preserve"> </v>
      </c>
      <c r="U101" s="27" t="str">
        <f t="shared" si="117"/>
        <v xml:space="preserve"> </v>
      </c>
      <c r="V101" s="27" t="str">
        <f t="shared" si="118"/>
        <v xml:space="preserve"> </v>
      </c>
      <c r="W101" s="27" t="str">
        <f t="shared" si="119"/>
        <v xml:space="preserve"> </v>
      </c>
      <c r="X101" s="27" t="str">
        <f t="shared" si="120"/>
        <v xml:space="preserve"> </v>
      </c>
      <c r="Y101" s="27" t="str">
        <f t="shared" si="121"/>
        <v xml:space="preserve"> </v>
      </c>
      <c r="Z101" s="27" t="str">
        <f t="shared" si="122"/>
        <v xml:space="preserve"> </v>
      </c>
      <c r="AA101" s="27" t="str">
        <f t="shared" si="123"/>
        <v xml:space="preserve"> </v>
      </c>
      <c r="AB101" s="27" t="str">
        <f t="shared" si="124"/>
        <v xml:space="preserve"> </v>
      </c>
      <c r="AC101" s="27" t="str">
        <f t="shared" si="125"/>
        <v xml:space="preserve"> </v>
      </c>
      <c r="AD101" s="27" t="str">
        <f t="shared" si="126"/>
        <v xml:space="preserve"> </v>
      </c>
      <c r="AE101" s="27" t="str">
        <f t="shared" si="127"/>
        <v xml:space="preserve"> </v>
      </c>
      <c r="AF101" s="27" t="str">
        <f t="shared" si="128"/>
        <v xml:space="preserve"> </v>
      </c>
      <c r="AG101" s="27" t="str">
        <f t="shared" si="129"/>
        <v xml:space="preserve"> </v>
      </c>
      <c r="AH101" s="27" t="str">
        <f t="shared" si="130"/>
        <v xml:space="preserve"> </v>
      </c>
      <c r="AI101" s="27" t="str">
        <f t="shared" si="131"/>
        <v xml:space="preserve"> </v>
      </c>
      <c r="AJ101" s="27" t="str">
        <f t="shared" si="132"/>
        <v xml:space="preserve"> </v>
      </c>
      <c r="AK101" s="27" t="str">
        <f t="shared" si="133"/>
        <v xml:space="preserve"> </v>
      </c>
      <c r="AL101" s="27" t="str">
        <f t="shared" si="134"/>
        <v xml:space="preserve"> </v>
      </c>
      <c r="AM101" s="27" t="str">
        <f t="shared" si="135"/>
        <v xml:space="preserve"> </v>
      </c>
      <c r="AN101" s="27" t="str">
        <f t="shared" si="136"/>
        <v xml:space="preserve"> </v>
      </c>
      <c r="AO101" s="27" t="str">
        <f t="shared" si="137"/>
        <v xml:space="preserve"> </v>
      </c>
      <c r="AP101" s="27" t="str">
        <f t="shared" si="138"/>
        <v xml:space="preserve"> </v>
      </c>
      <c r="AQ101" s="27" t="str">
        <f t="shared" si="139"/>
        <v xml:space="preserve"> </v>
      </c>
      <c r="AR101" s="27" t="str">
        <f t="shared" si="140"/>
        <v xml:space="preserve"> </v>
      </c>
      <c r="AS101" s="27" t="str">
        <f t="shared" si="141"/>
        <v xml:space="preserve"> </v>
      </c>
      <c r="AT101" s="27" t="str">
        <f t="shared" si="142"/>
        <v xml:space="preserve"> </v>
      </c>
      <c r="AU101" s="27" t="str">
        <f t="shared" si="143"/>
        <v xml:space="preserve"> </v>
      </c>
      <c r="AV101" s="27" t="str">
        <f t="shared" si="144"/>
        <v xml:space="preserve"> </v>
      </c>
      <c r="AW101" s="27" t="str">
        <f t="shared" si="145"/>
        <v xml:space="preserve"> </v>
      </c>
      <c r="AX101" s="27" t="str">
        <f t="shared" si="146"/>
        <v xml:space="preserve"> </v>
      </c>
      <c r="AY101" s="27" t="str">
        <f t="shared" si="147"/>
        <v xml:space="preserve"> </v>
      </c>
      <c r="AZ101" s="27" t="str">
        <f t="shared" si="148"/>
        <v xml:space="preserve"> </v>
      </c>
      <c r="BA101" s="27" t="str">
        <f t="shared" si="149"/>
        <v xml:space="preserve"> </v>
      </c>
      <c r="BB101" s="27" t="str">
        <f t="shared" si="150"/>
        <v xml:space="preserve"> </v>
      </c>
      <c r="BC101" s="27" t="str">
        <f t="shared" si="151"/>
        <v xml:space="preserve"> </v>
      </c>
      <c r="BD101" s="27" t="str">
        <f t="shared" si="152"/>
        <v xml:space="preserve"> </v>
      </c>
      <c r="BE101" s="27" t="str">
        <f t="shared" si="153"/>
        <v xml:space="preserve"> </v>
      </c>
      <c r="BF101" s="27" t="str">
        <f t="shared" si="154"/>
        <v xml:space="preserve"> </v>
      </c>
      <c r="BG101" s="27" t="str">
        <f t="shared" si="155"/>
        <v xml:space="preserve"> </v>
      </c>
      <c r="BH101" s="27" t="str">
        <f t="shared" si="156"/>
        <v xml:space="preserve"> </v>
      </c>
      <c r="BI101" s="27" t="str">
        <f t="shared" si="157"/>
        <v xml:space="preserve"> </v>
      </c>
      <c r="BJ101" s="27" t="str">
        <f t="shared" si="158"/>
        <v xml:space="preserve"> </v>
      </c>
      <c r="BK101" s="27" t="str">
        <f t="shared" si="159"/>
        <v xml:space="preserve"> </v>
      </c>
      <c r="BL101" s="27" t="str">
        <f t="shared" si="160"/>
        <v xml:space="preserve"> </v>
      </c>
      <c r="BM101" s="27" t="str">
        <f t="shared" si="161"/>
        <v xml:space="preserve"> </v>
      </c>
      <c r="BN101" s="27" t="str">
        <f t="shared" si="162"/>
        <v xml:space="preserve"> </v>
      </c>
      <c r="BO101" s="27" t="str">
        <f t="shared" si="163"/>
        <v xml:space="preserve"> </v>
      </c>
      <c r="BP101" s="27" t="str">
        <f t="shared" si="164"/>
        <v xml:space="preserve"> </v>
      </c>
      <c r="BQ101" s="27" t="str">
        <f t="shared" si="165"/>
        <v xml:space="preserve"> </v>
      </c>
      <c r="BR101" s="27" t="str">
        <f t="shared" si="166"/>
        <v xml:space="preserve"> </v>
      </c>
      <c r="BS101" s="27" t="str">
        <f t="shared" si="167"/>
        <v xml:space="preserve"> </v>
      </c>
      <c r="BT101" s="27" t="str">
        <f t="shared" si="168"/>
        <v xml:space="preserve"> </v>
      </c>
      <c r="BU101" s="27" t="str">
        <f t="shared" si="169"/>
        <v xml:space="preserve"> </v>
      </c>
      <c r="BV101" s="27" t="str">
        <f t="shared" si="170"/>
        <v xml:space="preserve"> </v>
      </c>
      <c r="BW101" s="27" t="str">
        <f t="shared" si="171"/>
        <v xml:space="preserve"> </v>
      </c>
      <c r="BX101" s="27" t="str">
        <f t="shared" si="172"/>
        <v xml:space="preserve"> </v>
      </c>
      <c r="BY101" s="27" t="str">
        <f t="shared" si="173"/>
        <v xml:space="preserve"> </v>
      </c>
      <c r="BZ101" s="27" t="str">
        <f t="shared" si="174"/>
        <v xml:space="preserve"> </v>
      </c>
      <c r="CA101" s="27" t="str">
        <f t="shared" si="175"/>
        <v xml:space="preserve"> </v>
      </c>
      <c r="CB101" s="27" t="str">
        <f t="shared" si="176"/>
        <v xml:space="preserve"> </v>
      </c>
      <c r="CC101" s="27" t="str">
        <f t="shared" si="177"/>
        <v xml:space="preserve"> </v>
      </c>
      <c r="CD101" s="27" t="str">
        <f t="shared" si="178"/>
        <v xml:space="preserve"> </v>
      </c>
      <c r="CE101" s="27"/>
      <c r="CF101" s="27"/>
      <c r="CG101" s="27"/>
      <c r="CH101" s="27"/>
      <c r="CI101" s="27"/>
      <c r="CJ101" s="27"/>
    </row>
    <row r="102" spans="1:88" x14ac:dyDescent="0.2">
      <c r="A102" s="27" t="str">
        <f t="shared" si="97"/>
        <v xml:space="preserve"> </v>
      </c>
      <c r="B102" s="27" t="str">
        <f t="shared" si="98"/>
        <v xml:space="preserve"> </v>
      </c>
      <c r="C102" s="27" t="str">
        <f t="shared" si="99"/>
        <v xml:space="preserve"> </v>
      </c>
      <c r="D102" s="27" t="str">
        <f t="shared" si="100"/>
        <v xml:space="preserve"> </v>
      </c>
      <c r="E102" s="27" t="str">
        <f t="shared" si="101"/>
        <v xml:space="preserve"> </v>
      </c>
      <c r="F102" s="27" t="str">
        <f t="shared" si="102"/>
        <v xml:space="preserve"> </v>
      </c>
      <c r="G102" s="27" t="str">
        <f t="shared" si="103"/>
        <v xml:space="preserve"> </v>
      </c>
      <c r="H102" s="27" t="str">
        <f t="shared" si="104"/>
        <v xml:space="preserve"> </v>
      </c>
      <c r="I102" s="27" t="str">
        <f t="shared" si="105"/>
        <v xml:space="preserve"> </v>
      </c>
      <c r="J102" s="27" t="str">
        <f t="shared" si="106"/>
        <v xml:space="preserve"> </v>
      </c>
      <c r="K102" s="27" t="str">
        <f t="shared" si="107"/>
        <v xml:space="preserve"> </v>
      </c>
      <c r="L102" s="27" t="str">
        <f t="shared" si="108"/>
        <v xml:space="preserve"> </v>
      </c>
      <c r="M102" s="27" t="str">
        <f t="shared" si="109"/>
        <v xml:space="preserve"> </v>
      </c>
      <c r="N102" s="27" t="str">
        <f t="shared" si="110"/>
        <v xml:space="preserve"> </v>
      </c>
      <c r="O102" s="27" t="str">
        <f t="shared" si="111"/>
        <v xml:space="preserve"> </v>
      </c>
      <c r="P102" s="27" t="str">
        <f t="shared" si="112"/>
        <v xml:space="preserve"> </v>
      </c>
      <c r="Q102" s="27" t="str">
        <f t="shared" si="113"/>
        <v xml:space="preserve"> </v>
      </c>
      <c r="R102" s="27" t="str">
        <f t="shared" si="114"/>
        <v xml:space="preserve"> </v>
      </c>
      <c r="S102" s="27" t="str">
        <f t="shared" si="115"/>
        <v xml:space="preserve"> </v>
      </c>
      <c r="T102" s="27" t="str">
        <f t="shared" si="116"/>
        <v xml:space="preserve"> </v>
      </c>
      <c r="U102" s="27" t="str">
        <f t="shared" si="117"/>
        <v xml:space="preserve"> </v>
      </c>
      <c r="V102" s="27" t="str">
        <f t="shared" si="118"/>
        <v xml:space="preserve"> </v>
      </c>
      <c r="W102" s="27" t="str">
        <f t="shared" si="119"/>
        <v xml:space="preserve"> </v>
      </c>
      <c r="X102" s="27" t="str">
        <f t="shared" si="120"/>
        <v xml:space="preserve"> </v>
      </c>
      <c r="Y102" s="27" t="str">
        <f t="shared" si="121"/>
        <v xml:space="preserve"> </v>
      </c>
      <c r="Z102" s="27" t="str">
        <f t="shared" si="122"/>
        <v xml:space="preserve"> </v>
      </c>
      <c r="AA102" s="27" t="str">
        <f t="shared" si="123"/>
        <v xml:space="preserve"> </v>
      </c>
      <c r="AB102" s="27" t="str">
        <f t="shared" si="124"/>
        <v xml:space="preserve"> </v>
      </c>
      <c r="AC102" s="27" t="str">
        <f t="shared" si="125"/>
        <v xml:space="preserve"> </v>
      </c>
      <c r="AD102" s="27" t="str">
        <f t="shared" si="126"/>
        <v xml:space="preserve"> </v>
      </c>
      <c r="AE102" s="27" t="str">
        <f t="shared" si="127"/>
        <v xml:space="preserve"> </v>
      </c>
      <c r="AF102" s="27" t="str">
        <f t="shared" si="128"/>
        <v xml:space="preserve"> </v>
      </c>
      <c r="AG102" s="27" t="str">
        <f t="shared" si="129"/>
        <v xml:space="preserve"> </v>
      </c>
      <c r="AH102" s="27" t="str">
        <f t="shared" si="130"/>
        <v xml:space="preserve"> </v>
      </c>
      <c r="AI102" s="27" t="str">
        <f t="shared" si="131"/>
        <v xml:space="preserve"> </v>
      </c>
      <c r="AJ102" s="27" t="str">
        <f t="shared" si="132"/>
        <v xml:space="preserve"> </v>
      </c>
      <c r="AK102" s="27" t="str">
        <f t="shared" si="133"/>
        <v xml:space="preserve"> </v>
      </c>
      <c r="AL102" s="27" t="str">
        <f t="shared" si="134"/>
        <v xml:space="preserve"> </v>
      </c>
      <c r="AM102" s="27" t="str">
        <f t="shared" si="135"/>
        <v xml:space="preserve"> </v>
      </c>
      <c r="AN102" s="27" t="str">
        <f t="shared" si="136"/>
        <v xml:space="preserve"> </v>
      </c>
      <c r="AO102" s="27" t="str">
        <f t="shared" si="137"/>
        <v xml:space="preserve"> </v>
      </c>
      <c r="AP102" s="27" t="str">
        <f t="shared" si="138"/>
        <v xml:space="preserve"> </v>
      </c>
      <c r="AQ102" s="27" t="str">
        <f t="shared" si="139"/>
        <v xml:space="preserve"> </v>
      </c>
      <c r="AR102" s="27" t="str">
        <f t="shared" si="140"/>
        <v xml:space="preserve"> </v>
      </c>
      <c r="AS102" s="27" t="str">
        <f t="shared" si="141"/>
        <v xml:space="preserve"> </v>
      </c>
      <c r="AT102" s="27" t="str">
        <f t="shared" si="142"/>
        <v xml:space="preserve"> </v>
      </c>
      <c r="AU102" s="27" t="str">
        <f t="shared" si="143"/>
        <v xml:space="preserve"> </v>
      </c>
      <c r="AV102" s="27" t="str">
        <f t="shared" si="144"/>
        <v xml:space="preserve"> </v>
      </c>
      <c r="AW102" s="27" t="str">
        <f t="shared" si="145"/>
        <v xml:space="preserve"> </v>
      </c>
      <c r="AX102" s="27" t="str">
        <f t="shared" si="146"/>
        <v xml:space="preserve"> </v>
      </c>
      <c r="AY102" s="27" t="str">
        <f t="shared" si="147"/>
        <v xml:space="preserve"> </v>
      </c>
      <c r="AZ102" s="27" t="str">
        <f t="shared" si="148"/>
        <v xml:space="preserve"> </v>
      </c>
      <c r="BA102" s="27" t="str">
        <f t="shared" si="149"/>
        <v xml:space="preserve"> </v>
      </c>
      <c r="BB102" s="27" t="str">
        <f t="shared" si="150"/>
        <v xml:space="preserve"> </v>
      </c>
      <c r="BC102" s="27" t="str">
        <f t="shared" si="151"/>
        <v xml:space="preserve"> </v>
      </c>
      <c r="BD102" s="27" t="str">
        <f t="shared" si="152"/>
        <v xml:space="preserve"> </v>
      </c>
      <c r="BE102" s="27" t="str">
        <f t="shared" si="153"/>
        <v xml:space="preserve"> </v>
      </c>
      <c r="BF102" s="27" t="str">
        <f t="shared" si="154"/>
        <v xml:space="preserve"> </v>
      </c>
      <c r="BG102" s="27" t="str">
        <f t="shared" si="155"/>
        <v xml:space="preserve"> </v>
      </c>
      <c r="BH102" s="27" t="str">
        <f t="shared" si="156"/>
        <v xml:space="preserve"> </v>
      </c>
      <c r="BI102" s="27" t="str">
        <f t="shared" si="157"/>
        <v xml:space="preserve"> </v>
      </c>
      <c r="BJ102" s="27" t="str">
        <f t="shared" si="158"/>
        <v xml:space="preserve"> </v>
      </c>
      <c r="BK102" s="27" t="str">
        <f t="shared" si="159"/>
        <v xml:space="preserve"> </v>
      </c>
      <c r="BL102" s="27" t="str">
        <f t="shared" si="160"/>
        <v xml:space="preserve"> </v>
      </c>
      <c r="BM102" s="27" t="str">
        <f t="shared" si="161"/>
        <v xml:space="preserve"> </v>
      </c>
      <c r="BN102" s="27" t="str">
        <f t="shared" si="162"/>
        <v xml:space="preserve"> </v>
      </c>
      <c r="BO102" s="27" t="str">
        <f t="shared" si="163"/>
        <v xml:space="preserve"> </v>
      </c>
      <c r="BP102" s="27" t="str">
        <f t="shared" si="164"/>
        <v xml:space="preserve"> </v>
      </c>
      <c r="BQ102" s="27" t="str">
        <f t="shared" si="165"/>
        <v xml:space="preserve"> </v>
      </c>
      <c r="BR102" s="27" t="str">
        <f t="shared" si="166"/>
        <v xml:space="preserve"> </v>
      </c>
      <c r="BS102" s="27" t="str">
        <f t="shared" si="167"/>
        <v xml:space="preserve"> </v>
      </c>
      <c r="BT102" s="27" t="str">
        <f t="shared" si="168"/>
        <v xml:space="preserve"> </v>
      </c>
      <c r="BU102" s="27" t="str">
        <f t="shared" si="169"/>
        <v xml:space="preserve"> </v>
      </c>
      <c r="BV102" s="27" t="str">
        <f t="shared" si="170"/>
        <v xml:space="preserve"> </v>
      </c>
      <c r="BW102" s="27" t="str">
        <f t="shared" si="171"/>
        <v xml:space="preserve"> </v>
      </c>
      <c r="BX102" s="27" t="str">
        <f t="shared" si="172"/>
        <v xml:space="preserve"> </v>
      </c>
      <c r="BY102" s="27" t="str">
        <f t="shared" si="173"/>
        <v xml:space="preserve"> </v>
      </c>
      <c r="BZ102" s="27" t="str">
        <f t="shared" si="174"/>
        <v xml:space="preserve"> </v>
      </c>
      <c r="CA102" s="27" t="str">
        <f t="shared" si="175"/>
        <v xml:space="preserve"> </v>
      </c>
      <c r="CB102" s="27" t="str">
        <f t="shared" si="176"/>
        <v xml:space="preserve"> </v>
      </c>
      <c r="CC102" s="27" t="str">
        <f t="shared" si="177"/>
        <v xml:space="preserve"> </v>
      </c>
      <c r="CD102" s="27" t="str">
        <f t="shared" si="178"/>
        <v xml:space="preserve"> </v>
      </c>
      <c r="CE102" s="27"/>
      <c r="CF102" s="27"/>
      <c r="CG102" s="27"/>
      <c r="CH102" s="27"/>
      <c r="CI102" s="27"/>
      <c r="CJ102" s="27"/>
    </row>
    <row r="103" spans="1:88" x14ac:dyDescent="0.2">
      <c r="A103" s="27" t="str">
        <f t="shared" si="97"/>
        <v xml:space="preserve"> </v>
      </c>
      <c r="B103" s="27" t="str">
        <f t="shared" si="98"/>
        <v xml:space="preserve"> </v>
      </c>
      <c r="C103" s="27" t="str">
        <f t="shared" si="99"/>
        <v xml:space="preserve"> </v>
      </c>
      <c r="D103" s="27" t="str">
        <f t="shared" si="100"/>
        <v xml:space="preserve"> </v>
      </c>
      <c r="E103" s="27" t="str">
        <f t="shared" si="101"/>
        <v xml:space="preserve"> </v>
      </c>
      <c r="F103" s="27" t="str">
        <f t="shared" si="102"/>
        <v xml:space="preserve"> </v>
      </c>
      <c r="G103" s="27" t="str">
        <f t="shared" si="103"/>
        <v xml:space="preserve"> </v>
      </c>
      <c r="H103" s="27" t="str">
        <f t="shared" si="104"/>
        <v xml:space="preserve"> </v>
      </c>
      <c r="I103" s="27" t="str">
        <f t="shared" si="105"/>
        <v xml:space="preserve"> </v>
      </c>
      <c r="J103" s="27" t="str">
        <f t="shared" si="106"/>
        <v xml:space="preserve"> </v>
      </c>
      <c r="K103" s="27" t="str">
        <f t="shared" si="107"/>
        <v xml:space="preserve"> </v>
      </c>
      <c r="L103" s="27" t="str">
        <f t="shared" si="108"/>
        <v xml:space="preserve"> </v>
      </c>
      <c r="M103" s="27" t="str">
        <f t="shared" si="109"/>
        <v xml:space="preserve"> </v>
      </c>
      <c r="N103" s="27" t="str">
        <f t="shared" si="110"/>
        <v xml:space="preserve"> </v>
      </c>
      <c r="O103" s="27" t="str">
        <f t="shared" si="111"/>
        <v xml:space="preserve"> </v>
      </c>
      <c r="P103" s="27" t="str">
        <f t="shared" si="112"/>
        <v xml:space="preserve"> </v>
      </c>
      <c r="Q103" s="27" t="str">
        <f t="shared" si="113"/>
        <v xml:space="preserve"> </v>
      </c>
      <c r="R103" s="27" t="str">
        <f t="shared" si="114"/>
        <v xml:space="preserve"> </v>
      </c>
      <c r="S103" s="27" t="str">
        <f t="shared" si="115"/>
        <v xml:space="preserve"> </v>
      </c>
      <c r="T103" s="27" t="str">
        <f t="shared" si="116"/>
        <v xml:space="preserve"> </v>
      </c>
      <c r="U103" s="27" t="str">
        <f t="shared" si="117"/>
        <v xml:space="preserve"> </v>
      </c>
      <c r="V103" s="27" t="str">
        <f t="shared" si="118"/>
        <v xml:space="preserve"> </v>
      </c>
      <c r="W103" s="27" t="str">
        <f t="shared" si="119"/>
        <v xml:space="preserve"> </v>
      </c>
      <c r="X103" s="27" t="str">
        <f t="shared" si="120"/>
        <v xml:space="preserve"> </v>
      </c>
      <c r="Y103" s="27" t="str">
        <f t="shared" si="121"/>
        <v xml:space="preserve"> </v>
      </c>
      <c r="Z103" s="27" t="str">
        <f t="shared" si="122"/>
        <v xml:space="preserve"> </v>
      </c>
      <c r="AA103" s="27" t="str">
        <f t="shared" si="123"/>
        <v xml:space="preserve"> </v>
      </c>
      <c r="AB103" s="27" t="str">
        <f t="shared" si="124"/>
        <v xml:space="preserve"> </v>
      </c>
      <c r="AC103" s="27" t="str">
        <f t="shared" si="125"/>
        <v xml:space="preserve"> </v>
      </c>
      <c r="AD103" s="27" t="str">
        <f t="shared" si="126"/>
        <v xml:space="preserve"> </v>
      </c>
      <c r="AE103" s="27" t="str">
        <f t="shared" si="127"/>
        <v xml:space="preserve"> </v>
      </c>
      <c r="AF103" s="27" t="str">
        <f t="shared" si="128"/>
        <v xml:space="preserve"> </v>
      </c>
      <c r="AG103" s="27" t="str">
        <f t="shared" si="129"/>
        <v xml:space="preserve"> </v>
      </c>
      <c r="AH103" s="27" t="str">
        <f t="shared" si="130"/>
        <v xml:space="preserve"> </v>
      </c>
      <c r="AI103" s="27" t="str">
        <f t="shared" si="131"/>
        <v xml:space="preserve"> </v>
      </c>
      <c r="AJ103" s="27" t="str">
        <f t="shared" si="132"/>
        <v xml:space="preserve"> </v>
      </c>
      <c r="AK103" s="27" t="str">
        <f t="shared" si="133"/>
        <v xml:space="preserve"> </v>
      </c>
      <c r="AL103" s="27" t="str">
        <f t="shared" si="134"/>
        <v xml:space="preserve"> </v>
      </c>
      <c r="AM103" s="27" t="str">
        <f t="shared" si="135"/>
        <v xml:space="preserve"> </v>
      </c>
      <c r="AN103" s="27" t="str">
        <f t="shared" si="136"/>
        <v xml:space="preserve"> </v>
      </c>
      <c r="AO103" s="27" t="str">
        <f t="shared" si="137"/>
        <v xml:space="preserve"> </v>
      </c>
      <c r="AP103" s="27" t="str">
        <f t="shared" si="138"/>
        <v xml:space="preserve"> </v>
      </c>
      <c r="AQ103" s="27" t="str">
        <f t="shared" si="139"/>
        <v xml:space="preserve"> </v>
      </c>
      <c r="AR103" s="27" t="str">
        <f t="shared" si="140"/>
        <v xml:space="preserve"> </v>
      </c>
      <c r="AS103" s="27" t="str">
        <f t="shared" si="141"/>
        <v xml:space="preserve"> </v>
      </c>
      <c r="AT103" s="27" t="str">
        <f t="shared" si="142"/>
        <v xml:space="preserve"> </v>
      </c>
      <c r="AU103" s="27" t="str">
        <f t="shared" si="143"/>
        <v xml:space="preserve"> </v>
      </c>
      <c r="AV103" s="27" t="str">
        <f t="shared" si="144"/>
        <v xml:space="preserve"> </v>
      </c>
      <c r="AW103" s="27" t="str">
        <f t="shared" si="145"/>
        <v xml:space="preserve"> </v>
      </c>
      <c r="AX103" s="27" t="str">
        <f t="shared" si="146"/>
        <v xml:space="preserve"> </v>
      </c>
      <c r="AY103" s="27" t="str">
        <f t="shared" si="147"/>
        <v xml:space="preserve"> </v>
      </c>
      <c r="AZ103" s="27" t="str">
        <f t="shared" si="148"/>
        <v xml:space="preserve"> </v>
      </c>
      <c r="BA103" s="27" t="str">
        <f t="shared" si="149"/>
        <v xml:space="preserve"> </v>
      </c>
      <c r="BB103" s="27" t="str">
        <f t="shared" si="150"/>
        <v xml:space="preserve"> </v>
      </c>
      <c r="BC103" s="27" t="str">
        <f t="shared" si="151"/>
        <v xml:space="preserve"> </v>
      </c>
      <c r="BD103" s="27" t="str">
        <f t="shared" si="152"/>
        <v xml:space="preserve"> </v>
      </c>
      <c r="BE103" s="27" t="str">
        <f t="shared" si="153"/>
        <v xml:space="preserve"> </v>
      </c>
      <c r="BF103" s="27" t="str">
        <f t="shared" si="154"/>
        <v xml:space="preserve"> </v>
      </c>
      <c r="BG103" s="27" t="str">
        <f t="shared" si="155"/>
        <v xml:space="preserve"> </v>
      </c>
      <c r="BH103" s="27" t="str">
        <f t="shared" si="156"/>
        <v xml:space="preserve"> </v>
      </c>
      <c r="BI103" s="27" t="str">
        <f t="shared" si="157"/>
        <v xml:space="preserve"> </v>
      </c>
      <c r="BJ103" s="27" t="str">
        <f t="shared" si="158"/>
        <v xml:space="preserve"> </v>
      </c>
      <c r="BK103" s="27" t="str">
        <f t="shared" si="159"/>
        <v xml:space="preserve"> </v>
      </c>
      <c r="BL103" s="27" t="str">
        <f t="shared" si="160"/>
        <v xml:space="preserve"> </v>
      </c>
      <c r="BM103" s="27" t="str">
        <f t="shared" si="161"/>
        <v xml:space="preserve"> </v>
      </c>
      <c r="BN103" s="27" t="str">
        <f t="shared" si="162"/>
        <v xml:space="preserve"> </v>
      </c>
      <c r="BO103" s="27" t="str">
        <f t="shared" si="163"/>
        <v xml:space="preserve"> </v>
      </c>
      <c r="BP103" s="27" t="str">
        <f t="shared" si="164"/>
        <v xml:space="preserve"> </v>
      </c>
      <c r="BQ103" s="27" t="str">
        <f t="shared" si="165"/>
        <v xml:space="preserve"> </v>
      </c>
      <c r="BR103" s="27" t="str">
        <f t="shared" si="166"/>
        <v xml:space="preserve"> </v>
      </c>
      <c r="BS103" s="27" t="str">
        <f t="shared" si="167"/>
        <v xml:space="preserve"> </v>
      </c>
      <c r="BT103" s="27" t="str">
        <f t="shared" si="168"/>
        <v xml:space="preserve"> </v>
      </c>
      <c r="BU103" s="27" t="str">
        <f t="shared" si="169"/>
        <v xml:space="preserve"> </v>
      </c>
      <c r="BV103" s="27" t="str">
        <f t="shared" si="170"/>
        <v xml:space="preserve"> </v>
      </c>
      <c r="BW103" s="27" t="str">
        <f t="shared" si="171"/>
        <v xml:space="preserve"> </v>
      </c>
      <c r="BX103" s="27" t="str">
        <f t="shared" si="172"/>
        <v xml:space="preserve"> </v>
      </c>
      <c r="BY103" s="27" t="str">
        <f t="shared" si="173"/>
        <v xml:space="preserve"> </v>
      </c>
      <c r="BZ103" s="27" t="str">
        <f t="shared" si="174"/>
        <v xml:space="preserve"> </v>
      </c>
      <c r="CA103" s="27" t="str">
        <f t="shared" si="175"/>
        <v xml:space="preserve"> </v>
      </c>
      <c r="CB103" s="27" t="str">
        <f t="shared" si="176"/>
        <v xml:space="preserve"> </v>
      </c>
      <c r="CC103" s="27" t="str">
        <f t="shared" si="177"/>
        <v xml:space="preserve"> </v>
      </c>
      <c r="CD103" s="27" t="str">
        <f t="shared" si="178"/>
        <v xml:space="preserve"> </v>
      </c>
      <c r="CE103" s="27"/>
      <c r="CF103" s="27"/>
      <c r="CG103" s="27"/>
      <c r="CH103" s="27"/>
      <c r="CI103" s="27"/>
      <c r="CJ103" s="27"/>
    </row>
    <row r="104" spans="1:88" x14ac:dyDescent="0.2">
      <c r="G104" s="28"/>
    </row>
    <row r="105" spans="1:88" x14ac:dyDescent="0.2">
      <c r="A105" s="35" t="s">
        <v>221</v>
      </c>
      <c r="B105" s="36" t="s">
        <v>222</v>
      </c>
      <c r="C105" s="36" t="s">
        <v>223</v>
      </c>
      <c r="E105" s="35" t="s">
        <v>234</v>
      </c>
      <c r="F105" s="36" t="s">
        <v>222</v>
      </c>
      <c r="G105" s="36" t="s">
        <v>223</v>
      </c>
      <c r="H105" s="41" t="s">
        <v>235</v>
      </c>
      <c r="I105" s="43" t="s">
        <v>236</v>
      </c>
      <c r="K105" s="35" t="s">
        <v>238</v>
      </c>
      <c r="L105" s="36" t="s">
        <v>222</v>
      </c>
      <c r="M105" s="36" t="s">
        <v>223</v>
      </c>
      <c r="O105" s="35" t="s">
        <v>239</v>
      </c>
      <c r="P105" s="45" t="s">
        <v>240</v>
      </c>
      <c r="Q105" s="36" t="s">
        <v>223</v>
      </c>
      <c r="S105" s="35" t="s">
        <v>241</v>
      </c>
      <c r="T105" s="36" t="s">
        <v>242</v>
      </c>
      <c r="U105" s="36" t="s">
        <v>223</v>
      </c>
      <c r="W105" s="117" t="s">
        <v>43</v>
      </c>
      <c r="X105" s="36" t="s">
        <v>223</v>
      </c>
      <c r="Y105" s="36" t="s">
        <v>370</v>
      </c>
      <c r="Z105" s="26" t="s">
        <v>47</v>
      </c>
    </row>
    <row r="106" spans="1:88" x14ac:dyDescent="0.2">
      <c r="A106" s="24"/>
      <c r="B106" s="26"/>
      <c r="C106" s="26"/>
      <c r="E106" s="42"/>
      <c r="F106" s="23"/>
      <c r="G106" s="26"/>
      <c r="H106" s="41"/>
      <c r="I106" s="44" t="s">
        <v>237</v>
      </c>
      <c r="K106" s="42"/>
      <c r="L106" s="27"/>
      <c r="M106" s="27"/>
      <c r="O106" s="42"/>
      <c r="P106" s="41"/>
      <c r="Q106" s="26"/>
      <c r="S106" s="47"/>
      <c r="T106" s="26"/>
      <c r="U106" s="26"/>
      <c r="W106" s="42"/>
      <c r="X106" s="26"/>
      <c r="Y106" s="26"/>
      <c r="Z106" s="26"/>
    </row>
    <row r="107" spans="1:88" x14ac:dyDescent="0.2">
      <c r="A107" s="394" t="s">
        <v>785</v>
      </c>
      <c r="B107" s="48">
        <v>0.04</v>
      </c>
      <c r="C107" s="38">
        <f>1/(B107+0.13+0.04)</f>
        <v>4.7619047619047619</v>
      </c>
      <c r="E107" s="114" t="s">
        <v>788</v>
      </c>
      <c r="F107" s="39">
        <v>0.22</v>
      </c>
      <c r="G107" s="38">
        <f>1/(F107+0.13+0.04)</f>
        <v>2.5641025641025643</v>
      </c>
      <c r="H107" s="43">
        <v>0.8</v>
      </c>
      <c r="K107" s="114" t="s">
        <v>788</v>
      </c>
      <c r="L107" s="39">
        <v>0.22</v>
      </c>
      <c r="M107" s="38">
        <f>1/(L107+0.13+0.04)</f>
        <v>2.5641025641025643</v>
      </c>
      <c r="O107" s="114" t="s">
        <v>790</v>
      </c>
      <c r="P107" s="46">
        <v>0.15</v>
      </c>
      <c r="Q107" s="38">
        <f>1/(P107+0.13+0.13)</f>
        <v>2.4390243902439024</v>
      </c>
      <c r="S107" s="114" t="s">
        <v>362</v>
      </c>
      <c r="T107" s="39">
        <v>0.22</v>
      </c>
      <c r="U107" s="38">
        <f>1/(T107+0.13+0.13)</f>
        <v>2.0833333333333335</v>
      </c>
      <c r="W107" s="114" t="s">
        <v>792</v>
      </c>
      <c r="X107" s="48">
        <v>5.0999999999999996</v>
      </c>
      <c r="Y107" s="48">
        <v>0.8</v>
      </c>
      <c r="Z107" s="27"/>
    </row>
    <row r="108" spans="1:88" x14ac:dyDescent="0.2">
      <c r="A108" s="394" t="s">
        <v>786</v>
      </c>
      <c r="B108" s="48">
        <v>0.24</v>
      </c>
      <c r="C108" s="38">
        <f>1/(B108+0.13+0.04)</f>
        <v>2.4390243902439024</v>
      </c>
      <c r="E108" s="114" t="s">
        <v>789</v>
      </c>
      <c r="F108" s="39">
        <v>0.39</v>
      </c>
      <c r="G108" s="38">
        <f t="shared" ref="G108:G128" si="179">1/(F108+0.13+0.04)</f>
        <v>1.7857142857142856</v>
      </c>
      <c r="H108" s="43">
        <v>0.8</v>
      </c>
      <c r="K108" s="114" t="s">
        <v>789</v>
      </c>
      <c r="L108" s="39">
        <v>0.39</v>
      </c>
      <c r="M108" s="38">
        <f t="shared" ref="M108:M128" si="180">1/(L108+0.13+0.04)</f>
        <v>1.7857142857142856</v>
      </c>
      <c r="O108" s="114" t="s">
        <v>791</v>
      </c>
      <c r="P108" s="46">
        <v>0.32</v>
      </c>
      <c r="Q108" s="38">
        <f t="shared" ref="Q108:Q129" si="181">1/(P108+0.13+0.13)</f>
        <v>1.7241379310344827</v>
      </c>
      <c r="S108" s="114" t="s">
        <v>363</v>
      </c>
      <c r="T108" s="39">
        <v>0.39</v>
      </c>
      <c r="U108" s="38">
        <f t="shared" ref="U108:U128" si="182">1/(T108+0.13+0.13)</f>
        <v>1.5384615384615383</v>
      </c>
      <c r="W108" s="114" t="s">
        <v>793</v>
      </c>
      <c r="X108" s="48">
        <v>3.3</v>
      </c>
      <c r="Y108" s="48">
        <v>0.7</v>
      </c>
      <c r="Z108" s="27"/>
    </row>
    <row r="109" spans="1:88" x14ac:dyDescent="0.2">
      <c r="A109" s="24" t="s">
        <v>332</v>
      </c>
      <c r="B109" s="38">
        <f>0.19</f>
        <v>0.19</v>
      </c>
      <c r="C109" s="38">
        <f>1/(B109+0.13+0.04)</f>
        <v>2.7777777777777777</v>
      </c>
      <c r="E109" s="24" t="s">
        <v>334</v>
      </c>
      <c r="F109" s="38">
        <v>0.47</v>
      </c>
      <c r="G109" s="38">
        <f t="shared" si="179"/>
        <v>1.5625</v>
      </c>
      <c r="H109" s="43">
        <v>0.8</v>
      </c>
      <c r="K109" s="24" t="s">
        <v>334</v>
      </c>
      <c r="L109" s="38">
        <v>0.47</v>
      </c>
      <c r="M109" s="38">
        <f t="shared" si="180"/>
        <v>1.5625</v>
      </c>
      <c r="O109" s="24" t="s">
        <v>334</v>
      </c>
      <c r="P109" s="46">
        <v>0.4</v>
      </c>
      <c r="Q109" s="38">
        <f t="shared" si="181"/>
        <v>1.5151515151515151</v>
      </c>
      <c r="S109" s="24" t="s">
        <v>334</v>
      </c>
      <c r="T109" s="38">
        <v>0.47</v>
      </c>
      <c r="U109" s="38">
        <f t="shared" si="182"/>
        <v>1.3698630136986301</v>
      </c>
      <c r="W109" s="395" t="s">
        <v>794</v>
      </c>
      <c r="X109" s="48">
        <v>3.2</v>
      </c>
      <c r="Y109" s="48">
        <v>0.7</v>
      </c>
      <c r="Z109" s="27"/>
    </row>
    <row r="110" spans="1:88" x14ac:dyDescent="0.2">
      <c r="A110" s="24" t="s">
        <v>333</v>
      </c>
      <c r="B110" s="38">
        <v>0.36</v>
      </c>
      <c r="C110" s="38">
        <f t="shared" ref="C110:C130" si="183">1/(B110+0.13+0.04)</f>
        <v>1.8867924528301885</v>
      </c>
      <c r="E110" s="24" t="s">
        <v>335</v>
      </c>
      <c r="F110" s="38">
        <v>0.64</v>
      </c>
      <c r="G110" s="38">
        <f t="shared" si="179"/>
        <v>1.2345679012345678</v>
      </c>
      <c r="H110" s="43">
        <v>0.8</v>
      </c>
      <c r="K110" s="24" t="s">
        <v>335</v>
      </c>
      <c r="L110" s="38">
        <v>0.64</v>
      </c>
      <c r="M110" s="38">
        <f t="shared" si="180"/>
        <v>1.2345679012345678</v>
      </c>
      <c r="O110" s="24" t="s">
        <v>335</v>
      </c>
      <c r="P110" s="46">
        <v>0.56999999999999995</v>
      </c>
      <c r="Q110" s="38">
        <f t="shared" si="181"/>
        <v>1.2048192771084338</v>
      </c>
      <c r="S110" s="24" t="s">
        <v>335</v>
      </c>
      <c r="T110" s="38">
        <v>0.64</v>
      </c>
      <c r="U110" s="38">
        <f t="shared" si="182"/>
        <v>1.1111111111111112</v>
      </c>
      <c r="W110" s="395" t="s">
        <v>795</v>
      </c>
      <c r="X110" s="48">
        <v>2.9</v>
      </c>
      <c r="Y110" s="48">
        <v>0.7</v>
      </c>
      <c r="Z110" s="27"/>
    </row>
    <row r="111" spans="1:88" x14ac:dyDescent="0.2">
      <c r="A111" s="24" t="s">
        <v>334</v>
      </c>
      <c r="B111" s="38">
        <v>0.44</v>
      </c>
      <c r="C111" s="38">
        <f t="shared" si="183"/>
        <v>1.6393442622950818</v>
      </c>
      <c r="E111" s="24" t="s">
        <v>336</v>
      </c>
      <c r="F111" s="38">
        <v>0.72</v>
      </c>
      <c r="G111" s="38">
        <f t="shared" si="179"/>
        <v>1.1235955056179776</v>
      </c>
      <c r="H111" s="43">
        <v>0.8</v>
      </c>
      <c r="K111" s="24" t="s">
        <v>336</v>
      </c>
      <c r="L111" s="38">
        <v>0.72</v>
      </c>
      <c r="M111" s="38">
        <f t="shared" si="180"/>
        <v>1.1235955056179776</v>
      </c>
      <c r="O111" s="24" t="s">
        <v>336</v>
      </c>
      <c r="P111" s="46">
        <v>0.65</v>
      </c>
      <c r="Q111" s="38">
        <f t="shared" si="181"/>
        <v>1.0989010989010988</v>
      </c>
      <c r="S111" s="24" t="s">
        <v>336</v>
      </c>
      <c r="T111" s="38">
        <v>0.72</v>
      </c>
      <c r="U111" s="38">
        <f t="shared" si="182"/>
        <v>1.0204081632653061</v>
      </c>
      <c r="W111" s="395" t="s">
        <v>796</v>
      </c>
      <c r="X111" s="48">
        <v>2.8</v>
      </c>
      <c r="Y111" s="48">
        <v>0.21</v>
      </c>
      <c r="Z111" s="27"/>
    </row>
    <row r="112" spans="1:88" x14ac:dyDescent="0.2">
      <c r="A112" s="24" t="s">
        <v>335</v>
      </c>
      <c r="B112" s="38">
        <v>0.61</v>
      </c>
      <c r="C112" s="38">
        <f t="shared" si="183"/>
        <v>1.2820512820512819</v>
      </c>
      <c r="E112" s="24" t="s">
        <v>337</v>
      </c>
      <c r="F112" s="38">
        <v>0.89</v>
      </c>
      <c r="G112" s="38">
        <f t="shared" si="179"/>
        <v>0.94339622641509424</v>
      </c>
      <c r="H112" s="43">
        <v>0.8</v>
      </c>
      <c r="K112" s="24" t="s">
        <v>337</v>
      </c>
      <c r="L112" s="38">
        <v>0.89</v>
      </c>
      <c r="M112" s="38">
        <f t="shared" si="180"/>
        <v>0.94339622641509424</v>
      </c>
      <c r="O112" s="24" t="s">
        <v>337</v>
      </c>
      <c r="P112" s="46">
        <v>0.82</v>
      </c>
      <c r="Q112" s="38">
        <f t="shared" si="181"/>
        <v>0.92592592592592582</v>
      </c>
      <c r="S112" s="24" t="s">
        <v>337</v>
      </c>
      <c r="T112" s="38">
        <v>0.89</v>
      </c>
      <c r="U112" s="38">
        <f t="shared" si="182"/>
        <v>0.86956521739130443</v>
      </c>
      <c r="W112" s="395" t="s">
        <v>797</v>
      </c>
      <c r="X112" s="48">
        <v>2.2000000000000002</v>
      </c>
      <c r="Y112" s="48">
        <v>0.6</v>
      </c>
      <c r="Z112" s="27"/>
    </row>
    <row r="113" spans="1:26" x14ac:dyDescent="0.2">
      <c r="A113" s="24" t="s">
        <v>336</v>
      </c>
      <c r="B113" s="38">
        <v>0.69</v>
      </c>
      <c r="C113" s="38">
        <f t="shared" si="183"/>
        <v>1.1627906976744187</v>
      </c>
      <c r="E113" s="24" t="s">
        <v>229</v>
      </c>
      <c r="F113" s="38">
        <v>0.97</v>
      </c>
      <c r="G113" s="38">
        <f t="shared" si="179"/>
        <v>0.8771929824561403</v>
      </c>
      <c r="H113" s="43">
        <v>0.8</v>
      </c>
      <c r="K113" s="24" t="s">
        <v>229</v>
      </c>
      <c r="L113" s="38">
        <v>0.97</v>
      </c>
      <c r="M113" s="38">
        <f t="shared" si="180"/>
        <v>0.8771929824561403</v>
      </c>
      <c r="O113" s="24" t="s">
        <v>229</v>
      </c>
      <c r="P113" s="46">
        <v>0.9</v>
      </c>
      <c r="Q113" s="38">
        <f t="shared" si="181"/>
        <v>0.86206896551724133</v>
      </c>
      <c r="S113" s="24" t="s">
        <v>229</v>
      </c>
      <c r="T113" s="38">
        <v>0.97</v>
      </c>
      <c r="U113" s="38">
        <f t="shared" si="182"/>
        <v>0.81300813008130079</v>
      </c>
      <c r="W113" s="395" t="s">
        <v>798</v>
      </c>
      <c r="X113" s="48">
        <v>1.92</v>
      </c>
      <c r="Y113" s="48">
        <v>0.6</v>
      </c>
      <c r="Z113" s="27"/>
    </row>
    <row r="114" spans="1:26" x14ac:dyDescent="0.2">
      <c r="A114" s="24" t="s">
        <v>337</v>
      </c>
      <c r="B114" s="38">
        <v>0.86</v>
      </c>
      <c r="C114" s="38">
        <f t="shared" si="183"/>
        <v>0.970873786407767</v>
      </c>
      <c r="E114" s="24" t="s">
        <v>338</v>
      </c>
      <c r="F114" s="38">
        <v>1.1399999999999999</v>
      </c>
      <c r="G114" s="38">
        <f t="shared" si="179"/>
        <v>0.76335877862595414</v>
      </c>
      <c r="H114" s="43">
        <v>0.8</v>
      </c>
      <c r="K114" s="24" t="s">
        <v>338</v>
      </c>
      <c r="L114" s="38">
        <v>1.1399999999999999</v>
      </c>
      <c r="M114" s="38">
        <f t="shared" si="180"/>
        <v>0.76335877862595414</v>
      </c>
      <c r="O114" s="24" t="s">
        <v>338</v>
      </c>
      <c r="P114" s="46">
        <v>1.07</v>
      </c>
      <c r="Q114" s="38">
        <f t="shared" si="181"/>
        <v>0.75187969924812026</v>
      </c>
      <c r="S114" s="24" t="s">
        <v>338</v>
      </c>
      <c r="T114" s="38">
        <v>1.1399999999999999</v>
      </c>
      <c r="U114" s="38">
        <f t="shared" si="182"/>
        <v>0.7142857142857143</v>
      </c>
      <c r="W114" s="395" t="s">
        <v>799</v>
      </c>
      <c r="X114" s="48">
        <v>1.64</v>
      </c>
      <c r="Y114" s="48">
        <v>0.6</v>
      </c>
      <c r="Z114" s="27"/>
    </row>
    <row r="115" spans="1:26" x14ac:dyDescent="0.2">
      <c r="A115" s="24" t="s">
        <v>229</v>
      </c>
      <c r="B115" s="38">
        <v>0.94</v>
      </c>
      <c r="C115" s="38">
        <f t="shared" si="183"/>
        <v>0.90090090090090102</v>
      </c>
      <c r="E115" s="24" t="s">
        <v>339</v>
      </c>
      <c r="F115" s="38">
        <v>1.22</v>
      </c>
      <c r="G115" s="38">
        <f t="shared" si="179"/>
        <v>0.71942446043165464</v>
      </c>
      <c r="H115" s="43">
        <v>0.8</v>
      </c>
      <c r="K115" s="24" t="s">
        <v>339</v>
      </c>
      <c r="L115" s="38">
        <v>1.22</v>
      </c>
      <c r="M115" s="38">
        <f t="shared" si="180"/>
        <v>0.71942446043165464</v>
      </c>
      <c r="O115" s="24" t="s">
        <v>339</v>
      </c>
      <c r="P115" s="46">
        <v>1.1499999999999999</v>
      </c>
      <c r="Q115" s="38">
        <f t="shared" si="181"/>
        <v>0.7092198581560285</v>
      </c>
      <c r="S115" s="24" t="s">
        <v>339</v>
      </c>
      <c r="T115" s="38">
        <v>1.22</v>
      </c>
      <c r="U115" s="38">
        <f t="shared" si="182"/>
        <v>0.67567567567567566</v>
      </c>
      <c r="W115" s="114" t="s">
        <v>800</v>
      </c>
      <c r="X115" s="48">
        <v>6.2</v>
      </c>
      <c r="Y115" s="48">
        <v>0.8</v>
      </c>
      <c r="Z115" s="27"/>
    </row>
    <row r="116" spans="1:26" x14ac:dyDescent="0.2">
      <c r="A116" s="24" t="s">
        <v>338</v>
      </c>
      <c r="B116" s="38">
        <v>1.1100000000000001</v>
      </c>
      <c r="C116" s="38">
        <f t="shared" si="183"/>
        <v>0.78124999999999989</v>
      </c>
      <c r="E116" s="24" t="s">
        <v>230</v>
      </c>
      <c r="F116" s="38">
        <v>1.47</v>
      </c>
      <c r="G116" s="38">
        <f t="shared" si="179"/>
        <v>0.6097560975609756</v>
      </c>
      <c r="H116" s="43">
        <v>0.8</v>
      </c>
      <c r="K116" s="24" t="s">
        <v>230</v>
      </c>
      <c r="L116" s="38">
        <v>1.47</v>
      </c>
      <c r="M116" s="38">
        <f t="shared" si="180"/>
        <v>0.6097560975609756</v>
      </c>
      <c r="O116" s="24" t="s">
        <v>230</v>
      </c>
      <c r="P116" s="46">
        <v>1.4</v>
      </c>
      <c r="Q116" s="38">
        <f t="shared" si="181"/>
        <v>0.60240963855421703</v>
      </c>
      <c r="S116" s="24" t="s">
        <v>230</v>
      </c>
      <c r="T116" s="38">
        <v>1.47</v>
      </c>
      <c r="U116" s="38">
        <f t="shared" si="182"/>
        <v>0.5780346820809249</v>
      </c>
      <c r="W116" s="114" t="s">
        <v>801</v>
      </c>
      <c r="X116" s="48">
        <v>4.4000000000000004</v>
      </c>
      <c r="Y116" s="48">
        <v>0.7</v>
      </c>
      <c r="Z116" s="27"/>
    </row>
    <row r="117" spans="1:26" x14ac:dyDescent="0.2">
      <c r="A117" s="24" t="s">
        <v>339</v>
      </c>
      <c r="B117" s="38">
        <v>1.36</v>
      </c>
      <c r="C117" s="38">
        <f t="shared" si="183"/>
        <v>0.65359477124182996</v>
      </c>
      <c r="E117" s="24" t="s">
        <v>340</v>
      </c>
      <c r="F117" s="38">
        <v>1.72</v>
      </c>
      <c r="G117" s="38">
        <f t="shared" si="179"/>
        <v>0.52910052910052907</v>
      </c>
      <c r="H117" s="43">
        <v>0.8</v>
      </c>
      <c r="K117" s="24" t="s">
        <v>340</v>
      </c>
      <c r="L117" s="38">
        <v>1.72</v>
      </c>
      <c r="M117" s="38">
        <f t="shared" si="180"/>
        <v>0.52910052910052907</v>
      </c>
      <c r="O117" s="24" t="s">
        <v>340</v>
      </c>
      <c r="P117" s="46">
        <v>1.65</v>
      </c>
      <c r="Q117" s="38">
        <f t="shared" si="181"/>
        <v>0.52356020942408388</v>
      </c>
      <c r="S117" s="24" t="s">
        <v>340</v>
      </c>
      <c r="T117" s="38">
        <v>1.72</v>
      </c>
      <c r="U117" s="38">
        <f t="shared" si="182"/>
        <v>0.50505050505050508</v>
      </c>
      <c r="W117" s="395" t="s">
        <v>802</v>
      </c>
      <c r="X117" s="48">
        <v>4.5999999999999996</v>
      </c>
      <c r="Y117" s="48">
        <v>0.7</v>
      </c>
      <c r="Z117" s="27"/>
    </row>
    <row r="118" spans="1:26" x14ac:dyDescent="0.2">
      <c r="A118" s="24" t="s">
        <v>230</v>
      </c>
      <c r="B118" s="38">
        <v>1.61</v>
      </c>
      <c r="C118" s="38">
        <f t="shared" si="183"/>
        <v>0.56179775280898869</v>
      </c>
      <c r="E118" s="24" t="s">
        <v>231</v>
      </c>
      <c r="F118" s="38">
        <v>1.97</v>
      </c>
      <c r="G118" s="38">
        <f t="shared" si="179"/>
        <v>0.46728971962616822</v>
      </c>
      <c r="H118" s="43">
        <v>0.8</v>
      </c>
      <c r="K118" s="24" t="s">
        <v>231</v>
      </c>
      <c r="L118" s="38">
        <v>1.97</v>
      </c>
      <c r="M118" s="38">
        <f t="shared" si="180"/>
        <v>0.46728971962616822</v>
      </c>
      <c r="O118" s="24" t="s">
        <v>231</v>
      </c>
      <c r="P118" s="46">
        <v>1.9</v>
      </c>
      <c r="Q118" s="38">
        <f t="shared" si="181"/>
        <v>0.46296296296296302</v>
      </c>
      <c r="S118" s="24" t="s">
        <v>231</v>
      </c>
      <c r="T118" s="38">
        <v>1.97</v>
      </c>
      <c r="U118" s="38">
        <f t="shared" si="182"/>
        <v>0.44843049327354262</v>
      </c>
      <c r="W118" s="395" t="s">
        <v>803</v>
      </c>
      <c r="X118" s="48">
        <v>4.3</v>
      </c>
      <c r="Y118" s="48">
        <v>0.7</v>
      </c>
      <c r="Z118" s="27"/>
    </row>
    <row r="119" spans="1:26" x14ac:dyDescent="0.2">
      <c r="A119" s="24" t="s">
        <v>340</v>
      </c>
      <c r="B119" s="38">
        <v>1.86</v>
      </c>
      <c r="C119" s="38">
        <f t="shared" si="183"/>
        <v>0.4926108374384236</v>
      </c>
      <c r="E119" s="24" t="s">
        <v>341</v>
      </c>
      <c r="F119" s="38">
        <v>2.2200000000000002</v>
      </c>
      <c r="G119" s="38">
        <f t="shared" si="179"/>
        <v>0.41841004184100417</v>
      </c>
      <c r="H119" s="43">
        <v>0.8</v>
      </c>
      <c r="K119" s="24" t="s">
        <v>341</v>
      </c>
      <c r="L119" s="38">
        <v>2.2200000000000002</v>
      </c>
      <c r="M119" s="38">
        <f t="shared" si="180"/>
        <v>0.41841004184100417</v>
      </c>
      <c r="O119" s="24" t="s">
        <v>341</v>
      </c>
      <c r="P119" s="46">
        <v>2.15</v>
      </c>
      <c r="Q119" s="38">
        <f t="shared" si="181"/>
        <v>0.41493775933609961</v>
      </c>
      <c r="S119" s="24" t="s">
        <v>341</v>
      </c>
      <c r="T119" s="38">
        <v>2.2200000000000002</v>
      </c>
      <c r="U119" s="38">
        <f t="shared" si="182"/>
        <v>0.40322580645161293</v>
      </c>
      <c r="W119" s="395" t="s">
        <v>804</v>
      </c>
      <c r="X119" s="48">
        <v>4.3</v>
      </c>
      <c r="Y119" s="48">
        <v>0.21</v>
      </c>
      <c r="Z119" s="27"/>
    </row>
    <row r="120" spans="1:26" x14ac:dyDescent="0.2">
      <c r="A120" s="24" t="s">
        <v>231</v>
      </c>
      <c r="B120" s="38">
        <v>2.11</v>
      </c>
      <c r="C120" s="38">
        <f t="shared" si="183"/>
        <v>0.43859649122807021</v>
      </c>
      <c r="E120" s="24" t="s">
        <v>232</v>
      </c>
      <c r="F120" s="38">
        <v>2.4700000000000002</v>
      </c>
      <c r="G120" s="38">
        <f t="shared" si="179"/>
        <v>0.37878787878787878</v>
      </c>
      <c r="H120" s="43">
        <v>0.8</v>
      </c>
      <c r="K120" s="24" t="s">
        <v>232</v>
      </c>
      <c r="L120" s="38">
        <v>2.4700000000000002</v>
      </c>
      <c r="M120" s="38">
        <f t="shared" si="180"/>
        <v>0.37878787878787878</v>
      </c>
      <c r="O120" s="24" t="s">
        <v>232</v>
      </c>
      <c r="P120" s="46">
        <v>2.4</v>
      </c>
      <c r="Q120" s="38">
        <f t="shared" si="181"/>
        <v>0.37593984962406019</v>
      </c>
      <c r="S120" s="24" t="s">
        <v>232</v>
      </c>
      <c r="T120" s="38">
        <v>2.4700000000000002</v>
      </c>
      <c r="U120" s="38">
        <f t="shared" si="182"/>
        <v>0.36630036630036628</v>
      </c>
      <c r="W120" s="395" t="s">
        <v>805</v>
      </c>
      <c r="X120" s="48">
        <v>3.6</v>
      </c>
      <c r="Y120" s="48">
        <v>0.6</v>
      </c>
      <c r="Z120" s="27"/>
    </row>
    <row r="121" spans="1:26" x14ac:dyDescent="0.2">
      <c r="A121" s="24" t="s">
        <v>341</v>
      </c>
      <c r="B121" s="38">
        <v>2.36</v>
      </c>
      <c r="C121" s="38">
        <f t="shared" si="183"/>
        <v>0.39525691699604748</v>
      </c>
      <c r="E121" s="24" t="s">
        <v>233</v>
      </c>
      <c r="F121" s="38">
        <v>2.72</v>
      </c>
      <c r="G121" s="38">
        <f t="shared" si="179"/>
        <v>0.34602076124567471</v>
      </c>
      <c r="H121" s="43">
        <v>0.8</v>
      </c>
      <c r="K121" s="24" t="s">
        <v>233</v>
      </c>
      <c r="L121" s="38">
        <v>2.72</v>
      </c>
      <c r="M121" s="38">
        <f t="shared" si="180"/>
        <v>0.34602076124567471</v>
      </c>
      <c r="O121" s="24" t="s">
        <v>233</v>
      </c>
      <c r="P121" s="46">
        <v>2.65</v>
      </c>
      <c r="Q121" s="38">
        <f t="shared" si="181"/>
        <v>0.34364261168384885</v>
      </c>
      <c r="S121" s="24" t="s">
        <v>233</v>
      </c>
      <c r="T121" s="38">
        <v>2.72</v>
      </c>
      <c r="U121" s="38">
        <f t="shared" si="182"/>
        <v>0.33557046979865773</v>
      </c>
      <c r="W121" s="395" t="s">
        <v>806</v>
      </c>
      <c r="X121" s="48">
        <v>3.32</v>
      </c>
      <c r="Y121" s="48">
        <v>0.6</v>
      </c>
      <c r="Z121" s="27"/>
    </row>
    <row r="122" spans="1:26" x14ac:dyDescent="0.2">
      <c r="A122" s="24" t="s">
        <v>232</v>
      </c>
      <c r="B122" s="38">
        <v>2.61</v>
      </c>
      <c r="C122" s="38">
        <f t="shared" si="183"/>
        <v>0.35971223021582738</v>
      </c>
      <c r="E122" s="24" t="s">
        <v>342</v>
      </c>
      <c r="F122" s="38">
        <v>2.97</v>
      </c>
      <c r="G122" s="38">
        <f t="shared" si="179"/>
        <v>0.31847133757961782</v>
      </c>
      <c r="H122" s="43">
        <v>0.8</v>
      </c>
      <c r="K122" s="24" t="s">
        <v>342</v>
      </c>
      <c r="L122" s="38">
        <v>2.97</v>
      </c>
      <c r="M122" s="38">
        <f t="shared" si="180"/>
        <v>0.31847133757961782</v>
      </c>
      <c r="O122" s="24" t="s">
        <v>342</v>
      </c>
      <c r="P122" s="46">
        <v>2.9</v>
      </c>
      <c r="Q122" s="38">
        <f t="shared" si="181"/>
        <v>0.31645569620253167</v>
      </c>
      <c r="S122" s="24" t="s">
        <v>342</v>
      </c>
      <c r="T122" s="38">
        <v>2.97</v>
      </c>
      <c r="U122" s="38">
        <f t="shared" si="182"/>
        <v>0.30959752321981426</v>
      </c>
      <c r="W122" s="395" t="s">
        <v>807</v>
      </c>
      <c r="X122" s="48">
        <v>3.04</v>
      </c>
      <c r="Y122" s="48">
        <v>0.6</v>
      </c>
      <c r="Z122" s="27"/>
    </row>
    <row r="123" spans="1:26" x14ac:dyDescent="0.2">
      <c r="A123" s="24" t="s">
        <v>233</v>
      </c>
      <c r="B123" s="38">
        <v>2.86</v>
      </c>
      <c r="C123" s="38">
        <f t="shared" si="183"/>
        <v>0.33003300330033003</v>
      </c>
      <c r="E123" s="114" t="s">
        <v>351</v>
      </c>
      <c r="F123" s="38">
        <v>0.22</v>
      </c>
      <c r="G123" s="38">
        <f t="shared" si="179"/>
        <v>2.5641025641025643</v>
      </c>
      <c r="H123" s="43">
        <v>0.8</v>
      </c>
      <c r="K123" s="114" t="s">
        <v>351</v>
      </c>
      <c r="L123" s="38">
        <v>0.22</v>
      </c>
      <c r="M123" s="38">
        <f t="shared" si="180"/>
        <v>2.5641025641025643</v>
      </c>
      <c r="O123" s="114" t="s">
        <v>357</v>
      </c>
      <c r="P123" s="46">
        <v>0.15</v>
      </c>
      <c r="Q123" s="38">
        <f t="shared" si="181"/>
        <v>2.4390243902439024</v>
      </c>
      <c r="S123" s="114" t="s">
        <v>364</v>
      </c>
      <c r="T123" s="38">
        <v>0.22</v>
      </c>
      <c r="U123" s="38">
        <f t="shared" si="182"/>
        <v>2.0833333333333335</v>
      </c>
      <c r="W123" s="114" t="s">
        <v>808</v>
      </c>
      <c r="X123" s="48">
        <v>5.4</v>
      </c>
      <c r="Y123" s="48">
        <v>0.8</v>
      </c>
      <c r="Z123" s="27"/>
    </row>
    <row r="124" spans="1:26" x14ac:dyDescent="0.2">
      <c r="A124" s="24" t="s">
        <v>342</v>
      </c>
      <c r="B124" s="38">
        <v>3.11</v>
      </c>
      <c r="C124" s="38">
        <f t="shared" si="183"/>
        <v>0.3048780487804878</v>
      </c>
      <c r="E124" s="114" t="s">
        <v>352</v>
      </c>
      <c r="F124" s="38">
        <v>0.39</v>
      </c>
      <c r="G124" s="38">
        <f t="shared" si="179"/>
        <v>1.7857142857142856</v>
      </c>
      <c r="H124" s="43">
        <v>0.8</v>
      </c>
      <c r="K124" s="114" t="s">
        <v>352</v>
      </c>
      <c r="L124" s="38">
        <v>0.39</v>
      </c>
      <c r="M124" s="38">
        <f t="shared" si="180"/>
        <v>1.7857142857142856</v>
      </c>
      <c r="O124" s="114" t="s">
        <v>358</v>
      </c>
      <c r="P124" s="46">
        <v>0.32</v>
      </c>
      <c r="Q124" s="38">
        <f t="shared" si="181"/>
        <v>1.7241379310344827</v>
      </c>
      <c r="S124" s="114" t="s">
        <v>365</v>
      </c>
      <c r="T124" s="38">
        <v>0.39</v>
      </c>
      <c r="U124" s="38">
        <f t="shared" si="182"/>
        <v>1.5384615384615383</v>
      </c>
      <c r="W124" s="114" t="s">
        <v>809</v>
      </c>
      <c r="X124" s="48">
        <v>4.7</v>
      </c>
      <c r="Y124" s="48">
        <v>0.7</v>
      </c>
      <c r="Z124" s="27"/>
    </row>
    <row r="125" spans="1:26" x14ac:dyDescent="0.2">
      <c r="A125" s="24" t="s">
        <v>344</v>
      </c>
      <c r="B125" s="38">
        <v>0.19</v>
      </c>
      <c r="C125" s="38">
        <f t="shared" si="183"/>
        <v>2.7777777777777777</v>
      </c>
      <c r="E125" s="114" t="s">
        <v>353</v>
      </c>
      <c r="F125" s="38">
        <v>0.86</v>
      </c>
      <c r="G125" s="38">
        <f t="shared" si="179"/>
        <v>0.970873786407767</v>
      </c>
      <c r="H125" s="43">
        <v>0.8</v>
      </c>
      <c r="K125" s="114" t="s">
        <v>353</v>
      </c>
      <c r="L125" s="38">
        <v>0.86</v>
      </c>
      <c r="M125" s="38">
        <f t="shared" si="180"/>
        <v>0.970873786407767</v>
      </c>
      <c r="O125" s="114" t="s">
        <v>359</v>
      </c>
      <c r="P125" s="115">
        <v>0.17</v>
      </c>
      <c r="Q125" s="38">
        <f t="shared" si="181"/>
        <v>2.3255813953488369</v>
      </c>
      <c r="S125" s="114" t="s">
        <v>366</v>
      </c>
      <c r="T125" s="38">
        <v>0.86</v>
      </c>
      <c r="U125" s="38">
        <f t="shared" si="182"/>
        <v>0.89285714285714279</v>
      </c>
      <c r="W125" s="395" t="s">
        <v>810</v>
      </c>
      <c r="X125" s="116">
        <v>3.6</v>
      </c>
      <c r="Y125" s="116">
        <v>0.7</v>
      </c>
    </row>
    <row r="126" spans="1:26" x14ac:dyDescent="0.2">
      <c r="A126" s="24" t="s">
        <v>343</v>
      </c>
      <c r="B126" s="38">
        <v>0.36</v>
      </c>
      <c r="C126" s="38">
        <f t="shared" si="183"/>
        <v>1.8867924528301885</v>
      </c>
      <c r="E126" s="114" t="s">
        <v>354</v>
      </c>
      <c r="F126" s="38">
        <v>1.3</v>
      </c>
      <c r="G126" s="38">
        <f t="shared" si="179"/>
        <v>0.68027210884353728</v>
      </c>
      <c r="H126" s="43">
        <v>0.8</v>
      </c>
      <c r="K126" s="114" t="s">
        <v>354</v>
      </c>
      <c r="L126" s="38">
        <v>1.3</v>
      </c>
      <c r="M126" s="38">
        <f t="shared" si="180"/>
        <v>0.68027210884353728</v>
      </c>
      <c r="O126" s="114" t="s">
        <v>360</v>
      </c>
      <c r="P126" s="115">
        <v>0.52</v>
      </c>
      <c r="Q126" s="38">
        <f t="shared" si="181"/>
        <v>1.2820512820512819</v>
      </c>
      <c r="S126" s="114" t="s">
        <v>367</v>
      </c>
      <c r="T126" s="38">
        <v>1.3</v>
      </c>
      <c r="U126" s="38">
        <f t="shared" si="182"/>
        <v>0.64102564102564097</v>
      </c>
      <c r="W126" s="395" t="s">
        <v>811</v>
      </c>
      <c r="X126" s="116">
        <v>3.4</v>
      </c>
      <c r="Y126" s="116">
        <v>0.7</v>
      </c>
    </row>
    <row r="127" spans="1:26" x14ac:dyDescent="0.2">
      <c r="A127" s="24" t="s">
        <v>345</v>
      </c>
      <c r="B127" s="38">
        <v>0.43</v>
      </c>
      <c r="C127" s="38">
        <f t="shared" si="183"/>
        <v>1.6666666666666665</v>
      </c>
      <c r="E127" s="114" t="s">
        <v>355</v>
      </c>
      <c r="F127" s="38">
        <v>2</v>
      </c>
      <c r="G127" s="38">
        <f t="shared" si="179"/>
        <v>0.46082949308755761</v>
      </c>
      <c r="H127" s="43">
        <v>0.8</v>
      </c>
      <c r="K127" s="114" t="s">
        <v>355</v>
      </c>
      <c r="L127" s="38">
        <v>2</v>
      </c>
      <c r="M127" s="38">
        <f t="shared" si="180"/>
        <v>0.46082949308755761</v>
      </c>
      <c r="O127" s="114" t="s">
        <v>361</v>
      </c>
      <c r="P127" s="115">
        <v>1.3</v>
      </c>
      <c r="Q127" s="38">
        <f t="shared" si="181"/>
        <v>0.64102564102564097</v>
      </c>
      <c r="S127" s="114" t="s">
        <v>368</v>
      </c>
      <c r="T127" s="38">
        <v>2</v>
      </c>
      <c r="U127" s="38">
        <f t="shared" si="182"/>
        <v>0.44247787610619471</v>
      </c>
      <c r="W127" s="395" t="s">
        <v>812</v>
      </c>
      <c r="X127" s="116">
        <v>3.4</v>
      </c>
      <c r="Y127" s="116">
        <v>0.21</v>
      </c>
    </row>
    <row r="128" spans="1:26" x14ac:dyDescent="0.2">
      <c r="A128" s="24" t="s">
        <v>346</v>
      </c>
      <c r="B128" s="38">
        <v>1.3</v>
      </c>
      <c r="C128" s="38">
        <f t="shared" si="183"/>
        <v>0.68027210884353728</v>
      </c>
      <c r="E128" s="114" t="s">
        <v>356</v>
      </c>
      <c r="F128" s="38">
        <v>2.5299999999999998</v>
      </c>
      <c r="G128" s="38">
        <f t="shared" si="179"/>
        <v>0.37037037037037041</v>
      </c>
      <c r="H128" s="43">
        <v>0.8</v>
      </c>
      <c r="K128" s="114" t="s">
        <v>356</v>
      </c>
      <c r="L128" s="38">
        <v>2.5299999999999998</v>
      </c>
      <c r="M128" s="38">
        <f t="shared" si="180"/>
        <v>0.37037037037037041</v>
      </c>
      <c r="O128" s="114" t="s">
        <v>731</v>
      </c>
      <c r="P128" s="115">
        <v>1.3</v>
      </c>
      <c r="Q128" s="38">
        <f t="shared" si="181"/>
        <v>0.64102564102564097</v>
      </c>
      <c r="S128" s="114" t="s">
        <v>369</v>
      </c>
      <c r="T128" s="38">
        <v>2.5299999999999998</v>
      </c>
      <c r="U128" s="38">
        <f t="shared" si="182"/>
        <v>0.35842293906810041</v>
      </c>
      <c r="W128" s="395" t="s">
        <v>813</v>
      </c>
      <c r="X128" s="116">
        <v>2.7</v>
      </c>
      <c r="Y128" s="116">
        <v>0.6</v>
      </c>
    </row>
    <row r="129" spans="1:48" x14ac:dyDescent="0.2">
      <c r="A129" s="24" t="s">
        <v>347</v>
      </c>
      <c r="B129" s="38">
        <v>2</v>
      </c>
      <c r="C129" s="38">
        <f t="shared" si="183"/>
        <v>0.46082949308755761</v>
      </c>
      <c r="E129" s="114" t="s">
        <v>787</v>
      </c>
      <c r="K129" s="114" t="s">
        <v>787</v>
      </c>
      <c r="O129" s="114" t="s">
        <v>730</v>
      </c>
      <c r="P129" s="115">
        <v>2.5299999999999998</v>
      </c>
      <c r="Q129" s="38">
        <f t="shared" si="181"/>
        <v>0.35842293906810041</v>
      </c>
      <c r="S129" s="114" t="s">
        <v>787</v>
      </c>
      <c r="W129" s="395" t="s">
        <v>814</v>
      </c>
      <c r="X129" s="116">
        <v>2.39</v>
      </c>
      <c r="Y129" s="116">
        <v>0.6</v>
      </c>
    </row>
    <row r="130" spans="1:48" x14ac:dyDescent="0.2">
      <c r="A130" s="24" t="s">
        <v>348</v>
      </c>
      <c r="B130" s="38">
        <v>2.5299999999999998</v>
      </c>
      <c r="C130" s="38">
        <f t="shared" si="183"/>
        <v>0.37037037037037041</v>
      </c>
      <c r="E130" s="114" t="s">
        <v>787</v>
      </c>
      <c r="K130" s="114" t="s">
        <v>787</v>
      </c>
      <c r="O130" s="114" t="s">
        <v>787</v>
      </c>
      <c r="S130" s="114" t="s">
        <v>787</v>
      </c>
      <c r="W130" s="395" t="s">
        <v>815</v>
      </c>
      <c r="X130" s="116">
        <v>2.1</v>
      </c>
      <c r="Y130" s="116">
        <v>0.6</v>
      </c>
    </row>
    <row r="135" spans="1:48" x14ac:dyDescent="0.2">
      <c r="A135" s="24" t="s">
        <v>244</v>
      </c>
      <c r="B135" s="49"/>
      <c r="C135" s="49"/>
      <c r="D135" s="49"/>
      <c r="E135" s="49"/>
      <c r="F135" s="49"/>
      <c r="G135" s="49"/>
      <c r="H135" s="49"/>
      <c r="I135" s="49"/>
      <c r="J135" s="49"/>
      <c r="K135" s="49"/>
      <c r="L135" s="49"/>
    </row>
    <row r="136" spans="1:48" x14ac:dyDescent="0.2">
      <c r="A136" s="563" t="s">
        <v>245</v>
      </c>
      <c r="B136" s="563"/>
      <c r="C136" s="567" t="s">
        <v>374</v>
      </c>
      <c r="D136" s="563"/>
      <c r="E136" s="567" t="s">
        <v>373</v>
      </c>
      <c r="F136" s="567"/>
      <c r="G136" s="567" t="s">
        <v>372</v>
      </c>
      <c r="H136" s="563"/>
      <c r="I136" s="563" t="s">
        <v>246</v>
      </c>
      <c r="J136" s="563"/>
      <c r="K136" s="561" t="s">
        <v>371</v>
      </c>
      <c r="L136" s="562"/>
      <c r="M136" s="563" t="s">
        <v>253</v>
      </c>
      <c r="N136" s="563"/>
      <c r="O136" s="563" t="s">
        <v>256</v>
      </c>
      <c r="P136" s="563"/>
      <c r="Q136" s="563" t="s">
        <v>257</v>
      </c>
      <c r="R136" s="563"/>
      <c r="S136" s="563" t="s">
        <v>259</v>
      </c>
      <c r="T136" s="563"/>
      <c r="U136" s="563" t="s">
        <v>261</v>
      </c>
      <c r="V136" s="563"/>
      <c r="W136" s="563" t="s">
        <v>263</v>
      </c>
      <c r="X136" s="563"/>
      <c r="Y136" s="563" t="s">
        <v>265</v>
      </c>
      <c r="Z136" s="563"/>
      <c r="AA136" s="563" t="s">
        <v>267</v>
      </c>
      <c r="AB136" s="563"/>
      <c r="AC136" s="563" t="s">
        <v>269</v>
      </c>
      <c r="AD136" s="563"/>
      <c r="AE136" s="563" t="s">
        <v>271</v>
      </c>
      <c r="AF136" s="563"/>
      <c r="AG136" s="563" t="s">
        <v>273</v>
      </c>
      <c r="AH136" s="563"/>
      <c r="AI136" s="563" t="s">
        <v>275</v>
      </c>
      <c r="AJ136" s="563"/>
      <c r="AK136" s="559" t="s">
        <v>277</v>
      </c>
      <c r="AL136" s="560"/>
      <c r="AM136" s="559" t="s">
        <v>288</v>
      </c>
      <c r="AN136" s="560"/>
      <c r="AO136" s="563" t="s">
        <v>290</v>
      </c>
      <c r="AP136" s="563"/>
      <c r="AQ136" s="563" t="s">
        <v>292</v>
      </c>
      <c r="AR136" s="563"/>
      <c r="AS136" s="563" t="s">
        <v>294</v>
      </c>
      <c r="AT136" s="563"/>
      <c r="AU136" s="563" t="s">
        <v>350</v>
      </c>
      <c r="AV136" s="563"/>
    </row>
    <row r="137" spans="1:48" x14ac:dyDescent="0.2">
      <c r="A137" s="18" t="s">
        <v>247</v>
      </c>
      <c r="B137" s="18" t="s">
        <v>240</v>
      </c>
      <c r="C137" s="18" t="s">
        <v>248</v>
      </c>
      <c r="D137" s="18" t="s">
        <v>240</v>
      </c>
      <c r="E137" s="18" t="s">
        <v>249</v>
      </c>
      <c r="F137" s="18" t="s">
        <v>240</v>
      </c>
      <c r="G137" s="18" t="s">
        <v>250</v>
      </c>
      <c r="H137" s="18"/>
      <c r="I137" s="18" t="s">
        <v>251</v>
      </c>
      <c r="J137" s="18" t="s">
        <v>240</v>
      </c>
      <c r="K137" s="18" t="s">
        <v>252</v>
      </c>
      <c r="L137" s="18" t="s">
        <v>240</v>
      </c>
      <c r="M137" s="18" t="s">
        <v>254</v>
      </c>
      <c r="N137" s="18" t="s">
        <v>240</v>
      </c>
      <c r="O137" s="18" t="s">
        <v>255</v>
      </c>
      <c r="P137" s="18" t="s">
        <v>240</v>
      </c>
      <c r="Q137" s="18" t="s">
        <v>258</v>
      </c>
      <c r="R137" s="18" t="s">
        <v>240</v>
      </c>
      <c r="S137" s="18" t="s">
        <v>260</v>
      </c>
      <c r="T137" s="18"/>
      <c r="U137" s="18" t="s">
        <v>262</v>
      </c>
      <c r="V137" s="18" t="s">
        <v>240</v>
      </c>
      <c r="W137" s="18" t="s">
        <v>264</v>
      </c>
      <c r="X137" s="18" t="s">
        <v>240</v>
      </c>
      <c r="Y137" s="18" t="s">
        <v>266</v>
      </c>
      <c r="Z137" s="18" t="s">
        <v>240</v>
      </c>
      <c r="AA137" s="18" t="s">
        <v>268</v>
      </c>
      <c r="AB137" s="18" t="s">
        <v>240</v>
      </c>
      <c r="AC137" s="18" t="s">
        <v>270</v>
      </c>
      <c r="AD137" s="18" t="s">
        <v>240</v>
      </c>
      <c r="AE137" s="18" t="s">
        <v>272</v>
      </c>
      <c r="AF137" s="18"/>
      <c r="AG137" s="18" t="s">
        <v>274</v>
      </c>
      <c r="AH137" s="18" t="s">
        <v>240</v>
      </c>
      <c r="AI137" s="18" t="s">
        <v>276</v>
      </c>
      <c r="AJ137" s="18" t="s">
        <v>240</v>
      </c>
      <c r="AK137" s="18" t="s">
        <v>287</v>
      </c>
      <c r="AL137" s="18" t="s">
        <v>240</v>
      </c>
      <c r="AM137" s="18" t="s">
        <v>289</v>
      </c>
      <c r="AN137" s="18" t="s">
        <v>240</v>
      </c>
      <c r="AO137" s="18" t="s">
        <v>291</v>
      </c>
      <c r="AP137" s="18" t="s">
        <v>240</v>
      </c>
      <c r="AQ137" s="18" t="s">
        <v>293</v>
      </c>
      <c r="AR137" s="18" t="s">
        <v>240</v>
      </c>
      <c r="AS137" s="18" t="s">
        <v>295</v>
      </c>
      <c r="AT137" s="18" t="s">
        <v>240</v>
      </c>
      <c r="AU137" s="18" t="s">
        <v>296</v>
      </c>
      <c r="AV137" s="18" t="s">
        <v>240</v>
      </c>
    </row>
    <row r="138" spans="1:48" x14ac:dyDescent="0.2">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t="str">
        <f>IF($C$45=2,B165,IF($C$45=3,F165,IF($C$45=4,L165,IF($C$45=5,P165,IF($C$45=6,T165," ")))))</f>
        <v xml:space="preserve"> </v>
      </c>
      <c r="AT138" s="27" t="str">
        <f>IF($C$45=2,C165,IF($C$45=3,G165,IF($C$45=4,M165,IF($C$45=5,Q165,IF($C$45=6,U165," ")))))</f>
        <v xml:space="preserve"> </v>
      </c>
      <c r="AU138" s="27" t="e">
        <f>IF(#REF!=2,B165,IF(#REF!=3,F165,IF(#REF!=4,L165,IF(#REF!=5,P165,IF(#REF!=6,T165," ")))))</f>
        <v>#REF!</v>
      </c>
      <c r="AV138" s="27" t="e">
        <f>IF(#REF!=2,C165,IF(#REF!=3,G165,IF(#REF!=4,M165,IF(#REF!=5,Q165,IF(#REF!=6,U165," ")))))</f>
        <v>#REF!</v>
      </c>
    </row>
    <row r="139" spans="1:48" x14ac:dyDescent="0.2">
      <c r="A139" s="27" t="str">
        <f>IF($C$3=2,B166,IF($C$3=3,F166,IF($C$3=4,L166,IF($C$3=5,P166,IF($C$3=6,T166," ")))))</f>
        <v xml:space="preserve"> </v>
      </c>
      <c r="B139" s="27" t="str">
        <f>IF($C$3=2,C166,IF($C$3=3,G166,IF($C$3=4,M166,IF($C$3=5,Q166,IF($C$3=6,U166," ")))))</f>
        <v xml:space="preserve"> </v>
      </c>
      <c r="C139" s="27" t="str">
        <f>IF($C$4=2,B166,IF($C$4=3,F166,IF($C$4=4,L166,IF($C$4=5,P166,IF($C$4=6,T166," ")))))</f>
        <v xml:space="preserve"> </v>
      </c>
      <c r="D139" s="27" t="str">
        <f>IF($C$4=2,C166,IF($C$4=3,G166,IF($C$4=4,M166,IF($C$4=5,Q166,IF($C$4=6,U166," ")))))</f>
        <v xml:space="preserve"> </v>
      </c>
      <c r="E139" s="27" t="str">
        <f>IF($C$5=2,B166,IF($C$5=3,F166,IF($C$5=4,L166,IF($C$5=5,P166,IF($C$5=6,T166," ")))))</f>
        <v xml:space="preserve"> </v>
      </c>
      <c r="F139" s="27" t="str">
        <f>IF($C$5=2,C166,IF($C$5=3,G166,IF($C$5=4,M166,IF($C$5=5,Q166,IF($C$5=6,U166," ")))))</f>
        <v xml:space="preserve"> </v>
      </c>
      <c r="G139" s="27" t="str">
        <f>IF($C$6=2,B166,IF($C$6=3,F166,IF($C$6=4,L166,IF($C$6=5,P166,IF($C$6=6,T166," ")))))</f>
        <v xml:space="preserve"> </v>
      </c>
      <c r="H139" s="27" t="str">
        <f>IF($C$6=2,C166,IF($C$6=3,G166,IF($C$6=4,M166,IF($C$6=5,Q166,IF($C$6=6,U166," ")))))</f>
        <v xml:space="preserve"> </v>
      </c>
      <c r="I139" s="27" t="str">
        <f>IF($C$7=2,B166,IF($C$7=3,F166,IF($C$7=4,L166,IF($C$7=5,P166,IF($C$7=6,T166," ")))))</f>
        <v xml:space="preserve"> </v>
      </c>
      <c r="J139" s="27" t="str">
        <f>IF($C$7=2,C166,IF($C$7=3,G166,IF($C$7=4,M166,IF($C$7=5,Q166,IF($C$7=6,U166," ")))))</f>
        <v xml:space="preserve"> </v>
      </c>
      <c r="K139" s="27" t="str">
        <f>IF($C$8=2,B166,IF($C$8=3,F166,IF($C$8=4,L166,IF($C$8=5,P166,IF($C$8=6,T166," ")))))</f>
        <v xml:space="preserve"> </v>
      </c>
      <c r="L139" s="27" t="str">
        <f>IF($C$8=2,C166,IF($C$8=3,G166,IF($C$8=4,M166,IF($C$8=5,Q166,IF($C$8=6,U166," ")))))</f>
        <v xml:space="preserve"> </v>
      </c>
      <c r="M139" s="27" t="str">
        <f>IF($C$9=2,B166,IF($C$9=3,F166,IF($C$9=4,L166,IF($C$9=5,P166,IF($C$9=6,T166," ")))))</f>
        <v xml:space="preserve"> </v>
      </c>
      <c r="N139" s="27" t="str">
        <f>IF($C$9=2,C166,IF($C$9=3,G166,IF($C$9=4,M166,IF($C$9=5,Q166,IF($C$9=6,U166," ")))))</f>
        <v xml:space="preserve"> </v>
      </c>
      <c r="O139" s="27" t="str">
        <f>IF($C$10=2,B166,IF($C$10=3,F166,IF($C$10=4,L166,IF($C$10=5,P166,IF($C$10=6,T166," ")))))</f>
        <v xml:space="preserve"> </v>
      </c>
      <c r="P139" s="27" t="str">
        <f>IF($C$10=2,C166,IF($C$10=3,G166,IF($C$10=4,M166,IF($C$10=5,Q166,IF($C$10=6,U166," ")))))</f>
        <v xml:space="preserve"> </v>
      </c>
      <c r="Q139" s="27" t="str">
        <f>IF($C$11=2,B166,IF($C$11=3,F166,IF($C$11=4,L166,IF($C$11=5,P166,IF($C$11=6,T166," ")))))</f>
        <v xml:space="preserve"> </v>
      </c>
      <c r="R139" s="27" t="str">
        <f>IF($C$11=2,C166,IF($C$11=3,G166,IF($C$11=4,M166,IF($C$11=5,Q166,IF($C$11=6,U166," ")))))</f>
        <v xml:space="preserve"> </v>
      </c>
      <c r="S139" s="27" t="str">
        <f>IF($C$12=2,B166,IF($C$12=3,F166,IF($C$12=4,L166,IF($C$12=5,P166,IF($C$12=6,T166," ")))))</f>
        <v xml:space="preserve"> </v>
      </c>
      <c r="T139" s="27" t="str">
        <f>IF($C$12=2,C166,IF($C$12=3,G166,IF($C$12=4,M166,IF($C$12=5,Q166,IF($C$12=6,U166," ")))))</f>
        <v xml:space="preserve"> </v>
      </c>
      <c r="U139" s="27" t="str">
        <f>IF($C$13=2,B166,IF($C$13=3,F166,IF($C$13=4,L166,IF($C$13=5,P166,IF($C$13=6,T166," ")))))</f>
        <v xml:space="preserve"> </v>
      </c>
      <c r="V139" s="27" t="str">
        <f>IF($C$13=2,C166,IF($C$13=3,G166,IF($C$13=4,M166,IF($C$13=5,Q166,IF($C$13=6,U166," ")))))</f>
        <v xml:space="preserve"> </v>
      </c>
      <c r="W139" s="27" t="str">
        <f>IF($C$14=2,B166,IF($C$14=3,F166,IF($C$14=4,L166,IF($C$14=5,P166,IF($C$14=6,T166," ")))))</f>
        <v xml:space="preserve"> </v>
      </c>
      <c r="X139" s="27" t="str">
        <f>IF($C$14=2,C166,IF($C$14=3,G166,IF($C$14=4,M166,IF($C$14=5,Q166,IF($C$14=6,U166," ")))))</f>
        <v xml:space="preserve"> </v>
      </c>
      <c r="Y139" s="27" t="str">
        <f>IF($C$15=2,B166,IF($C$15=3,F166,IF($C$15=4,L166,IF($C$15=5,P166,IF($C$15=6,T166," ")))))</f>
        <v xml:space="preserve"> </v>
      </c>
      <c r="Z139" s="27" t="str">
        <f>IF($C$15=2,C166,IF($C$15=3,G166,IF($C$15=4,M166,IF($C$15=5,Q166,IF($C$15=6,U166," ")))))</f>
        <v xml:space="preserve"> </v>
      </c>
      <c r="AA139" s="27" t="str">
        <f>IF($C$16=2,B166,IF($C$16=3,F166,IF($C$16=4,L166,IF($C$16=5,P166,IF($C$16=6,T166," ")))))</f>
        <v xml:space="preserve"> </v>
      </c>
      <c r="AB139" s="27" t="str">
        <f>IF($C$16=2,C166,IF($C$16=3,G166,IF($C$16=4,M166,IF($C$16=5,Q166,IF($C$16=6,U166," ")))))</f>
        <v xml:space="preserve"> </v>
      </c>
      <c r="AC139" s="27" t="str">
        <f>IF($C$17=2,B166,IF($C$17=3,F166,IF($C$17=4,L166,IF($C$17=5,P166,IF($C$17=6,T166," ")))))</f>
        <v xml:space="preserve"> </v>
      </c>
      <c r="AD139" s="27" t="str">
        <f>IF($C$17=2,C166,IF($C$17=3,G166,IF($C$17=4,M166,IF($C$17=5,Q166,IF($C$17=6,U166," ")))))</f>
        <v xml:space="preserve"> </v>
      </c>
      <c r="AE139" s="27" t="str">
        <f>IF($C$18=2,B166,IF($C$18=3,F166,IF($C$18=4,L166,IF($C$18=5,P166,IF($C$18=6,T166," ")))))</f>
        <v xml:space="preserve"> </v>
      </c>
      <c r="AF139" s="27" t="str">
        <f>IF($C$18=2,C166,IF($C$18=3,G166,IF($C$18=4,M166,IF($C$18=5,Q166,IF($C$18=6,U166," ")))))</f>
        <v xml:space="preserve"> </v>
      </c>
      <c r="AG139" s="27" t="str">
        <f>IF($C$19=2,B166,IF($C$19=3,F166,IF($C$19=4,L166,IF($C$19=5,P166,IF($C$19=6,T166," ")))))</f>
        <v xml:space="preserve"> </v>
      </c>
      <c r="AH139" s="27" t="str">
        <f>IF($C$19=2,C166,IF($C$19=3,G166,IF($C$19=4,M166,IF($C$19=5,Q166,IF($C$19=6,U166," ")))))</f>
        <v xml:space="preserve"> </v>
      </c>
      <c r="AI139" s="27" t="str">
        <f>IF($C$20=2,B166,IF($C$20=3,F166,IF($C$20=4,L166,IF($C$20=5,P166,IF($C$20=6,T166," ")))))</f>
        <v xml:space="preserve"> </v>
      </c>
      <c r="AJ139" s="27" t="str">
        <f>IF($C$20=2,C166,IF($C$20=3,G166,IF($C$20=4,M166,IF($C$20=5,Q166,IF($C$20=6,U166," ")))))</f>
        <v xml:space="preserve"> </v>
      </c>
      <c r="AK139" s="27" t="str">
        <f>IF($C$21=2,B166,IF($C$21=3,F166,IF($C$21=4,L166,IF($C$21=5,P166,IF($C$21=6,T166," ")))))</f>
        <v xml:space="preserve"> </v>
      </c>
      <c r="AL139" s="27" t="str">
        <f>IF($C$21=2,C166,IF($C$21=3,G166,IF($C$21=4,M166,IF($C$21=5,Q166,IF($C$21=6,U166," ")))))</f>
        <v xml:space="preserve"> </v>
      </c>
      <c r="AM139" s="27" t="str">
        <f>IF($C$22=2,B166,IF($C$22=3,F166,IF($C$22=4,L166,IF($C$22=5,P166,IF($C$22=6,T166," ")))))</f>
        <v xml:space="preserve"> </v>
      </c>
      <c r="AN139" s="27" t="str">
        <f>IF($C$22=2,C166,IF($C$22=3,G166,IF($C$22=4,M166,IF($C$22=5,Q166,IF($C$22=6,U166," ")))))</f>
        <v xml:space="preserve"> </v>
      </c>
      <c r="AO139" s="27" t="str">
        <f>IF($C$23=2,B166,IF($C$23=3,F166,IF($C$23=4,L166,IF($C$23=5,P166,IF($C$23=6,T166," ")))))</f>
        <v xml:space="preserve"> </v>
      </c>
      <c r="AP139" s="27" t="str">
        <f>IF($C$23=2,C166,IF($C$23=3,G166,IF($C$23=4,M166,IF($C$23=5,Q166,IF($C$23=6,U166," ")))))</f>
        <v xml:space="preserve"> </v>
      </c>
      <c r="AQ139" s="27" t="str">
        <f>IF($C$44=2,B166,IF($C$44=3,F166,IF($C$44=4,L166,IF($C$44=5,P166,IF($C$44=6,T166," ")))))</f>
        <v xml:space="preserve"> </v>
      </c>
      <c r="AR139" s="27" t="str">
        <f>IF($C$44=2,C166,IF($C$44=3,G166,IF($C$44=4,M166,IF($C$44=5,Q166,IF($C$44=6,U166," ")))))</f>
        <v xml:space="preserve"> </v>
      </c>
      <c r="AS139" s="27" t="str">
        <f>IF($C$45=2,B166,IF($C$45=3,F166,IF($C$45=4,L166,IF($C$45=5,P166,IF($C$45=6,T166," ")))))</f>
        <v xml:space="preserve"> </v>
      </c>
      <c r="AT139" s="27" t="str">
        <f>IF($C$45=2,C166,IF($C$45=3,G166,IF($C$45=4,M166,IF($C$45=5,Q166,IF($C$45=6,U166," ")))))</f>
        <v xml:space="preserve"> </v>
      </c>
      <c r="AU139" s="27" t="e">
        <f>IF(#REF!=2,B166,IF(#REF!=3,F166,IF(#REF!=4,L166,IF(#REF!=5,P166,IF(#REF!=6,T166," ")))))</f>
        <v>#REF!</v>
      </c>
      <c r="AV139" s="27" t="e">
        <f>IF(#REF!=2,C166,IF(#REF!=3,G166,IF(#REF!=4,M166,IF(#REF!=5,Q166,IF(#REF!=6,U166," ")))))</f>
        <v>#REF!</v>
      </c>
    </row>
    <row r="140" spans="1:48" x14ac:dyDescent="0.2">
      <c r="A140" s="27" t="str">
        <f t="shared" ref="A140:A159" si="184">IF($C$3=2,A167,IF($C$3=3,E167,IF($C$3=4,K167,IF($C$3=5,O167,IF($C$3=6,S167," ")))))</f>
        <v xml:space="preserve"> </v>
      </c>
      <c r="B140" s="27" t="str">
        <f t="shared" ref="B140:B159" si="185">IF($C$3=2,B167,IF($C$3=3,F167,IF($C$3=4,L167,IF($C$3=5,P167,IF($C$3=6,T167," ")))))</f>
        <v xml:space="preserve"> </v>
      </c>
      <c r="C140" s="27" t="str">
        <f t="shared" ref="C140:C159" si="186">IF($C$4=2,A167,IF($C$4=3,E167,IF($C$4=4,K167,IF($C$4=5,O167,IF($C$4=6,S167," ")))))</f>
        <v xml:space="preserve"> </v>
      </c>
      <c r="D140" s="27" t="str">
        <f t="shared" ref="D140:D159" si="187">IF($C$4=2,B167,IF($C$4=3,F167,IF($C$4=4,L167,IF($C$4=5,P167,IF($C$4=6,T167," ")))))</f>
        <v xml:space="preserve"> </v>
      </c>
      <c r="E140" s="27" t="str">
        <f t="shared" ref="E140:E159" si="188">IF($C$5=2,A167,IF($C$5=3,E167,IF($C$5=4,K167,IF($C$5=5,O167,IF($C$5=6,S167," ")))))</f>
        <v xml:space="preserve"> </v>
      </c>
      <c r="F140" s="27" t="str">
        <f t="shared" ref="F140:F159" si="189">IF($C$5=2,B167,IF($C$5=3,F167,IF($C$5=4,L167,IF($C$5=5,P167,IF($C$5=6,T167," ")))))</f>
        <v xml:space="preserve"> </v>
      </c>
      <c r="G140" s="27" t="str">
        <f t="shared" ref="G140:G159" si="190">IF($C$6=2,A167,IF($C$6=3,E167,IF($C$6=4,K167,IF($C$6=5,O167,IF($C$6=6,S167," ")))))</f>
        <v xml:space="preserve"> </v>
      </c>
      <c r="H140" s="27" t="str">
        <f t="shared" ref="H140:H159" si="191">IF($C$6=2,B167,IF($C$6=3,F167,IF($C$6=4,L167,IF($C$6=5,P167,IF($C$6=6,T167," ")))))</f>
        <v xml:space="preserve"> </v>
      </c>
      <c r="I140" s="27" t="str">
        <f t="shared" ref="I140:I159" si="192">IF($C$7=2,A167,IF($C$7=3,E167,IF($C$7=4,K167,IF($C$7=5,O167,IF($C$7=6,S167," ")))))</f>
        <v xml:space="preserve"> </v>
      </c>
      <c r="J140" s="27" t="str">
        <f t="shared" ref="J140:J159" si="193">IF($C$7=2,B167,IF($C$7=3,F167,IF($C$7=4,L167,IF($C$7=5,P167,IF($C$7=6,T167," ")))))</f>
        <v xml:space="preserve"> </v>
      </c>
      <c r="K140" s="27" t="str">
        <f t="shared" ref="K140:K159" si="194">IF($C$8=2,A167,IF($C$8=3,E167,IF($C$8=4,K167,IF($C$8=5,O167,IF($C$8=6,S167," ")))))</f>
        <v xml:space="preserve"> </v>
      </c>
      <c r="L140" s="27" t="str">
        <f t="shared" ref="L140:L159" si="195">IF($C$8=2,B167,IF($C$8=3,F167,IF($C$8=4,L167,IF($C$8=5,P167,IF($C$8=6,T167," ")))))</f>
        <v xml:space="preserve"> </v>
      </c>
      <c r="M140" s="27" t="str">
        <f t="shared" ref="M140:M159" si="196">IF($C$9=2,A167,IF($C$9=3,E167,IF($C$9=4,K167,IF($C$9=5,O167,IF($C$9=6,S167," ")))))</f>
        <v xml:space="preserve"> </v>
      </c>
      <c r="N140" s="27" t="str">
        <f t="shared" ref="N140:N159" si="197">IF($C$9=2,B167,IF($C$9=3,F167,IF($C$9=4,L167,IF($C$9=5,P167,IF($C$9=6,T167," ")))))</f>
        <v xml:space="preserve"> </v>
      </c>
      <c r="O140" s="27" t="str">
        <f t="shared" ref="O140:O159" si="198">IF($C$10=2,A167,IF($C$10=3,E167,IF($C$10=4,K167,IF($C$10=5,O167,IF($C$10=6,S167," ")))))</f>
        <v xml:space="preserve"> </v>
      </c>
      <c r="P140" s="27" t="str">
        <f t="shared" ref="P140:P159" si="199">IF($C$10=2,B167,IF($C$10=3,F167,IF($C$10=4,L167,IF($C$10=5,P167,IF($C$10=6,T167," ")))))</f>
        <v xml:space="preserve"> </v>
      </c>
      <c r="Q140" s="27" t="str">
        <f t="shared" ref="Q140:Q159" si="200">IF($C$11=2,A167,IF($C$11=3,E167,IF($C$11=4,K167,IF($C$11=5,O167,IF($C$11=6,S167," ")))))</f>
        <v xml:space="preserve"> </v>
      </c>
      <c r="R140" s="27" t="str">
        <f t="shared" ref="R140:R159" si="201">IF($C$11=2,B167,IF($C$11=3,F167,IF($C$11=4,L167,IF($C$11=5,P167,IF($C$11=6,T167," ")))))</f>
        <v xml:space="preserve"> </v>
      </c>
      <c r="S140" s="27" t="str">
        <f t="shared" ref="S140:S159" si="202">IF($C$12=2,A167,IF($C$12=3,E167,IF($C$12=4,K167,IF($C$12=5,O167,IF($C$12=6,S167," ")))))</f>
        <v xml:space="preserve"> </v>
      </c>
      <c r="T140" s="27" t="str">
        <f t="shared" ref="T140:T159" si="203">IF($C$12=2,B167,IF($C$12=3,F167,IF($C$12=4,L167,IF($C$12=5,P167,IF($C$12=6,T167," ")))))</f>
        <v xml:space="preserve"> </v>
      </c>
      <c r="U140" s="27" t="str">
        <f t="shared" ref="U140:U159" si="204">IF($C$13=2,A167,IF($C$13=3,E167,IF($C$13=4,K167,IF($C$13=5,O167,IF($C$13=6,S167," ")))))</f>
        <v xml:space="preserve"> </v>
      </c>
      <c r="V140" s="27" t="str">
        <f t="shared" ref="V140:V159" si="205">IF($C$13=2,B167,IF($C$13=3,F167,IF($C$13=4,L167,IF($C$13=5,P167,IF($C$13=6,T167," ")))))</f>
        <v xml:space="preserve"> </v>
      </c>
      <c r="W140" s="27" t="str">
        <f t="shared" ref="W140:W159" si="206">IF($C$14=2,A167,IF($C$14=3,E167,IF($C$14=4,K167,IF($C$14=5,O167,IF($C$14=6,S167," ")))))</f>
        <v xml:space="preserve"> </v>
      </c>
      <c r="X140" s="27" t="str">
        <f t="shared" ref="X140:X159" si="207">IF($C$14=2,B167,IF($C$14=3,F167,IF($C$14=4,L167,IF($C$14=5,P167,IF($C$14=6,T167," ")))))</f>
        <v xml:space="preserve"> </v>
      </c>
      <c r="Y140" s="27" t="str">
        <f t="shared" ref="Y140:Y159" si="208">IF($C$15=2,A167,IF($C$15=3,E167,IF($C$15=4,K167,IF($C$15=5,O167,IF($C$15=6,S167," ")))))</f>
        <v xml:space="preserve"> </v>
      </c>
      <c r="Z140" s="27" t="str">
        <f t="shared" ref="Z140:Z159" si="209">IF($C$15=2,B167,IF($C$15=3,F167,IF($C$15=4,L167,IF($C$15=5,P167,IF($C$15=6,T167," ")))))</f>
        <v xml:space="preserve"> </v>
      </c>
      <c r="AA140" s="27" t="str">
        <f t="shared" ref="AA140:AA159" si="210">IF($C$16=2,A167,IF($C$16=3,E167,IF($C$16=4,K167,IF($C$16=5,O167,IF($C$16=6,S167," ")))))</f>
        <v xml:space="preserve"> </v>
      </c>
      <c r="AB140" s="27" t="str">
        <f t="shared" ref="AB140:AB159" si="211">IF($C$16=2,B167,IF($C$16=3,F167,IF($C$16=4,L167,IF($C$16=5,P167,IF($C$16=6,T167," ")))))</f>
        <v xml:space="preserve"> </v>
      </c>
      <c r="AC140" s="27" t="str">
        <f t="shared" ref="AC140:AC159" si="212">IF($C$17=2,A167,IF($C$17=3,E167,IF($C$17=4,K167,IF($C$17=5,O167,IF($C$17=6,S167," ")))))</f>
        <v xml:space="preserve"> </v>
      </c>
      <c r="AD140" s="27" t="str">
        <f t="shared" ref="AD140:AD159" si="213">IF($C$17=2,B167,IF($C$17=3,F167,IF($C$17=4,L167,IF($C$17=5,P167,IF($C$17=6,T167," ")))))</f>
        <v xml:space="preserve"> </v>
      </c>
      <c r="AE140" s="27" t="str">
        <f t="shared" ref="AE140:AE159" si="214">IF($C$18=2,A167,IF($C$18=3,E167,IF($C$18=4,K167,IF($C$18=5,O167,IF($C$18=6,S167," ")))))</f>
        <v xml:space="preserve"> </v>
      </c>
      <c r="AF140" s="27" t="str">
        <f t="shared" ref="AF140:AF159" si="215">IF($C$18=2,B167,IF($C$18=3,F167,IF($C$18=4,L167,IF($C$18=5,P167,IF($C$18=6,T167," ")))))</f>
        <v xml:space="preserve"> </v>
      </c>
      <c r="AG140" s="27" t="str">
        <f t="shared" ref="AG140:AG159" si="216">IF($C$19=2,A167,IF($C$19=3,E167,IF($C$19=4,K167,IF($C$19=5,O167,IF($C$19=6,S167," ")))))</f>
        <v xml:space="preserve"> </v>
      </c>
      <c r="AH140" s="27" t="str">
        <f t="shared" ref="AH140:AH159" si="217">IF($C$19=2,B167,IF($C$19=3,F167,IF($C$19=4,L167,IF($C$19=5,P167,IF($C$19=6,T167," ")))))</f>
        <v xml:space="preserve"> </v>
      </c>
      <c r="AI140" s="27" t="str">
        <f t="shared" ref="AI140:AI159" si="218">IF($C$20=2,A167,IF($C$20=3,E167,IF($C$20=4,K167,IF($C$20=5,O167,IF($C$20=6,S167," ")))))</f>
        <v xml:space="preserve"> </v>
      </c>
      <c r="AJ140" s="27" t="str">
        <f t="shared" ref="AJ140:AJ159" si="219">IF($C$20=2,B167,IF($C$20=3,F167,IF($C$20=4,L167,IF($C$20=5,P167,IF($C$20=6,T167," ")))))</f>
        <v xml:space="preserve"> </v>
      </c>
      <c r="AK140" s="27" t="str">
        <f t="shared" ref="AK140:AK159" si="220">IF($C$21=2,A167,IF($C$21=3,E167,IF($C$21=4,K167,IF($C$21=5,O167,IF($C$21=6,S167," ")))))</f>
        <v xml:space="preserve"> </v>
      </c>
      <c r="AL140" s="27" t="str">
        <f t="shared" ref="AL140:AL159" si="221">IF($C$21=2,B167,IF($C$21=3,F167,IF($C$21=4,L167,IF($C$21=5,P167,IF($C$21=6,T167," ")))))</f>
        <v xml:space="preserve"> </v>
      </c>
      <c r="AM140" s="27" t="str">
        <f t="shared" ref="AM140:AM159" si="222">IF($C$22=2,A167,IF($C$22=3,E167,IF($C$22=4,K167,IF($C$22=5,O167,IF($C$22=6,S167," ")))))</f>
        <v xml:space="preserve"> </v>
      </c>
      <c r="AN140" s="27" t="str">
        <f t="shared" ref="AN140:AN159" si="223">IF($C$22=2,B167,IF($C$22=3,F167,IF($C$22=4,L167,IF($C$22=5,P167,IF($C$22=6,T167," ")))))</f>
        <v xml:space="preserve"> </v>
      </c>
      <c r="AO140" s="27" t="str">
        <f t="shared" ref="AO140:AO159" si="224">IF($C$23=2,A167,IF($C$23=3,E167,IF($C$23=4,K167,IF($C$23=5,O167,IF($C$23=6,S167," ")))))</f>
        <v xml:space="preserve"> </v>
      </c>
      <c r="AP140" s="27" t="str">
        <f t="shared" ref="AP140:AP159" si="225">IF($C$23=2,B167,IF($C$23=3,F167,IF($C$23=4,L167,IF($C$23=5,P167,IF($C$23=6,T167," ")))))</f>
        <v xml:space="preserve"> </v>
      </c>
      <c r="AQ140" s="27" t="str">
        <f t="shared" ref="AQ140:AQ159" si="226">IF($C$44=2,A167,IF($C$44=3,E167,IF($C$44=4,K167,IF($C$44=5,O167,IF($C$44=6,S167," ")))))</f>
        <v xml:space="preserve"> </v>
      </c>
      <c r="AR140" s="27" t="str">
        <f t="shared" ref="AR140:AR159" si="227">IF($C$44=2,B167,IF($C$44=3,F167,IF($C$44=4,L167,IF($C$44=5,P167,IF($C$44=6,T167," ")))))</f>
        <v xml:space="preserve"> </v>
      </c>
      <c r="AS140" s="27" t="str">
        <f t="shared" ref="AS140:AS159" si="228">IF($C$45=2,A167,IF($C$45=3,E167,IF($C$45=4,K167,IF($C$45=5,O167,IF($C$45=6,S167," ")))))</f>
        <v xml:space="preserve"> </v>
      </c>
      <c r="AT140" s="27" t="str">
        <f t="shared" ref="AT140:AT159" si="229">IF($C$45=2,B167,IF($C$45=3,F167,IF($C$45=4,L167,IF($C$45=5,P167,IF($C$45=6,T167," ")))))</f>
        <v xml:space="preserve"> </v>
      </c>
      <c r="AU140" s="27" t="e">
        <f>IF(#REF!=2,A167,IF(#REF!=3,E167,IF(#REF!=4,K167,IF(#REF!=5,O167,IF(#REF!=6,S167," ")))))</f>
        <v>#REF!</v>
      </c>
      <c r="AV140" s="27" t="e">
        <f>IF(#REF!=2,B167,IF(#REF!=3,F167,IF(#REF!=4,L167,IF(#REF!=5,P167,IF(#REF!=6,T167," ")))))</f>
        <v>#REF!</v>
      </c>
    </row>
    <row r="141" spans="1:48" x14ac:dyDescent="0.2">
      <c r="A141" s="27" t="str">
        <f t="shared" si="184"/>
        <v xml:space="preserve"> </v>
      </c>
      <c r="B141" s="27" t="str">
        <f t="shared" si="185"/>
        <v xml:space="preserve"> </v>
      </c>
      <c r="C141" s="27" t="str">
        <f t="shared" si="186"/>
        <v xml:space="preserve"> </v>
      </c>
      <c r="D141" s="27" t="str">
        <f t="shared" si="187"/>
        <v xml:space="preserve"> </v>
      </c>
      <c r="E141" s="27" t="str">
        <f t="shared" si="188"/>
        <v xml:space="preserve"> </v>
      </c>
      <c r="F141" s="27" t="str">
        <f t="shared" si="189"/>
        <v xml:space="preserve"> </v>
      </c>
      <c r="G141" s="27" t="str">
        <f t="shared" si="190"/>
        <v xml:space="preserve"> </v>
      </c>
      <c r="H141" s="27" t="str">
        <f t="shared" si="191"/>
        <v xml:space="preserve"> </v>
      </c>
      <c r="I141" s="27" t="str">
        <f t="shared" si="192"/>
        <v xml:space="preserve"> </v>
      </c>
      <c r="J141" s="27" t="str">
        <f t="shared" si="193"/>
        <v xml:space="preserve"> </v>
      </c>
      <c r="K141" s="27" t="str">
        <f t="shared" si="194"/>
        <v xml:space="preserve"> </v>
      </c>
      <c r="L141" s="27" t="str">
        <f t="shared" si="195"/>
        <v xml:space="preserve"> </v>
      </c>
      <c r="M141" s="27" t="str">
        <f t="shared" si="196"/>
        <v xml:space="preserve"> </v>
      </c>
      <c r="N141" s="27" t="str">
        <f t="shared" si="197"/>
        <v xml:space="preserve"> </v>
      </c>
      <c r="O141" s="27" t="str">
        <f t="shared" si="198"/>
        <v xml:space="preserve"> </v>
      </c>
      <c r="P141" s="27" t="str">
        <f t="shared" si="199"/>
        <v xml:space="preserve"> </v>
      </c>
      <c r="Q141" s="27" t="str">
        <f t="shared" si="200"/>
        <v xml:space="preserve"> </v>
      </c>
      <c r="R141" s="27" t="str">
        <f t="shared" si="201"/>
        <v xml:space="preserve"> </v>
      </c>
      <c r="S141" s="27" t="str">
        <f t="shared" si="202"/>
        <v xml:space="preserve"> </v>
      </c>
      <c r="T141" s="27" t="str">
        <f t="shared" si="203"/>
        <v xml:space="preserve"> </v>
      </c>
      <c r="U141" s="27" t="str">
        <f t="shared" si="204"/>
        <v xml:space="preserve"> </v>
      </c>
      <c r="V141" s="27" t="str">
        <f t="shared" si="205"/>
        <v xml:space="preserve"> </v>
      </c>
      <c r="W141" s="27" t="str">
        <f t="shared" si="206"/>
        <v xml:space="preserve"> </v>
      </c>
      <c r="X141" s="27" t="str">
        <f t="shared" si="207"/>
        <v xml:space="preserve"> </v>
      </c>
      <c r="Y141" s="27" t="str">
        <f t="shared" si="208"/>
        <v xml:space="preserve"> </v>
      </c>
      <c r="Z141" s="27" t="str">
        <f t="shared" si="209"/>
        <v xml:space="preserve"> </v>
      </c>
      <c r="AA141" s="27" t="str">
        <f t="shared" si="210"/>
        <v xml:space="preserve"> </v>
      </c>
      <c r="AB141" s="27" t="str">
        <f t="shared" si="211"/>
        <v xml:space="preserve"> </v>
      </c>
      <c r="AC141" s="27" t="str">
        <f t="shared" si="212"/>
        <v xml:space="preserve"> </v>
      </c>
      <c r="AD141" s="27" t="str">
        <f t="shared" si="213"/>
        <v xml:space="preserve"> </v>
      </c>
      <c r="AE141" s="27" t="str">
        <f t="shared" si="214"/>
        <v xml:space="preserve"> </v>
      </c>
      <c r="AF141" s="27" t="str">
        <f t="shared" si="215"/>
        <v xml:space="preserve"> </v>
      </c>
      <c r="AG141" s="27" t="str">
        <f t="shared" si="216"/>
        <v xml:space="preserve"> </v>
      </c>
      <c r="AH141" s="27" t="str">
        <f t="shared" si="217"/>
        <v xml:space="preserve"> </v>
      </c>
      <c r="AI141" s="27" t="str">
        <f t="shared" si="218"/>
        <v xml:space="preserve"> </v>
      </c>
      <c r="AJ141" s="27" t="str">
        <f t="shared" si="219"/>
        <v xml:space="preserve"> </v>
      </c>
      <c r="AK141" s="27" t="str">
        <f t="shared" si="220"/>
        <v xml:space="preserve"> </v>
      </c>
      <c r="AL141" s="27" t="str">
        <f t="shared" si="221"/>
        <v xml:space="preserve"> </v>
      </c>
      <c r="AM141" s="27" t="str">
        <f t="shared" si="222"/>
        <v xml:space="preserve"> </v>
      </c>
      <c r="AN141" s="27" t="str">
        <f t="shared" si="223"/>
        <v xml:space="preserve"> </v>
      </c>
      <c r="AO141" s="27" t="str">
        <f t="shared" si="224"/>
        <v xml:space="preserve"> </v>
      </c>
      <c r="AP141" s="27" t="str">
        <f t="shared" si="225"/>
        <v xml:space="preserve"> </v>
      </c>
      <c r="AQ141" s="27" t="str">
        <f t="shared" si="226"/>
        <v xml:space="preserve"> </v>
      </c>
      <c r="AR141" s="27" t="str">
        <f t="shared" si="227"/>
        <v xml:space="preserve"> </v>
      </c>
      <c r="AS141" s="27" t="str">
        <f t="shared" si="228"/>
        <v xml:space="preserve"> </v>
      </c>
      <c r="AT141" s="27" t="str">
        <f t="shared" si="229"/>
        <v xml:space="preserve"> </v>
      </c>
      <c r="AU141" s="27" t="e">
        <f>IF(#REF!=2,A168,IF(#REF!=3,E168,IF(#REF!=4,K168,IF(#REF!=5,O168,IF(#REF!=6,S168," ")))))</f>
        <v>#REF!</v>
      </c>
      <c r="AV141" s="27" t="e">
        <f>IF(#REF!=2,B168,IF(#REF!=3,F168,IF(#REF!=4,L168,IF(#REF!=5,P168,IF(#REF!=6,T168," ")))))</f>
        <v>#REF!</v>
      </c>
    </row>
    <row r="142" spans="1:48" x14ac:dyDescent="0.2">
      <c r="A142" s="27" t="str">
        <f t="shared" si="184"/>
        <v xml:space="preserve"> </v>
      </c>
      <c r="B142" s="27" t="str">
        <f t="shared" si="185"/>
        <v xml:space="preserve"> </v>
      </c>
      <c r="C142" s="27" t="str">
        <f t="shared" si="186"/>
        <v xml:space="preserve"> </v>
      </c>
      <c r="D142" s="27" t="str">
        <f t="shared" si="187"/>
        <v xml:space="preserve"> </v>
      </c>
      <c r="E142" s="27" t="str">
        <f t="shared" si="188"/>
        <v xml:space="preserve"> </v>
      </c>
      <c r="F142" s="27" t="str">
        <f t="shared" si="189"/>
        <v xml:space="preserve"> </v>
      </c>
      <c r="G142" s="27" t="str">
        <f t="shared" si="190"/>
        <v xml:space="preserve"> </v>
      </c>
      <c r="H142" s="27" t="str">
        <f t="shared" si="191"/>
        <v xml:space="preserve"> </v>
      </c>
      <c r="I142" s="27" t="str">
        <f t="shared" si="192"/>
        <v xml:space="preserve"> </v>
      </c>
      <c r="J142" s="27" t="str">
        <f t="shared" si="193"/>
        <v xml:space="preserve"> </v>
      </c>
      <c r="K142" s="27" t="str">
        <f t="shared" si="194"/>
        <v xml:space="preserve"> </v>
      </c>
      <c r="L142" s="27" t="str">
        <f t="shared" si="195"/>
        <v xml:space="preserve"> </v>
      </c>
      <c r="M142" s="27" t="str">
        <f t="shared" si="196"/>
        <v xml:space="preserve"> </v>
      </c>
      <c r="N142" s="27" t="str">
        <f t="shared" si="197"/>
        <v xml:space="preserve"> </v>
      </c>
      <c r="O142" s="27" t="str">
        <f t="shared" si="198"/>
        <v xml:space="preserve"> </v>
      </c>
      <c r="P142" s="27" t="str">
        <f t="shared" si="199"/>
        <v xml:space="preserve"> </v>
      </c>
      <c r="Q142" s="27" t="str">
        <f t="shared" si="200"/>
        <v xml:space="preserve"> </v>
      </c>
      <c r="R142" s="27" t="str">
        <f t="shared" si="201"/>
        <v xml:space="preserve"> </v>
      </c>
      <c r="S142" s="27" t="str">
        <f t="shared" si="202"/>
        <v xml:space="preserve"> </v>
      </c>
      <c r="T142" s="27" t="str">
        <f t="shared" si="203"/>
        <v xml:space="preserve"> </v>
      </c>
      <c r="U142" s="27" t="str">
        <f t="shared" si="204"/>
        <v xml:space="preserve"> </v>
      </c>
      <c r="V142" s="27" t="str">
        <f t="shared" si="205"/>
        <v xml:space="preserve"> </v>
      </c>
      <c r="W142" s="27" t="str">
        <f t="shared" si="206"/>
        <v xml:space="preserve"> </v>
      </c>
      <c r="X142" s="27" t="str">
        <f t="shared" si="207"/>
        <v xml:space="preserve"> </v>
      </c>
      <c r="Y142" s="27" t="str">
        <f t="shared" si="208"/>
        <v xml:space="preserve"> </v>
      </c>
      <c r="Z142" s="27" t="str">
        <f t="shared" si="209"/>
        <v xml:space="preserve"> </v>
      </c>
      <c r="AA142" s="27" t="str">
        <f t="shared" si="210"/>
        <v xml:space="preserve"> </v>
      </c>
      <c r="AB142" s="27" t="str">
        <f t="shared" si="211"/>
        <v xml:space="preserve"> </v>
      </c>
      <c r="AC142" s="27" t="str">
        <f t="shared" si="212"/>
        <v xml:space="preserve"> </v>
      </c>
      <c r="AD142" s="27" t="str">
        <f t="shared" si="213"/>
        <v xml:space="preserve"> </v>
      </c>
      <c r="AE142" s="27" t="str">
        <f t="shared" si="214"/>
        <v xml:space="preserve"> </v>
      </c>
      <c r="AF142" s="27" t="str">
        <f t="shared" si="215"/>
        <v xml:space="preserve"> </v>
      </c>
      <c r="AG142" s="27" t="str">
        <f t="shared" si="216"/>
        <v xml:space="preserve"> </v>
      </c>
      <c r="AH142" s="27" t="str">
        <f t="shared" si="217"/>
        <v xml:space="preserve"> </v>
      </c>
      <c r="AI142" s="27" t="str">
        <f t="shared" si="218"/>
        <v xml:space="preserve"> </v>
      </c>
      <c r="AJ142" s="27" t="str">
        <f t="shared" si="219"/>
        <v xml:space="preserve"> </v>
      </c>
      <c r="AK142" s="27" t="str">
        <f t="shared" si="220"/>
        <v xml:space="preserve"> </v>
      </c>
      <c r="AL142" s="27" t="str">
        <f t="shared" si="221"/>
        <v xml:space="preserve"> </v>
      </c>
      <c r="AM142" s="27" t="str">
        <f t="shared" si="222"/>
        <v xml:space="preserve"> </v>
      </c>
      <c r="AN142" s="27" t="str">
        <f t="shared" si="223"/>
        <v xml:space="preserve"> </v>
      </c>
      <c r="AO142" s="27" t="str">
        <f t="shared" si="224"/>
        <v xml:space="preserve"> </v>
      </c>
      <c r="AP142" s="27" t="str">
        <f t="shared" si="225"/>
        <v xml:space="preserve"> </v>
      </c>
      <c r="AQ142" s="27" t="str">
        <f t="shared" si="226"/>
        <v xml:space="preserve"> </v>
      </c>
      <c r="AR142" s="27" t="str">
        <f t="shared" si="227"/>
        <v xml:space="preserve"> </v>
      </c>
      <c r="AS142" s="27" t="str">
        <f t="shared" si="228"/>
        <v xml:space="preserve"> </v>
      </c>
      <c r="AT142" s="27" t="str">
        <f t="shared" si="229"/>
        <v xml:space="preserve"> </v>
      </c>
      <c r="AU142" s="27" t="e">
        <f>IF(#REF!=2,A169,IF(#REF!=3,E169,IF(#REF!=4,K169,IF(#REF!=5,O169,IF(#REF!=6,S169," ")))))</f>
        <v>#REF!</v>
      </c>
      <c r="AV142" s="27" t="e">
        <f>IF(#REF!=2,B169,IF(#REF!=3,F169,IF(#REF!=4,L169,IF(#REF!=5,P169,IF(#REF!=6,T169," ")))))</f>
        <v>#REF!</v>
      </c>
    </row>
    <row r="143" spans="1:48" x14ac:dyDescent="0.2">
      <c r="A143" s="27" t="str">
        <f t="shared" si="184"/>
        <v xml:space="preserve"> </v>
      </c>
      <c r="B143" s="27" t="str">
        <f t="shared" si="185"/>
        <v xml:space="preserve"> </v>
      </c>
      <c r="C143" s="27" t="str">
        <f t="shared" si="186"/>
        <v xml:space="preserve"> </v>
      </c>
      <c r="D143" s="27" t="str">
        <f t="shared" si="187"/>
        <v xml:space="preserve"> </v>
      </c>
      <c r="E143" s="27" t="str">
        <f t="shared" si="188"/>
        <v xml:space="preserve"> </v>
      </c>
      <c r="F143" s="27" t="str">
        <f t="shared" si="189"/>
        <v xml:space="preserve"> </v>
      </c>
      <c r="G143" s="27" t="str">
        <f t="shared" si="190"/>
        <v xml:space="preserve"> </v>
      </c>
      <c r="H143" s="27" t="str">
        <f t="shared" si="191"/>
        <v xml:space="preserve"> </v>
      </c>
      <c r="I143" s="27" t="str">
        <f t="shared" si="192"/>
        <v xml:space="preserve"> </v>
      </c>
      <c r="J143" s="27" t="str">
        <f t="shared" si="193"/>
        <v xml:space="preserve"> </v>
      </c>
      <c r="K143" s="27" t="str">
        <f t="shared" si="194"/>
        <v xml:space="preserve"> </v>
      </c>
      <c r="L143" s="27" t="str">
        <f t="shared" si="195"/>
        <v xml:space="preserve"> </v>
      </c>
      <c r="M143" s="27" t="str">
        <f t="shared" si="196"/>
        <v xml:space="preserve"> </v>
      </c>
      <c r="N143" s="27" t="str">
        <f t="shared" si="197"/>
        <v xml:space="preserve"> </v>
      </c>
      <c r="O143" s="27" t="str">
        <f t="shared" si="198"/>
        <v xml:space="preserve"> </v>
      </c>
      <c r="P143" s="27" t="str">
        <f t="shared" si="199"/>
        <v xml:space="preserve"> </v>
      </c>
      <c r="Q143" s="27" t="str">
        <f t="shared" si="200"/>
        <v xml:space="preserve"> </v>
      </c>
      <c r="R143" s="27" t="str">
        <f t="shared" si="201"/>
        <v xml:space="preserve"> </v>
      </c>
      <c r="S143" s="27" t="str">
        <f t="shared" si="202"/>
        <v xml:space="preserve"> </v>
      </c>
      <c r="T143" s="27" t="str">
        <f t="shared" si="203"/>
        <v xml:space="preserve"> </v>
      </c>
      <c r="U143" s="27" t="str">
        <f t="shared" si="204"/>
        <v xml:space="preserve"> </v>
      </c>
      <c r="V143" s="27" t="str">
        <f t="shared" si="205"/>
        <v xml:space="preserve"> </v>
      </c>
      <c r="W143" s="27" t="str">
        <f t="shared" si="206"/>
        <v xml:space="preserve"> </v>
      </c>
      <c r="X143" s="27" t="str">
        <f t="shared" si="207"/>
        <v xml:space="preserve"> </v>
      </c>
      <c r="Y143" s="27" t="str">
        <f t="shared" si="208"/>
        <v xml:space="preserve"> </v>
      </c>
      <c r="Z143" s="27" t="str">
        <f t="shared" si="209"/>
        <v xml:space="preserve"> </v>
      </c>
      <c r="AA143" s="27" t="str">
        <f t="shared" si="210"/>
        <v xml:space="preserve"> </v>
      </c>
      <c r="AB143" s="27" t="str">
        <f t="shared" si="211"/>
        <v xml:space="preserve"> </v>
      </c>
      <c r="AC143" s="27" t="str">
        <f t="shared" si="212"/>
        <v xml:space="preserve"> </v>
      </c>
      <c r="AD143" s="27" t="str">
        <f t="shared" si="213"/>
        <v xml:space="preserve"> </v>
      </c>
      <c r="AE143" s="27" t="str">
        <f t="shared" si="214"/>
        <v xml:space="preserve"> </v>
      </c>
      <c r="AF143" s="27" t="str">
        <f t="shared" si="215"/>
        <v xml:space="preserve"> </v>
      </c>
      <c r="AG143" s="27" t="str">
        <f t="shared" si="216"/>
        <v xml:space="preserve"> </v>
      </c>
      <c r="AH143" s="27" t="str">
        <f t="shared" si="217"/>
        <v xml:space="preserve"> </v>
      </c>
      <c r="AI143" s="27" t="str">
        <f t="shared" si="218"/>
        <v xml:space="preserve"> </v>
      </c>
      <c r="AJ143" s="27" t="str">
        <f t="shared" si="219"/>
        <v xml:space="preserve"> </v>
      </c>
      <c r="AK143" s="27" t="str">
        <f t="shared" si="220"/>
        <v xml:space="preserve"> </v>
      </c>
      <c r="AL143" s="27" t="str">
        <f t="shared" si="221"/>
        <v xml:space="preserve"> </v>
      </c>
      <c r="AM143" s="27" t="str">
        <f t="shared" si="222"/>
        <v xml:space="preserve"> </v>
      </c>
      <c r="AN143" s="27" t="str">
        <f t="shared" si="223"/>
        <v xml:space="preserve"> </v>
      </c>
      <c r="AO143" s="27" t="str">
        <f t="shared" si="224"/>
        <v xml:space="preserve"> </v>
      </c>
      <c r="AP143" s="27" t="str">
        <f t="shared" si="225"/>
        <v xml:space="preserve"> </v>
      </c>
      <c r="AQ143" s="27" t="str">
        <f t="shared" si="226"/>
        <v xml:space="preserve"> </v>
      </c>
      <c r="AR143" s="27" t="str">
        <f t="shared" si="227"/>
        <v xml:space="preserve"> </v>
      </c>
      <c r="AS143" s="27" t="str">
        <f t="shared" si="228"/>
        <v xml:space="preserve"> </v>
      </c>
      <c r="AT143" s="27" t="str">
        <f t="shared" si="229"/>
        <v xml:space="preserve"> </v>
      </c>
      <c r="AU143" s="27" t="e">
        <f>IF(#REF!=2,A170,IF(#REF!=3,E170,IF(#REF!=4,K170,IF(#REF!=5,O170,IF(#REF!=6,S170," ")))))</f>
        <v>#REF!</v>
      </c>
      <c r="AV143" s="27" t="e">
        <f>IF(#REF!=2,B170,IF(#REF!=3,F170,IF(#REF!=4,L170,IF(#REF!=5,P170,IF(#REF!=6,T170," ")))))</f>
        <v>#REF!</v>
      </c>
    </row>
    <row r="144" spans="1:48" x14ac:dyDescent="0.2">
      <c r="A144" s="27" t="str">
        <f t="shared" si="184"/>
        <v xml:space="preserve"> </v>
      </c>
      <c r="B144" s="27" t="str">
        <f t="shared" si="185"/>
        <v xml:space="preserve"> </v>
      </c>
      <c r="C144" s="27" t="str">
        <f t="shared" si="186"/>
        <v xml:space="preserve"> </v>
      </c>
      <c r="D144" s="27" t="str">
        <f t="shared" si="187"/>
        <v xml:space="preserve"> </v>
      </c>
      <c r="E144" s="27" t="str">
        <f t="shared" si="188"/>
        <v xml:space="preserve"> </v>
      </c>
      <c r="F144" s="27" t="str">
        <f t="shared" si="189"/>
        <v xml:space="preserve"> </v>
      </c>
      <c r="G144" s="27" t="str">
        <f t="shared" si="190"/>
        <v xml:space="preserve"> </v>
      </c>
      <c r="H144" s="27" t="str">
        <f t="shared" si="191"/>
        <v xml:space="preserve"> </v>
      </c>
      <c r="I144" s="27" t="str">
        <f t="shared" si="192"/>
        <v xml:space="preserve"> </v>
      </c>
      <c r="J144" s="27" t="str">
        <f t="shared" si="193"/>
        <v xml:space="preserve"> </v>
      </c>
      <c r="K144" s="27" t="str">
        <f t="shared" si="194"/>
        <v xml:space="preserve"> </v>
      </c>
      <c r="L144" s="27" t="str">
        <f t="shared" si="195"/>
        <v xml:space="preserve"> </v>
      </c>
      <c r="M144" s="27" t="str">
        <f t="shared" si="196"/>
        <v xml:space="preserve"> </v>
      </c>
      <c r="N144" s="27" t="str">
        <f t="shared" si="197"/>
        <v xml:space="preserve"> </v>
      </c>
      <c r="O144" s="27" t="str">
        <f t="shared" si="198"/>
        <v xml:space="preserve"> </v>
      </c>
      <c r="P144" s="27" t="str">
        <f t="shared" si="199"/>
        <v xml:space="preserve"> </v>
      </c>
      <c r="Q144" s="27" t="str">
        <f t="shared" si="200"/>
        <v xml:space="preserve"> </v>
      </c>
      <c r="R144" s="27" t="str">
        <f t="shared" si="201"/>
        <v xml:space="preserve"> </v>
      </c>
      <c r="S144" s="27" t="str">
        <f t="shared" si="202"/>
        <v xml:space="preserve"> </v>
      </c>
      <c r="T144" s="27" t="str">
        <f t="shared" si="203"/>
        <v xml:space="preserve"> </v>
      </c>
      <c r="U144" s="27" t="str">
        <f t="shared" si="204"/>
        <v xml:space="preserve"> </v>
      </c>
      <c r="V144" s="27" t="str">
        <f t="shared" si="205"/>
        <v xml:space="preserve"> </v>
      </c>
      <c r="W144" s="27" t="str">
        <f t="shared" si="206"/>
        <v xml:space="preserve"> </v>
      </c>
      <c r="X144" s="27" t="str">
        <f t="shared" si="207"/>
        <v xml:space="preserve"> </v>
      </c>
      <c r="Y144" s="27" t="str">
        <f t="shared" si="208"/>
        <v xml:space="preserve"> </v>
      </c>
      <c r="Z144" s="27" t="str">
        <f t="shared" si="209"/>
        <v xml:space="preserve"> </v>
      </c>
      <c r="AA144" s="27" t="str">
        <f t="shared" si="210"/>
        <v xml:space="preserve"> </v>
      </c>
      <c r="AB144" s="27" t="str">
        <f t="shared" si="211"/>
        <v xml:space="preserve"> </v>
      </c>
      <c r="AC144" s="27" t="str">
        <f t="shared" si="212"/>
        <v xml:space="preserve"> </v>
      </c>
      <c r="AD144" s="27" t="str">
        <f t="shared" si="213"/>
        <v xml:space="preserve"> </v>
      </c>
      <c r="AE144" s="27" t="str">
        <f t="shared" si="214"/>
        <v xml:space="preserve"> </v>
      </c>
      <c r="AF144" s="27" t="str">
        <f t="shared" si="215"/>
        <v xml:space="preserve"> </v>
      </c>
      <c r="AG144" s="27" t="str">
        <f t="shared" si="216"/>
        <v xml:space="preserve"> </v>
      </c>
      <c r="AH144" s="27" t="str">
        <f t="shared" si="217"/>
        <v xml:space="preserve"> </v>
      </c>
      <c r="AI144" s="27" t="str">
        <f t="shared" si="218"/>
        <v xml:space="preserve"> </v>
      </c>
      <c r="AJ144" s="27" t="str">
        <f t="shared" si="219"/>
        <v xml:space="preserve"> </v>
      </c>
      <c r="AK144" s="27" t="str">
        <f t="shared" si="220"/>
        <v xml:space="preserve"> </v>
      </c>
      <c r="AL144" s="27" t="str">
        <f t="shared" si="221"/>
        <v xml:space="preserve"> </v>
      </c>
      <c r="AM144" s="27" t="str">
        <f t="shared" si="222"/>
        <v xml:space="preserve"> </v>
      </c>
      <c r="AN144" s="27" t="str">
        <f t="shared" si="223"/>
        <v xml:space="preserve"> </v>
      </c>
      <c r="AO144" s="27" t="str">
        <f t="shared" si="224"/>
        <v xml:space="preserve"> </v>
      </c>
      <c r="AP144" s="27" t="str">
        <f t="shared" si="225"/>
        <v xml:space="preserve"> </v>
      </c>
      <c r="AQ144" s="27" t="str">
        <f t="shared" si="226"/>
        <v xml:space="preserve"> </v>
      </c>
      <c r="AR144" s="27" t="str">
        <f t="shared" si="227"/>
        <v xml:space="preserve"> </v>
      </c>
      <c r="AS144" s="27" t="str">
        <f t="shared" si="228"/>
        <v xml:space="preserve"> </v>
      </c>
      <c r="AT144" s="27" t="str">
        <f t="shared" si="229"/>
        <v xml:space="preserve"> </v>
      </c>
      <c r="AU144" s="27" t="e">
        <f>IF(#REF!=2,A171,IF(#REF!=3,E171,IF(#REF!=4,K171,IF(#REF!=5,O171,IF(#REF!=6,S171," ")))))</f>
        <v>#REF!</v>
      </c>
      <c r="AV144" s="27" t="e">
        <f>IF(#REF!=2,B171,IF(#REF!=3,F171,IF(#REF!=4,L171,IF(#REF!=5,P171,IF(#REF!=6,T171," ")))))</f>
        <v>#REF!</v>
      </c>
    </row>
    <row r="145" spans="1:48" x14ac:dyDescent="0.2">
      <c r="A145" s="27" t="str">
        <f t="shared" si="184"/>
        <v xml:space="preserve"> </v>
      </c>
      <c r="B145" s="27" t="str">
        <f t="shared" si="185"/>
        <v xml:space="preserve"> </v>
      </c>
      <c r="C145" s="27" t="str">
        <f t="shared" si="186"/>
        <v xml:space="preserve"> </v>
      </c>
      <c r="D145" s="27" t="str">
        <f t="shared" si="187"/>
        <v xml:space="preserve"> </v>
      </c>
      <c r="E145" s="27" t="str">
        <f t="shared" si="188"/>
        <v xml:space="preserve"> </v>
      </c>
      <c r="F145" s="27" t="str">
        <f t="shared" si="189"/>
        <v xml:space="preserve"> </v>
      </c>
      <c r="G145" s="27" t="str">
        <f t="shared" si="190"/>
        <v xml:space="preserve"> </v>
      </c>
      <c r="H145" s="27" t="str">
        <f t="shared" si="191"/>
        <v xml:space="preserve"> </v>
      </c>
      <c r="I145" s="27" t="str">
        <f t="shared" si="192"/>
        <v xml:space="preserve"> </v>
      </c>
      <c r="J145" s="27" t="str">
        <f t="shared" si="193"/>
        <v xml:space="preserve"> </v>
      </c>
      <c r="K145" s="27" t="str">
        <f t="shared" si="194"/>
        <v xml:space="preserve"> </v>
      </c>
      <c r="L145" s="27" t="str">
        <f t="shared" si="195"/>
        <v xml:space="preserve"> </v>
      </c>
      <c r="M145" s="27" t="str">
        <f t="shared" si="196"/>
        <v xml:space="preserve"> </v>
      </c>
      <c r="N145" s="27" t="str">
        <f t="shared" si="197"/>
        <v xml:space="preserve"> </v>
      </c>
      <c r="O145" s="27" t="str">
        <f t="shared" si="198"/>
        <v xml:space="preserve"> </v>
      </c>
      <c r="P145" s="27" t="str">
        <f t="shared" si="199"/>
        <v xml:space="preserve"> </v>
      </c>
      <c r="Q145" s="27" t="str">
        <f t="shared" si="200"/>
        <v xml:space="preserve"> </v>
      </c>
      <c r="R145" s="27" t="str">
        <f t="shared" si="201"/>
        <v xml:space="preserve"> </v>
      </c>
      <c r="S145" s="27" t="str">
        <f t="shared" si="202"/>
        <v xml:space="preserve"> </v>
      </c>
      <c r="T145" s="27" t="str">
        <f t="shared" si="203"/>
        <v xml:space="preserve"> </v>
      </c>
      <c r="U145" s="27" t="str">
        <f t="shared" si="204"/>
        <v xml:space="preserve"> </v>
      </c>
      <c r="V145" s="27" t="str">
        <f t="shared" si="205"/>
        <v xml:space="preserve"> </v>
      </c>
      <c r="W145" s="27" t="str">
        <f t="shared" si="206"/>
        <v xml:space="preserve"> </v>
      </c>
      <c r="X145" s="27" t="str">
        <f t="shared" si="207"/>
        <v xml:space="preserve"> </v>
      </c>
      <c r="Y145" s="27" t="str">
        <f t="shared" si="208"/>
        <v xml:space="preserve"> </v>
      </c>
      <c r="Z145" s="27" t="str">
        <f t="shared" si="209"/>
        <v xml:space="preserve"> </v>
      </c>
      <c r="AA145" s="27" t="str">
        <f t="shared" si="210"/>
        <v xml:space="preserve"> </v>
      </c>
      <c r="AB145" s="27" t="str">
        <f t="shared" si="211"/>
        <v xml:space="preserve"> </v>
      </c>
      <c r="AC145" s="27" t="str">
        <f t="shared" si="212"/>
        <v xml:space="preserve"> </v>
      </c>
      <c r="AD145" s="27" t="str">
        <f t="shared" si="213"/>
        <v xml:space="preserve"> </v>
      </c>
      <c r="AE145" s="27" t="str">
        <f t="shared" si="214"/>
        <v xml:space="preserve"> </v>
      </c>
      <c r="AF145" s="27" t="str">
        <f t="shared" si="215"/>
        <v xml:space="preserve"> </v>
      </c>
      <c r="AG145" s="27" t="str">
        <f t="shared" si="216"/>
        <v xml:space="preserve"> </v>
      </c>
      <c r="AH145" s="27" t="str">
        <f t="shared" si="217"/>
        <v xml:space="preserve"> </v>
      </c>
      <c r="AI145" s="27" t="str">
        <f t="shared" si="218"/>
        <v xml:space="preserve"> </v>
      </c>
      <c r="AJ145" s="27" t="str">
        <f t="shared" si="219"/>
        <v xml:space="preserve"> </v>
      </c>
      <c r="AK145" s="27" t="str">
        <f t="shared" si="220"/>
        <v xml:space="preserve"> </v>
      </c>
      <c r="AL145" s="27" t="str">
        <f t="shared" si="221"/>
        <v xml:space="preserve"> </v>
      </c>
      <c r="AM145" s="27" t="str">
        <f t="shared" si="222"/>
        <v xml:space="preserve"> </v>
      </c>
      <c r="AN145" s="27" t="str">
        <f t="shared" si="223"/>
        <v xml:space="preserve"> </v>
      </c>
      <c r="AO145" s="27" t="str">
        <f t="shared" si="224"/>
        <v xml:space="preserve"> </v>
      </c>
      <c r="AP145" s="27" t="str">
        <f t="shared" si="225"/>
        <v xml:space="preserve"> </v>
      </c>
      <c r="AQ145" s="27" t="str">
        <f t="shared" si="226"/>
        <v xml:space="preserve"> </v>
      </c>
      <c r="AR145" s="27" t="str">
        <f t="shared" si="227"/>
        <v xml:space="preserve"> </v>
      </c>
      <c r="AS145" s="27" t="str">
        <f t="shared" si="228"/>
        <v xml:space="preserve"> </v>
      </c>
      <c r="AT145" s="27" t="str">
        <f t="shared" si="229"/>
        <v xml:space="preserve"> </v>
      </c>
      <c r="AU145" s="27" t="e">
        <f>IF(#REF!=2,A172,IF(#REF!=3,E172,IF(#REF!=4,K172,IF(#REF!=5,O172,IF(#REF!=6,S172," ")))))</f>
        <v>#REF!</v>
      </c>
      <c r="AV145" s="27" t="e">
        <f>IF(#REF!=2,B172,IF(#REF!=3,F172,IF(#REF!=4,L172,IF(#REF!=5,P172,IF(#REF!=6,T172," ")))))</f>
        <v>#REF!</v>
      </c>
    </row>
    <row r="146" spans="1:48" x14ac:dyDescent="0.2">
      <c r="A146" s="27" t="str">
        <f t="shared" si="184"/>
        <v xml:space="preserve"> </v>
      </c>
      <c r="B146" s="27" t="str">
        <f t="shared" si="185"/>
        <v xml:space="preserve"> </v>
      </c>
      <c r="C146" s="27" t="str">
        <f t="shared" si="186"/>
        <v xml:space="preserve"> </v>
      </c>
      <c r="D146" s="27" t="str">
        <f t="shared" si="187"/>
        <v xml:space="preserve"> </v>
      </c>
      <c r="E146" s="27" t="str">
        <f t="shared" si="188"/>
        <v xml:space="preserve"> </v>
      </c>
      <c r="F146" s="27" t="str">
        <f t="shared" si="189"/>
        <v xml:space="preserve"> </v>
      </c>
      <c r="G146" s="27" t="str">
        <f t="shared" si="190"/>
        <v xml:space="preserve"> </v>
      </c>
      <c r="H146" s="27" t="str">
        <f t="shared" si="191"/>
        <v xml:space="preserve"> </v>
      </c>
      <c r="I146" s="27" t="str">
        <f t="shared" si="192"/>
        <v xml:space="preserve"> </v>
      </c>
      <c r="J146" s="27" t="str">
        <f t="shared" si="193"/>
        <v xml:space="preserve"> </v>
      </c>
      <c r="K146" s="27" t="str">
        <f t="shared" si="194"/>
        <v xml:space="preserve"> </v>
      </c>
      <c r="L146" s="27" t="str">
        <f t="shared" si="195"/>
        <v xml:space="preserve"> </v>
      </c>
      <c r="M146" s="27" t="str">
        <f t="shared" si="196"/>
        <v xml:space="preserve"> </v>
      </c>
      <c r="N146" s="27" t="str">
        <f t="shared" si="197"/>
        <v xml:space="preserve"> </v>
      </c>
      <c r="O146" s="27" t="str">
        <f t="shared" si="198"/>
        <v xml:space="preserve"> </v>
      </c>
      <c r="P146" s="27" t="str">
        <f t="shared" si="199"/>
        <v xml:space="preserve"> </v>
      </c>
      <c r="Q146" s="27" t="str">
        <f t="shared" si="200"/>
        <v xml:space="preserve"> </v>
      </c>
      <c r="R146" s="27" t="str">
        <f t="shared" si="201"/>
        <v xml:space="preserve"> </v>
      </c>
      <c r="S146" s="27" t="str">
        <f t="shared" si="202"/>
        <v xml:space="preserve"> </v>
      </c>
      <c r="T146" s="27" t="str">
        <f t="shared" si="203"/>
        <v xml:space="preserve"> </v>
      </c>
      <c r="U146" s="27" t="str">
        <f t="shared" si="204"/>
        <v xml:space="preserve"> </v>
      </c>
      <c r="V146" s="27" t="str">
        <f t="shared" si="205"/>
        <v xml:space="preserve"> </v>
      </c>
      <c r="W146" s="27" t="str">
        <f t="shared" si="206"/>
        <v xml:space="preserve"> </v>
      </c>
      <c r="X146" s="27" t="str">
        <f t="shared" si="207"/>
        <v xml:space="preserve"> </v>
      </c>
      <c r="Y146" s="27" t="str">
        <f t="shared" si="208"/>
        <v xml:space="preserve"> </v>
      </c>
      <c r="Z146" s="27" t="str">
        <f t="shared" si="209"/>
        <v xml:space="preserve"> </v>
      </c>
      <c r="AA146" s="27" t="str">
        <f t="shared" si="210"/>
        <v xml:space="preserve"> </v>
      </c>
      <c r="AB146" s="27" t="str">
        <f t="shared" si="211"/>
        <v xml:space="preserve"> </v>
      </c>
      <c r="AC146" s="27" t="str">
        <f t="shared" si="212"/>
        <v xml:space="preserve"> </v>
      </c>
      <c r="AD146" s="27" t="str">
        <f t="shared" si="213"/>
        <v xml:space="preserve"> </v>
      </c>
      <c r="AE146" s="27" t="str">
        <f t="shared" si="214"/>
        <v xml:space="preserve"> </v>
      </c>
      <c r="AF146" s="27" t="str">
        <f t="shared" si="215"/>
        <v xml:space="preserve"> </v>
      </c>
      <c r="AG146" s="27" t="str">
        <f t="shared" si="216"/>
        <v xml:space="preserve"> </v>
      </c>
      <c r="AH146" s="27" t="str">
        <f t="shared" si="217"/>
        <v xml:space="preserve"> </v>
      </c>
      <c r="AI146" s="27" t="str">
        <f t="shared" si="218"/>
        <v xml:space="preserve"> </v>
      </c>
      <c r="AJ146" s="27" t="str">
        <f t="shared" si="219"/>
        <v xml:space="preserve"> </v>
      </c>
      <c r="AK146" s="27" t="str">
        <f t="shared" si="220"/>
        <v xml:space="preserve"> </v>
      </c>
      <c r="AL146" s="27" t="str">
        <f t="shared" si="221"/>
        <v xml:space="preserve"> </v>
      </c>
      <c r="AM146" s="27" t="str">
        <f t="shared" si="222"/>
        <v xml:space="preserve"> </v>
      </c>
      <c r="AN146" s="27" t="str">
        <f t="shared" si="223"/>
        <v xml:space="preserve"> </v>
      </c>
      <c r="AO146" s="27" t="str">
        <f t="shared" si="224"/>
        <v xml:space="preserve"> </v>
      </c>
      <c r="AP146" s="27" t="str">
        <f t="shared" si="225"/>
        <v xml:space="preserve"> </v>
      </c>
      <c r="AQ146" s="27" t="str">
        <f t="shared" si="226"/>
        <v xml:space="preserve"> </v>
      </c>
      <c r="AR146" s="27" t="str">
        <f t="shared" si="227"/>
        <v xml:space="preserve"> </v>
      </c>
      <c r="AS146" s="27" t="str">
        <f t="shared" si="228"/>
        <v xml:space="preserve"> </v>
      </c>
      <c r="AT146" s="27" t="str">
        <f t="shared" si="229"/>
        <v xml:space="preserve"> </v>
      </c>
      <c r="AU146" s="27" t="e">
        <f>IF(#REF!=2,A173,IF(#REF!=3,E173,IF(#REF!=4,K173,IF(#REF!=5,O173,IF(#REF!=6,S173," ")))))</f>
        <v>#REF!</v>
      </c>
      <c r="AV146" s="27" t="e">
        <f>IF(#REF!=2,B173,IF(#REF!=3,F173,IF(#REF!=4,L173,IF(#REF!=5,P173,IF(#REF!=6,T173," ")))))</f>
        <v>#REF!</v>
      </c>
    </row>
    <row r="147" spans="1:48" x14ac:dyDescent="0.2">
      <c r="A147" s="27" t="str">
        <f t="shared" si="184"/>
        <v xml:space="preserve"> </v>
      </c>
      <c r="B147" s="27" t="str">
        <f t="shared" si="185"/>
        <v xml:space="preserve"> </v>
      </c>
      <c r="C147" s="27" t="str">
        <f t="shared" si="186"/>
        <v xml:space="preserve"> </v>
      </c>
      <c r="D147" s="27" t="str">
        <f t="shared" si="187"/>
        <v xml:space="preserve"> </v>
      </c>
      <c r="E147" s="27" t="str">
        <f t="shared" si="188"/>
        <v xml:space="preserve"> </v>
      </c>
      <c r="F147" s="27" t="str">
        <f t="shared" si="189"/>
        <v xml:space="preserve"> </v>
      </c>
      <c r="G147" s="27" t="str">
        <f t="shared" si="190"/>
        <v xml:space="preserve"> </v>
      </c>
      <c r="H147" s="27" t="str">
        <f t="shared" si="191"/>
        <v xml:space="preserve"> </v>
      </c>
      <c r="I147" s="27" t="str">
        <f t="shared" si="192"/>
        <v xml:space="preserve"> </v>
      </c>
      <c r="J147" s="27" t="str">
        <f t="shared" si="193"/>
        <v xml:space="preserve"> </v>
      </c>
      <c r="K147" s="27" t="str">
        <f t="shared" si="194"/>
        <v xml:space="preserve"> </v>
      </c>
      <c r="L147" s="27" t="str">
        <f t="shared" si="195"/>
        <v xml:space="preserve"> </v>
      </c>
      <c r="M147" s="27" t="str">
        <f t="shared" si="196"/>
        <v xml:space="preserve"> </v>
      </c>
      <c r="N147" s="27" t="str">
        <f t="shared" si="197"/>
        <v xml:space="preserve"> </v>
      </c>
      <c r="O147" s="27" t="str">
        <f t="shared" si="198"/>
        <v xml:space="preserve"> </v>
      </c>
      <c r="P147" s="27" t="str">
        <f t="shared" si="199"/>
        <v xml:space="preserve"> </v>
      </c>
      <c r="Q147" s="27" t="str">
        <f t="shared" si="200"/>
        <v xml:space="preserve"> </v>
      </c>
      <c r="R147" s="27" t="str">
        <f t="shared" si="201"/>
        <v xml:space="preserve"> </v>
      </c>
      <c r="S147" s="27" t="str">
        <f t="shared" si="202"/>
        <v xml:space="preserve"> </v>
      </c>
      <c r="T147" s="27" t="str">
        <f t="shared" si="203"/>
        <v xml:space="preserve"> </v>
      </c>
      <c r="U147" s="27" t="str">
        <f t="shared" si="204"/>
        <v xml:space="preserve"> </v>
      </c>
      <c r="V147" s="27" t="str">
        <f t="shared" si="205"/>
        <v xml:space="preserve"> </v>
      </c>
      <c r="W147" s="27" t="str">
        <f t="shared" si="206"/>
        <v xml:space="preserve"> </v>
      </c>
      <c r="X147" s="27" t="str">
        <f t="shared" si="207"/>
        <v xml:space="preserve"> </v>
      </c>
      <c r="Y147" s="27" t="str">
        <f t="shared" si="208"/>
        <v xml:space="preserve"> </v>
      </c>
      <c r="Z147" s="27" t="str">
        <f t="shared" si="209"/>
        <v xml:space="preserve"> </v>
      </c>
      <c r="AA147" s="27" t="str">
        <f t="shared" si="210"/>
        <v xml:space="preserve"> </v>
      </c>
      <c r="AB147" s="27" t="str">
        <f t="shared" si="211"/>
        <v xml:space="preserve"> </v>
      </c>
      <c r="AC147" s="27" t="str">
        <f t="shared" si="212"/>
        <v xml:space="preserve"> </v>
      </c>
      <c r="AD147" s="27" t="str">
        <f t="shared" si="213"/>
        <v xml:space="preserve"> </v>
      </c>
      <c r="AE147" s="27" t="str">
        <f t="shared" si="214"/>
        <v xml:space="preserve"> </v>
      </c>
      <c r="AF147" s="27" t="str">
        <f t="shared" si="215"/>
        <v xml:space="preserve"> </v>
      </c>
      <c r="AG147" s="27" t="str">
        <f t="shared" si="216"/>
        <v xml:space="preserve"> </v>
      </c>
      <c r="AH147" s="27" t="str">
        <f t="shared" si="217"/>
        <v xml:space="preserve"> </v>
      </c>
      <c r="AI147" s="27" t="str">
        <f t="shared" si="218"/>
        <v xml:space="preserve"> </v>
      </c>
      <c r="AJ147" s="27" t="str">
        <f t="shared" si="219"/>
        <v xml:space="preserve"> </v>
      </c>
      <c r="AK147" s="27" t="str">
        <f t="shared" si="220"/>
        <v xml:space="preserve"> </v>
      </c>
      <c r="AL147" s="27" t="str">
        <f t="shared" si="221"/>
        <v xml:space="preserve"> </v>
      </c>
      <c r="AM147" s="27" t="str">
        <f t="shared" si="222"/>
        <v xml:space="preserve"> </v>
      </c>
      <c r="AN147" s="27" t="str">
        <f t="shared" si="223"/>
        <v xml:space="preserve"> </v>
      </c>
      <c r="AO147" s="27" t="str">
        <f t="shared" si="224"/>
        <v xml:space="preserve"> </v>
      </c>
      <c r="AP147" s="27" t="str">
        <f t="shared" si="225"/>
        <v xml:space="preserve"> </v>
      </c>
      <c r="AQ147" s="27" t="str">
        <f t="shared" si="226"/>
        <v xml:space="preserve"> </v>
      </c>
      <c r="AR147" s="27" t="str">
        <f t="shared" si="227"/>
        <v xml:space="preserve"> </v>
      </c>
      <c r="AS147" s="27" t="str">
        <f t="shared" si="228"/>
        <v xml:space="preserve"> </v>
      </c>
      <c r="AT147" s="27" t="str">
        <f t="shared" si="229"/>
        <v xml:space="preserve"> </v>
      </c>
      <c r="AU147" s="27" t="e">
        <f>IF(#REF!=2,A174,IF(#REF!=3,E174,IF(#REF!=4,K174,IF(#REF!=5,O174,IF(#REF!=6,S174," ")))))</f>
        <v>#REF!</v>
      </c>
      <c r="AV147" s="27" t="e">
        <f>IF(#REF!=2,B174,IF(#REF!=3,F174,IF(#REF!=4,L174,IF(#REF!=5,P174,IF(#REF!=6,T174," ")))))</f>
        <v>#REF!</v>
      </c>
    </row>
    <row r="148" spans="1:48" x14ac:dyDescent="0.2">
      <c r="A148" s="27" t="str">
        <f t="shared" si="184"/>
        <v xml:space="preserve"> </v>
      </c>
      <c r="B148" s="27" t="str">
        <f t="shared" si="185"/>
        <v xml:space="preserve"> </v>
      </c>
      <c r="C148" s="27" t="str">
        <f t="shared" si="186"/>
        <v xml:space="preserve"> </v>
      </c>
      <c r="D148" s="27" t="str">
        <f t="shared" si="187"/>
        <v xml:space="preserve"> </v>
      </c>
      <c r="E148" s="27" t="str">
        <f t="shared" si="188"/>
        <v xml:space="preserve"> </v>
      </c>
      <c r="F148" s="27" t="str">
        <f t="shared" si="189"/>
        <v xml:space="preserve"> </v>
      </c>
      <c r="G148" s="27" t="str">
        <f t="shared" si="190"/>
        <v xml:space="preserve"> </v>
      </c>
      <c r="H148" s="27" t="str">
        <f t="shared" si="191"/>
        <v xml:space="preserve"> </v>
      </c>
      <c r="I148" s="27" t="str">
        <f t="shared" si="192"/>
        <v xml:space="preserve"> </v>
      </c>
      <c r="J148" s="27" t="str">
        <f t="shared" si="193"/>
        <v xml:space="preserve"> </v>
      </c>
      <c r="K148" s="27" t="str">
        <f t="shared" si="194"/>
        <v xml:space="preserve"> </v>
      </c>
      <c r="L148" s="27" t="str">
        <f t="shared" si="195"/>
        <v xml:space="preserve"> </v>
      </c>
      <c r="M148" s="27" t="str">
        <f t="shared" si="196"/>
        <v xml:space="preserve"> </v>
      </c>
      <c r="N148" s="27" t="str">
        <f t="shared" si="197"/>
        <v xml:space="preserve"> </v>
      </c>
      <c r="O148" s="27" t="str">
        <f t="shared" si="198"/>
        <v xml:space="preserve"> </v>
      </c>
      <c r="P148" s="27" t="str">
        <f t="shared" si="199"/>
        <v xml:space="preserve"> </v>
      </c>
      <c r="Q148" s="27" t="str">
        <f t="shared" si="200"/>
        <v xml:space="preserve"> </v>
      </c>
      <c r="R148" s="27" t="str">
        <f t="shared" si="201"/>
        <v xml:space="preserve"> </v>
      </c>
      <c r="S148" s="27" t="str">
        <f t="shared" si="202"/>
        <v xml:space="preserve"> </v>
      </c>
      <c r="T148" s="27" t="str">
        <f t="shared" si="203"/>
        <v xml:space="preserve"> </v>
      </c>
      <c r="U148" s="27" t="str">
        <f t="shared" si="204"/>
        <v xml:space="preserve"> </v>
      </c>
      <c r="V148" s="27" t="str">
        <f t="shared" si="205"/>
        <v xml:space="preserve"> </v>
      </c>
      <c r="W148" s="27" t="str">
        <f t="shared" si="206"/>
        <v xml:space="preserve"> </v>
      </c>
      <c r="X148" s="27" t="str">
        <f t="shared" si="207"/>
        <v xml:space="preserve"> </v>
      </c>
      <c r="Y148" s="27" t="str">
        <f t="shared" si="208"/>
        <v xml:space="preserve"> </v>
      </c>
      <c r="Z148" s="27" t="str">
        <f t="shared" si="209"/>
        <v xml:space="preserve"> </v>
      </c>
      <c r="AA148" s="27" t="str">
        <f t="shared" si="210"/>
        <v xml:space="preserve"> </v>
      </c>
      <c r="AB148" s="27" t="str">
        <f t="shared" si="211"/>
        <v xml:space="preserve"> </v>
      </c>
      <c r="AC148" s="27" t="str">
        <f t="shared" si="212"/>
        <v xml:space="preserve"> </v>
      </c>
      <c r="AD148" s="27" t="str">
        <f t="shared" si="213"/>
        <v xml:space="preserve"> </v>
      </c>
      <c r="AE148" s="27" t="str">
        <f t="shared" si="214"/>
        <v xml:space="preserve"> </v>
      </c>
      <c r="AF148" s="27" t="str">
        <f t="shared" si="215"/>
        <v xml:space="preserve"> </v>
      </c>
      <c r="AG148" s="27" t="str">
        <f t="shared" si="216"/>
        <v xml:space="preserve"> </v>
      </c>
      <c r="AH148" s="27" t="str">
        <f t="shared" si="217"/>
        <v xml:space="preserve"> </v>
      </c>
      <c r="AI148" s="27" t="str">
        <f t="shared" si="218"/>
        <v xml:space="preserve"> </v>
      </c>
      <c r="AJ148" s="27" t="str">
        <f t="shared" si="219"/>
        <v xml:space="preserve"> </v>
      </c>
      <c r="AK148" s="27" t="str">
        <f t="shared" si="220"/>
        <v xml:space="preserve"> </v>
      </c>
      <c r="AL148" s="27" t="str">
        <f t="shared" si="221"/>
        <v xml:space="preserve"> </v>
      </c>
      <c r="AM148" s="27" t="str">
        <f t="shared" si="222"/>
        <v xml:space="preserve"> </v>
      </c>
      <c r="AN148" s="27" t="str">
        <f t="shared" si="223"/>
        <v xml:space="preserve"> </v>
      </c>
      <c r="AO148" s="27" t="str">
        <f t="shared" si="224"/>
        <v xml:space="preserve"> </v>
      </c>
      <c r="AP148" s="27" t="str">
        <f t="shared" si="225"/>
        <v xml:space="preserve"> </v>
      </c>
      <c r="AQ148" s="27" t="str">
        <f t="shared" si="226"/>
        <v xml:space="preserve"> </v>
      </c>
      <c r="AR148" s="27" t="str">
        <f t="shared" si="227"/>
        <v xml:space="preserve"> </v>
      </c>
      <c r="AS148" s="27" t="str">
        <f t="shared" si="228"/>
        <v xml:space="preserve"> </v>
      </c>
      <c r="AT148" s="27" t="str">
        <f t="shared" si="229"/>
        <v xml:space="preserve"> </v>
      </c>
      <c r="AU148" s="27" t="e">
        <f>IF(#REF!=2,A175,IF(#REF!=3,E175,IF(#REF!=4,K175,IF(#REF!=5,O175,IF(#REF!=6,S175," ")))))</f>
        <v>#REF!</v>
      </c>
      <c r="AV148" s="27" t="e">
        <f>IF(#REF!=2,B175,IF(#REF!=3,F175,IF(#REF!=4,L175,IF(#REF!=5,P175,IF(#REF!=6,T175," ")))))</f>
        <v>#REF!</v>
      </c>
    </row>
    <row r="149" spans="1:48" x14ac:dyDescent="0.2">
      <c r="A149" s="27" t="str">
        <f t="shared" si="184"/>
        <v xml:space="preserve"> </v>
      </c>
      <c r="B149" s="27" t="str">
        <f t="shared" si="185"/>
        <v xml:space="preserve"> </v>
      </c>
      <c r="C149" s="27" t="str">
        <f t="shared" si="186"/>
        <v xml:space="preserve"> </v>
      </c>
      <c r="D149" s="27" t="str">
        <f t="shared" si="187"/>
        <v xml:space="preserve"> </v>
      </c>
      <c r="E149" s="27" t="str">
        <f t="shared" si="188"/>
        <v xml:space="preserve"> </v>
      </c>
      <c r="F149" s="27" t="str">
        <f t="shared" si="189"/>
        <v xml:space="preserve"> </v>
      </c>
      <c r="G149" s="27" t="str">
        <f t="shared" si="190"/>
        <v xml:space="preserve"> </v>
      </c>
      <c r="H149" s="27" t="str">
        <f t="shared" si="191"/>
        <v xml:space="preserve"> </v>
      </c>
      <c r="I149" s="27" t="str">
        <f t="shared" si="192"/>
        <v xml:space="preserve"> </v>
      </c>
      <c r="J149" s="27" t="str">
        <f t="shared" si="193"/>
        <v xml:space="preserve"> </v>
      </c>
      <c r="K149" s="27" t="str">
        <f t="shared" si="194"/>
        <v xml:space="preserve"> </v>
      </c>
      <c r="L149" s="27" t="str">
        <f t="shared" si="195"/>
        <v xml:space="preserve"> </v>
      </c>
      <c r="M149" s="27" t="str">
        <f t="shared" si="196"/>
        <v xml:space="preserve"> </v>
      </c>
      <c r="N149" s="27" t="str">
        <f t="shared" si="197"/>
        <v xml:space="preserve"> </v>
      </c>
      <c r="O149" s="27" t="str">
        <f t="shared" si="198"/>
        <v xml:space="preserve"> </v>
      </c>
      <c r="P149" s="27" t="str">
        <f t="shared" si="199"/>
        <v xml:space="preserve"> </v>
      </c>
      <c r="Q149" s="27" t="str">
        <f t="shared" si="200"/>
        <v xml:space="preserve"> </v>
      </c>
      <c r="R149" s="27" t="str">
        <f t="shared" si="201"/>
        <v xml:space="preserve"> </v>
      </c>
      <c r="S149" s="27" t="str">
        <f t="shared" si="202"/>
        <v xml:space="preserve"> </v>
      </c>
      <c r="T149" s="27" t="str">
        <f t="shared" si="203"/>
        <v xml:space="preserve"> </v>
      </c>
      <c r="U149" s="27" t="str">
        <f t="shared" si="204"/>
        <v xml:space="preserve"> </v>
      </c>
      <c r="V149" s="27" t="str">
        <f t="shared" si="205"/>
        <v xml:space="preserve"> </v>
      </c>
      <c r="W149" s="27" t="str">
        <f t="shared" si="206"/>
        <v xml:space="preserve"> </v>
      </c>
      <c r="X149" s="27" t="str">
        <f t="shared" si="207"/>
        <v xml:space="preserve"> </v>
      </c>
      <c r="Y149" s="27" t="str">
        <f t="shared" si="208"/>
        <v xml:space="preserve"> </v>
      </c>
      <c r="Z149" s="27" t="str">
        <f t="shared" si="209"/>
        <v xml:space="preserve"> </v>
      </c>
      <c r="AA149" s="27" t="str">
        <f t="shared" si="210"/>
        <v xml:space="preserve"> </v>
      </c>
      <c r="AB149" s="27" t="str">
        <f t="shared" si="211"/>
        <v xml:space="preserve"> </v>
      </c>
      <c r="AC149" s="27" t="str">
        <f t="shared" si="212"/>
        <v xml:space="preserve"> </v>
      </c>
      <c r="AD149" s="27" t="str">
        <f t="shared" si="213"/>
        <v xml:space="preserve"> </v>
      </c>
      <c r="AE149" s="27" t="str">
        <f t="shared" si="214"/>
        <v xml:space="preserve"> </v>
      </c>
      <c r="AF149" s="27" t="str">
        <f t="shared" si="215"/>
        <v xml:space="preserve"> </v>
      </c>
      <c r="AG149" s="27" t="str">
        <f t="shared" si="216"/>
        <v xml:space="preserve"> </v>
      </c>
      <c r="AH149" s="27" t="str">
        <f t="shared" si="217"/>
        <v xml:space="preserve"> </v>
      </c>
      <c r="AI149" s="27" t="str">
        <f t="shared" si="218"/>
        <v xml:space="preserve"> </v>
      </c>
      <c r="AJ149" s="27" t="str">
        <f t="shared" si="219"/>
        <v xml:space="preserve"> </v>
      </c>
      <c r="AK149" s="27" t="str">
        <f t="shared" si="220"/>
        <v xml:space="preserve"> </v>
      </c>
      <c r="AL149" s="27" t="str">
        <f t="shared" si="221"/>
        <v xml:space="preserve"> </v>
      </c>
      <c r="AM149" s="27" t="str">
        <f t="shared" si="222"/>
        <v xml:space="preserve"> </v>
      </c>
      <c r="AN149" s="27" t="str">
        <f t="shared" si="223"/>
        <v xml:space="preserve"> </v>
      </c>
      <c r="AO149" s="27" t="str">
        <f t="shared" si="224"/>
        <v xml:space="preserve"> </v>
      </c>
      <c r="AP149" s="27" t="str">
        <f t="shared" si="225"/>
        <v xml:space="preserve"> </v>
      </c>
      <c r="AQ149" s="27" t="str">
        <f t="shared" si="226"/>
        <v xml:space="preserve"> </v>
      </c>
      <c r="AR149" s="27" t="str">
        <f t="shared" si="227"/>
        <v xml:space="preserve"> </v>
      </c>
      <c r="AS149" s="27" t="str">
        <f t="shared" si="228"/>
        <v xml:space="preserve"> </v>
      </c>
      <c r="AT149" s="27" t="str">
        <f t="shared" si="229"/>
        <v xml:space="preserve"> </v>
      </c>
      <c r="AU149" s="27" t="e">
        <f>IF(#REF!=2,A176,IF(#REF!=3,E176,IF(#REF!=4,K176,IF(#REF!=5,O176,IF(#REF!=6,S176," ")))))</f>
        <v>#REF!</v>
      </c>
      <c r="AV149" s="27" t="e">
        <f>IF(#REF!=2,B176,IF(#REF!=3,F176,IF(#REF!=4,L176,IF(#REF!=5,P176,IF(#REF!=6,T176," ")))))</f>
        <v>#REF!</v>
      </c>
    </row>
    <row r="150" spans="1:48" x14ac:dyDescent="0.2">
      <c r="A150" s="27" t="str">
        <f t="shared" si="184"/>
        <v xml:space="preserve"> </v>
      </c>
      <c r="B150" s="27" t="str">
        <f t="shared" si="185"/>
        <v xml:space="preserve"> </v>
      </c>
      <c r="C150" s="27" t="str">
        <f t="shared" si="186"/>
        <v xml:space="preserve"> </v>
      </c>
      <c r="D150" s="27" t="str">
        <f t="shared" si="187"/>
        <v xml:space="preserve"> </v>
      </c>
      <c r="E150" s="27" t="str">
        <f t="shared" si="188"/>
        <v xml:space="preserve"> </v>
      </c>
      <c r="F150" s="27" t="str">
        <f t="shared" si="189"/>
        <v xml:space="preserve"> </v>
      </c>
      <c r="G150" s="27" t="str">
        <f t="shared" si="190"/>
        <v xml:space="preserve"> </v>
      </c>
      <c r="H150" s="27" t="str">
        <f t="shared" si="191"/>
        <v xml:space="preserve"> </v>
      </c>
      <c r="I150" s="27" t="str">
        <f t="shared" si="192"/>
        <v xml:space="preserve"> </v>
      </c>
      <c r="J150" s="27" t="str">
        <f t="shared" si="193"/>
        <v xml:space="preserve"> </v>
      </c>
      <c r="K150" s="27" t="str">
        <f t="shared" si="194"/>
        <v xml:space="preserve"> </v>
      </c>
      <c r="L150" s="27" t="str">
        <f t="shared" si="195"/>
        <v xml:space="preserve"> </v>
      </c>
      <c r="M150" s="27" t="str">
        <f t="shared" si="196"/>
        <v xml:space="preserve"> </v>
      </c>
      <c r="N150" s="27" t="str">
        <f t="shared" si="197"/>
        <v xml:space="preserve"> </v>
      </c>
      <c r="O150" s="27" t="str">
        <f t="shared" si="198"/>
        <v xml:space="preserve"> </v>
      </c>
      <c r="P150" s="27" t="str">
        <f t="shared" si="199"/>
        <v xml:space="preserve"> </v>
      </c>
      <c r="Q150" s="27" t="str">
        <f t="shared" si="200"/>
        <v xml:space="preserve"> </v>
      </c>
      <c r="R150" s="27" t="str">
        <f t="shared" si="201"/>
        <v xml:space="preserve"> </v>
      </c>
      <c r="S150" s="27" t="str">
        <f t="shared" si="202"/>
        <v xml:space="preserve"> </v>
      </c>
      <c r="T150" s="27" t="str">
        <f t="shared" si="203"/>
        <v xml:space="preserve"> </v>
      </c>
      <c r="U150" s="27" t="str">
        <f t="shared" si="204"/>
        <v xml:space="preserve"> </v>
      </c>
      <c r="V150" s="27" t="str">
        <f t="shared" si="205"/>
        <v xml:space="preserve"> </v>
      </c>
      <c r="W150" s="27" t="str">
        <f t="shared" si="206"/>
        <v xml:space="preserve"> </v>
      </c>
      <c r="X150" s="27" t="str">
        <f t="shared" si="207"/>
        <v xml:space="preserve"> </v>
      </c>
      <c r="Y150" s="27" t="str">
        <f t="shared" si="208"/>
        <v xml:space="preserve"> </v>
      </c>
      <c r="Z150" s="27" t="str">
        <f t="shared" si="209"/>
        <v xml:space="preserve"> </v>
      </c>
      <c r="AA150" s="27" t="str">
        <f t="shared" si="210"/>
        <v xml:space="preserve"> </v>
      </c>
      <c r="AB150" s="27" t="str">
        <f t="shared" si="211"/>
        <v xml:space="preserve"> </v>
      </c>
      <c r="AC150" s="27" t="str">
        <f t="shared" si="212"/>
        <v xml:space="preserve"> </v>
      </c>
      <c r="AD150" s="27" t="str">
        <f t="shared" si="213"/>
        <v xml:space="preserve"> </v>
      </c>
      <c r="AE150" s="27" t="str">
        <f t="shared" si="214"/>
        <v xml:space="preserve"> </v>
      </c>
      <c r="AF150" s="27" t="str">
        <f t="shared" si="215"/>
        <v xml:space="preserve"> </v>
      </c>
      <c r="AG150" s="27" t="str">
        <f t="shared" si="216"/>
        <v xml:space="preserve"> </v>
      </c>
      <c r="AH150" s="27" t="str">
        <f t="shared" si="217"/>
        <v xml:space="preserve"> </v>
      </c>
      <c r="AI150" s="27" t="str">
        <f t="shared" si="218"/>
        <v xml:space="preserve"> </v>
      </c>
      <c r="AJ150" s="27" t="str">
        <f t="shared" si="219"/>
        <v xml:space="preserve"> </v>
      </c>
      <c r="AK150" s="27" t="str">
        <f t="shared" si="220"/>
        <v xml:space="preserve"> </v>
      </c>
      <c r="AL150" s="27" t="str">
        <f t="shared" si="221"/>
        <v xml:space="preserve"> </v>
      </c>
      <c r="AM150" s="27" t="str">
        <f t="shared" si="222"/>
        <v xml:space="preserve"> </v>
      </c>
      <c r="AN150" s="27" t="str">
        <f t="shared" si="223"/>
        <v xml:space="preserve"> </v>
      </c>
      <c r="AO150" s="27" t="str">
        <f t="shared" si="224"/>
        <v xml:space="preserve"> </v>
      </c>
      <c r="AP150" s="27" t="str">
        <f t="shared" si="225"/>
        <v xml:space="preserve"> </v>
      </c>
      <c r="AQ150" s="27" t="str">
        <f t="shared" si="226"/>
        <v xml:space="preserve"> </v>
      </c>
      <c r="AR150" s="27" t="str">
        <f t="shared" si="227"/>
        <v xml:space="preserve"> </v>
      </c>
      <c r="AS150" s="27" t="str">
        <f t="shared" si="228"/>
        <v xml:space="preserve"> </v>
      </c>
      <c r="AT150" s="27" t="str">
        <f t="shared" si="229"/>
        <v xml:space="preserve"> </v>
      </c>
      <c r="AU150" s="27" t="e">
        <f>IF(#REF!=2,A177,IF(#REF!=3,E177,IF(#REF!=4,K177,IF(#REF!=5,O177,IF(#REF!=6,S177," ")))))</f>
        <v>#REF!</v>
      </c>
      <c r="AV150" s="27" t="e">
        <f>IF(#REF!=2,B177,IF(#REF!=3,F177,IF(#REF!=4,L177,IF(#REF!=5,P177,IF(#REF!=6,T177," ")))))</f>
        <v>#REF!</v>
      </c>
    </row>
    <row r="151" spans="1:48" x14ac:dyDescent="0.2">
      <c r="A151" s="27" t="str">
        <f t="shared" si="184"/>
        <v xml:space="preserve"> </v>
      </c>
      <c r="B151" s="27" t="str">
        <f t="shared" si="185"/>
        <v xml:space="preserve"> </v>
      </c>
      <c r="C151" s="27" t="str">
        <f t="shared" si="186"/>
        <v xml:space="preserve"> </v>
      </c>
      <c r="D151" s="27" t="str">
        <f t="shared" si="187"/>
        <v xml:space="preserve"> </v>
      </c>
      <c r="E151" s="27" t="str">
        <f t="shared" si="188"/>
        <v xml:space="preserve"> </v>
      </c>
      <c r="F151" s="27" t="str">
        <f t="shared" si="189"/>
        <v xml:space="preserve"> </v>
      </c>
      <c r="G151" s="27" t="str">
        <f t="shared" si="190"/>
        <v xml:space="preserve"> </v>
      </c>
      <c r="H151" s="27" t="str">
        <f t="shared" si="191"/>
        <v xml:space="preserve"> </v>
      </c>
      <c r="I151" s="27" t="str">
        <f t="shared" si="192"/>
        <v xml:space="preserve"> </v>
      </c>
      <c r="J151" s="27" t="str">
        <f t="shared" si="193"/>
        <v xml:space="preserve"> </v>
      </c>
      <c r="K151" s="27" t="str">
        <f t="shared" si="194"/>
        <v xml:space="preserve"> </v>
      </c>
      <c r="L151" s="27" t="str">
        <f t="shared" si="195"/>
        <v xml:space="preserve"> </v>
      </c>
      <c r="M151" s="27" t="str">
        <f t="shared" si="196"/>
        <v xml:space="preserve"> </v>
      </c>
      <c r="N151" s="27" t="str">
        <f t="shared" si="197"/>
        <v xml:space="preserve"> </v>
      </c>
      <c r="O151" s="27" t="str">
        <f t="shared" si="198"/>
        <v xml:space="preserve"> </v>
      </c>
      <c r="P151" s="27" t="str">
        <f t="shared" si="199"/>
        <v xml:space="preserve"> </v>
      </c>
      <c r="Q151" s="27" t="str">
        <f t="shared" si="200"/>
        <v xml:space="preserve"> </v>
      </c>
      <c r="R151" s="27" t="str">
        <f t="shared" si="201"/>
        <v xml:space="preserve"> </v>
      </c>
      <c r="S151" s="27" t="str">
        <f t="shared" si="202"/>
        <v xml:space="preserve"> </v>
      </c>
      <c r="T151" s="27" t="str">
        <f t="shared" si="203"/>
        <v xml:space="preserve"> </v>
      </c>
      <c r="U151" s="27" t="str">
        <f t="shared" si="204"/>
        <v xml:space="preserve"> </v>
      </c>
      <c r="V151" s="27" t="str">
        <f t="shared" si="205"/>
        <v xml:space="preserve"> </v>
      </c>
      <c r="W151" s="27" t="str">
        <f t="shared" si="206"/>
        <v xml:space="preserve"> </v>
      </c>
      <c r="X151" s="27" t="str">
        <f t="shared" si="207"/>
        <v xml:space="preserve"> </v>
      </c>
      <c r="Y151" s="27" t="str">
        <f t="shared" si="208"/>
        <v xml:space="preserve"> </v>
      </c>
      <c r="Z151" s="27" t="str">
        <f t="shared" si="209"/>
        <v xml:space="preserve"> </v>
      </c>
      <c r="AA151" s="27" t="str">
        <f t="shared" si="210"/>
        <v xml:space="preserve"> </v>
      </c>
      <c r="AB151" s="27" t="str">
        <f t="shared" si="211"/>
        <v xml:space="preserve"> </v>
      </c>
      <c r="AC151" s="27" t="str">
        <f t="shared" si="212"/>
        <v xml:space="preserve"> </v>
      </c>
      <c r="AD151" s="27" t="str">
        <f t="shared" si="213"/>
        <v xml:space="preserve"> </v>
      </c>
      <c r="AE151" s="27" t="str">
        <f t="shared" si="214"/>
        <v xml:space="preserve"> </v>
      </c>
      <c r="AF151" s="27" t="str">
        <f t="shared" si="215"/>
        <v xml:space="preserve"> </v>
      </c>
      <c r="AG151" s="27" t="str">
        <f t="shared" si="216"/>
        <v xml:space="preserve"> </v>
      </c>
      <c r="AH151" s="27" t="str">
        <f t="shared" si="217"/>
        <v xml:space="preserve"> </v>
      </c>
      <c r="AI151" s="27" t="str">
        <f t="shared" si="218"/>
        <v xml:space="preserve"> </v>
      </c>
      <c r="AJ151" s="27" t="str">
        <f t="shared" si="219"/>
        <v xml:space="preserve"> </v>
      </c>
      <c r="AK151" s="27" t="str">
        <f t="shared" si="220"/>
        <v xml:space="preserve"> </v>
      </c>
      <c r="AL151" s="27" t="str">
        <f t="shared" si="221"/>
        <v xml:space="preserve"> </v>
      </c>
      <c r="AM151" s="27" t="str">
        <f t="shared" si="222"/>
        <v xml:space="preserve"> </v>
      </c>
      <c r="AN151" s="27" t="str">
        <f t="shared" si="223"/>
        <v xml:space="preserve"> </v>
      </c>
      <c r="AO151" s="27" t="str">
        <f t="shared" si="224"/>
        <v xml:space="preserve"> </v>
      </c>
      <c r="AP151" s="27" t="str">
        <f t="shared" si="225"/>
        <v xml:space="preserve"> </v>
      </c>
      <c r="AQ151" s="27" t="str">
        <f t="shared" si="226"/>
        <v xml:space="preserve"> </v>
      </c>
      <c r="AR151" s="27" t="str">
        <f t="shared" si="227"/>
        <v xml:space="preserve"> </v>
      </c>
      <c r="AS151" s="27" t="str">
        <f t="shared" si="228"/>
        <v xml:space="preserve"> </v>
      </c>
      <c r="AT151" s="27" t="str">
        <f t="shared" si="229"/>
        <v xml:space="preserve"> </v>
      </c>
      <c r="AU151" s="27" t="e">
        <f>IF(#REF!=2,A178,IF(#REF!=3,E178,IF(#REF!=4,K178,IF(#REF!=5,O178,IF(#REF!=6,S178," ")))))</f>
        <v>#REF!</v>
      </c>
      <c r="AV151" s="27" t="e">
        <f>IF(#REF!=2,B178,IF(#REF!=3,F178,IF(#REF!=4,L178,IF(#REF!=5,P178,IF(#REF!=6,T178," ")))))</f>
        <v>#REF!</v>
      </c>
    </row>
    <row r="152" spans="1:48" x14ac:dyDescent="0.2">
      <c r="A152" s="27" t="str">
        <f t="shared" si="184"/>
        <v xml:space="preserve"> </v>
      </c>
      <c r="B152" s="27" t="str">
        <f t="shared" si="185"/>
        <v xml:space="preserve"> </v>
      </c>
      <c r="C152" s="27" t="str">
        <f t="shared" si="186"/>
        <v xml:space="preserve"> </v>
      </c>
      <c r="D152" s="27" t="str">
        <f t="shared" si="187"/>
        <v xml:space="preserve"> </v>
      </c>
      <c r="E152" s="27" t="str">
        <f t="shared" si="188"/>
        <v xml:space="preserve"> </v>
      </c>
      <c r="F152" s="27" t="str">
        <f t="shared" si="189"/>
        <v xml:space="preserve"> </v>
      </c>
      <c r="G152" s="27" t="str">
        <f t="shared" si="190"/>
        <v xml:space="preserve"> </v>
      </c>
      <c r="H152" s="27" t="str">
        <f t="shared" si="191"/>
        <v xml:space="preserve"> </v>
      </c>
      <c r="I152" s="27" t="str">
        <f t="shared" si="192"/>
        <v xml:space="preserve"> </v>
      </c>
      <c r="J152" s="27" t="str">
        <f t="shared" si="193"/>
        <v xml:space="preserve"> </v>
      </c>
      <c r="K152" s="27" t="str">
        <f t="shared" si="194"/>
        <v xml:space="preserve"> </v>
      </c>
      <c r="L152" s="27" t="str">
        <f t="shared" si="195"/>
        <v xml:space="preserve"> </v>
      </c>
      <c r="M152" s="27" t="str">
        <f t="shared" si="196"/>
        <v xml:space="preserve"> </v>
      </c>
      <c r="N152" s="27" t="str">
        <f t="shared" si="197"/>
        <v xml:space="preserve"> </v>
      </c>
      <c r="O152" s="27" t="str">
        <f t="shared" si="198"/>
        <v xml:space="preserve"> </v>
      </c>
      <c r="P152" s="27" t="str">
        <f t="shared" si="199"/>
        <v xml:space="preserve"> </v>
      </c>
      <c r="Q152" s="27" t="str">
        <f t="shared" si="200"/>
        <v xml:space="preserve"> </v>
      </c>
      <c r="R152" s="27" t="str">
        <f t="shared" si="201"/>
        <v xml:space="preserve"> </v>
      </c>
      <c r="S152" s="27" t="str">
        <f t="shared" si="202"/>
        <v xml:space="preserve"> </v>
      </c>
      <c r="T152" s="27" t="str">
        <f t="shared" si="203"/>
        <v xml:space="preserve"> </v>
      </c>
      <c r="U152" s="27" t="str">
        <f t="shared" si="204"/>
        <v xml:space="preserve"> </v>
      </c>
      <c r="V152" s="27" t="str">
        <f t="shared" si="205"/>
        <v xml:space="preserve"> </v>
      </c>
      <c r="W152" s="27" t="str">
        <f t="shared" si="206"/>
        <v xml:space="preserve"> </v>
      </c>
      <c r="X152" s="27" t="str">
        <f t="shared" si="207"/>
        <v xml:space="preserve"> </v>
      </c>
      <c r="Y152" s="27" t="str">
        <f t="shared" si="208"/>
        <v xml:space="preserve"> </v>
      </c>
      <c r="Z152" s="27" t="str">
        <f t="shared" si="209"/>
        <v xml:space="preserve"> </v>
      </c>
      <c r="AA152" s="27" t="str">
        <f t="shared" si="210"/>
        <v xml:space="preserve"> </v>
      </c>
      <c r="AB152" s="27" t="str">
        <f t="shared" si="211"/>
        <v xml:space="preserve"> </v>
      </c>
      <c r="AC152" s="27" t="str">
        <f t="shared" si="212"/>
        <v xml:space="preserve"> </v>
      </c>
      <c r="AD152" s="27" t="str">
        <f t="shared" si="213"/>
        <v xml:space="preserve"> </v>
      </c>
      <c r="AE152" s="27" t="str">
        <f t="shared" si="214"/>
        <v xml:space="preserve"> </v>
      </c>
      <c r="AF152" s="27" t="str">
        <f t="shared" si="215"/>
        <v xml:space="preserve"> </v>
      </c>
      <c r="AG152" s="27" t="str">
        <f t="shared" si="216"/>
        <v xml:space="preserve"> </v>
      </c>
      <c r="AH152" s="27" t="str">
        <f t="shared" si="217"/>
        <v xml:space="preserve"> </v>
      </c>
      <c r="AI152" s="27" t="str">
        <f t="shared" si="218"/>
        <v xml:space="preserve"> </v>
      </c>
      <c r="AJ152" s="27" t="str">
        <f t="shared" si="219"/>
        <v xml:space="preserve"> </v>
      </c>
      <c r="AK152" s="27" t="str">
        <f t="shared" si="220"/>
        <v xml:space="preserve"> </v>
      </c>
      <c r="AL152" s="27" t="str">
        <f t="shared" si="221"/>
        <v xml:space="preserve"> </v>
      </c>
      <c r="AM152" s="27" t="str">
        <f t="shared" si="222"/>
        <v xml:space="preserve"> </v>
      </c>
      <c r="AN152" s="27" t="str">
        <f t="shared" si="223"/>
        <v xml:space="preserve"> </v>
      </c>
      <c r="AO152" s="27" t="str">
        <f t="shared" si="224"/>
        <v xml:space="preserve"> </v>
      </c>
      <c r="AP152" s="27" t="str">
        <f t="shared" si="225"/>
        <v xml:space="preserve"> </v>
      </c>
      <c r="AQ152" s="27" t="str">
        <f t="shared" si="226"/>
        <v xml:space="preserve"> </v>
      </c>
      <c r="AR152" s="27" t="str">
        <f t="shared" si="227"/>
        <v xml:space="preserve"> </v>
      </c>
      <c r="AS152" s="27" t="str">
        <f t="shared" si="228"/>
        <v xml:space="preserve"> </v>
      </c>
      <c r="AT152" s="27" t="str">
        <f t="shared" si="229"/>
        <v xml:space="preserve"> </v>
      </c>
      <c r="AU152" s="27" t="e">
        <f>IF(#REF!=2,A179,IF(#REF!=3,E179,IF(#REF!=4,K179,IF(#REF!=5,O179,IF(#REF!=6,S179," ")))))</f>
        <v>#REF!</v>
      </c>
      <c r="AV152" s="27" t="e">
        <f>IF(#REF!=2,B179,IF(#REF!=3,F179,IF(#REF!=4,L179,IF(#REF!=5,P179,IF(#REF!=6,T179," ")))))</f>
        <v>#REF!</v>
      </c>
    </row>
    <row r="153" spans="1:48" x14ac:dyDescent="0.2">
      <c r="A153" s="27" t="str">
        <f t="shared" si="184"/>
        <v xml:space="preserve"> </v>
      </c>
      <c r="B153" s="27" t="str">
        <f t="shared" si="185"/>
        <v xml:space="preserve"> </v>
      </c>
      <c r="C153" s="27" t="str">
        <f t="shared" si="186"/>
        <v xml:space="preserve"> </v>
      </c>
      <c r="D153" s="27" t="str">
        <f t="shared" si="187"/>
        <v xml:space="preserve"> </v>
      </c>
      <c r="E153" s="27" t="str">
        <f t="shared" si="188"/>
        <v xml:space="preserve"> </v>
      </c>
      <c r="F153" s="27" t="str">
        <f t="shared" si="189"/>
        <v xml:space="preserve"> </v>
      </c>
      <c r="G153" s="27" t="str">
        <f t="shared" si="190"/>
        <v xml:space="preserve"> </v>
      </c>
      <c r="H153" s="27" t="str">
        <f t="shared" si="191"/>
        <v xml:space="preserve"> </v>
      </c>
      <c r="I153" s="27" t="str">
        <f t="shared" si="192"/>
        <v xml:space="preserve"> </v>
      </c>
      <c r="J153" s="27" t="str">
        <f t="shared" si="193"/>
        <v xml:space="preserve"> </v>
      </c>
      <c r="K153" s="27" t="str">
        <f t="shared" si="194"/>
        <v xml:space="preserve"> </v>
      </c>
      <c r="L153" s="27" t="str">
        <f t="shared" si="195"/>
        <v xml:space="preserve"> </v>
      </c>
      <c r="M153" s="27" t="str">
        <f t="shared" si="196"/>
        <v xml:space="preserve"> </v>
      </c>
      <c r="N153" s="27" t="str">
        <f t="shared" si="197"/>
        <v xml:space="preserve"> </v>
      </c>
      <c r="O153" s="27" t="str">
        <f t="shared" si="198"/>
        <v xml:space="preserve"> </v>
      </c>
      <c r="P153" s="27" t="str">
        <f t="shared" si="199"/>
        <v xml:space="preserve"> </v>
      </c>
      <c r="Q153" s="27" t="str">
        <f t="shared" si="200"/>
        <v xml:space="preserve"> </v>
      </c>
      <c r="R153" s="27" t="str">
        <f t="shared" si="201"/>
        <v xml:space="preserve"> </v>
      </c>
      <c r="S153" s="27" t="str">
        <f t="shared" si="202"/>
        <v xml:space="preserve"> </v>
      </c>
      <c r="T153" s="27" t="str">
        <f t="shared" si="203"/>
        <v xml:space="preserve"> </v>
      </c>
      <c r="U153" s="27" t="str">
        <f t="shared" si="204"/>
        <v xml:space="preserve"> </v>
      </c>
      <c r="V153" s="27" t="str">
        <f t="shared" si="205"/>
        <v xml:space="preserve"> </v>
      </c>
      <c r="W153" s="27" t="str">
        <f t="shared" si="206"/>
        <v xml:space="preserve"> </v>
      </c>
      <c r="X153" s="27" t="str">
        <f t="shared" si="207"/>
        <v xml:space="preserve"> </v>
      </c>
      <c r="Y153" s="27" t="str">
        <f t="shared" si="208"/>
        <v xml:space="preserve"> </v>
      </c>
      <c r="Z153" s="27" t="str">
        <f t="shared" si="209"/>
        <v xml:space="preserve"> </v>
      </c>
      <c r="AA153" s="27" t="str">
        <f t="shared" si="210"/>
        <v xml:space="preserve"> </v>
      </c>
      <c r="AB153" s="27" t="str">
        <f t="shared" si="211"/>
        <v xml:space="preserve"> </v>
      </c>
      <c r="AC153" s="27" t="str">
        <f t="shared" si="212"/>
        <v xml:space="preserve"> </v>
      </c>
      <c r="AD153" s="27" t="str">
        <f t="shared" si="213"/>
        <v xml:space="preserve"> </v>
      </c>
      <c r="AE153" s="27" t="str">
        <f t="shared" si="214"/>
        <v xml:space="preserve"> </v>
      </c>
      <c r="AF153" s="27" t="str">
        <f t="shared" si="215"/>
        <v xml:space="preserve"> </v>
      </c>
      <c r="AG153" s="27" t="str">
        <f t="shared" si="216"/>
        <v xml:space="preserve"> </v>
      </c>
      <c r="AH153" s="27" t="str">
        <f t="shared" si="217"/>
        <v xml:space="preserve"> </v>
      </c>
      <c r="AI153" s="27" t="str">
        <f t="shared" si="218"/>
        <v xml:space="preserve"> </v>
      </c>
      <c r="AJ153" s="27" t="str">
        <f t="shared" si="219"/>
        <v xml:space="preserve"> </v>
      </c>
      <c r="AK153" s="27" t="str">
        <f t="shared" si="220"/>
        <v xml:space="preserve"> </v>
      </c>
      <c r="AL153" s="27" t="str">
        <f t="shared" si="221"/>
        <v xml:space="preserve"> </v>
      </c>
      <c r="AM153" s="27" t="str">
        <f t="shared" si="222"/>
        <v xml:space="preserve"> </v>
      </c>
      <c r="AN153" s="27" t="str">
        <f t="shared" si="223"/>
        <v xml:space="preserve"> </v>
      </c>
      <c r="AO153" s="27" t="str">
        <f t="shared" si="224"/>
        <v xml:space="preserve"> </v>
      </c>
      <c r="AP153" s="27" t="str">
        <f t="shared" si="225"/>
        <v xml:space="preserve"> </v>
      </c>
      <c r="AQ153" s="27" t="str">
        <f t="shared" si="226"/>
        <v xml:space="preserve"> </v>
      </c>
      <c r="AR153" s="27" t="str">
        <f t="shared" si="227"/>
        <v xml:space="preserve"> </v>
      </c>
      <c r="AS153" s="27" t="str">
        <f t="shared" si="228"/>
        <v xml:space="preserve"> </v>
      </c>
      <c r="AT153" s="27" t="str">
        <f t="shared" si="229"/>
        <v xml:space="preserve"> </v>
      </c>
      <c r="AU153" s="27" t="e">
        <f>IF(#REF!=2,A180,IF(#REF!=3,E180,IF(#REF!=4,K180,IF(#REF!=5,O180,IF(#REF!=6,S180," ")))))</f>
        <v>#REF!</v>
      </c>
      <c r="AV153" s="27" t="e">
        <f>IF(#REF!=2,B180,IF(#REF!=3,F180,IF(#REF!=4,L180,IF(#REF!=5,P180,IF(#REF!=6,T180," ")))))</f>
        <v>#REF!</v>
      </c>
    </row>
    <row r="154" spans="1:48" x14ac:dyDescent="0.2">
      <c r="A154" s="27" t="str">
        <f t="shared" si="184"/>
        <v xml:space="preserve"> </v>
      </c>
      <c r="B154" s="27" t="str">
        <f t="shared" si="185"/>
        <v xml:space="preserve"> </v>
      </c>
      <c r="C154" s="27" t="str">
        <f t="shared" si="186"/>
        <v xml:space="preserve"> </v>
      </c>
      <c r="D154" s="27" t="str">
        <f t="shared" si="187"/>
        <v xml:space="preserve"> </v>
      </c>
      <c r="E154" s="27" t="str">
        <f t="shared" si="188"/>
        <v xml:space="preserve"> </v>
      </c>
      <c r="F154" s="27" t="str">
        <f t="shared" si="189"/>
        <v xml:space="preserve"> </v>
      </c>
      <c r="G154" s="27" t="str">
        <f t="shared" si="190"/>
        <v xml:space="preserve"> </v>
      </c>
      <c r="H154" s="27" t="str">
        <f t="shared" si="191"/>
        <v xml:space="preserve"> </v>
      </c>
      <c r="I154" s="27" t="str">
        <f t="shared" si="192"/>
        <v xml:space="preserve"> </v>
      </c>
      <c r="J154" s="27" t="str">
        <f t="shared" si="193"/>
        <v xml:space="preserve"> </v>
      </c>
      <c r="K154" s="27" t="str">
        <f t="shared" si="194"/>
        <v xml:space="preserve"> </v>
      </c>
      <c r="L154" s="27" t="str">
        <f t="shared" si="195"/>
        <v xml:space="preserve"> </v>
      </c>
      <c r="M154" s="27" t="str">
        <f t="shared" si="196"/>
        <v xml:space="preserve"> </v>
      </c>
      <c r="N154" s="27" t="str">
        <f t="shared" si="197"/>
        <v xml:space="preserve"> </v>
      </c>
      <c r="O154" s="27" t="str">
        <f t="shared" si="198"/>
        <v xml:space="preserve"> </v>
      </c>
      <c r="P154" s="27" t="str">
        <f t="shared" si="199"/>
        <v xml:space="preserve"> </v>
      </c>
      <c r="Q154" s="27" t="str">
        <f t="shared" si="200"/>
        <v xml:space="preserve"> </v>
      </c>
      <c r="R154" s="27" t="str">
        <f t="shared" si="201"/>
        <v xml:space="preserve"> </v>
      </c>
      <c r="S154" s="27" t="str">
        <f t="shared" si="202"/>
        <v xml:space="preserve"> </v>
      </c>
      <c r="T154" s="27" t="str">
        <f t="shared" si="203"/>
        <v xml:space="preserve"> </v>
      </c>
      <c r="U154" s="27" t="str">
        <f t="shared" si="204"/>
        <v xml:space="preserve"> </v>
      </c>
      <c r="V154" s="27" t="str">
        <f t="shared" si="205"/>
        <v xml:space="preserve"> </v>
      </c>
      <c r="W154" s="27" t="str">
        <f t="shared" si="206"/>
        <v xml:space="preserve"> </v>
      </c>
      <c r="X154" s="27" t="str">
        <f t="shared" si="207"/>
        <v xml:space="preserve"> </v>
      </c>
      <c r="Y154" s="27" t="str">
        <f t="shared" si="208"/>
        <v xml:space="preserve"> </v>
      </c>
      <c r="Z154" s="27" t="str">
        <f t="shared" si="209"/>
        <v xml:space="preserve"> </v>
      </c>
      <c r="AA154" s="27" t="str">
        <f t="shared" si="210"/>
        <v xml:space="preserve"> </v>
      </c>
      <c r="AB154" s="27" t="str">
        <f t="shared" si="211"/>
        <v xml:space="preserve"> </v>
      </c>
      <c r="AC154" s="27" t="str">
        <f t="shared" si="212"/>
        <v xml:space="preserve"> </v>
      </c>
      <c r="AD154" s="27" t="str">
        <f t="shared" si="213"/>
        <v xml:space="preserve"> </v>
      </c>
      <c r="AE154" s="27" t="str">
        <f t="shared" si="214"/>
        <v xml:space="preserve"> </v>
      </c>
      <c r="AF154" s="27" t="str">
        <f t="shared" si="215"/>
        <v xml:space="preserve"> </v>
      </c>
      <c r="AG154" s="27" t="str">
        <f t="shared" si="216"/>
        <v xml:space="preserve"> </v>
      </c>
      <c r="AH154" s="27" t="str">
        <f t="shared" si="217"/>
        <v xml:space="preserve"> </v>
      </c>
      <c r="AI154" s="27" t="str">
        <f t="shared" si="218"/>
        <v xml:space="preserve"> </v>
      </c>
      <c r="AJ154" s="27" t="str">
        <f t="shared" si="219"/>
        <v xml:space="preserve"> </v>
      </c>
      <c r="AK154" s="27" t="str">
        <f t="shared" si="220"/>
        <v xml:space="preserve"> </v>
      </c>
      <c r="AL154" s="27" t="str">
        <f t="shared" si="221"/>
        <v xml:space="preserve"> </v>
      </c>
      <c r="AM154" s="27" t="str">
        <f t="shared" si="222"/>
        <v xml:space="preserve"> </v>
      </c>
      <c r="AN154" s="27" t="str">
        <f t="shared" si="223"/>
        <v xml:space="preserve"> </v>
      </c>
      <c r="AO154" s="27" t="str">
        <f t="shared" si="224"/>
        <v xml:space="preserve"> </v>
      </c>
      <c r="AP154" s="27" t="str">
        <f t="shared" si="225"/>
        <v xml:space="preserve"> </v>
      </c>
      <c r="AQ154" s="27" t="str">
        <f t="shared" si="226"/>
        <v xml:space="preserve"> </v>
      </c>
      <c r="AR154" s="27" t="str">
        <f t="shared" si="227"/>
        <v xml:space="preserve"> </v>
      </c>
      <c r="AS154" s="27" t="str">
        <f t="shared" si="228"/>
        <v xml:space="preserve"> </v>
      </c>
      <c r="AT154" s="27" t="str">
        <f t="shared" si="229"/>
        <v xml:space="preserve"> </v>
      </c>
      <c r="AU154" s="27" t="e">
        <f>IF(#REF!=2,A181,IF(#REF!=3,E181,IF(#REF!=4,K181,IF(#REF!=5,O181,IF(#REF!=6,S181," ")))))</f>
        <v>#REF!</v>
      </c>
      <c r="AV154" s="27" t="e">
        <f>IF(#REF!=2,B181,IF(#REF!=3,F181,IF(#REF!=4,L181,IF(#REF!=5,P181,IF(#REF!=6,T181," ")))))</f>
        <v>#REF!</v>
      </c>
    </row>
    <row r="155" spans="1:48" x14ac:dyDescent="0.2">
      <c r="A155" s="27" t="str">
        <f t="shared" si="184"/>
        <v xml:space="preserve"> </v>
      </c>
      <c r="B155" s="27" t="str">
        <f t="shared" si="185"/>
        <v xml:space="preserve"> </v>
      </c>
      <c r="C155" s="27" t="str">
        <f t="shared" si="186"/>
        <v xml:space="preserve"> </v>
      </c>
      <c r="D155" s="27" t="str">
        <f t="shared" si="187"/>
        <v xml:space="preserve"> </v>
      </c>
      <c r="E155" s="27" t="str">
        <f t="shared" si="188"/>
        <v xml:space="preserve"> </v>
      </c>
      <c r="F155" s="27" t="str">
        <f t="shared" si="189"/>
        <v xml:space="preserve"> </v>
      </c>
      <c r="G155" s="27" t="str">
        <f t="shared" si="190"/>
        <v xml:space="preserve"> </v>
      </c>
      <c r="H155" s="27" t="str">
        <f t="shared" si="191"/>
        <v xml:space="preserve"> </v>
      </c>
      <c r="I155" s="27" t="str">
        <f t="shared" si="192"/>
        <v xml:space="preserve"> </v>
      </c>
      <c r="J155" s="27" t="str">
        <f t="shared" si="193"/>
        <v xml:space="preserve"> </v>
      </c>
      <c r="K155" s="27" t="str">
        <f t="shared" si="194"/>
        <v xml:space="preserve"> </v>
      </c>
      <c r="L155" s="27" t="str">
        <f t="shared" si="195"/>
        <v xml:space="preserve"> </v>
      </c>
      <c r="M155" s="27" t="str">
        <f t="shared" si="196"/>
        <v xml:space="preserve"> </v>
      </c>
      <c r="N155" s="27" t="str">
        <f t="shared" si="197"/>
        <v xml:space="preserve"> </v>
      </c>
      <c r="O155" s="27" t="str">
        <f t="shared" si="198"/>
        <v xml:space="preserve"> </v>
      </c>
      <c r="P155" s="27" t="str">
        <f t="shared" si="199"/>
        <v xml:space="preserve"> </v>
      </c>
      <c r="Q155" s="27" t="str">
        <f t="shared" si="200"/>
        <v xml:space="preserve"> </v>
      </c>
      <c r="R155" s="27" t="str">
        <f t="shared" si="201"/>
        <v xml:space="preserve"> </v>
      </c>
      <c r="S155" s="27" t="str">
        <f t="shared" si="202"/>
        <v xml:space="preserve"> </v>
      </c>
      <c r="T155" s="27" t="str">
        <f t="shared" si="203"/>
        <v xml:space="preserve"> </v>
      </c>
      <c r="U155" s="27" t="str">
        <f t="shared" si="204"/>
        <v xml:space="preserve"> </v>
      </c>
      <c r="V155" s="27" t="str">
        <f t="shared" si="205"/>
        <v xml:space="preserve"> </v>
      </c>
      <c r="W155" s="27" t="str">
        <f t="shared" si="206"/>
        <v xml:space="preserve"> </v>
      </c>
      <c r="X155" s="27" t="str">
        <f t="shared" si="207"/>
        <v xml:space="preserve"> </v>
      </c>
      <c r="Y155" s="27" t="str">
        <f t="shared" si="208"/>
        <v xml:space="preserve"> </v>
      </c>
      <c r="Z155" s="27" t="str">
        <f t="shared" si="209"/>
        <v xml:space="preserve"> </v>
      </c>
      <c r="AA155" s="27" t="str">
        <f t="shared" si="210"/>
        <v xml:space="preserve"> </v>
      </c>
      <c r="AB155" s="27" t="str">
        <f t="shared" si="211"/>
        <v xml:space="preserve"> </v>
      </c>
      <c r="AC155" s="27" t="str">
        <f t="shared" si="212"/>
        <v xml:space="preserve"> </v>
      </c>
      <c r="AD155" s="27" t="str">
        <f t="shared" si="213"/>
        <v xml:space="preserve"> </v>
      </c>
      <c r="AE155" s="27" t="str">
        <f t="shared" si="214"/>
        <v xml:space="preserve"> </v>
      </c>
      <c r="AF155" s="27" t="str">
        <f t="shared" si="215"/>
        <v xml:space="preserve"> </v>
      </c>
      <c r="AG155" s="27" t="str">
        <f t="shared" si="216"/>
        <v xml:space="preserve"> </v>
      </c>
      <c r="AH155" s="27" t="str">
        <f t="shared" si="217"/>
        <v xml:space="preserve"> </v>
      </c>
      <c r="AI155" s="27" t="str">
        <f t="shared" si="218"/>
        <v xml:space="preserve"> </v>
      </c>
      <c r="AJ155" s="27" t="str">
        <f t="shared" si="219"/>
        <v xml:space="preserve"> </v>
      </c>
      <c r="AK155" s="27" t="str">
        <f t="shared" si="220"/>
        <v xml:space="preserve"> </v>
      </c>
      <c r="AL155" s="27" t="str">
        <f t="shared" si="221"/>
        <v xml:space="preserve"> </v>
      </c>
      <c r="AM155" s="27" t="str">
        <f t="shared" si="222"/>
        <v xml:space="preserve"> </v>
      </c>
      <c r="AN155" s="27" t="str">
        <f t="shared" si="223"/>
        <v xml:space="preserve"> </v>
      </c>
      <c r="AO155" s="27" t="str">
        <f t="shared" si="224"/>
        <v xml:space="preserve"> </v>
      </c>
      <c r="AP155" s="27" t="str">
        <f t="shared" si="225"/>
        <v xml:space="preserve"> </v>
      </c>
      <c r="AQ155" s="27" t="str">
        <f t="shared" si="226"/>
        <v xml:space="preserve"> </v>
      </c>
      <c r="AR155" s="27" t="str">
        <f t="shared" si="227"/>
        <v xml:space="preserve"> </v>
      </c>
      <c r="AS155" s="27" t="str">
        <f t="shared" si="228"/>
        <v xml:space="preserve"> </v>
      </c>
      <c r="AT155" s="27" t="str">
        <f t="shared" si="229"/>
        <v xml:space="preserve"> </v>
      </c>
      <c r="AU155" s="27" t="e">
        <f>IF(#REF!=2,A182,IF(#REF!=3,E182,IF(#REF!=4,K182,IF(#REF!=5,O182,IF(#REF!=6,S182," ")))))</f>
        <v>#REF!</v>
      </c>
      <c r="AV155" s="27" t="e">
        <f>IF(#REF!=2,B182,IF(#REF!=3,F182,IF(#REF!=4,L182,IF(#REF!=5,P182,IF(#REF!=6,T182," ")))))</f>
        <v>#REF!</v>
      </c>
    </row>
    <row r="156" spans="1:48" x14ac:dyDescent="0.2">
      <c r="A156" s="27" t="str">
        <f t="shared" si="184"/>
        <v xml:space="preserve"> </v>
      </c>
      <c r="B156" s="27" t="str">
        <f t="shared" si="185"/>
        <v xml:space="preserve"> </v>
      </c>
      <c r="C156" s="27" t="str">
        <f t="shared" si="186"/>
        <v xml:space="preserve"> </v>
      </c>
      <c r="D156" s="27" t="str">
        <f t="shared" si="187"/>
        <v xml:space="preserve"> </v>
      </c>
      <c r="E156" s="27" t="str">
        <f t="shared" si="188"/>
        <v xml:space="preserve"> </v>
      </c>
      <c r="F156" s="27" t="str">
        <f t="shared" si="189"/>
        <v xml:space="preserve"> </v>
      </c>
      <c r="G156" s="27" t="str">
        <f t="shared" si="190"/>
        <v xml:space="preserve"> </v>
      </c>
      <c r="H156" s="27" t="str">
        <f t="shared" si="191"/>
        <v xml:space="preserve"> </v>
      </c>
      <c r="I156" s="27" t="str">
        <f t="shared" si="192"/>
        <v xml:space="preserve"> </v>
      </c>
      <c r="J156" s="27" t="str">
        <f t="shared" si="193"/>
        <v xml:space="preserve"> </v>
      </c>
      <c r="K156" s="27" t="str">
        <f t="shared" si="194"/>
        <v xml:space="preserve"> </v>
      </c>
      <c r="L156" s="27" t="str">
        <f t="shared" si="195"/>
        <v xml:space="preserve"> </v>
      </c>
      <c r="M156" s="27" t="str">
        <f t="shared" si="196"/>
        <v xml:space="preserve"> </v>
      </c>
      <c r="N156" s="27" t="str">
        <f t="shared" si="197"/>
        <v xml:space="preserve"> </v>
      </c>
      <c r="O156" s="27" t="str">
        <f t="shared" si="198"/>
        <v xml:space="preserve"> </v>
      </c>
      <c r="P156" s="27" t="str">
        <f t="shared" si="199"/>
        <v xml:space="preserve"> </v>
      </c>
      <c r="Q156" s="27" t="str">
        <f t="shared" si="200"/>
        <v xml:space="preserve"> </v>
      </c>
      <c r="R156" s="27" t="str">
        <f t="shared" si="201"/>
        <v xml:space="preserve"> </v>
      </c>
      <c r="S156" s="27" t="str">
        <f t="shared" si="202"/>
        <v xml:space="preserve"> </v>
      </c>
      <c r="T156" s="27" t="str">
        <f t="shared" si="203"/>
        <v xml:space="preserve"> </v>
      </c>
      <c r="U156" s="27" t="str">
        <f t="shared" si="204"/>
        <v xml:space="preserve"> </v>
      </c>
      <c r="V156" s="27" t="str">
        <f t="shared" si="205"/>
        <v xml:space="preserve"> </v>
      </c>
      <c r="W156" s="27" t="str">
        <f t="shared" si="206"/>
        <v xml:space="preserve"> </v>
      </c>
      <c r="X156" s="27" t="str">
        <f t="shared" si="207"/>
        <v xml:space="preserve"> </v>
      </c>
      <c r="Y156" s="27" t="str">
        <f t="shared" si="208"/>
        <v xml:space="preserve"> </v>
      </c>
      <c r="Z156" s="27" t="str">
        <f t="shared" si="209"/>
        <v xml:space="preserve"> </v>
      </c>
      <c r="AA156" s="27" t="str">
        <f t="shared" si="210"/>
        <v xml:space="preserve"> </v>
      </c>
      <c r="AB156" s="27" t="str">
        <f t="shared" si="211"/>
        <v xml:space="preserve"> </v>
      </c>
      <c r="AC156" s="27" t="str">
        <f t="shared" si="212"/>
        <v xml:space="preserve"> </v>
      </c>
      <c r="AD156" s="27" t="str">
        <f t="shared" si="213"/>
        <v xml:space="preserve"> </v>
      </c>
      <c r="AE156" s="27" t="str">
        <f t="shared" si="214"/>
        <v xml:space="preserve"> </v>
      </c>
      <c r="AF156" s="27" t="str">
        <f t="shared" si="215"/>
        <v xml:space="preserve"> </v>
      </c>
      <c r="AG156" s="27" t="str">
        <f t="shared" si="216"/>
        <v xml:space="preserve"> </v>
      </c>
      <c r="AH156" s="27" t="str">
        <f t="shared" si="217"/>
        <v xml:space="preserve"> </v>
      </c>
      <c r="AI156" s="27" t="str">
        <f t="shared" si="218"/>
        <v xml:space="preserve"> </v>
      </c>
      <c r="AJ156" s="27" t="str">
        <f t="shared" si="219"/>
        <v xml:space="preserve"> </v>
      </c>
      <c r="AK156" s="27" t="str">
        <f t="shared" si="220"/>
        <v xml:space="preserve"> </v>
      </c>
      <c r="AL156" s="27" t="str">
        <f t="shared" si="221"/>
        <v xml:space="preserve"> </v>
      </c>
      <c r="AM156" s="27" t="str">
        <f t="shared" si="222"/>
        <v xml:space="preserve"> </v>
      </c>
      <c r="AN156" s="27" t="str">
        <f t="shared" si="223"/>
        <v xml:space="preserve"> </v>
      </c>
      <c r="AO156" s="27" t="str">
        <f t="shared" si="224"/>
        <v xml:space="preserve"> </v>
      </c>
      <c r="AP156" s="27" t="str">
        <f t="shared" si="225"/>
        <v xml:space="preserve"> </v>
      </c>
      <c r="AQ156" s="27" t="str">
        <f t="shared" si="226"/>
        <v xml:space="preserve"> </v>
      </c>
      <c r="AR156" s="27" t="str">
        <f t="shared" si="227"/>
        <v xml:space="preserve"> </v>
      </c>
      <c r="AS156" s="27" t="str">
        <f t="shared" si="228"/>
        <v xml:space="preserve"> </v>
      </c>
      <c r="AT156" s="27" t="str">
        <f t="shared" si="229"/>
        <v xml:space="preserve"> </v>
      </c>
      <c r="AU156" s="27" t="e">
        <f>IF(#REF!=2,A183,IF(#REF!=3,E183,IF(#REF!=4,K183,IF(#REF!=5,O183,IF(#REF!=6,S183," ")))))</f>
        <v>#REF!</v>
      </c>
      <c r="AV156" s="27" t="e">
        <f>IF(#REF!=2,B183,IF(#REF!=3,F183,IF(#REF!=4,L183,IF(#REF!=5,P183,IF(#REF!=6,T183," ")))))</f>
        <v>#REF!</v>
      </c>
    </row>
    <row r="157" spans="1:48" x14ac:dyDescent="0.2">
      <c r="A157" s="27" t="str">
        <f t="shared" si="184"/>
        <v xml:space="preserve"> </v>
      </c>
      <c r="B157" s="27" t="str">
        <f t="shared" si="185"/>
        <v xml:space="preserve"> </v>
      </c>
      <c r="C157" s="27" t="str">
        <f t="shared" si="186"/>
        <v xml:space="preserve"> </v>
      </c>
      <c r="D157" s="27" t="str">
        <f t="shared" si="187"/>
        <v xml:space="preserve"> </v>
      </c>
      <c r="E157" s="27" t="str">
        <f t="shared" si="188"/>
        <v xml:space="preserve"> </v>
      </c>
      <c r="F157" s="27" t="str">
        <f t="shared" si="189"/>
        <v xml:space="preserve"> </v>
      </c>
      <c r="G157" s="27" t="str">
        <f t="shared" si="190"/>
        <v xml:space="preserve"> </v>
      </c>
      <c r="H157" s="27" t="str">
        <f t="shared" si="191"/>
        <v xml:space="preserve"> </v>
      </c>
      <c r="I157" s="27" t="str">
        <f t="shared" si="192"/>
        <v xml:space="preserve"> </v>
      </c>
      <c r="J157" s="27" t="str">
        <f t="shared" si="193"/>
        <v xml:space="preserve"> </v>
      </c>
      <c r="K157" s="27" t="str">
        <f t="shared" si="194"/>
        <v xml:space="preserve"> </v>
      </c>
      <c r="L157" s="27" t="str">
        <f t="shared" si="195"/>
        <v xml:space="preserve"> </v>
      </c>
      <c r="M157" s="27" t="str">
        <f t="shared" si="196"/>
        <v xml:space="preserve"> </v>
      </c>
      <c r="N157" s="27" t="str">
        <f t="shared" si="197"/>
        <v xml:space="preserve"> </v>
      </c>
      <c r="O157" s="27" t="str">
        <f t="shared" si="198"/>
        <v xml:space="preserve"> </v>
      </c>
      <c r="P157" s="27" t="str">
        <f t="shared" si="199"/>
        <v xml:space="preserve"> </v>
      </c>
      <c r="Q157" s="27" t="str">
        <f t="shared" si="200"/>
        <v xml:space="preserve"> </v>
      </c>
      <c r="R157" s="27" t="str">
        <f t="shared" si="201"/>
        <v xml:space="preserve"> </v>
      </c>
      <c r="S157" s="27" t="str">
        <f t="shared" si="202"/>
        <v xml:space="preserve"> </v>
      </c>
      <c r="T157" s="27" t="str">
        <f t="shared" si="203"/>
        <v xml:space="preserve"> </v>
      </c>
      <c r="U157" s="27" t="str">
        <f t="shared" si="204"/>
        <v xml:space="preserve"> </v>
      </c>
      <c r="V157" s="27" t="str">
        <f t="shared" si="205"/>
        <v xml:space="preserve"> </v>
      </c>
      <c r="W157" s="27" t="str">
        <f t="shared" si="206"/>
        <v xml:space="preserve"> </v>
      </c>
      <c r="X157" s="27" t="str">
        <f t="shared" si="207"/>
        <v xml:space="preserve"> </v>
      </c>
      <c r="Y157" s="27" t="str">
        <f t="shared" si="208"/>
        <v xml:space="preserve"> </v>
      </c>
      <c r="Z157" s="27" t="str">
        <f t="shared" si="209"/>
        <v xml:space="preserve"> </v>
      </c>
      <c r="AA157" s="27" t="str">
        <f t="shared" si="210"/>
        <v xml:space="preserve"> </v>
      </c>
      <c r="AB157" s="27" t="str">
        <f t="shared" si="211"/>
        <v xml:space="preserve"> </v>
      </c>
      <c r="AC157" s="27" t="str">
        <f t="shared" si="212"/>
        <v xml:space="preserve"> </v>
      </c>
      <c r="AD157" s="27" t="str">
        <f t="shared" si="213"/>
        <v xml:space="preserve"> </v>
      </c>
      <c r="AE157" s="27" t="str">
        <f t="shared" si="214"/>
        <v xml:space="preserve"> </v>
      </c>
      <c r="AF157" s="27" t="str">
        <f t="shared" si="215"/>
        <v xml:space="preserve"> </v>
      </c>
      <c r="AG157" s="27" t="str">
        <f t="shared" si="216"/>
        <v xml:space="preserve"> </v>
      </c>
      <c r="AH157" s="27" t="str">
        <f t="shared" si="217"/>
        <v xml:space="preserve"> </v>
      </c>
      <c r="AI157" s="27" t="str">
        <f t="shared" si="218"/>
        <v xml:space="preserve"> </v>
      </c>
      <c r="AJ157" s="27" t="str">
        <f t="shared" si="219"/>
        <v xml:space="preserve"> </v>
      </c>
      <c r="AK157" s="27" t="str">
        <f t="shared" si="220"/>
        <v xml:space="preserve"> </v>
      </c>
      <c r="AL157" s="27" t="str">
        <f t="shared" si="221"/>
        <v xml:space="preserve"> </v>
      </c>
      <c r="AM157" s="27" t="str">
        <f t="shared" si="222"/>
        <v xml:space="preserve"> </v>
      </c>
      <c r="AN157" s="27" t="str">
        <f t="shared" si="223"/>
        <v xml:space="preserve"> </v>
      </c>
      <c r="AO157" s="27" t="str">
        <f t="shared" si="224"/>
        <v xml:space="preserve"> </v>
      </c>
      <c r="AP157" s="27" t="str">
        <f t="shared" si="225"/>
        <v xml:space="preserve"> </v>
      </c>
      <c r="AQ157" s="27" t="str">
        <f t="shared" si="226"/>
        <v xml:space="preserve"> </v>
      </c>
      <c r="AR157" s="27" t="str">
        <f t="shared" si="227"/>
        <v xml:space="preserve"> </v>
      </c>
      <c r="AS157" s="27" t="str">
        <f t="shared" si="228"/>
        <v xml:space="preserve"> </v>
      </c>
      <c r="AT157" s="27" t="str">
        <f t="shared" si="229"/>
        <v xml:space="preserve"> </v>
      </c>
      <c r="AU157" s="27" t="e">
        <f>IF(#REF!=2,A184,IF(#REF!=3,E184,IF(#REF!=4,K184,IF(#REF!=5,O184,IF(#REF!=6,S184," ")))))</f>
        <v>#REF!</v>
      </c>
      <c r="AV157" s="27" t="e">
        <f>IF(#REF!=2,B184,IF(#REF!=3,F184,IF(#REF!=4,L184,IF(#REF!=5,P184,IF(#REF!=6,T184," ")))))</f>
        <v>#REF!</v>
      </c>
    </row>
    <row r="158" spans="1:48" x14ac:dyDescent="0.2">
      <c r="A158" s="27" t="str">
        <f t="shared" si="184"/>
        <v xml:space="preserve"> </v>
      </c>
      <c r="B158" s="27" t="str">
        <f t="shared" si="185"/>
        <v xml:space="preserve"> </v>
      </c>
      <c r="C158" s="27" t="str">
        <f t="shared" si="186"/>
        <v xml:space="preserve"> </v>
      </c>
      <c r="D158" s="27" t="str">
        <f t="shared" si="187"/>
        <v xml:space="preserve"> </v>
      </c>
      <c r="E158" s="27" t="str">
        <f t="shared" si="188"/>
        <v xml:space="preserve"> </v>
      </c>
      <c r="F158" s="27" t="str">
        <f t="shared" si="189"/>
        <v xml:space="preserve"> </v>
      </c>
      <c r="G158" s="27" t="str">
        <f t="shared" si="190"/>
        <v xml:space="preserve"> </v>
      </c>
      <c r="H158" s="27" t="str">
        <f t="shared" si="191"/>
        <v xml:space="preserve"> </v>
      </c>
      <c r="I158" s="27" t="str">
        <f t="shared" si="192"/>
        <v xml:space="preserve"> </v>
      </c>
      <c r="J158" s="27" t="str">
        <f t="shared" si="193"/>
        <v xml:space="preserve"> </v>
      </c>
      <c r="K158" s="27" t="str">
        <f t="shared" si="194"/>
        <v xml:space="preserve"> </v>
      </c>
      <c r="L158" s="27" t="str">
        <f t="shared" si="195"/>
        <v xml:space="preserve"> </v>
      </c>
      <c r="M158" s="27" t="str">
        <f t="shared" si="196"/>
        <v xml:space="preserve"> </v>
      </c>
      <c r="N158" s="27" t="str">
        <f t="shared" si="197"/>
        <v xml:space="preserve"> </v>
      </c>
      <c r="O158" s="27" t="str">
        <f t="shared" si="198"/>
        <v xml:space="preserve"> </v>
      </c>
      <c r="P158" s="27" t="str">
        <f t="shared" si="199"/>
        <v xml:space="preserve"> </v>
      </c>
      <c r="Q158" s="27" t="str">
        <f t="shared" si="200"/>
        <v xml:space="preserve"> </v>
      </c>
      <c r="R158" s="27" t="str">
        <f t="shared" si="201"/>
        <v xml:space="preserve"> </v>
      </c>
      <c r="S158" s="27" t="str">
        <f t="shared" si="202"/>
        <v xml:space="preserve"> </v>
      </c>
      <c r="T158" s="27" t="str">
        <f t="shared" si="203"/>
        <v xml:space="preserve"> </v>
      </c>
      <c r="U158" s="27" t="str">
        <f t="shared" si="204"/>
        <v xml:space="preserve"> </v>
      </c>
      <c r="V158" s="27" t="str">
        <f t="shared" si="205"/>
        <v xml:space="preserve"> </v>
      </c>
      <c r="W158" s="27" t="str">
        <f t="shared" si="206"/>
        <v xml:space="preserve"> </v>
      </c>
      <c r="X158" s="27" t="str">
        <f t="shared" si="207"/>
        <v xml:space="preserve"> </v>
      </c>
      <c r="Y158" s="27" t="str">
        <f t="shared" si="208"/>
        <v xml:space="preserve"> </v>
      </c>
      <c r="Z158" s="27" t="str">
        <f t="shared" si="209"/>
        <v xml:space="preserve"> </v>
      </c>
      <c r="AA158" s="27" t="str">
        <f t="shared" si="210"/>
        <v xml:space="preserve"> </v>
      </c>
      <c r="AB158" s="27" t="str">
        <f t="shared" si="211"/>
        <v xml:space="preserve"> </v>
      </c>
      <c r="AC158" s="27" t="str">
        <f t="shared" si="212"/>
        <v xml:space="preserve"> </v>
      </c>
      <c r="AD158" s="27" t="str">
        <f t="shared" si="213"/>
        <v xml:space="preserve"> </v>
      </c>
      <c r="AE158" s="27" t="str">
        <f t="shared" si="214"/>
        <v xml:space="preserve"> </v>
      </c>
      <c r="AF158" s="27" t="str">
        <f t="shared" si="215"/>
        <v xml:space="preserve"> </v>
      </c>
      <c r="AG158" s="27" t="str">
        <f t="shared" si="216"/>
        <v xml:space="preserve"> </v>
      </c>
      <c r="AH158" s="27" t="str">
        <f t="shared" si="217"/>
        <v xml:space="preserve"> </v>
      </c>
      <c r="AI158" s="27" t="str">
        <f t="shared" si="218"/>
        <v xml:space="preserve"> </v>
      </c>
      <c r="AJ158" s="27" t="str">
        <f t="shared" si="219"/>
        <v xml:space="preserve"> </v>
      </c>
      <c r="AK158" s="27" t="str">
        <f t="shared" si="220"/>
        <v xml:space="preserve"> </v>
      </c>
      <c r="AL158" s="27" t="str">
        <f t="shared" si="221"/>
        <v xml:space="preserve"> </v>
      </c>
      <c r="AM158" s="27" t="str">
        <f t="shared" si="222"/>
        <v xml:space="preserve"> </v>
      </c>
      <c r="AN158" s="27" t="str">
        <f t="shared" si="223"/>
        <v xml:space="preserve"> </v>
      </c>
      <c r="AO158" s="27" t="str">
        <f t="shared" si="224"/>
        <v xml:space="preserve"> </v>
      </c>
      <c r="AP158" s="27" t="str">
        <f t="shared" si="225"/>
        <v xml:space="preserve"> </v>
      </c>
      <c r="AQ158" s="27" t="str">
        <f t="shared" si="226"/>
        <v xml:space="preserve"> </v>
      </c>
      <c r="AR158" s="27" t="str">
        <f t="shared" si="227"/>
        <v xml:space="preserve"> </v>
      </c>
      <c r="AS158" s="27" t="str">
        <f t="shared" si="228"/>
        <v xml:space="preserve"> </v>
      </c>
      <c r="AT158" s="27" t="str">
        <f t="shared" si="229"/>
        <v xml:space="preserve"> </v>
      </c>
      <c r="AU158" s="27" t="e">
        <f>IF(#REF!=2,A185,IF(#REF!=3,E185,IF(#REF!=4,K185,IF(#REF!=5,O185,IF(#REF!=6,S185," ")))))</f>
        <v>#REF!</v>
      </c>
      <c r="AV158" s="27" t="e">
        <f>IF(#REF!=2,B185,IF(#REF!=3,F185,IF(#REF!=4,L185,IF(#REF!=5,P185,IF(#REF!=6,T185," ")))))</f>
        <v>#REF!</v>
      </c>
    </row>
    <row r="159" spans="1:48" x14ac:dyDescent="0.2">
      <c r="A159" s="27" t="str">
        <f t="shared" si="184"/>
        <v xml:space="preserve"> </v>
      </c>
      <c r="B159" s="27" t="str">
        <f t="shared" si="185"/>
        <v xml:space="preserve"> </v>
      </c>
      <c r="C159" s="27" t="str">
        <f t="shared" si="186"/>
        <v xml:space="preserve"> </v>
      </c>
      <c r="D159" s="27" t="str">
        <f t="shared" si="187"/>
        <v xml:space="preserve"> </v>
      </c>
      <c r="E159" s="27" t="str">
        <f t="shared" si="188"/>
        <v xml:space="preserve"> </v>
      </c>
      <c r="F159" s="27" t="str">
        <f t="shared" si="189"/>
        <v xml:space="preserve"> </v>
      </c>
      <c r="G159" s="27" t="str">
        <f t="shared" si="190"/>
        <v xml:space="preserve"> </v>
      </c>
      <c r="H159" s="27" t="str">
        <f t="shared" si="191"/>
        <v xml:space="preserve"> </v>
      </c>
      <c r="I159" s="27" t="str">
        <f t="shared" si="192"/>
        <v xml:space="preserve"> </v>
      </c>
      <c r="J159" s="27" t="str">
        <f t="shared" si="193"/>
        <v xml:space="preserve"> </v>
      </c>
      <c r="K159" s="27" t="str">
        <f t="shared" si="194"/>
        <v xml:space="preserve"> </v>
      </c>
      <c r="L159" s="27" t="str">
        <f t="shared" si="195"/>
        <v xml:space="preserve"> </v>
      </c>
      <c r="M159" s="27" t="str">
        <f t="shared" si="196"/>
        <v xml:space="preserve"> </v>
      </c>
      <c r="N159" s="27" t="str">
        <f t="shared" si="197"/>
        <v xml:space="preserve"> </v>
      </c>
      <c r="O159" s="27" t="str">
        <f t="shared" si="198"/>
        <v xml:space="preserve"> </v>
      </c>
      <c r="P159" s="27" t="str">
        <f t="shared" si="199"/>
        <v xml:space="preserve"> </v>
      </c>
      <c r="Q159" s="27" t="str">
        <f t="shared" si="200"/>
        <v xml:space="preserve"> </v>
      </c>
      <c r="R159" s="27" t="str">
        <f t="shared" si="201"/>
        <v xml:space="preserve"> </v>
      </c>
      <c r="S159" s="27" t="str">
        <f t="shared" si="202"/>
        <v xml:space="preserve"> </v>
      </c>
      <c r="T159" s="27" t="str">
        <f t="shared" si="203"/>
        <v xml:space="preserve"> </v>
      </c>
      <c r="U159" s="27" t="str">
        <f t="shared" si="204"/>
        <v xml:space="preserve"> </v>
      </c>
      <c r="V159" s="27" t="str">
        <f t="shared" si="205"/>
        <v xml:space="preserve"> </v>
      </c>
      <c r="W159" s="27" t="str">
        <f t="shared" si="206"/>
        <v xml:space="preserve"> </v>
      </c>
      <c r="X159" s="27" t="str">
        <f t="shared" si="207"/>
        <v xml:space="preserve"> </v>
      </c>
      <c r="Y159" s="27" t="str">
        <f t="shared" si="208"/>
        <v xml:space="preserve"> </v>
      </c>
      <c r="Z159" s="27" t="str">
        <f t="shared" si="209"/>
        <v xml:space="preserve"> </v>
      </c>
      <c r="AA159" s="27" t="str">
        <f t="shared" si="210"/>
        <v xml:space="preserve"> </v>
      </c>
      <c r="AB159" s="27" t="str">
        <f t="shared" si="211"/>
        <v xml:space="preserve"> </v>
      </c>
      <c r="AC159" s="27" t="str">
        <f t="shared" si="212"/>
        <v xml:space="preserve"> </v>
      </c>
      <c r="AD159" s="27" t="str">
        <f t="shared" si="213"/>
        <v xml:space="preserve"> </v>
      </c>
      <c r="AE159" s="27" t="str">
        <f t="shared" si="214"/>
        <v xml:space="preserve"> </v>
      </c>
      <c r="AF159" s="27" t="str">
        <f t="shared" si="215"/>
        <v xml:space="preserve"> </v>
      </c>
      <c r="AG159" s="27" t="str">
        <f t="shared" si="216"/>
        <v xml:space="preserve"> </v>
      </c>
      <c r="AH159" s="27" t="str">
        <f t="shared" si="217"/>
        <v xml:space="preserve"> </v>
      </c>
      <c r="AI159" s="27" t="str">
        <f t="shared" si="218"/>
        <v xml:space="preserve"> </v>
      </c>
      <c r="AJ159" s="27" t="str">
        <f t="shared" si="219"/>
        <v xml:space="preserve"> </v>
      </c>
      <c r="AK159" s="27" t="str">
        <f t="shared" si="220"/>
        <v xml:space="preserve"> </v>
      </c>
      <c r="AL159" s="27" t="str">
        <f t="shared" si="221"/>
        <v xml:space="preserve"> </v>
      </c>
      <c r="AM159" s="27" t="str">
        <f t="shared" si="222"/>
        <v xml:space="preserve"> </v>
      </c>
      <c r="AN159" s="27" t="str">
        <f t="shared" si="223"/>
        <v xml:space="preserve"> </v>
      </c>
      <c r="AO159" s="27" t="str">
        <f t="shared" si="224"/>
        <v xml:space="preserve"> </v>
      </c>
      <c r="AP159" s="27" t="str">
        <f t="shared" si="225"/>
        <v xml:space="preserve"> </v>
      </c>
      <c r="AQ159" s="27" t="str">
        <f t="shared" si="226"/>
        <v xml:space="preserve"> </v>
      </c>
      <c r="AR159" s="27" t="str">
        <f t="shared" si="227"/>
        <v xml:space="preserve"> </v>
      </c>
      <c r="AS159" s="27" t="str">
        <f t="shared" si="228"/>
        <v xml:space="preserve"> </v>
      </c>
      <c r="AT159" s="27" t="str">
        <f t="shared" si="229"/>
        <v xml:space="preserve"> </v>
      </c>
      <c r="AU159" s="27" t="e">
        <f>IF(#REF!=2,A186,IF(#REF!=3,E186,IF(#REF!=4,K186,IF(#REF!=5,O186,IF(#REF!=6,S186," ")))))</f>
        <v>#REF!</v>
      </c>
      <c r="AV159" s="27" t="e">
        <f>IF(#REF!=2,B186,IF(#REF!=3,F186,IF(#REF!=4,L186,IF(#REF!=5,P186,IF(#REF!=6,T186," ")))))</f>
        <v>#REF!</v>
      </c>
    </row>
    <row r="160" spans="1:48" x14ac:dyDescent="0.2">
      <c r="A160" s="27" t="str">
        <f t="shared" ref="A160:B162" si="230">IF($C$3=2,A207,IF($C$3=3,E207,IF($C$3=4,K207,IF($C$3=5,O207,IF($C$3=6,S207," ")))))</f>
        <v xml:space="preserve"> </v>
      </c>
      <c r="B160" s="27" t="str">
        <f t="shared" si="230"/>
        <v xml:space="preserve"> </v>
      </c>
      <c r="C160" s="27" t="str">
        <f t="shared" ref="C160:D162" si="231">IF($C$4=2,A207,IF($C$4=3,E207,IF($C$4=4,K207,IF($C$4=5,O207,IF($C$4=6,S207," ")))))</f>
        <v xml:space="preserve"> </v>
      </c>
      <c r="D160" s="27" t="str">
        <f t="shared" si="231"/>
        <v xml:space="preserve"> </v>
      </c>
      <c r="E160" s="27" t="str">
        <f t="shared" ref="E160:F162" si="232">IF($C$5=2,A207,IF($C$5=3,E207,IF($C$5=4,K207,IF($C$5=5,O207,IF($C$5=6,S207," ")))))</f>
        <v xml:space="preserve"> </v>
      </c>
      <c r="F160" s="27" t="str">
        <f t="shared" si="232"/>
        <v xml:space="preserve"> </v>
      </c>
      <c r="G160" s="27" t="str">
        <f t="shared" ref="G160:H162" si="233">IF($C$6=2,A207,IF($C$6=3,E207,IF($C$6=4,K207,IF($C$6=5,O207,IF($C$6=6,S207," ")))))</f>
        <v xml:space="preserve"> </v>
      </c>
      <c r="H160" s="27" t="str">
        <f t="shared" si="233"/>
        <v xml:space="preserve"> </v>
      </c>
      <c r="I160" s="27" t="str">
        <f t="shared" ref="I160:J162" si="234">IF($C$7=2,A207,IF($C$7=3,E207,IF($C$7=4,K207,IF($C$7=5,O207,IF($C$7=6,S207," ")))))</f>
        <v xml:space="preserve"> </v>
      </c>
      <c r="J160" s="27" t="str">
        <f t="shared" si="234"/>
        <v xml:space="preserve"> </v>
      </c>
      <c r="K160" s="27" t="str">
        <f t="shared" ref="K160:L162" si="235">IF($C$8=2,A207,IF($C$8=3,E207,IF($C$8=4,K207,IF($C$8=5,O207,IF($C$8=6,S207," ")))))</f>
        <v xml:space="preserve"> </v>
      </c>
      <c r="L160" s="27" t="str">
        <f t="shared" si="235"/>
        <v xml:space="preserve"> </v>
      </c>
      <c r="M160" s="27" t="str">
        <f t="shared" ref="M160:N162" si="236">IF($C$9=2,A207,IF($C$9=3,E207,IF($C$9=4,K207,IF($C$9=5,O207,IF($C$9=6,S207," ")))))</f>
        <v xml:space="preserve"> </v>
      </c>
      <c r="N160" s="27" t="str">
        <f t="shared" si="236"/>
        <v xml:space="preserve"> </v>
      </c>
      <c r="O160" s="27" t="str">
        <f t="shared" ref="O160:P162" si="237">IF($C$10=2,A207,IF($C$10=3,E207,IF($C$10=4,K207,IF($C$10=5,O207,IF($C$10=6,S207," ")))))</f>
        <v xml:space="preserve"> </v>
      </c>
      <c r="P160" s="27" t="str">
        <f t="shared" si="237"/>
        <v xml:space="preserve"> </v>
      </c>
      <c r="Q160" s="27" t="str">
        <f t="shared" ref="Q160:R162" si="238">IF($C$11=2,A207,IF($C$11=3,E207,IF($C$11=4,K207,IF($C$11=5,O207,IF($C$11=6,S207," ")))))</f>
        <v xml:space="preserve"> </v>
      </c>
      <c r="R160" s="27" t="str">
        <f t="shared" si="238"/>
        <v xml:space="preserve"> </v>
      </c>
      <c r="S160" s="27" t="str">
        <f t="shared" ref="S160:T162" si="239">IF($C$12=2,A207,IF($C$12=3,E207,IF($C$12=4,K207,IF($C$12=5,O207,IF($C$12=6,S207," ")))))</f>
        <v xml:space="preserve"> </v>
      </c>
      <c r="T160" s="27" t="str">
        <f t="shared" si="239"/>
        <v xml:space="preserve"> </v>
      </c>
      <c r="U160" s="27" t="str">
        <f t="shared" ref="U160:V162" si="240">IF($C$13=2,A207,IF($C$13=3,E207,IF($C$13=4,K207,IF($C$13=5,O207,IF($C$13=6,S207," ")))))</f>
        <v xml:space="preserve"> </v>
      </c>
      <c r="V160" s="27" t="str">
        <f t="shared" si="240"/>
        <v xml:space="preserve"> </v>
      </c>
      <c r="W160" s="27" t="str">
        <f t="shared" ref="W160:X162" si="241">IF($C$14=2,A207,IF($C$14=3,E207,IF($C$14=4,K207,IF($C$14=5,O207,IF($C$14=6,S207," ")))))</f>
        <v xml:space="preserve"> </v>
      </c>
      <c r="X160" s="27" t="str">
        <f t="shared" si="241"/>
        <v xml:space="preserve"> </v>
      </c>
      <c r="Y160" s="27" t="str">
        <f t="shared" ref="Y160:Z162" si="242">IF($C$15=2,A207,IF($C$15=3,E207,IF($C$15=4,K207,IF($C$15=5,O207,IF($C$15=6,S207," ")))))</f>
        <v xml:space="preserve"> </v>
      </c>
      <c r="Z160" s="27" t="str">
        <f t="shared" si="242"/>
        <v xml:space="preserve"> </v>
      </c>
      <c r="AA160" s="27" t="str">
        <f t="shared" ref="AA160:AB162" si="243">IF($C$16=2,A207,IF($C$16=3,E207,IF($C$16=4,K207,IF($C$16=5,O207,IF($C$16=6,S207," ")))))</f>
        <v xml:space="preserve"> </v>
      </c>
      <c r="AB160" s="27" t="str">
        <f t="shared" si="243"/>
        <v xml:space="preserve"> </v>
      </c>
      <c r="AC160" s="27" t="str">
        <f t="shared" ref="AC160:AD162" si="244">IF($C$17=2,A207,IF($C$17=3,E207,IF($C$17=4,K207,IF($C$17=5,O207,IF($C$17=6,S207," ")))))</f>
        <v xml:space="preserve"> </v>
      </c>
      <c r="AD160" s="27" t="str">
        <f t="shared" si="244"/>
        <v xml:space="preserve"> </v>
      </c>
      <c r="AE160" s="27" t="str">
        <f t="shared" ref="AE160:AF162" si="245">IF($C$18=2,A207,IF($C$18=3,E207,IF($C$18=4,K207,IF($C$18=5,O207,IF($C$18=6,S207," ")))))</f>
        <v xml:space="preserve"> </v>
      </c>
      <c r="AF160" s="27" t="str">
        <f t="shared" si="245"/>
        <v xml:space="preserve"> </v>
      </c>
      <c r="AG160" s="27" t="str">
        <f t="shared" ref="AG160:AH162" si="246">IF($C$19=2,A207,IF($C$19=3,E207,IF($C$19=4,K207,IF($C$19=5,O207,IF($C$19=6,S207," ")))))</f>
        <v xml:space="preserve"> </v>
      </c>
      <c r="AH160" s="27" t="str">
        <f t="shared" si="246"/>
        <v xml:space="preserve"> </v>
      </c>
      <c r="AI160" s="27" t="str">
        <f t="shared" ref="AI160:AJ162" si="247">IF($C$20=2,A207,IF($C$20=3,E207,IF($C$20=4,K207,IF($C$20=5,O207,IF($C$20=6,S207," ")))))</f>
        <v xml:space="preserve"> </v>
      </c>
      <c r="AJ160" s="27" t="str">
        <f t="shared" si="247"/>
        <v xml:space="preserve"> </v>
      </c>
      <c r="AK160" s="27" t="str">
        <f t="shared" ref="AK160:AL162" si="248">IF($C$21=2,A207,IF($C$21=3,E207,IF($C$21=4,K207,IF($C$21=5,O207,IF($C$21=6,S207," ")))))</f>
        <v xml:space="preserve"> </v>
      </c>
      <c r="AL160" s="27" t="str">
        <f t="shared" si="248"/>
        <v xml:space="preserve"> </v>
      </c>
      <c r="AM160" s="27" t="str">
        <f t="shared" ref="AM160:AN162" si="249">IF($C$22=2,A207,IF($C$22=3,E207,IF($C$22=4,K207,IF($C$22=5,O207,IF($C$22=6,S207," ")))))</f>
        <v xml:space="preserve"> </v>
      </c>
      <c r="AN160" s="27" t="str">
        <f t="shared" si="249"/>
        <v xml:space="preserve"> </v>
      </c>
      <c r="AO160" s="27" t="str">
        <f t="shared" ref="AO160:AP162" si="250">IF($C$23=2,A207,IF($C$23=3,E207,IF($C$23=4,K207,IF($C$23=5,O207,IF($C$23=6,S207," ")))))</f>
        <v xml:space="preserve"> </v>
      </c>
      <c r="AP160" s="27" t="str">
        <f t="shared" si="250"/>
        <v xml:space="preserve"> </v>
      </c>
      <c r="AQ160" s="27" t="str">
        <f t="shared" ref="AQ160:AR162" si="251">IF($C$44=2,A207,IF($C$44=3,E207,IF($C$44=4,K207,IF($C$44=5,O207,IF($C$44=6,S207," ")))))</f>
        <v xml:space="preserve"> </v>
      </c>
      <c r="AR160" s="27" t="str">
        <f t="shared" si="251"/>
        <v xml:space="preserve"> </v>
      </c>
      <c r="AS160" s="27" t="str">
        <f t="shared" ref="AS160:AT162" si="252">IF($C$45=2,A207,IF($C$45=3,E207,IF($C$45=4,K207,IF($C$45=5,O207,IF($C$45=6,S207," ")))))</f>
        <v xml:space="preserve"> </v>
      </c>
      <c r="AT160" s="27" t="str">
        <f t="shared" si="252"/>
        <v xml:space="preserve"> </v>
      </c>
      <c r="AU160" s="27" t="e">
        <f>IF(#REF!=2,A207,IF(#REF!=3,E207,IF(#REF!=4,K207,IF(#REF!=5,O207,IF(#REF!=6,S207," ")))))</f>
        <v>#REF!</v>
      </c>
      <c r="AV160" s="27" t="e">
        <f>IF(#REF!=2,B207,IF(#REF!=3,F207,IF(#REF!=4,L207,IF(#REF!=5,P207,IF(#REF!=6,T207," ")))))</f>
        <v>#REF!</v>
      </c>
    </row>
    <row r="161" spans="1:48" x14ac:dyDescent="0.2">
      <c r="A161" s="27" t="str">
        <f t="shared" si="230"/>
        <v xml:space="preserve"> </v>
      </c>
      <c r="B161" s="27" t="str">
        <f t="shared" si="230"/>
        <v xml:space="preserve"> </v>
      </c>
      <c r="C161" s="27" t="str">
        <f t="shared" si="231"/>
        <v xml:space="preserve"> </v>
      </c>
      <c r="D161" s="27" t="str">
        <f t="shared" si="231"/>
        <v xml:space="preserve"> </v>
      </c>
      <c r="E161" s="27" t="str">
        <f t="shared" si="232"/>
        <v xml:space="preserve"> </v>
      </c>
      <c r="F161" s="27" t="str">
        <f t="shared" si="232"/>
        <v xml:space="preserve"> </v>
      </c>
      <c r="G161" s="27" t="str">
        <f t="shared" si="233"/>
        <v xml:space="preserve"> </v>
      </c>
      <c r="H161" s="27" t="str">
        <f t="shared" si="233"/>
        <v xml:space="preserve"> </v>
      </c>
      <c r="I161" s="27" t="str">
        <f t="shared" si="234"/>
        <v xml:space="preserve"> </v>
      </c>
      <c r="J161" s="27" t="str">
        <f t="shared" si="234"/>
        <v xml:space="preserve"> </v>
      </c>
      <c r="K161" s="27" t="str">
        <f t="shared" si="235"/>
        <v xml:space="preserve"> </v>
      </c>
      <c r="L161" s="27" t="str">
        <f t="shared" si="235"/>
        <v xml:space="preserve"> </v>
      </c>
      <c r="M161" s="27" t="str">
        <f t="shared" si="236"/>
        <v xml:space="preserve"> </v>
      </c>
      <c r="N161" s="27" t="str">
        <f t="shared" si="236"/>
        <v xml:space="preserve"> </v>
      </c>
      <c r="O161" s="27" t="str">
        <f t="shared" si="237"/>
        <v xml:space="preserve"> </v>
      </c>
      <c r="P161" s="27" t="str">
        <f t="shared" si="237"/>
        <v xml:space="preserve"> </v>
      </c>
      <c r="Q161" s="27" t="str">
        <f t="shared" si="238"/>
        <v xml:space="preserve"> </v>
      </c>
      <c r="R161" s="27" t="str">
        <f t="shared" si="238"/>
        <v xml:space="preserve"> </v>
      </c>
      <c r="S161" s="27" t="str">
        <f t="shared" si="239"/>
        <v xml:space="preserve"> </v>
      </c>
      <c r="T161" s="27" t="str">
        <f t="shared" si="239"/>
        <v xml:space="preserve"> </v>
      </c>
      <c r="U161" s="27" t="str">
        <f t="shared" si="240"/>
        <v xml:space="preserve"> </v>
      </c>
      <c r="V161" s="27" t="str">
        <f t="shared" si="240"/>
        <v xml:space="preserve"> </v>
      </c>
      <c r="W161" s="27" t="str">
        <f t="shared" si="241"/>
        <v xml:space="preserve"> </v>
      </c>
      <c r="X161" s="27" t="str">
        <f t="shared" si="241"/>
        <v xml:space="preserve"> </v>
      </c>
      <c r="Y161" s="27" t="str">
        <f t="shared" si="242"/>
        <v xml:space="preserve"> </v>
      </c>
      <c r="Z161" s="27" t="str">
        <f t="shared" si="242"/>
        <v xml:space="preserve"> </v>
      </c>
      <c r="AA161" s="27" t="str">
        <f t="shared" si="243"/>
        <v xml:space="preserve"> </v>
      </c>
      <c r="AB161" s="27" t="str">
        <f t="shared" si="243"/>
        <v xml:space="preserve"> </v>
      </c>
      <c r="AC161" s="27" t="str">
        <f t="shared" si="244"/>
        <v xml:space="preserve"> </v>
      </c>
      <c r="AD161" s="27" t="str">
        <f t="shared" si="244"/>
        <v xml:space="preserve"> </v>
      </c>
      <c r="AE161" s="27" t="str">
        <f t="shared" si="245"/>
        <v xml:space="preserve"> </v>
      </c>
      <c r="AF161" s="27" t="str">
        <f t="shared" si="245"/>
        <v xml:space="preserve"> </v>
      </c>
      <c r="AG161" s="27" t="str">
        <f t="shared" si="246"/>
        <v xml:space="preserve"> </v>
      </c>
      <c r="AH161" s="27" t="str">
        <f t="shared" si="246"/>
        <v xml:space="preserve"> </v>
      </c>
      <c r="AI161" s="27" t="str">
        <f t="shared" si="247"/>
        <v xml:space="preserve"> </v>
      </c>
      <c r="AJ161" s="27" t="str">
        <f t="shared" si="247"/>
        <v xml:space="preserve"> </v>
      </c>
      <c r="AK161" s="27" t="str">
        <f t="shared" si="248"/>
        <v xml:space="preserve"> </v>
      </c>
      <c r="AL161" s="27" t="str">
        <f t="shared" si="248"/>
        <v xml:space="preserve"> </v>
      </c>
      <c r="AM161" s="27" t="str">
        <f t="shared" si="249"/>
        <v xml:space="preserve"> </v>
      </c>
      <c r="AN161" s="27" t="str">
        <f t="shared" si="249"/>
        <v xml:space="preserve"> </v>
      </c>
      <c r="AO161" s="27" t="str">
        <f t="shared" si="250"/>
        <v xml:space="preserve"> </v>
      </c>
      <c r="AP161" s="27" t="str">
        <f t="shared" si="250"/>
        <v xml:space="preserve"> </v>
      </c>
      <c r="AQ161" s="27" t="str">
        <f t="shared" si="251"/>
        <v xml:space="preserve"> </v>
      </c>
      <c r="AR161" s="27" t="str">
        <f t="shared" si="251"/>
        <v xml:space="preserve"> </v>
      </c>
      <c r="AS161" s="27" t="str">
        <f t="shared" si="252"/>
        <v xml:space="preserve"> </v>
      </c>
      <c r="AT161" s="27" t="str">
        <f t="shared" si="252"/>
        <v xml:space="preserve"> </v>
      </c>
      <c r="AU161" s="27" t="e">
        <f>IF(#REF!=2,A208,IF(#REF!=3,E208,IF(#REF!=4,K208,IF(#REF!=5,O208,IF(#REF!=6,S208," ")))))</f>
        <v>#REF!</v>
      </c>
      <c r="AV161" s="27" t="e">
        <f>IF(#REF!=2,B208,IF(#REF!=3,F208,IF(#REF!=4,L208,IF(#REF!=5,P208,IF(#REF!=6,T208," ")))))</f>
        <v>#REF!</v>
      </c>
    </row>
    <row r="162" spans="1:48" x14ac:dyDescent="0.2">
      <c r="A162" s="27" t="str">
        <f t="shared" si="230"/>
        <v xml:space="preserve"> </v>
      </c>
      <c r="B162" s="27" t="str">
        <f t="shared" si="230"/>
        <v xml:space="preserve"> </v>
      </c>
      <c r="C162" s="27" t="str">
        <f t="shared" si="231"/>
        <v xml:space="preserve"> </v>
      </c>
      <c r="D162" s="27" t="str">
        <f t="shared" si="231"/>
        <v xml:space="preserve"> </v>
      </c>
      <c r="E162" s="27" t="str">
        <f t="shared" si="232"/>
        <v xml:space="preserve"> </v>
      </c>
      <c r="F162" s="27" t="str">
        <f t="shared" si="232"/>
        <v xml:space="preserve"> </v>
      </c>
      <c r="G162" s="27" t="str">
        <f t="shared" si="233"/>
        <v xml:space="preserve"> </v>
      </c>
      <c r="H162" s="27" t="str">
        <f t="shared" si="233"/>
        <v xml:space="preserve"> </v>
      </c>
      <c r="I162" s="27" t="str">
        <f t="shared" si="234"/>
        <v xml:space="preserve"> </v>
      </c>
      <c r="J162" s="27" t="str">
        <f t="shared" si="234"/>
        <v xml:space="preserve"> </v>
      </c>
      <c r="K162" s="27" t="str">
        <f t="shared" si="235"/>
        <v xml:space="preserve"> </v>
      </c>
      <c r="L162" s="27" t="str">
        <f t="shared" si="235"/>
        <v xml:space="preserve"> </v>
      </c>
      <c r="M162" s="27" t="str">
        <f t="shared" si="236"/>
        <v xml:space="preserve"> </v>
      </c>
      <c r="N162" s="27" t="str">
        <f t="shared" si="236"/>
        <v xml:space="preserve"> </v>
      </c>
      <c r="O162" s="27" t="str">
        <f t="shared" si="237"/>
        <v xml:space="preserve"> </v>
      </c>
      <c r="P162" s="27" t="str">
        <f t="shared" si="237"/>
        <v xml:space="preserve"> </v>
      </c>
      <c r="Q162" s="27" t="str">
        <f t="shared" si="238"/>
        <v xml:space="preserve"> </v>
      </c>
      <c r="R162" s="27" t="str">
        <f t="shared" si="238"/>
        <v xml:space="preserve"> </v>
      </c>
      <c r="S162" s="27" t="str">
        <f t="shared" si="239"/>
        <v xml:space="preserve"> </v>
      </c>
      <c r="T162" s="27" t="str">
        <f t="shared" si="239"/>
        <v xml:space="preserve"> </v>
      </c>
      <c r="U162" s="27" t="str">
        <f t="shared" si="240"/>
        <v xml:space="preserve"> </v>
      </c>
      <c r="V162" s="27" t="str">
        <f t="shared" si="240"/>
        <v xml:space="preserve"> </v>
      </c>
      <c r="W162" s="27" t="str">
        <f t="shared" si="241"/>
        <v xml:space="preserve"> </v>
      </c>
      <c r="X162" s="27" t="str">
        <f t="shared" si="241"/>
        <v xml:space="preserve"> </v>
      </c>
      <c r="Y162" s="27" t="str">
        <f t="shared" si="242"/>
        <v xml:space="preserve"> </v>
      </c>
      <c r="Z162" s="27" t="str">
        <f t="shared" si="242"/>
        <v xml:space="preserve"> </v>
      </c>
      <c r="AA162" s="27" t="str">
        <f t="shared" si="243"/>
        <v xml:space="preserve"> </v>
      </c>
      <c r="AB162" s="27" t="str">
        <f t="shared" si="243"/>
        <v xml:space="preserve"> </v>
      </c>
      <c r="AC162" s="27" t="str">
        <f t="shared" si="244"/>
        <v xml:space="preserve"> </v>
      </c>
      <c r="AD162" s="27" t="str">
        <f t="shared" si="244"/>
        <v xml:space="preserve"> </v>
      </c>
      <c r="AE162" s="27" t="str">
        <f t="shared" si="245"/>
        <v xml:space="preserve"> </v>
      </c>
      <c r="AF162" s="27" t="str">
        <f t="shared" si="245"/>
        <v xml:space="preserve"> </v>
      </c>
      <c r="AG162" s="27" t="str">
        <f t="shared" si="246"/>
        <v xml:space="preserve"> </v>
      </c>
      <c r="AH162" s="27" t="str">
        <f t="shared" si="246"/>
        <v xml:space="preserve"> </v>
      </c>
      <c r="AI162" s="27" t="str">
        <f t="shared" si="247"/>
        <v xml:space="preserve"> </v>
      </c>
      <c r="AJ162" s="27" t="str">
        <f t="shared" si="247"/>
        <v xml:space="preserve"> </v>
      </c>
      <c r="AK162" s="27" t="str">
        <f t="shared" si="248"/>
        <v xml:space="preserve"> </v>
      </c>
      <c r="AL162" s="27" t="str">
        <f t="shared" si="248"/>
        <v xml:space="preserve"> </v>
      </c>
      <c r="AM162" s="27" t="str">
        <f t="shared" si="249"/>
        <v xml:space="preserve"> </v>
      </c>
      <c r="AN162" s="27" t="str">
        <f t="shared" si="249"/>
        <v xml:space="preserve"> </v>
      </c>
      <c r="AO162" s="27" t="str">
        <f t="shared" si="250"/>
        <v xml:space="preserve"> </v>
      </c>
      <c r="AP162" s="27" t="str">
        <f t="shared" si="250"/>
        <v xml:space="preserve"> </v>
      </c>
      <c r="AQ162" s="27" t="str">
        <f t="shared" si="251"/>
        <v xml:space="preserve"> </v>
      </c>
      <c r="AR162" s="27" t="str">
        <f t="shared" si="251"/>
        <v xml:space="preserve"> </v>
      </c>
      <c r="AS162" s="27" t="str">
        <f t="shared" si="252"/>
        <v xml:space="preserve"> </v>
      </c>
      <c r="AT162" s="27" t="str">
        <f t="shared" si="252"/>
        <v xml:space="preserve"> </v>
      </c>
      <c r="AU162" s="27" t="e">
        <f>IF(#REF!=2,A209,IF(#REF!=3,E209,IF(#REF!=4,K209,IF(#REF!=5,O209,IF(#REF!=6,S209," ")))))</f>
        <v>#REF!</v>
      </c>
      <c r="AV162" s="27" t="e">
        <f>IF(#REF!=2,B209,IF(#REF!=3,F209,IF(#REF!=4,L209,IF(#REF!=5,P209,IF(#REF!=6,T209," ")))))</f>
        <v>#REF!</v>
      </c>
    </row>
    <row r="164" spans="1:48" ht="13.5" thickBot="1" x14ac:dyDescent="0.25">
      <c r="J164" s="556" t="s">
        <v>716</v>
      </c>
      <c r="K164" s="557"/>
      <c r="L164" s="557"/>
      <c r="M164" s="558"/>
      <c r="N164" s="556" t="s">
        <v>717</v>
      </c>
      <c r="O164" s="557"/>
      <c r="P164" s="557"/>
      <c r="Q164" s="558"/>
      <c r="R164" s="556" t="s">
        <v>239</v>
      </c>
      <c r="S164" s="557"/>
      <c r="T164" s="557"/>
      <c r="U164" s="558"/>
      <c r="V164" s="556"/>
      <c r="W164" s="557"/>
      <c r="X164" s="557"/>
      <c r="Y164" s="558"/>
    </row>
    <row r="165" spans="1:48" ht="36.75" thickBot="1" x14ac:dyDescent="0.25">
      <c r="A165" s="118" t="s">
        <v>218</v>
      </c>
      <c r="B165" s="118" t="s">
        <v>711</v>
      </c>
      <c r="C165" s="118" t="s">
        <v>710</v>
      </c>
      <c r="D165" s="118" t="s">
        <v>444</v>
      </c>
      <c r="E165" s="327" t="s">
        <v>706</v>
      </c>
      <c r="F165" s="328" t="s">
        <v>707</v>
      </c>
      <c r="G165" s="328" t="s">
        <v>708</v>
      </c>
      <c r="H165" s="328" t="s">
        <v>709</v>
      </c>
      <c r="J165" s="330" t="s">
        <v>706</v>
      </c>
      <c r="K165" s="328" t="s">
        <v>707</v>
      </c>
      <c r="L165" s="328" t="s">
        <v>708</v>
      </c>
      <c r="M165" s="331" t="s">
        <v>709</v>
      </c>
      <c r="N165" s="330" t="s">
        <v>706</v>
      </c>
      <c r="O165" s="328" t="s">
        <v>707</v>
      </c>
      <c r="P165" s="328" t="s">
        <v>708</v>
      </c>
      <c r="Q165" s="331" t="s">
        <v>709</v>
      </c>
      <c r="R165" s="330" t="s">
        <v>706</v>
      </c>
      <c r="S165" s="328" t="s">
        <v>707</v>
      </c>
      <c r="T165" s="328" t="s">
        <v>708</v>
      </c>
      <c r="U165" s="331" t="s">
        <v>709</v>
      </c>
      <c r="V165" s="330"/>
      <c r="W165" s="328"/>
      <c r="X165" s="328"/>
      <c r="Y165" s="331"/>
    </row>
    <row r="166" spans="1:48" x14ac:dyDescent="0.2">
      <c r="A166">
        <f t="shared" ref="A166:A186" si="253">A3</f>
        <v>1</v>
      </c>
      <c r="B166">
        <f t="shared" ref="B166:B186" si="254">C3</f>
        <v>1</v>
      </c>
      <c r="C166" s="329">
        <f t="shared" ref="C166:C186" si="255">D3-G3</f>
        <v>0</v>
      </c>
      <c r="D166">
        <f>'Invoer Gebouwschil'!F3</f>
        <v>0</v>
      </c>
      <c r="E166">
        <f>IF(D166&lt;0.4,C166,0)</f>
        <v>0</v>
      </c>
      <c r="F166">
        <f>IF(AND(D166&gt;=0.4,D166&lt;2),C166,0)</f>
        <v>0</v>
      </c>
      <c r="G166">
        <f>IF(AND(D166&gt;=2,D166&lt;2.7),C166,0)</f>
        <v>0</v>
      </c>
      <c r="H166">
        <f>IF(D166&gt;=2.7,C166,0)</f>
        <v>0</v>
      </c>
      <c r="J166" s="12">
        <f>IF($B166=2,$E166,0)</f>
        <v>0</v>
      </c>
      <c r="K166" s="12">
        <f>IF($B166=2,$F166,0)</f>
        <v>0</v>
      </c>
      <c r="L166" s="12">
        <f>IF($B166=2,$G166,0)</f>
        <v>0</v>
      </c>
      <c r="M166" s="12">
        <f>IF($B166=2,$H166,0)</f>
        <v>0</v>
      </c>
      <c r="N166" s="12">
        <f>IF(OR($B166=3,$B166=4,$B166=6),$E166,0)</f>
        <v>0</v>
      </c>
      <c r="O166" s="12">
        <f>IF(OR($B166=3,$B166=4,$B166=6),$F166,0)</f>
        <v>0</v>
      </c>
      <c r="P166" s="12">
        <f>IF(OR($B166=3,$B166=4,$B166=6),$G166,0)</f>
        <v>0</v>
      </c>
      <c r="Q166" s="12">
        <f>IF(OR($B166=3,$B166=4,$B166=6),$H166,0)</f>
        <v>0</v>
      </c>
      <c r="R166" s="12">
        <f>IF($B166=5,$E166,0)</f>
        <v>0</v>
      </c>
      <c r="S166" s="12">
        <f>IF($B166=5,$F166,0)</f>
        <v>0</v>
      </c>
      <c r="T166" s="12">
        <f>IF($B166=5,$G166,0)</f>
        <v>0</v>
      </c>
      <c r="U166" s="12">
        <f>IF($B166=5,$H166,0)</f>
        <v>0</v>
      </c>
      <c r="V166" s="12"/>
      <c r="W166" s="12"/>
      <c r="X166" s="12"/>
      <c r="Y166" s="12"/>
    </row>
    <row r="167" spans="1:48" x14ac:dyDescent="0.2">
      <c r="A167">
        <f t="shared" si="253"/>
        <v>1</v>
      </c>
      <c r="B167">
        <f t="shared" si="254"/>
        <v>1</v>
      </c>
      <c r="C167" s="329">
        <f t="shared" si="255"/>
        <v>0</v>
      </c>
      <c r="D167">
        <f>'Invoer Gebouwschil'!F4</f>
        <v>0</v>
      </c>
      <c r="E167">
        <f t="shared" ref="E167:E207" si="256">IF(D167&lt;0.4,C167,0)</f>
        <v>0</v>
      </c>
      <c r="F167">
        <f t="shared" ref="F167:F207" si="257">IF(AND(D167&gt;=0.4,D167&lt;2),C167,0)</f>
        <v>0</v>
      </c>
      <c r="G167">
        <f t="shared" ref="G167:G207" si="258">IF(AND(D167&gt;=2,D167&lt;2.7),C167,0)</f>
        <v>0</v>
      </c>
      <c r="H167">
        <f t="shared" ref="H167:H207" si="259">IF(D167&gt;=2.7,C167,0)</f>
        <v>0</v>
      </c>
      <c r="J167" s="12">
        <f t="shared" ref="J167:J207" si="260">IF($B167=2,$E167,0)</f>
        <v>0</v>
      </c>
      <c r="K167" s="12">
        <f t="shared" ref="K167:K207" si="261">IF($B167=2,$F167,0)</f>
        <v>0</v>
      </c>
      <c r="L167" s="12">
        <f t="shared" ref="L167:L207" si="262">IF($B167=2,$G167,0)</f>
        <v>0</v>
      </c>
      <c r="M167" s="12">
        <f t="shared" ref="M167:M207" si="263">IF($B167=2,$H167,0)</f>
        <v>0</v>
      </c>
      <c r="N167" s="12">
        <f t="shared" ref="N167:N207" si="264">IF(OR($B167=3,$B167=4,$B167=6),$E167,0)</f>
        <v>0</v>
      </c>
      <c r="O167" s="12">
        <f t="shared" ref="O167:O207" si="265">IF(OR($B167=3,$B167=4,$B167=6),$F167,0)</f>
        <v>0</v>
      </c>
      <c r="P167" s="12">
        <f t="shared" ref="P167:P207" si="266">IF(OR($B167=3,$B167=4,$B167=6),$G167,0)</f>
        <v>0</v>
      </c>
      <c r="Q167" s="12">
        <f t="shared" ref="Q167:Q207" si="267">IF(OR($B167=3,$B167=4,$B167=6),$H167,0)</f>
        <v>0</v>
      </c>
      <c r="R167" s="12">
        <f t="shared" ref="R167:R207" si="268">IF($B167=5,$E167,0)</f>
        <v>0</v>
      </c>
      <c r="S167" s="12">
        <f t="shared" ref="S167:S207" si="269">IF($B167=5,$F167,0)</f>
        <v>0</v>
      </c>
      <c r="T167" s="12">
        <f t="shared" ref="T167:T207" si="270">IF($B167=5,$G167,0)</f>
        <v>0</v>
      </c>
      <c r="U167" s="12">
        <f t="shared" ref="U167:U207" si="271">IF($B167=5,$H167,0)</f>
        <v>0</v>
      </c>
      <c r="V167" s="12"/>
      <c r="W167" s="13"/>
      <c r="X167" s="13"/>
      <c r="Y167" s="14"/>
    </row>
    <row r="168" spans="1:48" x14ac:dyDescent="0.2">
      <c r="A168">
        <f t="shared" si="253"/>
        <v>1</v>
      </c>
      <c r="B168">
        <f t="shared" si="254"/>
        <v>1</v>
      </c>
      <c r="C168" s="329">
        <f t="shared" si="255"/>
        <v>0</v>
      </c>
      <c r="D168">
        <f>'Invoer Gebouwschil'!F5</f>
        <v>0</v>
      </c>
      <c r="E168">
        <f t="shared" si="256"/>
        <v>0</v>
      </c>
      <c r="F168">
        <f t="shared" si="257"/>
        <v>0</v>
      </c>
      <c r="G168">
        <f t="shared" si="258"/>
        <v>0</v>
      </c>
      <c r="H168">
        <f t="shared" si="259"/>
        <v>0</v>
      </c>
      <c r="J168" s="12">
        <f t="shared" si="260"/>
        <v>0</v>
      </c>
      <c r="K168" s="12">
        <f t="shared" si="261"/>
        <v>0</v>
      </c>
      <c r="L168" s="12">
        <f t="shared" si="262"/>
        <v>0</v>
      </c>
      <c r="M168" s="12">
        <f t="shared" si="263"/>
        <v>0</v>
      </c>
      <c r="N168" s="12">
        <f t="shared" si="264"/>
        <v>0</v>
      </c>
      <c r="O168" s="12">
        <f t="shared" si="265"/>
        <v>0</v>
      </c>
      <c r="P168" s="12">
        <f t="shared" si="266"/>
        <v>0</v>
      </c>
      <c r="Q168" s="12">
        <f t="shared" si="267"/>
        <v>0</v>
      </c>
      <c r="R168" s="12">
        <f t="shared" si="268"/>
        <v>0</v>
      </c>
      <c r="S168" s="12">
        <f t="shared" si="269"/>
        <v>0</v>
      </c>
      <c r="T168" s="12">
        <f t="shared" si="270"/>
        <v>0</v>
      </c>
      <c r="U168" s="12">
        <f t="shared" si="271"/>
        <v>0</v>
      </c>
      <c r="V168" s="12"/>
      <c r="W168" s="13"/>
      <c r="X168" s="13"/>
      <c r="Y168" s="14"/>
    </row>
    <row r="169" spans="1:48" x14ac:dyDescent="0.2">
      <c r="A169">
        <f t="shared" si="253"/>
        <v>1</v>
      </c>
      <c r="B169">
        <f t="shared" si="254"/>
        <v>1</v>
      </c>
      <c r="C169" s="329">
        <f t="shared" si="255"/>
        <v>0</v>
      </c>
      <c r="D169">
        <f>'Invoer Gebouwschil'!F6</f>
        <v>0</v>
      </c>
      <c r="E169">
        <f t="shared" si="256"/>
        <v>0</v>
      </c>
      <c r="F169">
        <f t="shared" si="257"/>
        <v>0</v>
      </c>
      <c r="G169">
        <f t="shared" si="258"/>
        <v>0</v>
      </c>
      <c r="H169">
        <f t="shared" si="259"/>
        <v>0</v>
      </c>
      <c r="J169" s="12">
        <f t="shared" si="260"/>
        <v>0</v>
      </c>
      <c r="K169" s="12">
        <f t="shared" si="261"/>
        <v>0</v>
      </c>
      <c r="L169" s="12">
        <f t="shared" si="262"/>
        <v>0</v>
      </c>
      <c r="M169" s="12">
        <f t="shared" si="263"/>
        <v>0</v>
      </c>
      <c r="N169" s="12">
        <f t="shared" si="264"/>
        <v>0</v>
      </c>
      <c r="O169" s="12">
        <f t="shared" si="265"/>
        <v>0</v>
      </c>
      <c r="P169" s="12">
        <f t="shared" si="266"/>
        <v>0</v>
      </c>
      <c r="Q169" s="12">
        <f t="shared" si="267"/>
        <v>0</v>
      </c>
      <c r="R169" s="12">
        <f t="shared" si="268"/>
        <v>0</v>
      </c>
      <c r="S169" s="12">
        <f t="shared" si="269"/>
        <v>0</v>
      </c>
      <c r="T169" s="12">
        <f t="shared" si="270"/>
        <v>0</v>
      </c>
      <c r="U169" s="12">
        <f t="shared" si="271"/>
        <v>0</v>
      </c>
      <c r="V169" s="12"/>
      <c r="W169" s="13"/>
      <c r="X169" s="13"/>
      <c r="Y169" s="14"/>
    </row>
    <row r="170" spans="1:48" x14ac:dyDescent="0.2">
      <c r="A170">
        <f t="shared" si="253"/>
        <v>1</v>
      </c>
      <c r="B170">
        <f t="shared" si="254"/>
        <v>1</v>
      </c>
      <c r="C170" s="329">
        <f t="shared" si="255"/>
        <v>0</v>
      </c>
      <c r="D170">
        <f>'Invoer Gebouwschil'!F7</f>
        <v>0</v>
      </c>
      <c r="E170">
        <f t="shared" si="256"/>
        <v>0</v>
      </c>
      <c r="F170">
        <f t="shared" si="257"/>
        <v>0</v>
      </c>
      <c r="G170">
        <f t="shared" si="258"/>
        <v>0</v>
      </c>
      <c r="H170">
        <f t="shared" si="259"/>
        <v>0</v>
      </c>
      <c r="J170" s="12">
        <f t="shared" si="260"/>
        <v>0</v>
      </c>
      <c r="K170" s="12">
        <f t="shared" si="261"/>
        <v>0</v>
      </c>
      <c r="L170" s="12">
        <f t="shared" si="262"/>
        <v>0</v>
      </c>
      <c r="M170" s="12">
        <f t="shared" si="263"/>
        <v>0</v>
      </c>
      <c r="N170" s="12">
        <f t="shared" si="264"/>
        <v>0</v>
      </c>
      <c r="O170" s="12">
        <f t="shared" si="265"/>
        <v>0</v>
      </c>
      <c r="P170" s="12">
        <f t="shared" si="266"/>
        <v>0</v>
      </c>
      <c r="Q170" s="12">
        <f t="shared" si="267"/>
        <v>0</v>
      </c>
      <c r="R170" s="12">
        <f t="shared" si="268"/>
        <v>0</v>
      </c>
      <c r="S170" s="12">
        <f t="shared" si="269"/>
        <v>0</v>
      </c>
      <c r="T170" s="12">
        <f t="shared" si="270"/>
        <v>0</v>
      </c>
      <c r="U170" s="12">
        <f t="shared" si="271"/>
        <v>0</v>
      </c>
      <c r="V170" s="12"/>
      <c r="W170" s="13"/>
      <c r="X170" s="13"/>
      <c r="Y170" s="14"/>
    </row>
    <row r="171" spans="1:48" x14ac:dyDescent="0.2">
      <c r="A171">
        <f t="shared" si="253"/>
        <v>1</v>
      </c>
      <c r="B171">
        <f t="shared" si="254"/>
        <v>1</v>
      </c>
      <c r="C171" s="329">
        <f t="shared" si="255"/>
        <v>0</v>
      </c>
      <c r="D171">
        <f>'Invoer Gebouwschil'!F8</f>
        <v>0</v>
      </c>
      <c r="E171">
        <f t="shared" si="256"/>
        <v>0</v>
      </c>
      <c r="F171">
        <f t="shared" si="257"/>
        <v>0</v>
      </c>
      <c r="G171">
        <f t="shared" si="258"/>
        <v>0</v>
      </c>
      <c r="H171">
        <f t="shared" si="259"/>
        <v>0</v>
      </c>
      <c r="J171" s="12">
        <f t="shared" si="260"/>
        <v>0</v>
      </c>
      <c r="K171" s="12">
        <f t="shared" si="261"/>
        <v>0</v>
      </c>
      <c r="L171" s="12">
        <f t="shared" si="262"/>
        <v>0</v>
      </c>
      <c r="M171" s="12">
        <f t="shared" si="263"/>
        <v>0</v>
      </c>
      <c r="N171" s="12">
        <f t="shared" si="264"/>
        <v>0</v>
      </c>
      <c r="O171" s="12">
        <f t="shared" si="265"/>
        <v>0</v>
      </c>
      <c r="P171" s="12">
        <f t="shared" si="266"/>
        <v>0</v>
      </c>
      <c r="Q171" s="12">
        <f t="shared" si="267"/>
        <v>0</v>
      </c>
      <c r="R171" s="12">
        <f t="shared" si="268"/>
        <v>0</v>
      </c>
      <c r="S171" s="12">
        <f t="shared" si="269"/>
        <v>0</v>
      </c>
      <c r="T171" s="12">
        <f t="shared" si="270"/>
        <v>0</v>
      </c>
      <c r="U171" s="12">
        <f t="shared" si="271"/>
        <v>0</v>
      </c>
      <c r="V171" s="12"/>
      <c r="W171" s="13"/>
      <c r="X171" s="13"/>
      <c r="Y171" s="14"/>
    </row>
    <row r="172" spans="1:48" x14ac:dyDescent="0.2">
      <c r="A172">
        <f t="shared" si="253"/>
        <v>1</v>
      </c>
      <c r="B172">
        <f t="shared" si="254"/>
        <v>1</v>
      </c>
      <c r="C172" s="329">
        <f t="shared" si="255"/>
        <v>0</v>
      </c>
      <c r="D172">
        <f>'Invoer Gebouwschil'!F9</f>
        <v>0</v>
      </c>
      <c r="E172">
        <f t="shared" si="256"/>
        <v>0</v>
      </c>
      <c r="F172">
        <f t="shared" si="257"/>
        <v>0</v>
      </c>
      <c r="G172">
        <f t="shared" si="258"/>
        <v>0</v>
      </c>
      <c r="H172">
        <f t="shared" si="259"/>
        <v>0</v>
      </c>
      <c r="J172" s="12">
        <f t="shared" si="260"/>
        <v>0</v>
      </c>
      <c r="K172" s="12">
        <f t="shared" si="261"/>
        <v>0</v>
      </c>
      <c r="L172" s="12">
        <f t="shared" si="262"/>
        <v>0</v>
      </c>
      <c r="M172" s="12">
        <f t="shared" si="263"/>
        <v>0</v>
      </c>
      <c r="N172" s="12">
        <f t="shared" si="264"/>
        <v>0</v>
      </c>
      <c r="O172" s="12">
        <f t="shared" si="265"/>
        <v>0</v>
      </c>
      <c r="P172" s="12">
        <f t="shared" si="266"/>
        <v>0</v>
      </c>
      <c r="Q172" s="12">
        <f t="shared" si="267"/>
        <v>0</v>
      </c>
      <c r="R172" s="12">
        <f t="shared" si="268"/>
        <v>0</v>
      </c>
      <c r="S172" s="12">
        <f t="shared" si="269"/>
        <v>0</v>
      </c>
      <c r="T172" s="12">
        <f t="shared" si="270"/>
        <v>0</v>
      </c>
      <c r="U172" s="12">
        <f t="shared" si="271"/>
        <v>0</v>
      </c>
      <c r="V172" s="12"/>
      <c r="W172" s="13"/>
      <c r="X172" s="13"/>
      <c r="Y172" s="14"/>
    </row>
    <row r="173" spans="1:48" x14ac:dyDescent="0.2">
      <c r="A173">
        <f t="shared" si="253"/>
        <v>1</v>
      </c>
      <c r="B173">
        <f t="shared" si="254"/>
        <v>1</v>
      </c>
      <c r="C173" s="329">
        <f t="shared" si="255"/>
        <v>0</v>
      </c>
      <c r="D173">
        <f>'Invoer Gebouwschil'!F10</f>
        <v>0</v>
      </c>
      <c r="E173">
        <f t="shared" si="256"/>
        <v>0</v>
      </c>
      <c r="F173">
        <f t="shared" si="257"/>
        <v>0</v>
      </c>
      <c r="G173">
        <f t="shared" si="258"/>
        <v>0</v>
      </c>
      <c r="H173">
        <f t="shared" si="259"/>
        <v>0</v>
      </c>
      <c r="J173" s="12">
        <f t="shared" si="260"/>
        <v>0</v>
      </c>
      <c r="K173" s="12">
        <f t="shared" si="261"/>
        <v>0</v>
      </c>
      <c r="L173" s="12">
        <f t="shared" si="262"/>
        <v>0</v>
      </c>
      <c r="M173" s="12">
        <f t="shared" si="263"/>
        <v>0</v>
      </c>
      <c r="N173" s="12">
        <f t="shared" si="264"/>
        <v>0</v>
      </c>
      <c r="O173" s="12">
        <f t="shared" si="265"/>
        <v>0</v>
      </c>
      <c r="P173" s="12">
        <f t="shared" si="266"/>
        <v>0</v>
      </c>
      <c r="Q173" s="12">
        <f t="shared" si="267"/>
        <v>0</v>
      </c>
      <c r="R173" s="12">
        <f t="shared" si="268"/>
        <v>0</v>
      </c>
      <c r="S173" s="12">
        <f t="shared" si="269"/>
        <v>0</v>
      </c>
      <c r="T173" s="12">
        <f t="shared" si="270"/>
        <v>0</v>
      </c>
      <c r="U173" s="12">
        <f t="shared" si="271"/>
        <v>0</v>
      </c>
      <c r="V173" s="12"/>
      <c r="W173" s="13"/>
      <c r="X173" s="13"/>
      <c r="Y173" s="14"/>
    </row>
    <row r="174" spans="1:48" x14ac:dyDescent="0.2">
      <c r="A174">
        <f t="shared" si="253"/>
        <v>1</v>
      </c>
      <c r="B174">
        <f t="shared" si="254"/>
        <v>1</v>
      </c>
      <c r="C174" s="329">
        <f t="shared" si="255"/>
        <v>0</v>
      </c>
      <c r="D174">
        <f>'Invoer Gebouwschil'!F11</f>
        <v>0</v>
      </c>
      <c r="E174">
        <f t="shared" si="256"/>
        <v>0</v>
      </c>
      <c r="F174">
        <f t="shared" si="257"/>
        <v>0</v>
      </c>
      <c r="G174">
        <f t="shared" si="258"/>
        <v>0</v>
      </c>
      <c r="H174">
        <f t="shared" si="259"/>
        <v>0</v>
      </c>
      <c r="J174" s="12">
        <f t="shared" si="260"/>
        <v>0</v>
      </c>
      <c r="K174" s="12">
        <f t="shared" si="261"/>
        <v>0</v>
      </c>
      <c r="L174" s="12">
        <f t="shared" si="262"/>
        <v>0</v>
      </c>
      <c r="M174" s="12">
        <f t="shared" si="263"/>
        <v>0</v>
      </c>
      <c r="N174" s="12">
        <f t="shared" si="264"/>
        <v>0</v>
      </c>
      <c r="O174" s="12">
        <f t="shared" si="265"/>
        <v>0</v>
      </c>
      <c r="P174" s="12">
        <f t="shared" si="266"/>
        <v>0</v>
      </c>
      <c r="Q174" s="12">
        <f t="shared" si="267"/>
        <v>0</v>
      </c>
      <c r="R174" s="12">
        <f t="shared" si="268"/>
        <v>0</v>
      </c>
      <c r="S174" s="12">
        <f t="shared" si="269"/>
        <v>0</v>
      </c>
      <c r="T174" s="12">
        <f t="shared" si="270"/>
        <v>0</v>
      </c>
      <c r="U174" s="12">
        <f t="shared" si="271"/>
        <v>0</v>
      </c>
      <c r="V174" s="12"/>
      <c r="W174" s="13"/>
      <c r="X174" s="13"/>
      <c r="Y174" s="14"/>
    </row>
    <row r="175" spans="1:48" x14ac:dyDescent="0.2">
      <c r="A175">
        <f t="shared" si="253"/>
        <v>1</v>
      </c>
      <c r="B175">
        <f t="shared" si="254"/>
        <v>1</v>
      </c>
      <c r="C175" s="329">
        <f t="shared" si="255"/>
        <v>0</v>
      </c>
      <c r="D175">
        <f>'Invoer Gebouwschil'!F12</f>
        <v>0</v>
      </c>
      <c r="E175">
        <f t="shared" si="256"/>
        <v>0</v>
      </c>
      <c r="F175">
        <f t="shared" si="257"/>
        <v>0</v>
      </c>
      <c r="G175">
        <f t="shared" si="258"/>
        <v>0</v>
      </c>
      <c r="H175">
        <f t="shared" si="259"/>
        <v>0</v>
      </c>
      <c r="J175" s="12">
        <f t="shared" si="260"/>
        <v>0</v>
      </c>
      <c r="K175" s="12">
        <f t="shared" si="261"/>
        <v>0</v>
      </c>
      <c r="L175" s="12">
        <f t="shared" si="262"/>
        <v>0</v>
      </c>
      <c r="M175" s="12">
        <f t="shared" si="263"/>
        <v>0</v>
      </c>
      <c r="N175" s="12">
        <f t="shared" si="264"/>
        <v>0</v>
      </c>
      <c r="O175" s="12">
        <f t="shared" si="265"/>
        <v>0</v>
      </c>
      <c r="P175" s="12">
        <f t="shared" si="266"/>
        <v>0</v>
      </c>
      <c r="Q175" s="12">
        <f t="shared" si="267"/>
        <v>0</v>
      </c>
      <c r="R175" s="12">
        <f t="shared" si="268"/>
        <v>0</v>
      </c>
      <c r="S175" s="12">
        <f t="shared" si="269"/>
        <v>0</v>
      </c>
      <c r="T175" s="12">
        <f t="shared" si="270"/>
        <v>0</v>
      </c>
      <c r="U175" s="12">
        <f t="shared" si="271"/>
        <v>0</v>
      </c>
      <c r="V175" s="12"/>
      <c r="W175" s="13"/>
      <c r="X175" s="13"/>
      <c r="Y175" s="14"/>
    </row>
    <row r="176" spans="1:48" x14ac:dyDescent="0.2">
      <c r="A176">
        <f t="shared" si="253"/>
        <v>1</v>
      </c>
      <c r="B176">
        <f t="shared" si="254"/>
        <v>1</v>
      </c>
      <c r="C176" s="329">
        <f t="shared" si="255"/>
        <v>0</v>
      </c>
      <c r="D176">
        <f>'Invoer Gebouwschil'!F13</f>
        <v>0</v>
      </c>
      <c r="E176">
        <f t="shared" si="256"/>
        <v>0</v>
      </c>
      <c r="F176">
        <f t="shared" si="257"/>
        <v>0</v>
      </c>
      <c r="G176">
        <f t="shared" si="258"/>
        <v>0</v>
      </c>
      <c r="H176">
        <f t="shared" si="259"/>
        <v>0</v>
      </c>
      <c r="J176" s="12">
        <f t="shared" si="260"/>
        <v>0</v>
      </c>
      <c r="K176" s="12">
        <f t="shared" si="261"/>
        <v>0</v>
      </c>
      <c r="L176" s="12">
        <f t="shared" si="262"/>
        <v>0</v>
      </c>
      <c r="M176" s="12">
        <f t="shared" si="263"/>
        <v>0</v>
      </c>
      <c r="N176" s="12">
        <f t="shared" si="264"/>
        <v>0</v>
      </c>
      <c r="O176" s="12">
        <f t="shared" si="265"/>
        <v>0</v>
      </c>
      <c r="P176" s="12">
        <f t="shared" si="266"/>
        <v>0</v>
      </c>
      <c r="Q176" s="12">
        <f t="shared" si="267"/>
        <v>0</v>
      </c>
      <c r="R176" s="12">
        <f t="shared" si="268"/>
        <v>0</v>
      </c>
      <c r="S176" s="12">
        <f t="shared" si="269"/>
        <v>0</v>
      </c>
      <c r="T176" s="12">
        <f t="shared" si="270"/>
        <v>0</v>
      </c>
      <c r="U176" s="12">
        <f t="shared" si="271"/>
        <v>0</v>
      </c>
      <c r="V176" s="12"/>
      <c r="W176" s="13"/>
      <c r="X176" s="13"/>
      <c r="Y176" s="14"/>
    </row>
    <row r="177" spans="1:25" x14ac:dyDescent="0.2">
      <c r="A177">
        <f t="shared" si="253"/>
        <v>1</v>
      </c>
      <c r="B177">
        <f t="shared" si="254"/>
        <v>1</v>
      </c>
      <c r="C177" s="329">
        <f t="shared" si="255"/>
        <v>0</v>
      </c>
      <c r="D177">
        <f>'Invoer Gebouwschil'!F14</f>
        <v>0</v>
      </c>
      <c r="E177">
        <f t="shared" si="256"/>
        <v>0</v>
      </c>
      <c r="F177">
        <f t="shared" si="257"/>
        <v>0</v>
      </c>
      <c r="G177">
        <f t="shared" si="258"/>
        <v>0</v>
      </c>
      <c r="H177">
        <f t="shared" si="259"/>
        <v>0</v>
      </c>
      <c r="J177" s="12">
        <f t="shared" si="260"/>
        <v>0</v>
      </c>
      <c r="K177" s="12">
        <f t="shared" si="261"/>
        <v>0</v>
      </c>
      <c r="L177" s="12">
        <f t="shared" si="262"/>
        <v>0</v>
      </c>
      <c r="M177" s="12">
        <f t="shared" si="263"/>
        <v>0</v>
      </c>
      <c r="N177" s="12">
        <f t="shared" si="264"/>
        <v>0</v>
      </c>
      <c r="O177" s="12">
        <f t="shared" si="265"/>
        <v>0</v>
      </c>
      <c r="P177" s="12">
        <f t="shared" si="266"/>
        <v>0</v>
      </c>
      <c r="Q177" s="12">
        <f t="shared" si="267"/>
        <v>0</v>
      </c>
      <c r="R177" s="12">
        <f t="shared" si="268"/>
        <v>0</v>
      </c>
      <c r="S177" s="12">
        <f t="shared" si="269"/>
        <v>0</v>
      </c>
      <c r="T177" s="12">
        <f t="shared" si="270"/>
        <v>0</v>
      </c>
      <c r="U177" s="12">
        <f t="shared" si="271"/>
        <v>0</v>
      </c>
      <c r="V177" s="12"/>
      <c r="W177" s="13"/>
      <c r="X177" s="13"/>
      <c r="Y177" s="14"/>
    </row>
    <row r="178" spans="1:25" x14ac:dyDescent="0.2">
      <c r="A178">
        <f t="shared" si="253"/>
        <v>1</v>
      </c>
      <c r="B178">
        <f t="shared" si="254"/>
        <v>1</v>
      </c>
      <c r="C178" s="329">
        <f t="shared" si="255"/>
        <v>0</v>
      </c>
      <c r="D178">
        <f>'Invoer Gebouwschil'!F15</f>
        <v>0</v>
      </c>
      <c r="E178">
        <f t="shared" si="256"/>
        <v>0</v>
      </c>
      <c r="F178">
        <f t="shared" si="257"/>
        <v>0</v>
      </c>
      <c r="G178">
        <f t="shared" si="258"/>
        <v>0</v>
      </c>
      <c r="H178">
        <f t="shared" si="259"/>
        <v>0</v>
      </c>
      <c r="J178" s="12">
        <f t="shared" si="260"/>
        <v>0</v>
      </c>
      <c r="K178" s="12">
        <f t="shared" si="261"/>
        <v>0</v>
      </c>
      <c r="L178" s="12">
        <f t="shared" si="262"/>
        <v>0</v>
      </c>
      <c r="M178" s="12">
        <f t="shared" si="263"/>
        <v>0</v>
      </c>
      <c r="N178" s="12">
        <f t="shared" si="264"/>
        <v>0</v>
      </c>
      <c r="O178" s="12">
        <f t="shared" si="265"/>
        <v>0</v>
      </c>
      <c r="P178" s="12">
        <f t="shared" si="266"/>
        <v>0</v>
      </c>
      <c r="Q178" s="12">
        <f t="shared" si="267"/>
        <v>0</v>
      </c>
      <c r="R178" s="12">
        <f t="shared" si="268"/>
        <v>0</v>
      </c>
      <c r="S178" s="12">
        <f t="shared" si="269"/>
        <v>0</v>
      </c>
      <c r="T178" s="12">
        <f t="shared" si="270"/>
        <v>0</v>
      </c>
      <c r="U178" s="12">
        <f t="shared" si="271"/>
        <v>0</v>
      </c>
      <c r="V178" s="12"/>
      <c r="W178" s="13"/>
      <c r="X178" s="13"/>
      <c r="Y178" s="14"/>
    </row>
    <row r="179" spans="1:25" x14ac:dyDescent="0.2">
      <c r="A179">
        <f t="shared" si="253"/>
        <v>1</v>
      </c>
      <c r="B179">
        <f t="shared" si="254"/>
        <v>1</v>
      </c>
      <c r="C179" s="329">
        <f t="shared" si="255"/>
        <v>0</v>
      </c>
      <c r="D179">
        <f>'Invoer Gebouwschil'!F16</f>
        <v>0</v>
      </c>
      <c r="E179">
        <f t="shared" si="256"/>
        <v>0</v>
      </c>
      <c r="F179">
        <f t="shared" si="257"/>
        <v>0</v>
      </c>
      <c r="G179">
        <f t="shared" si="258"/>
        <v>0</v>
      </c>
      <c r="H179">
        <f t="shared" si="259"/>
        <v>0</v>
      </c>
      <c r="J179" s="12">
        <f t="shared" si="260"/>
        <v>0</v>
      </c>
      <c r="K179" s="12">
        <f t="shared" si="261"/>
        <v>0</v>
      </c>
      <c r="L179" s="12">
        <f t="shared" si="262"/>
        <v>0</v>
      </c>
      <c r="M179" s="12">
        <f t="shared" si="263"/>
        <v>0</v>
      </c>
      <c r="N179" s="12">
        <f t="shared" si="264"/>
        <v>0</v>
      </c>
      <c r="O179" s="12">
        <f t="shared" si="265"/>
        <v>0</v>
      </c>
      <c r="P179" s="12">
        <f t="shared" si="266"/>
        <v>0</v>
      </c>
      <c r="Q179" s="12">
        <f t="shared" si="267"/>
        <v>0</v>
      </c>
      <c r="R179" s="12">
        <f t="shared" si="268"/>
        <v>0</v>
      </c>
      <c r="S179" s="12">
        <f t="shared" si="269"/>
        <v>0</v>
      </c>
      <c r="T179" s="12">
        <f t="shared" si="270"/>
        <v>0</v>
      </c>
      <c r="U179" s="12">
        <f t="shared" si="271"/>
        <v>0</v>
      </c>
      <c r="V179" s="12"/>
      <c r="W179" s="13"/>
      <c r="X179" s="13"/>
      <c r="Y179" s="14"/>
    </row>
    <row r="180" spans="1:25" x14ac:dyDescent="0.2">
      <c r="A180">
        <f t="shared" si="253"/>
        <v>1</v>
      </c>
      <c r="B180">
        <f t="shared" si="254"/>
        <v>1</v>
      </c>
      <c r="C180" s="329">
        <f t="shared" si="255"/>
        <v>0</v>
      </c>
      <c r="D180">
        <f>'Invoer Gebouwschil'!F17</f>
        <v>0</v>
      </c>
      <c r="E180">
        <f t="shared" si="256"/>
        <v>0</v>
      </c>
      <c r="F180">
        <f t="shared" si="257"/>
        <v>0</v>
      </c>
      <c r="G180">
        <f t="shared" si="258"/>
        <v>0</v>
      </c>
      <c r="H180">
        <f t="shared" si="259"/>
        <v>0</v>
      </c>
      <c r="J180" s="12">
        <f t="shared" si="260"/>
        <v>0</v>
      </c>
      <c r="K180" s="12">
        <f t="shared" si="261"/>
        <v>0</v>
      </c>
      <c r="L180" s="12">
        <f t="shared" si="262"/>
        <v>0</v>
      </c>
      <c r="M180" s="12">
        <f t="shared" si="263"/>
        <v>0</v>
      </c>
      <c r="N180" s="12">
        <f t="shared" si="264"/>
        <v>0</v>
      </c>
      <c r="O180" s="12">
        <f t="shared" si="265"/>
        <v>0</v>
      </c>
      <c r="P180" s="12">
        <f t="shared" si="266"/>
        <v>0</v>
      </c>
      <c r="Q180" s="12">
        <f t="shared" si="267"/>
        <v>0</v>
      </c>
      <c r="R180" s="12">
        <f t="shared" si="268"/>
        <v>0</v>
      </c>
      <c r="S180" s="12">
        <f t="shared" si="269"/>
        <v>0</v>
      </c>
      <c r="T180" s="12">
        <f t="shared" si="270"/>
        <v>0</v>
      </c>
      <c r="U180" s="12">
        <f t="shared" si="271"/>
        <v>0</v>
      </c>
      <c r="V180" s="12"/>
      <c r="W180" s="13"/>
      <c r="X180" s="13"/>
      <c r="Y180" s="14"/>
    </row>
    <row r="181" spans="1:25" x14ac:dyDescent="0.2">
      <c r="A181">
        <f t="shared" si="253"/>
        <v>1</v>
      </c>
      <c r="B181">
        <f t="shared" si="254"/>
        <v>1</v>
      </c>
      <c r="C181" s="329">
        <f t="shared" si="255"/>
        <v>0</v>
      </c>
      <c r="D181">
        <f>'Invoer Gebouwschil'!F18</f>
        <v>0</v>
      </c>
      <c r="E181">
        <f t="shared" si="256"/>
        <v>0</v>
      </c>
      <c r="F181">
        <f t="shared" si="257"/>
        <v>0</v>
      </c>
      <c r="G181">
        <f t="shared" si="258"/>
        <v>0</v>
      </c>
      <c r="H181">
        <f t="shared" si="259"/>
        <v>0</v>
      </c>
      <c r="J181" s="12">
        <f t="shared" si="260"/>
        <v>0</v>
      </c>
      <c r="K181" s="12">
        <f t="shared" si="261"/>
        <v>0</v>
      </c>
      <c r="L181" s="12">
        <f t="shared" si="262"/>
        <v>0</v>
      </c>
      <c r="M181" s="12">
        <f t="shared" si="263"/>
        <v>0</v>
      </c>
      <c r="N181" s="12">
        <f t="shared" si="264"/>
        <v>0</v>
      </c>
      <c r="O181" s="12">
        <f t="shared" si="265"/>
        <v>0</v>
      </c>
      <c r="P181" s="12">
        <f t="shared" si="266"/>
        <v>0</v>
      </c>
      <c r="Q181" s="12">
        <f t="shared" si="267"/>
        <v>0</v>
      </c>
      <c r="R181" s="12">
        <f t="shared" si="268"/>
        <v>0</v>
      </c>
      <c r="S181" s="12">
        <f t="shared" si="269"/>
        <v>0</v>
      </c>
      <c r="T181" s="12">
        <f t="shared" si="270"/>
        <v>0</v>
      </c>
      <c r="U181" s="12">
        <f t="shared" si="271"/>
        <v>0</v>
      </c>
      <c r="V181" s="12"/>
      <c r="W181" s="13"/>
      <c r="X181" s="13"/>
      <c r="Y181" s="14"/>
    </row>
    <row r="182" spans="1:25" x14ac:dyDescent="0.2">
      <c r="A182">
        <f t="shared" si="253"/>
        <v>1</v>
      </c>
      <c r="B182">
        <f t="shared" si="254"/>
        <v>1</v>
      </c>
      <c r="C182" s="329">
        <f t="shared" si="255"/>
        <v>0</v>
      </c>
      <c r="D182">
        <f>'Invoer Gebouwschil'!F19</f>
        <v>0</v>
      </c>
      <c r="E182">
        <f t="shared" si="256"/>
        <v>0</v>
      </c>
      <c r="F182">
        <f t="shared" si="257"/>
        <v>0</v>
      </c>
      <c r="G182">
        <f t="shared" si="258"/>
        <v>0</v>
      </c>
      <c r="H182">
        <f t="shared" si="259"/>
        <v>0</v>
      </c>
      <c r="J182" s="12">
        <f t="shared" si="260"/>
        <v>0</v>
      </c>
      <c r="K182" s="12">
        <f t="shared" si="261"/>
        <v>0</v>
      </c>
      <c r="L182" s="12">
        <f t="shared" si="262"/>
        <v>0</v>
      </c>
      <c r="M182" s="12">
        <f t="shared" si="263"/>
        <v>0</v>
      </c>
      <c r="N182" s="12">
        <f t="shared" si="264"/>
        <v>0</v>
      </c>
      <c r="O182" s="12">
        <f t="shared" si="265"/>
        <v>0</v>
      </c>
      <c r="P182" s="12">
        <f t="shared" si="266"/>
        <v>0</v>
      </c>
      <c r="Q182" s="12">
        <f t="shared" si="267"/>
        <v>0</v>
      </c>
      <c r="R182" s="12">
        <f t="shared" si="268"/>
        <v>0</v>
      </c>
      <c r="S182" s="12">
        <f t="shared" si="269"/>
        <v>0</v>
      </c>
      <c r="T182" s="12">
        <f t="shared" si="270"/>
        <v>0</v>
      </c>
      <c r="U182" s="12">
        <f t="shared" si="271"/>
        <v>0</v>
      </c>
      <c r="V182" s="12"/>
      <c r="W182" s="13"/>
      <c r="X182" s="13"/>
      <c r="Y182" s="14"/>
    </row>
    <row r="183" spans="1:25" x14ac:dyDescent="0.2">
      <c r="A183">
        <f t="shared" si="253"/>
        <v>1</v>
      </c>
      <c r="B183">
        <f t="shared" si="254"/>
        <v>1</v>
      </c>
      <c r="C183" s="329">
        <f t="shared" si="255"/>
        <v>0</v>
      </c>
      <c r="D183">
        <f>'Invoer Gebouwschil'!F20</f>
        <v>0</v>
      </c>
      <c r="E183">
        <f t="shared" si="256"/>
        <v>0</v>
      </c>
      <c r="F183">
        <f t="shared" si="257"/>
        <v>0</v>
      </c>
      <c r="G183">
        <f t="shared" si="258"/>
        <v>0</v>
      </c>
      <c r="H183">
        <f t="shared" si="259"/>
        <v>0</v>
      </c>
      <c r="J183" s="12">
        <f t="shared" si="260"/>
        <v>0</v>
      </c>
      <c r="K183" s="12">
        <f t="shared" si="261"/>
        <v>0</v>
      </c>
      <c r="L183" s="12">
        <f t="shared" si="262"/>
        <v>0</v>
      </c>
      <c r="M183" s="12">
        <f t="shared" si="263"/>
        <v>0</v>
      </c>
      <c r="N183" s="12">
        <f t="shared" si="264"/>
        <v>0</v>
      </c>
      <c r="O183" s="12">
        <f t="shared" si="265"/>
        <v>0</v>
      </c>
      <c r="P183" s="12">
        <f t="shared" si="266"/>
        <v>0</v>
      </c>
      <c r="Q183" s="12">
        <f t="shared" si="267"/>
        <v>0</v>
      </c>
      <c r="R183" s="12">
        <f t="shared" si="268"/>
        <v>0</v>
      </c>
      <c r="S183" s="12">
        <f t="shared" si="269"/>
        <v>0</v>
      </c>
      <c r="T183" s="12">
        <f t="shared" si="270"/>
        <v>0</v>
      </c>
      <c r="U183" s="12">
        <f t="shared" si="271"/>
        <v>0</v>
      </c>
      <c r="V183" s="12"/>
      <c r="W183" s="13"/>
      <c r="X183" s="13"/>
      <c r="Y183" s="14"/>
    </row>
    <row r="184" spans="1:25" x14ac:dyDescent="0.2">
      <c r="A184">
        <f t="shared" si="253"/>
        <v>1</v>
      </c>
      <c r="B184">
        <f t="shared" si="254"/>
        <v>1</v>
      </c>
      <c r="C184" s="329">
        <f t="shared" si="255"/>
        <v>0</v>
      </c>
      <c r="D184">
        <f>'Invoer Gebouwschil'!F21</f>
        <v>0</v>
      </c>
      <c r="E184">
        <f t="shared" si="256"/>
        <v>0</v>
      </c>
      <c r="F184">
        <f t="shared" si="257"/>
        <v>0</v>
      </c>
      <c r="G184">
        <f t="shared" si="258"/>
        <v>0</v>
      </c>
      <c r="H184">
        <f t="shared" si="259"/>
        <v>0</v>
      </c>
      <c r="J184" s="12">
        <f t="shared" si="260"/>
        <v>0</v>
      </c>
      <c r="K184" s="12">
        <f t="shared" si="261"/>
        <v>0</v>
      </c>
      <c r="L184" s="12">
        <f t="shared" si="262"/>
        <v>0</v>
      </c>
      <c r="M184" s="12">
        <f t="shared" si="263"/>
        <v>0</v>
      </c>
      <c r="N184" s="12">
        <f t="shared" si="264"/>
        <v>0</v>
      </c>
      <c r="O184" s="12">
        <f t="shared" si="265"/>
        <v>0</v>
      </c>
      <c r="P184" s="12">
        <f t="shared" si="266"/>
        <v>0</v>
      </c>
      <c r="Q184" s="12">
        <f t="shared" si="267"/>
        <v>0</v>
      </c>
      <c r="R184" s="12">
        <f t="shared" si="268"/>
        <v>0</v>
      </c>
      <c r="S184" s="12">
        <f t="shared" si="269"/>
        <v>0</v>
      </c>
      <c r="T184" s="12">
        <f t="shared" si="270"/>
        <v>0</v>
      </c>
      <c r="U184" s="12">
        <f t="shared" si="271"/>
        <v>0</v>
      </c>
      <c r="V184" s="12"/>
      <c r="W184" s="13"/>
      <c r="X184" s="13"/>
      <c r="Y184" s="14"/>
    </row>
    <row r="185" spans="1:25" x14ac:dyDescent="0.2">
      <c r="A185">
        <f t="shared" si="253"/>
        <v>1</v>
      </c>
      <c r="B185">
        <f t="shared" si="254"/>
        <v>1</v>
      </c>
      <c r="C185" s="329">
        <f t="shared" si="255"/>
        <v>0</v>
      </c>
      <c r="D185">
        <f>'Invoer Gebouwschil'!F22</f>
        <v>0</v>
      </c>
      <c r="E185">
        <f t="shared" si="256"/>
        <v>0</v>
      </c>
      <c r="F185">
        <f t="shared" si="257"/>
        <v>0</v>
      </c>
      <c r="G185">
        <f t="shared" si="258"/>
        <v>0</v>
      </c>
      <c r="H185">
        <f t="shared" si="259"/>
        <v>0</v>
      </c>
      <c r="J185" s="12">
        <f t="shared" si="260"/>
        <v>0</v>
      </c>
      <c r="K185" s="12">
        <f t="shared" si="261"/>
        <v>0</v>
      </c>
      <c r="L185" s="12">
        <f t="shared" si="262"/>
        <v>0</v>
      </c>
      <c r="M185" s="12">
        <f t="shared" si="263"/>
        <v>0</v>
      </c>
      <c r="N185" s="12">
        <f t="shared" si="264"/>
        <v>0</v>
      </c>
      <c r="O185" s="12">
        <f t="shared" si="265"/>
        <v>0</v>
      </c>
      <c r="P185" s="12">
        <f t="shared" si="266"/>
        <v>0</v>
      </c>
      <c r="Q185" s="12">
        <f t="shared" si="267"/>
        <v>0</v>
      </c>
      <c r="R185" s="12">
        <f t="shared" si="268"/>
        <v>0</v>
      </c>
      <c r="S185" s="12">
        <f t="shared" si="269"/>
        <v>0</v>
      </c>
      <c r="T185" s="12">
        <f t="shared" si="270"/>
        <v>0</v>
      </c>
      <c r="U185" s="12">
        <f t="shared" si="271"/>
        <v>0</v>
      </c>
      <c r="V185" s="12"/>
      <c r="W185" s="13"/>
      <c r="X185" s="13"/>
      <c r="Y185" s="14"/>
    </row>
    <row r="186" spans="1:25" x14ac:dyDescent="0.2">
      <c r="A186">
        <f t="shared" si="253"/>
        <v>1</v>
      </c>
      <c r="B186">
        <f t="shared" si="254"/>
        <v>1</v>
      </c>
      <c r="C186" s="329">
        <f t="shared" si="255"/>
        <v>0</v>
      </c>
      <c r="D186">
        <f>'Invoer Gebouwschil'!F23</f>
        <v>0</v>
      </c>
      <c r="E186">
        <f t="shared" si="256"/>
        <v>0</v>
      </c>
      <c r="F186">
        <f t="shared" si="257"/>
        <v>0</v>
      </c>
      <c r="G186">
        <f t="shared" si="258"/>
        <v>0</v>
      </c>
      <c r="H186">
        <f t="shared" si="259"/>
        <v>0</v>
      </c>
      <c r="J186" s="12">
        <f t="shared" si="260"/>
        <v>0</v>
      </c>
      <c r="K186" s="12">
        <f t="shared" si="261"/>
        <v>0</v>
      </c>
      <c r="L186" s="12">
        <f t="shared" si="262"/>
        <v>0</v>
      </c>
      <c r="M186" s="12">
        <f t="shared" si="263"/>
        <v>0</v>
      </c>
      <c r="N186" s="12">
        <f t="shared" si="264"/>
        <v>0</v>
      </c>
      <c r="O186" s="12">
        <f t="shared" si="265"/>
        <v>0</v>
      </c>
      <c r="P186" s="12">
        <f t="shared" si="266"/>
        <v>0</v>
      </c>
      <c r="Q186" s="12">
        <f t="shared" si="267"/>
        <v>0</v>
      </c>
      <c r="R186" s="12">
        <f t="shared" si="268"/>
        <v>0</v>
      </c>
      <c r="S186" s="12">
        <f t="shared" si="269"/>
        <v>0</v>
      </c>
      <c r="T186" s="12">
        <f t="shared" si="270"/>
        <v>0</v>
      </c>
      <c r="U186" s="12">
        <f t="shared" si="271"/>
        <v>0</v>
      </c>
      <c r="V186" s="12"/>
      <c r="W186" s="13"/>
      <c r="X186" s="13"/>
      <c r="Y186" s="14"/>
    </row>
    <row r="187" spans="1:25" x14ac:dyDescent="0.2">
      <c r="A187">
        <f t="shared" ref="A187:A206" si="272">A24</f>
        <v>1</v>
      </c>
      <c r="B187">
        <f t="shared" ref="B187:B206" si="273">C24</f>
        <v>1</v>
      </c>
      <c r="C187" s="329">
        <f t="shared" ref="C187:C206" si="274">D24-G24</f>
        <v>0</v>
      </c>
      <c r="D187">
        <f>'Invoer Gebouwschil'!F24</f>
        <v>0</v>
      </c>
      <c r="E187">
        <f t="shared" ref="E187:E206" si="275">IF(D187&lt;0.4,C187,0)</f>
        <v>0</v>
      </c>
      <c r="F187">
        <f t="shared" ref="F187:F206" si="276">IF(AND(D187&gt;=0.4,D187&lt;2),C187,0)</f>
        <v>0</v>
      </c>
      <c r="G187">
        <f t="shared" ref="G187:G206" si="277">IF(AND(D187&gt;=2,D187&lt;2.7),C187,0)</f>
        <v>0</v>
      </c>
      <c r="H187">
        <f t="shared" ref="H187:H206" si="278">IF(D187&gt;=2.7,C187,0)</f>
        <v>0</v>
      </c>
      <c r="J187" s="12">
        <f t="shared" si="260"/>
        <v>0</v>
      </c>
      <c r="K187" s="12">
        <f t="shared" si="261"/>
        <v>0</v>
      </c>
      <c r="L187" s="12">
        <f t="shared" si="262"/>
        <v>0</v>
      </c>
      <c r="M187" s="12">
        <f t="shared" si="263"/>
        <v>0</v>
      </c>
      <c r="N187" s="12">
        <f t="shared" si="264"/>
        <v>0</v>
      </c>
      <c r="O187" s="12">
        <f t="shared" si="265"/>
        <v>0</v>
      </c>
      <c r="P187" s="12">
        <f t="shared" si="266"/>
        <v>0</v>
      </c>
      <c r="Q187" s="12">
        <f t="shared" si="267"/>
        <v>0</v>
      </c>
      <c r="R187" s="12">
        <f t="shared" si="268"/>
        <v>0</v>
      </c>
      <c r="S187" s="12">
        <f t="shared" si="269"/>
        <v>0</v>
      </c>
      <c r="T187" s="12">
        <f t="shared" si="270"/>
        <v>0</v>
      </c>
      <c r="U187" s="12">
        <f t="shared" si="271"/>
        <v>0</v>
      </c>
      <c r="V187" s="12"/>
      <c r="W187" s="13"/>
      <c r="X187" s="13"/>
      <c r="Y187" s="14"/>
    </row>
    <row r="188" spans="1:25" x14ac:dyDescent="0.2">
      <c r="A188">
        <f t="shared" si="272"/>
        <v>1</v>
      </c>
      <c r="B188">
        <f t="shared" si="273"/>
        <v>1</v>
      </c>
      <c r="C188" s="329">
        <f t="shared" si="274"/>
        <v>0</v>
      </c>
      <c r="D188">
        <f>'Invoer Gebouwschil'!F25</f>
        <v>0</v>
      </c>
      <c r="E188">
        <f t="shared" si="275"/>
        <v>0</v>
      </c>
      <c r="F188">
        <f t="shared" si="276"/>
        <v>0</v>
      </c>
      <c r="G188">
        <f t="shared" si="277"/>
        <v>0</v>
      </c>
      <c r="H188">
        <f t="shared" si="278"/>
        <v>0</v>
      </c>
      <c r="J188" s="12">
        <f t="shared" si="260"/>
        <v>0</v>
      </c>
      <c r="K188" s="12">
        <f t="shared" si="261"/>
        <v>0</v>
      </c>
      <c r="L188" s="12">
        <f t="shared" si="262"/>
        <v>0</v>
      </c>
      <c r="M188" s="12">
        <f t="shared" si="263"/>
        <v>0</v>
      </c>
      <c r="N188" s="12">
        <f t="shared" si="264"/>
        <v>0</v>
      </c>
      <c r="O188" s="12">
        <f t="shared" si="265"/>
        <v>0</v>
      </c>
      <c r="P188" s="12">
        <f t="shared" si="266"/>
        <v>0</v>
      </c>
      <c r="Q188" s="12">
        <f t="shared" si="267"/>
        <v>0</v>
      </c>
      <c r="R188" s="12">
        <f t="shared" si="268"/>
        <v>0</v>
      </c>
      <c r="S188" s="12">
        <f t="shared" si="269"/>
        <v>0</v>
      </c>
      <c r="T188" s="12">
        <f t="shared" si="270"/>
        <v>0</v>
      </c>
      <c r="U188" s="12">
        <f t="shared" si="271"/>
        <v>0</v>
      </c>
      <c r="V188" s="12"/>
      <c r="W188" s="13"/>
      <c r="X188" s="13"/>
      <c r="Y188" s="14"/>
    </row>
    <row r="189" spans="1:25" x14ac:dyDescent="0.2">
      <c r="A189">
        <f t="shared" si="272"/>
        <v>1</v>
      </c>
      <c r="B189">
        <f t="shared" si="273"/>
        <v>1</v>
      </c>
      <c r="C189" s="329">
        <f t="shared" si="274"/>
        <v>0</v>
      </c>
      <c r="D189">
        <f>'Invoer Gebouwschil'!F26</f>
        <v>0</v>
      </c>
      <c r="E189">
        <f t="shared" si="275"/>
        <v>0</v>
      </c>
      <c r="F189">
        <f t="shared" si="276"/>
        <v>0</v>
      </c>
      <c r="G189">
        <f t="shared" si="277"/>
        <v>0</v>
      </c>
      <c r="H189">
        <f t="shared" si="278"/>
        <v>0</v>
      </c>
      <c r="J189" s="12">
        <f t="shared" si="260"/>
        <v>0</v>
      </c>
      <c r="K189" s="12">
        <f t="shared" si="261"/>
        <v>0</v>
      </c>
      <c r="L189" s="12">
        <f t="shared" si="262"/>
        <v>0</v>
      </c>
      <c r="M189" s="12">
        <f t="shared" si="263"/>
        <v>0</v>
      </c>
      <c r="N189" s="12">
        <f t="shared" si="264"/>
        <v>0</v>
      </c>
      <c r="O189" s="12">
        <f t="shared" si="265"/>
        <v>0</v>
      </c>
      <c r="P189" s="12">
        <f t="shared" si="266"/>
        <v>0</v>
      </c>
      <c r="Q189" s="12">
        <f t="shared" si="267"/>
        <v>0</v>
      </c>
      <c r="R189" s="12">
        <f t="shared" si="268"/>
        <v>0</v>
      </c>
      <c r="S189" s="12">
        <f t="shared" si="269"/>
        <v>0</v>
      </c>
      <c r="T189" s="12">
        <f t="shared" si="270"/>
        <v>0</v>
      </c>
      <c r="U189" s="12">
        <f t="shared" si="271"/>
        <v>0</v>
      </c>
      <c r="V189" s="12"/>
      <c r="W189" s="13"/>
      <c r="X189" s="13"/>
      <c r="Y189" s="14"/>
    </row>
    <row r="190" spans="1:25" x14ac:dyDescent="0.2">
      <c r="A190">
        <f t="shared" si="272"/>
        <v>1</v>
      </c>
      <c r="B190">
        <f t="shared" si="273"/>
        <v>1</v>
      </c>
      <c r="C190" s="329">
        <f t="shared" si="274"/>
        <v>0</v>
      </c>
      <c r="D190">
        <f>'Invoer Gebouwschil'!F27</f>
        <v>0</v>
      </c>
      <c r="E190">
        <f t="shared" si="275"/>
        <v>0</v>
      </c>
      <c r="F190">
        <f t="shared" si="276"/>
        <v>0</v>
      </c>
      <c r="G190">
        <f t="shared" si="277"/>
        <v>0</v>
      </c>
      <c r="H190">
        <f t="shared" si="278"/>
        <v>0</v>
      </c>
      <c r="J190" s="12">
        <f t="shared" si="260"/>
        <v>0</v>
      </c>
      <c r="K190" s="12">
        <f t="shared" si="261"/>
        <v>0</v>
      </c>
      <c r="L190" s="12">
        <f t="shared" si="262"/>
        <v>0</v>
      </c>
      <c r="M190" s="12">
        <f t="shared" si="263"/>
        <v>0</v>
      </c>
      <c r="N190" s="12">
        <f t="shared" si="264"/>
        <v>0</v>
      </c>
      <c r="O190" s="12">
        <f t="shared" si="265"/>
        <v>0</v>
      </c>
      <c r="P190" s="12">
        <f t="shared" si="266"/>
        <v>0</v>
      </c>
      <c r="Q190" s="12">
        <f t="shared" si="267"/>
        <v>0</v>
      </c>
      <c r="R190" s="12">
        <f t="shared" si="268"/>
        <v>0</v>
      </c>
      <c r="S190" s="12">
        <f t="shared" si="269"/>
        <v>0</v>
      </c>
      <c r="T190" s="12">
        <f t="shared" si="270"/>
        <v>0</v>
      </c>
      <c r="U190" s="12">
        <f t="shared" si="271"/>
        <v>0</v>
      </c>
      <c r="V190" s="12"/>
      <c r="W190" s="13"/>
      <c r="X190" s="13"/>
      <c r="Y190" s="14"/>
    </row>
    <row r="191" spans="1:25" x14ac:dyDescent="0.2">
      <c r="A191">
        <f t="shared" si="272"/>
        <v>1</v>
      </c>
      <c r="B191">
        <f t="shared" si="273"/>
        <v>1</v>
      </c>
      <c r="C191" s="329">
        <f t="shared" si="274"/>
        <v>0</v>
      </c>
      <c r="D191">
        <f>'Invoer Gebouwschil'!F28</f>
        <v>0</v>
      </c>
      <c r="E191">
        <f t="shared" si="275"/>
        <v>0</v>
      </c>
      <c r="F191">
        <f t="shared" si="276"/>
        <v>0</v>
      </c>
      <c r="G191">
        <f t="shared" si="277"/>
        <v>0</v>
      </c>
      <c r="H191">
        <f t="shared" si="278"/>
        <v>0</v>
      </c>
      <c r="J191" s="12">
        <f t="shared" si="260"/>
        <v>0</v>
      </c>
      <c r="K191" s="12">
        <f t="shared" si="261"/>
        <v>0</v>
      </c>
      <c r="L191" s="12">
        <f t="shared" si="262"/>
        <v>0</v>
      </c>
      <c r="M191" s="12">
        <f t="shared" si="263"/>
        <v>0</v>
      </c>
      <c r="N191" s="12">
        <f t="shared" si="264"/>
        <v>0</v>
      </c>
      <c r="O191" s="12">
        <f t="shared" si="265"/>
        <v>0</v>
      </c>
      <c r="P191" s="12">
        <f t="shared" si="266"/>
        <v>0</v>
      </c>
      <c r="Q191" s="12">
        <f t="shared" si="267"/>
        <v>0</v>
      </c>
      <c r="R191" s="12">
        <f t="shared" si="268"/>
        <v>0</v>
      </c>
      <c r="S191" s="12">
        <f t="shared" si="269"/>
        <v>0</v>
      </c>
      <c r="T191" s="12">
        <f t="shared" si="270"/>
        <v>0</v>
      </c>
      <c r="U191" s="12">
        <f t="shared" si="271"/>
        <v>0</v>
      </c>
      <c r="V191" s="12"/>
      <c r="W191" s="13"/>
      <c r="X191" s="13"/>
      <c r="Y191" s="14"/>
    </row>
    <row r="192" spans="1:25" x14ac:dyDescent="0.2">
      <c r="A192">
        <f t="shared" si="272"/>
        <v>1</v>
      </c>
      <c r="B192">
        <f t="shared" si="273"/>
        <v>1</v>
      </c>
      <c r="C192" s="329">
        <f t="shared" si="274"/>
        <v>0</v>
      </c>
      <c r="D192">
        <f>'Invoer Gebouwschil'!F29</f>
        <v>0</v>
      </c>
      <c r="E192">
        <f t="shared" si="275"/>
        <v>0</v>
      </c>
      <c r="F192">
        <f t="shared" si="276"/>
        <v>0</v>
      </c>
      <c r="G192">
        <f t="shared" si="277"/>
        <v>0</v>
      </c>
      <c r="H192">
        <f t="shared" si="278"/>
        <v>0</v>
      </c>
      <c r="J192" s="12">
        <f t="shared" si="260"/>
        <v>0</v>
      </c>
      <c r="K192" s="12">
        <f t="shared" si="261"/>
        <v>0</v>
      </c>
      <c r="L192" s="12">
        <f t="shared" si="262"/>
        <v>0</v>
      </c>
      <c r="M192" s="12">
        <f t="shared" si="263"/>
        <v>0</v>
      </c>
      <c r="N192" s="12">
        <f t="shared" si="264"/>
        <v>0</v>
      </c>
      <c r="O192" s="12">
        <f t="shared" si="265"/>
        <v>0</v>
      </c>
      <c r="P192" s="12">
        <f t="shared" si="266"/>
        <v>0</v>
      </c>
      <c r="Q192" s="12">
        <f t="shared" si="267"/>
        <v>0</v>
      </c>
      <c r="R192" s="12">
        <f t="shared" si="268"/>
        <v>0</v>
      </c>
      <c r="S192" s="12">
        <f t="shared" si="269"/>
        <v>0</v>
      </c>
      <c r="T192" s="12">
        <f t="shared" si="270"/>
        <v>0</v>
      </c>
      <c r="U192" s="12">
        <f t="shared" si="271"/>
        <v>0</v>
      </c>
      <c r="V192" s="12"/>
      <c r="W192" s="13"/>
      <c r="X192" s="13"/>
      <c r="Y192" s="14"/>
    </row>
    <row r="193" spans="1:25" x14ac:dyDescent="0.2">
      <c r="A193">
        <f t="shared" si="272"/>
        <v>1</v>
      </c>
      <c r="B193">
        <f t="shared" si="273"/>
        <v>1</v>
      </c>
      <c r="C193" s="329">
        <f t="shared" si="274"/>
        <v>0</v>
      </c>
      <c r="D193">
        <f>'Invoer Gebouwschil'!F30</f>
        <v>0</v>
      </c>
      <c r="E193">
        <f t="shared" si="275"/>
        <v>0</v>
      </c>
      <c r="F193">
        <f t="shared" si="276"/>
        <v>0</v>
      </c>
      <c r="G193">
        <f t="shared" si="277"/>
        <v>0</v>
      </c>
      <c r="H193">
        <f t="shared" si="278"/>
        <v>0</v>
      </c>
      <c r="J193" s="12">
        <f t="shared" si="260"/>
        <v>0</v>
      </c>
      <c r="K193" s="12">
        <f t="shared" si="261"/>
        <v>0</v>
      </c>
      <c r="L193" s="12">
        <f t="shared" si="262"/>
        <v>0</v>
      </c>
      <c r="M193" s="12">
        <f t="shared" si="263"/>
        <v>0</v>
      </c>
      <c r="N193" s="12">
        <f t="shared" si="264"/>
        <v>0</v>
      </c>
      <c r="O193" s="12">
        <f t="shared" si="265"/>
        <v>0</v>
      </c>
      <c r="P193" s="12">
        <f t="shared" si="266"/>
        <v>0</v>
      </c>
      <c r="Q193" s="12">
        <f t="shared" si="267"/>
        <v>0</v>
      </c>
      <c r="R193" s="12">
        <f t="shared" si="268"/>
        <v>0</v>
      </c>
      <c r="S193" s="12">
        <f t="shared" si="269"/>
        <v>0</v>
      </c>
      <c r="T193" s="12">
        <f t="shared" si="270"/>
        <v>0</v>
      </c>
      <c r="U193" s="12">
        <f t="shared" si="271"/>
        <v>0</v>
      </c>
      <c r="V193" s="12"/>
      <c r="W193" s="13"/>
      <c r="X193" s="13"/>
      <c r="Y193" s="14"/>
    </row>
    <row r="194" spans="1:25" x14ac:dyDescent="0.2">
      <c r="A194">
        <f t="shared" si="272"/>
        <v>1</v>
      </c>
      <c r="B194">
        <f t="shared" si="273"/>
        <v>1</v>
      </c>
      <c r="C194" s="329">
        <f t="shared" si="274"/>
        <v>0</v>
      </c>
      <c r="D194">
        <f>'Invoer Gebouwschil'!F31</f>
        <v>0</v>
      </c>
      <c r="E194">
        <f t="shared" si="275"/>
        <v>0</v>
      </c>
      <c r="F194">
        <f t="shared" si="276"/>
        <v>0</v>
      </c>
      <c r="G194">
        <f t="shared" si="277"/>
        <v>0</v>
      </c>
      <c r="H194">
        <f t="shared" si="278"/>
        <v>0</v>
      </c>
      <c r="J194" s="12">
        <f t="shared" si="260"/>
        <v>0</v>
      </c>
      <c r="K194" s="12">
        <f t="shared" si="261"/>
        <v>0</v>
      </c>
      <c r="L194" s="12">
        <f t="shared" si="262"/>
        <v>0</v>
      </c>
      <c r="M194" s="12">
        <f t="shared" si="263"/>
        <v>0</v>
      </c>
      <c r="N194" s="12">
        <f t="shared" si="264"/>
        <v>0</v>
      </c>
      <c r="O194" s="12">
        <f t="shared" si="265"/>
        <v>0</v>
      </c>
      <c r="P194" s="12">
        <f t="shared" si="266"/>
        <v>0</v>
      </c>
      <c r="Q194" s="12">
        <f t="shared" si="267"/>
        <v>0</v>
      </c>
      <c r="R194" s="12">
        <f t="shared" si="268"/>
        <v>0</v>
      </c>
      <c r="S194" s="12">
        <f t="shared" si="269"/>
        <v>0</v>
      </c>
      <c r="T194" s="12">
        <f t="shared" si="270"/>
        <v>0</v>
      </c>
      <c r="U194" s="12">
        <f t="shared" si="271"/>
        <v>0</v>
      </c>
      <c r="V194" s="12"/>
      <c r="W194" s="13"/>
      <c r="X194" s="13"/>
      <c r="Y194" s="14"/>
    </row>
    <row r="195" spans="1:25" x14ac:dyDescent="0.2">
      <c r="A195">
        <f t="shared" si="272"/>
        <v>1</v>
      </c>
      <c r="B195">
        <f t="shared" si="273"/>
        <v>1</v>
      </c>
      <c r="C195" s="329">
        <f t="shared" si="274"/>
        <v>0</v>
      </c>
      <c r="D195">
        <f>'Invoer Gebouwschil'!F32</f>
        <v>0</v>
      </c>
      <c r="E195">
        <f t="shared" si="275"/>
        <v>0</v>
      </c>
      <c r="F195">
        <f t="shared" si="276"/>
        <v>0</v>
      </c>
      <c r="G195">
        <f t="shared" si="277"/>
        <v>0</v>
      </c>
      <c r="H195">
        <f t="shared" si="278"/>
        <v>0</v>
      </c>
      <c r="J195" s="12">
        <f t="shared" si="260"/>
        <v>0</v>
      </c>
      <c r="K195" s="12">
        <f t="shared" si="261"/>
        <v>0</v>
      </c>
      <c r="L195" s="12">
        <f t="shared" si="262"/>
        <v>0</v>
      </c>
      <c r="M195" s="12">
        <f t="shared" si="263"/>
        <v>0</v>
      </c>
      <c r="N195" s="12">
        <f t="shared" si="264"/>
        <v>0</v>
      </c>
      <c r="O195" s="12">
        <f t="shared" si="265"/>
        <v>0</v>
      </c>
      <c r="P195" s="12">
        <f t="shared" si="266"/>
        <v>0</v>
      </c>
      <c r="Q195" s="12">
        <f t="shared" si="267"/>
        <v>0</v>
      </c>
      <c r="R195" s="12">
        <f t="shared" si="268"/>
        <v>0</v>
      </c>
      <c r="S195" s="12">
        <f t="shared" si="269"/>
        <v>0</v>
      </c>
      <c r="T195" s="12">
        <f t="shared" si="270"/>
        <v>0</v>
      </c>
      <c r="U195" s="12">
        <f t="shared" si="271"/>
        <v>0</v>
      </c>
      <c r="V195" s="12"/>
      <c r="W195" s="13"/>
      <c r="X195" s="13"/>
      <c r="Y195" s="14"/>
    </row>
    <row r="196" spans="1:25" x14ac:dyDescent="0.2">
      <c r="A196">
        <f t="shared" si="272"/>
        <v>1</v>
      </c>
      <c r="B196">
        <f t="shared" si="273"/>
        <v>1</v>
      </c>
      <c r="C196" s="329">
        <f t="shared" si="274"/>
        <v>0</v>
      </c>
      <c r="D196">
        <f>'Invoer Gebouwschil'!F33</f>
        <v>0</v>
      </c>
      <c r="E196">
        <f t="shared" si="275"/>
        <v>0</v>
      </c>
      <c r="F196">
        <f t="shared" si="276"/>
        <v>0</v>
      </c>
      <c r="G196">
        <f t="shared" si="277"/>
        <v>0</v>
      </c>
      <c r="H196">
        <f t="shared" si="278"/>
        <v>0</v>
      </c>
      <c r="J196" s="12">
        <f t="shared" si="260"/>
        <v>0</v>
      </c>
      <c r="K196" s="12">
        <f t="shared" si="261"/>
        <v>0</v>
      </c>
      <c r="L196" s="12">
        <f t="shared" si="262"/>
        <v>0</v>
      </c>
      <c r="M196" s="12">
        <f t="shared" si="263"/>
        <v>0</v>
      </c>
      <c r="N196" s="12">
        <f t="shared" si="264"/>
        <v>0</v>
      </c>
      <c r="O196" s="12">
        <f t="shared" si="265"/>
        <v>0</v>
      </c>
      <c r="P196" s="12">
        <f t="shared" si="266"/>
        <v>0</v>
      </c>
      <c r="Q196" s="12">
        <f t="shared" si="267"/>
        <v>0</v>
      </c>
      <c r="R196" s="12">
        <f t="shared" si="268"/>
        <v>0</v>
      </c>
      <c r="S196" s="12">
        <f t="shared" si="269"/>
        <v>0</v>
      </c>
      <c r="T196" s="12">
        <f t="shared" si="270"/>
        <v>0</v>
      </c>
      <c r="U196" s="12">
        <f t="shared" si="271"/>
        <v>0</v>
      </c>
      <c r="V196" s="12"/>
      <c r="W196" s="13"/>
      <c r="X196" s="13"/>
      <c r="Y196" s="14"/>
    </row>
    <row r="197" spans="1:25" x14ac:dyDescent="0.2">
      <c r="A197">
        <f t="shared" si="272"/>
        <v>1</v>
      </c>
      <c r="B197">
        <f t="shared" si="273"/>
        <v>1</v>
      </c>
      <c r="C197" s="329">
        <f t="shared" si="274"/>
        <v>0</v>
      </c>
      <c r="D197">
        <f>'Invoer Gebouwschil'!F34</f>
        <v>0</v>
      </c>
      <c r="E197">
        <f t="shared" si="275"/>
        <v>0</v>
      </c>
      <c r="F197">
        <f t="shared" si="276"/>
        <v>0</v>
      </c>
      <c r="G197">
        <f t="shared" si="277"/>
        <v>0</v>
      </c>
      <c r="H197">
        <f t="shared" si="278"/>
        <v>0</v>
      </c>
      <c r="J197" s="12">
        <f t="shared" si="260"/>
        <v>0</v>
      </c>
      <c r="K197" s="12">
        <f t="shared" si="261"/>
        <v>0</v>
      </c>
      <c r="L197" s="12">
        <f t="shared" si="262"/>
        <v>0</v>
      </c>
      <c r="M197" s="12">
        <f t="shared" si="263"/>
        <v>0</v>
      </c>
      <c r="N197" s="12">
        <f t="shared" si="264"/>
        <v>0</v>
      </c>
      <c r="O197" s="12">
        <f t="shared" si="265"/>
        <v>0</v>
      </c>
      <c r="P197" s="12">
        <f t="shared" si="266"/>
        <v>0</v>
      </c>
      <c r="Q197" s="12">
        <f t="shared" si="267"/>
        <v>0</v>
      </c>
      <c r="R197" s="12">
        <f t="shared" si="268"/>
        <v>0</v>
      </c>
      <c r="S197" s="12">
        <f t="shared" si="269"/>
        <v>0</v>
      </c>
      <c r="T197" s="12">
        <f t="shared" si="270"/>
        <v>0</v>
      </c>
      <c r="U197" s="12">
        <f t="shared" si="271"/>
        <v>0</v>
      </c>
      <c r="V197" s="12"/>
      <c r="W197" s="13"/>
      <c r="X197" s="13"/>
      <c r="Y197" s="14"/>
    </row>
    <row r="198" spans="1:25" x14ac:dyDescent="0.2">
      <c r="A198">
        <f t="shared" si="272"/>
        <v>1</v>
      </c>
      <c r="B198">
        <f t="shared" si="273"/>
        <v>1</v>
      </c>
      <c r="C198" s="329">
        <f t="shared" si="274"/>
        <v>0</v>
      </c>
      <c r="D198">
        <f>'Invoer Gebouwschil'!F35</f>
        <v>0</v>
      </c>
      <c r="E198">
        <f t="shared" si="275"/>
        <v>0</v>
      </c>
      <c r="F198">
        <f t="shared" si="276"/>
        <v>0</v>
      </c>
      <c r="G198">
        <f t="shared" si="277"/>
        <v>0</v>
      </c>
      <c r="H198">
        <f t="shared" si="278"/>
        <v>0</v>
      </c>
      <c r="J198" s="12">
        <f t="shared" si="260"/>
        <v>0</v>
      </c>
      <c r="K198" s="12">
        <f t="shared" si="261"/>
        <v>0</v>
      </c>
      <c r="L198" s="12">
        <f t="shared" si="262"/>
        <v>0</v>
      </c>
      <c r="M198" s="12">
        <f t="shared" si="263"/>
        <v>0</v>
      </c>
      <c r="N198" s="12">
        <f t="shared" si="264"/>
        <v>0</v>
      </c>
      <c r="O198" s="12">
        <f t="shared" si="265"/>
        <v>0</v>
      </c>
      <c r="P198" s="12">
        <f t="shared" si="266"/>
        <v>0</v>
      </c>
      <c r="Q198" s="12">
        <f t="shared" si="267"/>
        <v>0</v>
      </c>
      <c r="R198" s="12">
        <f t="shared" si="268"/>
        <v>0</v>
      </c>
      <c r="S198" s="12">
        <f t="shared" si="269"/>
        <v>0</v>
      </c>
      <c r="T198" s="12">
        <f t="shared" si="270"/>
        <v>0</v>
      </c>
      <c r="U198" s="12">
        <f t="shared" si="271"/>
        <v>0</v>
      </c>
      <c r="V198" s="12"/>
      <c r="W198" s="13"/>
      <c r="X198" s="13"/>
      <c r="Y198" s="14"/>
    </row>
    <row r="199" spans="1:25" x14ac:dyDescent="0.2">
      <c r="A199">
        <f t="shared" si="272"/>
        <v>1</v>
      </c>
      <c r="B199">
        <f t="shared" si="273"/>
        <v>1</v>
      </c>
      <c r="C199" s="329">
        <f t="shared" si="274"/>
        <v>0</v>
      </c>
      <c r="D199">
        <f>'Invoer Gebouwschil'!F36</f>
        <v>0</v>
      </c>
      <c r="E199">
        <f t="shared" si="275"/>
        <v>0</v>
      </c>
      <c r="F199">
        <f t="shared" si="276"/>
        <v>0</v>
      </c>
      <c r="G199">
        <f t="shared" si="277"/>
        <v>0</v>
      </c>
      <c r="H199">
        <f t="shared" si="278"/>
        <v>0</v>
      </c>
      <c r="J199" s="12">
        <f t="shared" si="260"/>
        <v>0</v>
      </c>
      <c r="K199" s="12">
        <f t="shared" si="261"/>
        <v>0</v>
      </c>
      <c r="L199" s="12">
        <f t="shared" si="262"/>
        <v>0</v>
      </c>
      <c r="M199" s="12">
        <f t="shared" si="263"/>
        <v>0</v>
      </c>
      <c r="N199" s="12">
        <f t="shared" si="264"/>
        <v>0</v>
      </c>
      <c r="O199" s="12">
        <f t="shared" si="265"/>
        <v>0</v>
      </c>
      <c r="P199" s="12">
        <f t="shared" si="266"/>
        <v>0</v>
      </c>
      <c r="Q199" s="12">
        <f t="shared" si="267"/>
        <v>0</v>
      </c>
      <c r="R199" s="12">
        <f t="shared" si="268"/>
        <v>0</v>
      </c>
      <c r="S199" s="12">
        <f t="shared" si="269"/>
        <v>0</v>
      </c>
      <c r="T199" s="12">
        <f t="shared" si="270"/>
        <v>0</v>
      </c>
      <c r="U199" s="12">
        <f t="shared" si="271"/>
        <v>0</v>
      </c>
      <c r="V199" s="12"/>
      <c r="W199" s="13"/>
      <c r="X199" s="13"/>
      <c r="Y199" s="14"/>
    </row>
    <row r="200" spans="1:25" x14ac:dyDescent="0.2">
      <c r="A200">
        <f t="shared" si="272"/>
        <v>1</v>
      </c>
      <c r="B200">
        <f t="shared" si="273"/>
        <v>1</v>
      </c>
      <c r="C200" s="329">
        <f t="shared" si="274"/>
        <v>0</v>
      </c>
      <c r="D200">
        <f>'Invoer Gebouwschil'!F37</f>
        <v>0</v>
      </c>
      <c r="E200">
        <f t="shared" si="275"/>
        <v>0</v>
      </c>
      <c r="F200">
        <f t="shared" si="276"/>
        <v>0</v>
      </c>
      <c r="G200">
        <f t="shared" si="277"/>
        <v>0</v>
      </c>
      <c r="H200">
        <f t="shared" si="278"/>
        <v>0</v>
      </c>
      <c r="J200" s="12">
        <f t="shared" si="260"/>
        <v>0</v>
      </c>
      <c r="K200" s="12">
        <f t="shared" si="261"/>
        <v>0</v>
      </c>
      <c r="L200" s="12">
        <f t="shared" si="262"/>
        <v>0</v>
      </c>
      <c r="M200" s="12">
        <f t="shared" si="263"/>
        <v>0</v>
      </c>
      <c r="N200" s="12">
        <f t="shared" si="264"/>
        <v>0</v>
      </c>
      <c r="O200" s="12">
        <f t="shared" si="265"/>
        <v>0</v>
      </c>
      <c r="P200" s="12">
        <f t="shared" si="266"/>
        <v>0</v>
      </c>
      <c r="Q200" s="12">
        <f t="shared" si="267"/>
        <v>0</v>
      </c>
      <c r="R200" s="12">
        <f t="shared" si="268"/>
        <v>0</v>
      </c>
      <c r="S200" s="12">
        <f t="shared" si="269"/>
        <v>0</v>
      </c>
      <c r="T200" s="12">
        <f t="shared" si="270"/>
        <v>0</v>
      </c>
      <c r="U200" s="12">
        <f t="shared" si="271"/>
        <v>0</v>
      </c>
      <c r="V200" s="12"/>
      <c r="W200" s="13"/>
      <c r="X200" s="13"/>
      <c r="Y200" s="14"/>
    </row>
    <row r="201" spans="1:25" x14ac:dyDescent="0.2">
      <c r="A201">
        <f t="shared" si="272"/>
        <v>1</v>
      </c>
      <c r="B201">
        <f t="shared" si="273"/>
        <v>1</v>
      </c>
      <c r="C201" s="329">
        <f t="shared" si="274"/>
        <v>0</v>
      </c>
      <c r="D201">
        <f>'Invoer Gebouwschil'!F38</f>
        <v>0</v>
      </c>
      <c r="E201">
        <f t="shared" si="275"/>
        <v>0</v>
      </c>
      <c r="F201">
        <f t="shared" si="276"/>
        <v>0</v>
      </c>
      <c r="G201">
        <f t="shared" si="277"/>
        <v>0</v>
      </c>
      <c r="H201">
        <f t="shared" si="278"/>
        <v>0</v>
      </c>
      <c r="J201" s="12">
        <f t="shared" si="260"/>
        <v>0</v>
      </c>
      <c r="K201" s="12">
        <f t="shared" si="261"/>
        <v>0</v>
      </c>
      <c r="L201" s="12">
        <f t="shared" si="262"/>
        <v>0</v>
      </c>
      <c r="M201" s="12">
        <f t="shared" si="263"/>
        <v>0</v>
      </c>
      <c r="N201" s="12">
        <f t="shared" si="264"/>
        <v>0</v>
      </c>
      <c r="O201" s="12">
        <f t="shared" si="265"/>
        <v>0</v>
      </c>
      <c r="P201" s="12">
        <f t="shared" si="266"/>
        <v>0</v>
      </c>
      <c r="Q201" s="12">
        <f t="shared" si="267"/>
        <v>0</v>
      </c>
      <c r="R201" s="12">
        <f t="shared" si="268"/>
        <v>0</v>
      </c>
      <c r="S201" s="12">
        <f t="shared" si="269"/>
        <v>0</v>
      </c>
      <c r="T201" s="12">
        <f t="shared" si="270"/>
        <v>0</v>
      </c>
      <c r="U201" s="12">
        <f t="shared" si="271"/>
        <v>0</v>
      </c>
      <c r="V201" s="12"/>
      <c r="W201" s="13"/>
      <c r="X201" s="13"/>
      <c r="Y201" s="14"/>
    </row>
    <row r="202" spans="1:25" x14ac:dyDescent="0.2">
      <c r="A202">
        <f t="shared" si="272"/>
        <v>1</v>
      </c>
      <c r="B202">
        <f t="shared" si="273"/>
        <v>1</v>
      </c>
      <c r="C202" s="329">
        <f t="shared" si="274"/>
        <v>0</v>
      </c>
      <c r="D202">
        <f>'Invoer Gebouwschil'!F39</f>
        <v>0</v>
      </c>
      <c r="E202">
        <f t="shared" si="275"/>
        <v>0</v>
      </c>
      <c r="F202">
        <f t="shared" si="276"/>
        <v>0</v>
      </c>
      <c r="G202">
        <f t="shared" si="277"/>
        <v>0</v>
      </c>
      <c r="H202">
        <f t="shared" si="278"/>
        <v>0</v>
      </c>
      <c r="J202" s="12">
        <f t="shared" si="260"/>
        <v>0</v>
      </c>
      <c r="K202" s="12">
        <f t="shared" si="261"/>
        <v>0</v>
      </c>
      <c r="L202" s="12">
        <f t="shared" si="262"/>
        <v>0</v>
      </c>
      <c r="M202" s="12">
        <f t="shared" si="263"/>
        <v>0</v>
      </c>
      <c r="N202" s="12">
        <f t="shared" si="264"/>
        <v>0</v>
      </c>
      <c r="O202" s="12">
        <f t="shared" si="265"/>
        <v>0</v>
      </c>
      <c r="P202" s="12">
        <f t="shared" si="266"/>
        <v>0</v>
      </c>
      <c r="Q202" s="12">
        <f t="shared" si="267"/>
        <v>0</v>
      </c>
      <c r="R202" s="12">
        <f t="shared" si="268"/>
        <v>0</v>
      </c>
      <c r="S202" s="12">
        <f t="shared" si="269"/>
        <v>0</v>
      </c>
      <c r="T202" s="12">
        <f t="shared" si="270"/>
        <v>0</v>
      </c>
      <c r="U202" s="12">
        <f t="shared" si="271"/>
        <v>0</v>
      </c>
      <c r="V202" s="12"/>
      <c r="W202" s="13"/>
      <c r="X202" s="13"/>
      <c r="Y202" s="14"/>
    </row>
    <row r="203" spans="1:25" x14ac:dyDescent="0.2">
      <c r="A203">
        <f t="shared" si="272"/>
        <v>1</v>
      </c>
      <c r="B203">
        <f t="shared" si="273"/>
        <v>1</v>
      </c>
      <c r="C203" s="329">
        <f t="shared" si="274"/>
        <v>0</v>
      </c>
      <c r="D203">
        <f>'Invoer Gebouwschil'!F40</f>
        <v>0</v>
      </c>
      <c r="E203">
        <f t="shared" si="275"/>
        <v>0</v>
      </c>
      <c r="F203">
        <f t="shared" si="276"/>
        <v>0</v>
      </c>
      <c r="G203">
        <f t="shared" si="277"/>
        <v>0</v>
      </c>
      <c r="H203">
        <f t="shared" si="278"/>
        <v>0</v>
      </c>
      <c r="J203" s="12">
        <f t="shared" si="260"/>
        <v>0</v>
      </c>
      <c r="K203" s="12">
        <f t="shared" si="261"/>
        <v>0</v>
      </c>
      <c r="L203" s="12">
        <f t="shared" si="262"/>
        <v>0</v>
      </c>
      <c r="M203" s="12">
        <f t="shared" si="263"/>
        <v>0</v>
      </c>
      <c r="N203" s="12">
        <f t="shared" si="264"/>
        <v>0</v>
      </c>
      <c r="O203" s="12">
        <f t="shared" si="265"/>
        <v>0</v>
      </c>
      <c r="P203" s="12">
        <f t="shared" si="266"/>
        <v>0</v>
      </c>
      <c r="Q203" s="12">
        <f t="shared" si="267"/>
        <v>0</v>
      </c>
      <c r="R203" s="12">
        <f t="shared" si="268"/>
        <v>0</v>
      </c>
      <c r="S203" s="12">
        <f t="shared" si="269"/>
        <v>0</v>
      </c>
      <c r="T203" s="12">
        <f t="shared" si="270"/>
        <v>0</v>
      </c>
      <c r="U203" s="12">
        <f t="shared" si="271"/>
        <v>0</v>
      </c>
      <c r="V203" s="12"/>
      <c r="W203" s="13"/>
      <c r="X203" s="13"/>
      <c r="Y203" s="14"/>
    </row>
    <row r="204" spans="1:25" x14ac:dyDescent="0.2">
      <c r="A204">
        <f t="shared" si="272"/>
        <v>1</v>
      </c>
      <c r="B204">
        <f t="shared" si="273"/>
        <v>1</v>
      </c>
      <c r="C204" s="329">
        <f t="shared" si="274"/>
        <v>0</v>
      </c>
      <c r="D204">
        <f>'Invoer Gebouwschil'!F41</f>
        <v>0</v>
      </c>
      <c r="E204">
        <f t="shared" si="275"/>
        <v>0</v>
      </c>
      <c r="F204">
        <f t="shared" si="276"/>
        <v>0</v>
      </c>
      <c r="G204">
        <f t="shared" si="277"/>
        <v>0</v>
      </c>
      <c r="H204">
        <f t="shared" si="278"/>
        <v>0</v>
      </c>
      <c r="J204" s="12">
        <f t="shared" si="260"/>
        <v>0</v>
      </c>
      <c r="K204" s="12">
        <f t="shared" si="261"/>
        <v>0</v>
      </c>
      <c r="L204" s="12">
        <f t="shared" si="262"/>
        <v>0</v>
      </c>
      <c r="M204" s="12">
        <f t="shared" si="263"/>
        <v>0</v>
      </c>
      <c r="N204" s="12">
        <f t="shared" si="264"/>
        <v>0</v>
      </c>
      <c r="O204" s="12">
        <f t="shared" si="265"/>
        <v>0</v>
      </c>
      <c r="P204" s="12">
        <f t="shared" si="266"/>
        <v>0</v>
      </c>
      <c r="Q204" s="12">
        <f t="shared" si="267"/>
        <v>0</v>
      </c>
      <c r="R204" s="12">
        <f t="shared" si="268"/>
        <v>0</v>
      </c>
      <c r="S204" s="12">
        <f t="shared" si="269"/>
        <v>0</v>
      </c>
      <c r="T204" s="12">
        <f t="shared" si="270"/>
        <v>0</v>
      </c>
      <c r="U204" s="12">
        <f t="shared" si="271"/>
        <v>0</v>
      </c>
      <c r="V204" s="12"/>
      <c r="W204" s="13"/>
      <c r="X204" s="13"/>
      <c r="Y204" s="14"/>
    </row>
    <row r="205" spans="1:25" x14ac:dyDescent="0.2">
      <c r="A205">
        <f t="shared" si="272"/>
        <v>1</v>
      </c>
      <c r="B205">
        <f t="shared" si="273"/>
        <v>1</v>
      </c>
      <c r="C205" s="329">
        <f t="shared" si="274"/>
        <v>0</v>
      </c>
      <c r="D205">
        <f>'Invoer Gebouwschil'!F42</f>
        <v>0</v>
      </c>
      <c r="E205">
        <f t="shared" si="275"/>
        <v>0</v>
      </c>
      <c r="F205">
        <f t="shared" si="276"/>
        <v>0</v>
      </c>
      <c r="G205">
        <f t="shared" si="277"/>
        <v>0</v>
      </c>
      <c r="H205">
        <f t="shared" si="278"/>
        <v>0</v>
      </c>
      <c r="J205" s="12">
        <f t="shared" si="260"/>
        <v>0</v>
      </c>
      <c r="K205" s="12">
        <f t="shared" si="261"/>
        <v>0</v>
      </c>
      <c r="L205" s="12">
        <f t="shared" si="262"/>
        <v>0</v>
      </c>
      <c r="M205" s="12">
        <f t="shared" si="263"/>
        <v>0</v>
      </c>
      <c r="N205" s="12">
        <f t="shared" si="264"/>
        <v>0</v>
      </c>
      <c r="O205" s="12">
        <f t="shared" si="265"/>
        <v>0</v>
      </c>
      <c r="P205" s="12">
        <f t="shared" si="266"/>
        <v>0</v>
      </c>
      <c r="Q205" s="12">
        <f t="shared" si="267"/>
        <v>0</v>
      </c>
      <c r="R205" s="12">
        <f t="shared" si="268"/>
        <v>0</v>
      </c>
      <c r="S205" s="12">
        <f t="shared" si="269"/>
        <v>0</v>
      </c>
      <c r="T205" s="12">
        <f t="shared" si="270"/>
        <v>0</v>
      </c>
      <c r="U205" s="12">
        <f t="shared" si="271"/>
        <v>0</v>
      </c>
      <c r="V205" s="12"/>
      <c r="W205" s="13"/>
      <c r="X205" s="13"/>
      <c r="Y205" s="14"/>
    </row>
    <row r="206" spans="1:25" x14ac:dyDescent="0.2">
      <c r="A206">
        <f t="shared" si="272"/>
        <v>1</v>
      </c>
      <c r="B206">
        <f t="shared" si="273"/>
        <v>1</v>
      </c>
      <c r="C206" s="329">
        <f t="shared" si="274"/>
        <v>0</v>
      </c>
      <c r="D206">
        <f>'Invoer Gebouwschil'!F43</f>
        <v>0</v>
      </c>
      <c r="E206">
        <f t="shared" si="275"/>
        <v>0</v>
      </c>
      <c r="F206">
        <f t="shared" si="276"/>
        <v>0</v>
      </c>
      <c r="G206">
        <f t="shared" si="277"/>
        <v>0</v>
      </c>
      <c r="H206">
        <f t="shared" si="278"/>
        <v>0</v>
      </c>
      <c r="J206" s="12">
        <f t="shared" si="260"/>
        <v>0</v>
      </c>
      <c r="K206" s="12">
        <f t="shared" si="261"/>
        <v>0</v>
      </c>
      <c r="L206" s="12">
        <f t="shared" si="262"/>
        <v>0</v>
      </c>
      <c r="M206" s="12">
        <f t="shared" si="263"/>
        <v>0</v>
      </c>
      <c r="N206" s="12">
        <f t="shared" si="264"/>
        <v>0</v>
      </c>
      <c r="O206" s="12">
        <f t="shared" si="265"/>
        <v>0</v>
      </c>
      <c r="P206" s="12">
        <f t="shared" si="266"/>
        <v>0</v>
      </c>
      <c r="Q206" s="12">
        <f t="shared" si="267"/>
        <v>0</v>
      </c>
      <c r="R206" s="12">
        <f t="shared" si="268"/>
        <v>0</v>
      </c>
      <c r="S206" s="12">
        <f t="shared" si="269"/>
        <v>0</v>
      </c>
      <c r="T206" s="12">
        <f t="shared" si="270"/>
        <v>0</v>
      </c>
      <c r="U206" s="12">
        <f t="shared" si="271"/>
        <v>0</v>
      </c>
      <c r="V206" s="12"/>
      <c r="W206" s="13"/>
      <c r="X206" s="13"/>
      <c r="Y206" s="14"/>
    </row>
    <row r="207" spans="1:25" x14ac:dyDescent="0.2">
      <c r="A207">
        <f>A44</f>
        <v>1</v>
      </c>
      <c r="B207">
        <f>C44</f>
        <v>1</v>
      </c>
      <c r="C207" s="329">
        <f>D44-G44</f>
        <v>0</v>
      </c>
      <c r="D207">
        <f>'Invoer Gebouwschil'!F44</f>
        <v>0</v>
      </c>
      <c r="E207">
        <f t="shared" si="256"/>
        <v>0</v>
      </c>
      <c r="F207">
        <f t="shared" si="257"/>
        <v>0</v>
      </c>
      <c r="G207">
        <f t="shared" si="258"/>
        <v>0</v>
      </c>
      <c r="H207">
        <f t="shared" si="259"/>
        <v>0</v>
      </c>
      <c r="J207" s="12">
        <f t="shared" si="260"/>
        <v>0</v>
      </c>
      <c r="K207" s="12">
        <f t="shared" si="261"/>
        <v>0</v>
      </c>
      <c r="L207" s="12">
        <f t="shared" si="262"/>
        <v>0</v>
      </c>
      <c r="M207" s="12">
        <f t="shared" si="263"/>
        <v>0</v>
      </c>
      <c r="N207" s="12">
        <f t="shared" si="264"/>
        <v>0</v>
      </c>
      <c r="O207" s="12">
        <f t="shared" si="265"/>
        <v>0</v>
      </c>
      <c r="P207" s="12">
        <f t="shared" si="266"/>
        <v>0</v>
      </c>
      <c r="Q207" s="12">
        <f t="shared" si="267"/>
        <v>0</v>
      </c>
      <c r="R207" s="12">
        <f t="shared" si="268"/>
        <v>0</v>
      </c>
      <c r="S207" s="12">
        <f t="shared" si="269"/>
        <v>0</v>
      </c>
      <c r="T207" s="12">
        <f t="shared" si="270"/>
        <v>0</v>
      </c>
      <c r="U207" s="12">
        <f t="shared" si="271"/>
        <v>0</v>
      </c>
      <c r="V207" s="173"/>
      <c r="W207" s="174"/>
      <c r="X207" s="174"/>
      <c r="Y207" s="175"/>
    </row>
    <row r="208" spans="1:25" x14ac:dyDescent="0.2">
      <c r="J208" s="205">
        <f t="shared" ref="J208:U208" si="279">SUM(J166:J207)</f>
        <v>0</v>
      </c>
      <c r="K208" s="25">
        <f t="shared" si="279"/>
        <v>0</v>
      </c>
      <c r="L208" s="25">
        <f t="shared" si="279"/>
        <v>0</v>
      </c>
      <c r="M208" s="206">
        <f t="shared" si="279"/>
        <v>0</v>
      </c>
      <c r="N208" s="205">
        <f t="shared" si="279"/>
        <v>0</v>
      </c>
      <c r="O208" s="25">
        <f t="shared" si="279"/>
        <v>0</v>
      </c>
      <c r="P208" s="25">
        <f t="shared" si="279"/>
        <v>0</v>
      </c>
      <c r="Q208" s="206">
        <f t="shared" si="279"/>
        <v>0</v>
      </c>
      <c r="R208" s="205">
        <f t="shared" si="279"/>
        <v>0</v>
      </c>
      <c r="S208" s="25">
        <f t="shared" si="279"/>
        <v>0</v>
      </c>
      <c r="T208" s="25">
        <f t="shared" si="279"/>
        <v>0</v>
      </c>
      <c r="U208" s="206">
        <f t="shared" si="279"/>
        <v>0</v>
      </c>
      <c r="V208" s="205"/>
      <c r="W208" s="25"/>
      <c r="X208" s="25"/>
      <c r="Y208" s="206"/>
    </row>
    <row r="210" spans="1:27" ht="24.75" thickBot="1" x14ac:dyDescent="0.25">
      <c r="A210" s="118" t="s">
        <v>218</v>
      </c>
      <c r="B210" s="118" t="s">
        <v>711</v>
      </c>
      <c r="C210" s="118" t="s">
        <v>710</v>
      </c>
      <c r="D210" s="118" t="s">
        <v>603</v>
      </c>
      <c r="E210" s="332" t="s">
        <v>712</v>
      </c>
      <c r="F210" s="333" t="s">
        <v>713</v>
      </c>
      <c r="G210" s="333" t="s">
        <v>714</v>
      </c>
      <c r="H210" s="334" t="s">
        <v>715</v>
      </c>
      <c r="I210" s="468" t="s">
        <v>828</v>
      </c>
      <c r="J210" s="468" t="s">
        <v>282</v>
      </c>
      <c r="L210" s="468" t="s">
        <v>1157</v>
      </c>
      <c r="M210" s="468" t="s">
        <v>1145</v>
      </c>
      <c r="N210" s="468" t="s">
        <v>1146</v>
      </c>
      <c r="O210" s="468" t="s">
        <v>1147</v>
      </c>
      <c r="P210" s="469" t="s">
        <v>1158</v>
      </c>
      <c r="Q210" s="468" t="s">
        <v>1154</v>
      </c>
      <c r="R210" s="468" t="s">
        <v>1155</v>
      </c>
      <c r="S210" s="468" t="s">
        <v>1156</v>
      </c>
      <c r="T210" s="469" t="s">
        <v>1159</v>
      </c>
      <c r="U210" s="468" t="s">
        <v>1151</v>
      </c>
      <c r="V210" s="468" t="s">
        <v>1152</v>
      </c>
      <c r="W210" s="468" t="s">
        <v>1153</v>
      </c>
      <c r="X210" s="469" t="s">
        <v>1160</v>
      </c>
      <c r="Y210" s="468" t="s">
        <v>1148</v>
      </c>
      <c r="Z210" s="468" t="s">
        <v>1149</v>
      </c>
      <c r="AA210" s="468" t="s">
        <v>1150</v>
      </c>
    </row>
    <row r="211" spans="1:27" x14ac:dyDescent="0.2">
      <c r="A211">
        <f t="shared" ref="A211:A231" si="280">A3</f>
        <v>1</v>
      </c>
      <c r="B211">
        <f t="shared" ref="B211:B231" si="281">H3</f>
        <v>1</v>
      </c>
      <c r="C211">
        <f t="shared" ref="C211:C231" si="282">G3</f>
        <v>0</v>
      </c>
      <c r="D211">
        <f t="shared" ref="D211:D231" si="283">AO3</f>
        <v>0</v>
      </c>
      <c r="E211" s="12">
        <f>IF(D211&gt;=5,C211,0)</f>
        <v>0</v>
      </c>
      <c r="F211" s="13">
        <f>IF(OR(B211=15,B211=16,B211=17),0,IF(AND(D211&lt;5,D211&gt;=2.9),C211,0))</f>
        <v>0</v>
      </c>
      <c r="G211" s="13">
        <f>IF(OR(B211=15,B211=16),C211,IF(AND(D211&lt;2.9,D211&gt;=2.2),C211,0))</f>
        <v>0</v>
      </c>
      <c r="H211" s="14">
        <f>IF(B211=17,C211,IF(D211&lt;2.2,C211,0))</f>
        <v>0</v>
      </c>
      <c r="I211">
        <f>B3</f>
        <v>1</v>
      </c>
      <c r="J211">
        <f>I3</f>
        <v>1</v>
      </c>
      <c r="K211" s="28" t="s">
        <v>170</v>
      </c>
      <c r="L211">
        <f>IF(AND($I211=4,OR($J211=5,$J211=6)),$C211,0)</f>
        <v>0</v>
      </c>
      <c r="M211">
        <f>IF(AND($I211=4,$J211=4),$C211,0)</f>
        <v>0</v>
      </c>
      <c r="N211">
        <f>IF(AND($I211=4,OR($J211=7,$J211=8)),$C211,0)</f>
        <v>0</v>
      </c>
      <c r="O211">
        <f>IF(AND($I211=4,OR($J211=1,$J211=2,$J211=3)),$C211,0)</f>
        <v>0</v>
      </c>
      <c r="P211" s="12">
        <f>IF(AND($I211=8,OR($J211=5,$J211=6)),$C211,0)</f>
        <v>0</v>
      </c>
      <c r="Q211">
        <f>IF(AND($I21184,$J211=4),$C211,0)</f>
        <v>0</v>
      </c>
      <c r="R211">
        <f>IF(AND($I211=8,OR($J211=7,$J211=8)),$C211,0)</f>
        <v>0</v>
      </c>
      <c r="S211">
        <f>IF(AND($I211=8,OR($J211=1,$J211=2,$J211=3)),$C211,0)</f>
        <v>0</v>
      </c>
      <c r="T211" s="12">
        <f>IF(AND(OR($I211=2,$I211=3,$I211=9),OR($J211=5,$J211=6)),$C211,0)</f>
        <v>0</v>
      </c>
      <c r="U211">
        <f>IF(AND(OR($I211=2,$I211=3,$I211=9),$J211=4),$C211,0)</f>
        <v>0</v>
      </c>
      <c r="V211">
        <f>IF(AND(OR($I211=2,$I211=3,$I211=9),OR($J211=7,$J211=8)),$C211,0)</f>
        <v>0</v>
      </c>
      <c r="W211">
        <f>IF(AND(OR($I211=2,$I211=3,$I211=9),OR($J211=1,$J211=2,$J211=3)),$C211,0)</f>
        <v>0</v>
      </c>
      <c r="X211" s="12">
        <f>IF(AND(OR($I211=5,$I211=6,$I211=7),OR($J211=5,$J211=6)),$C211,0)</f>
        <v>0</v>
      </c>
      <c r="Y211">
        <f>IF(AND(OR($I211=5,$I211=6,$I211=7),$J211=4),$C211,0)</f>
        <v>0</v>
      </c>
      <c r="Z211">
        <f>IF(AND(OR($I211=5,$I211=6,$I211=7),OR($J211=7,$J211=8)),$C211,0)</f>
        <v>0</v>
      </c>
      <c r="AA211">
        <f>IF(AND(OR($I211=5,$I211=6,$I211=7),OR($J211=1,$J211=2,$J211=3)),$C211,0)</f>
        <v>0</v>
      </c>
    </row>
    <row r="212" spans="1:27" x14ac:dyDescent="0.2">
      <c r="A212">
        <f t="shared" si="280"/>
        <v>1</v>
      </c>
      <c r="B212">
        <f t="shared" si="281"/>
        <v>1</v>
      </c>
      <c r="C212">
        <f t="shared" si="282"/>
        <v>0</v>
      </c>
      <c r="D212">
        <f t="shared" si="283"/>
        <v>0</v>
      </c>
      <c r="E212" s="12">
        <f t="shared" ref="E212:E252" si="284">IF(D212&gt;=5,C212,0)</f>
        <v>0</v>
      </c>
      <c r="F212" s="13">
        <f t="shared" ref="F212:F252" si="285">IF(OR(B212=15,B212=16,B212=17),0,IF(AND(D212&lt;5,D212&gt;=2.9),C212,0))</f>
        <v>0</v>
      </c>
      <c r="G212" s="13">
        <f t="shared" ref="G212:G252" si="286">IF(OR(B212=15,B212=16),C212,IF(AND(D212&lt;2.9,D212&gt;=2.2),C212,0))</f>
        <v>0</v>
      </c>
      <c r="H212" s="14">
        <f t="shared" ref="H212:H252" si="287">IF(B212=17,C212,IF(D212&lt;2.2,C212,0))</f>
        <v>0</v>
      </c>
      <c r="I212">
        <f t="shared" ref="I212:I252" si="288">B4</f>
        <v>1</v>
      </c>
      <c r="J212">
        <f t="shared" ref="J212:J252" si="289">I4</f>
        <v>1</v>
      </c>
      <c r="K212" s="28"/>
      <c r="L212">
        <f t="shared" ref="L212:L252" si="290">IF(AND($I212=4,OR($J212=5,$J212=6)),$C212,0)</f>
        <v>0</v>
      </c>
      <c r="M212">
        <f t="shared" ref="M212:M252" si="291">IF(AND($I212=4,$J212=4),$C212,0)</f>
        <v>0</v>
      </c>
      <c r="N212">
        <f t="shared" ref="N212:N252" si="292">IF(AND($I212=4,OR($J212=7,$J212=8)),$C212,0)</f>
        <v>0</v>
      </c>
      <c r="O212">
        <f t="shared" ref="O212:O252" si="293">IF(AND($I212=4,OR($J212=1,$J212=2,$J212=3)),$C212,0)</f>
        <v>0</v>
      </c>
      <c r="P212" s="12">
        <f t="shared" ref="P212:P252" si="294">IF(AND($I212=8,OR($J212=5,$J212=6)),$C212,0)</f>
        <v>0</v>
      </c>
      <c r="Q212">
        <f t="shared" ref="Q212:Q252" si="295">IF(AND($I21185,$J212=4),$C212,0)</f>
        <v>0</v>
      </c>
      <c r="R212">
        <f t="shared" ref="R212:R252" si="296">IF(AND($I212=8,OR($J212=7,$J212=8)),$C212,0)</f>
        <v>0</v>
      </c>
      <c r="S212">
        <f t="shared" ref="S212:S252" si="297">IF(AND($I212=8,OR($J212=1,$J212=2,$J212=3)),$C212,0)</f>
        <v>0</v>
      </c>
      <c r="T212" s="12">
        <f t="shared" ref="T212:T252" si="298">IF(AND(OR($I212=2,$I212=3,$I212=9),OR($J212=5,$J212=6)),$C212,0)</f>
        <v>0</v>
      </c>
      <c r="U212">
        <f t="shared" ref="U212:U252" si="299">IF(AND(OR($I212=2,$I212=3,$I212=9),$J212=4),$C212,0)</f>
        <v>0</v>
      </c>
      <c r="V212">
        <f t="shared" ref="V212:V252" si="300">IF(AND(OR($I212=2,$I212=3,$I212=9),OR($J212=7,$J212=8)),$C212,0)</f>
        <v>0</v>
      </c>
      <c r="W212">
        <f t="shared" ref="W212:W252" si="301">IF(AND(OR($I212=2,$I212=3,$I212=9),OR($J212=1,$J212=2,$J212=3)),$C212,0)</f>
        <v>0</v>
      </c>
      <c r="X212" s="12">
        <f t="shared" ref="X212:X252" si="302">IF(AND(OR($I212=5,$I212=6,$I212=7),OR($J212=5,$J212=6)),$C212,0)</f>
        <v>0</v>
      </c>
      <c r="Y212">
        <f t="shared" ref="Y212:Y252" si="303">IF(AND(OR($I212=5,$I212=6,$I212=7),$J212=4),$C212,0)</f>
        <v>0</v>
      </c>
      <c r="Z212">
        <f t="shared" ref="Z212:Z252" si="304">IF(AND(OR($I212=5,$I212=6,$I212=7),OR($J212=7,$J212=8)),$C212,0)</f>
        <v>0</v>
      </c>
      <c r="AA212">
        <f t="shared" ref="AA212:AA252" si="305">IF(AND(OR($I212=5,$I212=6,$I212=7),OR($J212=1,$J212=2,$J212=3)),$C212,0)</f>
        <v>0</v>
      </c>
    </row>
    <row r="213" spans="1:27" x14ac:dyDescent="0.2">
      <c r="A213">
        <f t="shared" si="280"/>
        <v>1</v>
      </c>
      <c r="B213">
        <f t="shared" si="281"/>
        <v>1</v>
      </c>
      <c r="C213">
        <f t="shared" si="282"/>
        <v>0</v>
      </c>
      <c r="D213">
        <f t="shared" si="283"/>
        <v>0</v>
      </c>
      <c r="E213" s="12">
        <f t="shared" si="284"/>
        <v>0</v>
      </c>
      <c r="F213" s="13">
        <f t="shared" si="285"/>
        <v>0</v>
      </c>
      <c r="G213" s="13">
        <f t="shared" si="286"/>
        <v>0</v>
      </c>
      <c r="H213" s="14">
        <f t="shared" si="287"/>
        <v>0</v>
      </c>
      <c r="I213">
        <f t="shared" si="288"/>
        <v>1</v>
      </c>
      <c r="J213">
        <f t="shared" si="289"/>
        <v>1</v>
      </c>
      <c r="K213" s="118" t="s">
        <v>884</v>
      </c>
      <c r="L213">
        <f t="shared" si="290"/>
        <v>0</v>
      </c>
      <c r="M213">
        <f t="shared" si="291"/>
        <v>0</v>
      </c>
      <c r="N213">
        <f t="shared" si="292"/>
        <v>0</v>
      </c>
      <c r="O213">
        <f t="shared" si="293"/>
        <v>0</v>
      </c>
      <c r="P213" s="12">
        <f t="shared" si="294"/>
        <v>0</v>
      </c>
      <c r="Q213">
        <f t="shared" si="295"/>
        <v>0</v>
      </c>
      <c r="R213">
        <f t="shared" si="296"/>
        <v>0</v>
      </c>
      <c r="S213">
        <f t="shared" si="297"/>
        <v>0</v>
      </c>
      <c r="T213" s="12">
        <f t="shared" si="298"/>
        <v>0</v>
      </c>
      <c r="U213">
        <f t="shared" si="299"/>
        <v>0</v>
      </c>
      <c r="V213">
        <f t="shared" si="300"/>
        <v>0</v>
      </c>
      <c r="W213">
        <f t="shared" si="301"/>
        <v>0</v>
      </c>
      <c r="X213" s="12">
        <f t="shared" si="302"/>
        <v>0</v>
      </c>
      <c r="Y213">
        <f t="shared" si="303"/>
        <v>0</v>
      </c>
      <c r="Z213">
        <f t="shared" si="304"/>
        <v>0</v>
      </c>
      <c r="AA213">
        <f t="shared" si="305"/>
        <v>0</v>
      </c>
    </row>
    <row r="214" spans="1:27" x14ac:dyDescent="0.2">
      <c r="A214">
        <f t="shared" si="280"/>
        <v>1</v>
      </c>
      <c r="B214">
        <f t="shared" si="281"/>
        <v>1</v>
      </c>
      <c r="C214">
        <f t="shared" si="282"/>
        <v>0</v>
      </c>
      <c r="D214">
        <f t="shared" si="283"/>
        <v>0</v>
      </c>
      <c r="E214" s="12">
        <f t="shared" si="284"/>
        <v>0</v>
      </c>
      <c r="F214" s="13">
        <f t="shared" si="285"/>
        <v>0</v>
      </c>
      <c r="G214" s="13">
        <f t="shared" si="286"/>
        <v>0</v>
      </c>
      <c r="H214" s="14">
        <f t="shared" si="287"/>
        <v>0</v>
      </c>
      <c r="I214">
        <f t="shared" si="288"/>
        <v>1</v>
      </c>
      <c r="J214">
        <f t="shared" si="289"/>
        <v>1</v>
      </c>
      <c r="K214" s="118" t="s">
        <v>941</v>
      </c>
      <c r="L214">
        <f t="shared" si="290"/>
        <v>0</v>
      </c>
      <c r="M214">
        <f t="shared" si="291"/>
        <v>0</v>
      </c>
      <c r="N214">
        <f t="shared" si="292"/>
        <v>0</v>
      </c>
      <c r="O214">
        <f t="shared" si="293"/>
        <v>0</v>
      </c>
      <c r="P214" s="12">
        <f t="shared" si="294"/>
        <v>0</v>
      </c>
      <c r="Q214">
        <f t="shared" si="295"/>
        <v>0</v>
      </c>
      <c r="R214">
        <f t="shared" si="296"/>
        <v>0</v>
      </c>
      <c r="S214">
        <f t="shared" si="297"/>
        <v>0</v>
      </c>
      <c r="T214" s="12">
        <f t="shared" si="298"/>
        <v>0</v>
      </c>
      <c r="U214">
        <f t="shared" si="299"/>
        <v>0</v>
      </c>
      <c r="V214">
        <f t="shared" si="300"/>
        <v>0</v>
      </c>
      <c r="W214">
        <f t="shared" si="301"/>
        <v>0</v>
      </c>
      <c r="X214" s="12">
        <f t="shared" si="302"/>
        <v>0</v>
      </c>
      <c r="Y214">
        <f t="shared" si="303"/>
        <v>0</v>
      </c>
      <c r="Z214">
        <f t="shared" si="304"/>
        <v>0</v>
      </c>
      <c r="AA214">
        <f t="shared" si="305"/>
        <v>0</v>
      </c>
    </row>
    <row r="215" spans="1:27" x14ac:dyDescent="0.2">
      <c r="A215">
        <f t="shared" si="280"/>
        <v>1</v>
      </c>
      <c r="B215">
        <f t="shared" si="281"/>
        <v>1</v>
      </c>
      <c r="C215">
        <f t="shared" si="282"/>
        <v>0</v>
      </c>
      <c r="D215">
        <f t="shared" si="283"/>
        <v>0</v>
      </c>
      <c r="E215" s="12">
        <f t="shared" si="284"/>
        <v>0</v>
      </c>
      <c r="F215" s="13">
        <f t="shared" si="285"/>
        <v>0</v>
      </c>
      <c r="G215" s="13">
        <f t="shared" si="286"/>
        <v>0</v>
      </c>
      <c r="H215" s="14">
        <f t="shared" si="287"/>
        <v>0</v>
      </c>
      <c r="I215">
        <f t="shared" si="288"/>
        <v>1</v>
      </c>
      <c r="J215">
        <f t="shared" si="289"/>
        <v>1</v>
      </c>
      <c r="K215" s="118" t="s">
        <v>942</v>
      </c>
      <c r="L215">
        <f t="shared" si="290"/>
        <v>0</v>
      </c>
      <c r="M215">
        <f t="shared" si="291"/>
        <v>0</v>
      </c>
      <c r="N215">
        <f t="shared" si="292"/>
        <v>0</v>
      </c>
      <c r="O215">
        <f t="shared" si="293"/>
        <v>0</v>
      </c>
      <c r="P215" s="12">
        <f t="shared" si="294"/>
        <v>0</v>
      </c>
      <c r="Q215">
        <f t="shared" si="295"/>
        <v>0</v>
      </c>
      <c r="R215">
        <f t="shared" si="296"/>
        <v>0</v>
      </c>
      <c r="S215">
        <f t="shared" si="297"/>
        <v>0</v>
      </c>
      <c r="T215" s="12">
        <f t="shared" si="298"/>
        <v>0</v>
      </c>
      <c r="U215">
        <f t="shared" si="299"/>
        <v>0</v>
      </c>
      <c r="V215">
        <f t="shared" si="300"/>
        <v>0</v>
      </c>
      <c r="W215">
        <f t="shared" si="301"/>
        <v>0</v>
      </c>
      <c r="X215" s="12">
        <f t="shared" si="302"/>
        <v>0</v>
      </c>
      <c r="Y215">
        <f t="shared" si="303"/>
        <v>0</v>
      </c>
      <c r="Z215">
        <f t="shared" si="304"/>
        <v>0</v>
      </c>
      <c r="AA215">
        <f t="shared" si="305"/>
        <v>0</v>
      </c>
    </row>
    <row r="216" spans="1:27" x14ac:dyDescent="0.2">
      <c r="A216">
        <f t="shared" si="280"/>
        <v>1</v>
      </c>
      <c r="B216">
        <f t="shared" si="281"/>
        <v>1</v>
      </c>
      <c r="C216">
        <f t="shared" si="282"/>
        <v>0</v>
      </c>
      <c r="D216">
        <f t="shared" si="283"/>
        <v>0</v>
      </c>
      <c r="E216" s="12">
        <f t="shared" si="284"/>
        <v>0</v>
      </c>
      <c r="F216" s="13">
        <f t="shared" si="285"/>
        <v>0</v>
      </c>
      <c r="G216" s="13">
        <f t="shared" si="286"/>
        <v>0</v>
      </c>
      <c r="H216" s="14">
        <f t="shared" si="287"/>
        <v>0</v>
      </c>
      <c r="I216">
        <f t="shared" si="288"/>
        <v>1</v>
      </c>
      <c r="J216">
        <f t="shared" si="289"/>
        <v>1</v>
      </c>
      <c r="K216" s="118" t="s">
        <v>943</v>
      </c>
      <c r="L216">
        <f t="shared" si="290"/>
        <v>0</v>
      </c>
      <c r="M216">
        <f t="shared" si="291"/>
        <v>0</v>
      </c>
      <c r="N216">
        <f t="shared" si="292"/>
        <v>0</v>
      </c>
      <c r="O216">
        <f t="shared" si="293"/>
        <v>0</v>
      </c>
      <c r="P216" s="12">
        <f t="shared" si="294"/>
        <v>0</v>
      </c>
      <c r="Q216">
        <f t="shared" si="295"/>
        <v>0</v>
      </c>
      <c r="R216">
        <f t="shared" si="296"/>
        <v>0</v>
      </c>
      <c r="S216">
        <f t="shared" si="297"/>
        <v>0</v>
      </c>
      <c r="T216" s="12">
        <f t="shared" si="298"/>
        <v>0</v>
      </c>
      <c r="U216">
        <f t="shared" si="299"/>
        <v>0</v>
      </c>
      <c r="V216">
        <f t="shared" si="300"/>
        <v>0</v>
      </c>
      <c r="W216">
        <f t="shared" si="301"/>
        <v>0</v>
      </c>
      <c r="X216" s="12">
        <f t="shared" si="302"/>
        <v>0</v>
      </c>
      <c r="Y216">
        <f t="shared" si="303"/>
        <v>0</v>
      </c>
      <c r="Z216">
        <f t="shared" si="304"/>
        <v>0</v>
      </c>
      <c r="AA216">
        <f t="shared" si="305"/>
        <v>0</v>
      </c>
    </row>
    <row r="217" spans="1:27" x14ac:dyDescent="0.2">
      <c r="A217">
        <f t="shared" si="280"/>
        <v>1</v>
      </c>
      <c r="B217">
        <f t="shared" si="281"/>
        <v>1</v>
      </c>
      <c r="C217">
        <f t="shared" si="282"/>
        <v>0</v>
      </c>
      <c r="D217">
        <f t="shared" si="283"/>
        <v>0</v>
      </c>
      <c r="E217" s="12">
        <f t="shared" si="284"/>
        <v>0</v>
      </c>
      <c r="F217" s="13">
        <f t="shared" si="285"/>
        <v>0</v>
      </c>
      <c r="G217" s="13">
        <f t="shared" si="286"/>
        <v>0</v>
      </c>
      <c r="H217" s="14">
        <f t="shared" si="287"/>
        <v>0</v>
      </c>
      <c r="I217">
        <f t="shared" si="288"/>
        <v>1</v>
      </c>
      <c r="J217">
        <f t="shared" si="289"/>
        <v>1</v>
      </c>
      <c r="K217" s="118" t="s">
        <v>885</v>
      </c>
      <c r="L217">
        <f t="shared" si="290"/>
        <v>0</v>
      </c>
      <c r="M217">
        <f t="shared" si="291"/>
        <v>0</v>
      </c>
      <c r="N217">
        <f t="shared" si="292"/>
        <v>0</v>
      </c>
      <c r="O217">
        <f t="shared" si="293"/>
        <v>0</v>
      </c>
      <c r="P217" s="12">
        <f t="shared" si="294"/>
        <v>0</v>
      </c>
      <c r="Q217">
        <f t="shared" si="295"/>
        <v>0</v>
      </c>
      <c r="R217">
        <f t="shared" si="296"/>
        <v>0</v>
      </c>
      <c r="S217">
        <f t="shared" si="297"/>
        <v>0</v>
      </c>
      <c r="T217" s="12">
        <f t="shared" si="298"/>
        <v>0</v>
      </c>
      <c r="U217">
        <f t="shared" si="299"/>
        <v>0</v>
      </c>
      <c r="V217">
        <f t="shared" si="300"/>
        <v>0</v>
      </c>
      <c r="W217">
        <f t="shared" si="301"/>
        <v>0</v>
      </c>
      <c r="X217" s="12">
        <f t="shared" si="302"/>
        <v>0</v>
      </c>
      <c r="Y217">
        <f t="shared" si="303"/>
        <v>0</v>
      </c>
      <c r="Z217">
        <f t="shared" si="304"/>
        <v>0</v>
      </c>
      <c r="AA217">
        <f t="shared" si="305"/>
        <v>0</v>
      </c>
    </row>
    <row r="218" spans="1:27" x14ac:dyDescent="0.2">
      <c r="A218">
        <f t="shared" si="280"/>
        <v>1</v>
      </c>
      <c r="B218">
        <f t="shared" si="281"/>
        <v>1</v>
      </c>
      <c r="C218">
        <f t="shared" si="282"/>
        <v>0</v>
      </c>
      <c r="D218">
        <f t="shared" si="283"/>
        <v>0</v>
      </c>
      <c r="E218" s="12">
        <f t="shared" si="284"/>
        <v>0</v>
      </c>
      <c r="F218" s="13">
        <f t="shared" si="285"/>
        <v>0</v>
      </c>
      <c r="G218" s="13">
        <f t="shared" si="286"/>
        <v>0</v>
      </c>
      <c r="H218" s="14">
        <f t="shared" si="287"/>
        <v>0</v>
      </c>
      <c r="I218">
        <f t="shared" si="288"/>
        <v>1</v>
      </c>
      <c r="J218">
        <f t="shared" si="289"/>
        <v>1</v>
      </c>
      <c r="K218" s="118" t="s">
        <v>944</v>
      </c>
      <c r="L218">
        <f t="shared" si="290"/>
        <v>0</v>
      </c>
      <c r="M218">
        <f t="shared" si="291"/>
        <v>0</v>
      </c>
      <c r="N218">
        <f t="shared" si="292"/>
        <v>0</v>
      </c>
      <c r="O218">
        <f t="shared" si="293"/>
        <v>0</v>
      </c>
      <c r="P218" s="12">
        <f t="shared" si="294"/>
        <v>0</v>
      </c>
      <c r="Q218">
        <f t="shared" si="295"/>
        <v>0</v>
      </c>
      <c r="R218">
        <f t="shared" si="296"/>
        <v>0</v>
      </c>
      <c r="S218">
        <f t="shared" si="297"/>
        <v>0</v>
      </c>
      <c r="T218" s="12">
        <f t="shared" si="298"/>
        <v>0</v>
      </c>
      <c r="U218">
        <f t="shared" si="299"/>
        <v>0</v>
      </c>
      <c r="V218">
        <f t="shared" si="300"/>
        <v>0</v>
      </c>
      <c r="W218">
        <f t="shared" si="301"/>
        <v>0</v>
      </c>
      <c r="X218" s="12">
        <f t="shared" si="302"/>
        <v>0</v>
      </c>
      <c r="Y218">
        <f t="shared" si="303"/>
        <v>0</v>
      </c>
      <c r="Z218">
        <f t="shared" si="304"/>
        <v>0</v>
      </c>
      <c r="AA218">
        <f t="shared" si="305"/>
        <v>0</v>
      </c>
    </row>
    <row r="219" spans="1:27" x14ac:dyDescent="0.2">
      <c r="A219">
        <f t="shared" si="280"/>
        <v>1</v>
      </c>
      <c r="B219">
        <f t="shared" si="281"/>
        <v>1</v>
      </c>
      <c r="C219">
        <f t="shared" si="282"/>
        <v>0</v>
      </c>
      <c r="D219">
        <f t="shared" si="283"/>
        <v>0</v>
      </c>
      <c r="E219" s="12">
        <f t="shared" si="284"/>
        <v>0</v>
      </c>
      <c r="F219" s="13">
        <f t="shared" si="285"/>
        <v>0</v>
      </c>
      <c r="G219" s="13">
        <f t="shared" si="286"/>
        <v>0</v>
      </c>
      <c r="H219" s="14">
        <f t="shared" si="287"/>
        <v>0</v>
      </c>
      <c r="I219">
        <f t="shared" si="288"/>
        <v>1</v>
      </c>
      <c r="J219">
        <f t="shared" si="289"/>
        <v>1</v>
      </c>
      <c r="K219" s="118" t="s">
        <v>945</v>
      </c>
      <c r="L219">
        <f t="shared" si="290"/>
        <v>0</v>
      </c>
      <c r="M219">
        <f t="shared" si="291"/>
        <v>0</v>
      </c>
      <c r="N219">
        <f t="shared" si="292"/>
        <v>0</v>
      </c>
      <c r="O219">
        <f t="shared" si="293"/>
        <v>0</v>
      </c>
      <c r="P219" s="12">
        <f t="shared" si="294"/>
        <v>0</v>
      </c>
      <c r="Q219">
        <f t="shared" si="295"/>
        <v>0</v>
      </c>
      <c r="R219">
        <f t="shared" si="296"/>
        <v>0</v>
      </c>
      <c r="S219">
        <f t="shared" si="297"/>
        <v>0</v>
      </c>
      <c r="T219" s="12">
        <f t="shared" si="298"/>
        <v>0</v>
      </c>
      <c r="U219">
        <f t="shared" si="299"/>
        <v>0</v>
      </c>
      <c r="V219">
        <f t="shared" si="300"/>
        <v>0</v>
      </c>
      <c r="W219">
        <f t="shared" si="301"/>
        <v>0</v>
      </c>
      <c r="X219" s="12">
        <f t="shared" si="302"/>
        <v>0</v>
      </c>
      <c r="Y219">
        <f t="shared" si="303"/>
        <v>0</v>
      </c>
      <c r="Z219">
        <f t="shared" si="304"/>
        <v>0</v>
      </c>
      <c r="AA219">
        <f t="shared" si="305"/>
        <v>0</v>
      </c>
    </row>
    <row r="220" spans="1:27" x14ac:dyDescent="0.2">
      <c r="A220">
        <f t="shared" si="280"/>
        <v>1</v>
      </c>
      <c r="B220">
        <f t="shared" si="281"/>
        <v>1</v>
      </c>
      <c r="C220">
        <f t="shared" si="282"/>
        <v>0</v>
      </c>
      <c r="D220">
        <f t="shared" si="283"/>
        <v>0</v>
      </c>
      <c r="E220" s="12">
        <f t="shared" si="284"/>
        <v>0</v>
      </c>
      <c r="F220" s="13">
        <f t="shared" si="285"/>
        <v>0</v>
      </c>
      <c r="G220" s="13">
        <f t="shared" si="286"/>
        <v>0</v>
      </c>
      <c r="H220" s="14">
        <f t="shared" si="287"/>
        <v>0</v>
      </c>
      <c r="I220">
        <f t="shared" si="288"/>
        <v>1</v>
      </c>
      <c r="J220">
        <f t="shared" si="289"/>
        <v>1</v>
      </c>
      <c r="K220" s="118" t="s">
        <v>946</v>
      </c>
      <c r="L220">
        <f t="shared" si="290"/>
        <v>0</v>
      </c>
      <c r="M220">
        <f t="shared" si="291"/>
        <v>0</v>
      </c>
      <c r="N220">
        <f t="shared" si="292"/>
        <v>0</v>
      </c>
      <c r="O220">
        <f t="shared" si="293"/>
        <v>0</v>
      </c>
      <c r="P220" s="12">
        <f t="shared" si="294"/>
        <v>0</v>
      </c>
      <c r="Q220">
        <f t="shared" si="295"/>
        <v>0</v>
      </c>
      <c r="R220">
        <f t="shared" si="296"/>
        <v>0</v>
      </c>
      <c r="S220">
        <f t="shared" si="297"/>
        <v>0</v>
      </c>
      <c r="T220" s="12">
        <f t="shared" si="298"/>
        <v>0</v>
      </c>
      <c r="U220">
        <f t="shared" si="299"/>
        <v>0</v>
      </c>
      <c r="V220">
        <f t="shared" si="300"/>
        <v>0</v>
      </c>
      <c r="W220">
        <f t="shared" si="301"/>
        <v>0</v>
      </c>
      <c r="X220" s="12">
        <f t="shared" si="302"/>
        <v>0</v>
      </c>
      <c r="Y220">
        <f t="shared" si="303"/>
        <v>0</v>
      </c>
      <c r="Z220">
        <f t="shared" si="304"/>
        <v>0</v>
      </c>
      <c r="AA220">
        <f t="shared" si="305"/>
        <v>0</v>
      </c>
    </row>
    <row r="221" spans="1:27" x14ac:dyDescent="0.2">
      <c r="A221">
        <f t="shared" si="280"/>
        <v>1</v>
      </c>
      <c r="B221">
        <f t="shared" si="281"/>
        <v>1</v>
      </c>
      <c r="C221">
        <f t="shared" si="282"/>
        <v>0</v>
      </c>
      <c r="D221">
        <f t="shared" si="283"/>
        <v>0</v>
      </c>
      <c r="E221" s="12">
        <f t="shared" si="284"/>
        <v>0</v>
      </c>
      <c r="F221" s="13">
        <f t="shared" si="285"/>
        <v>0</v>
      </c>
      <c r="G221" s="13">
        <f t="shared" si="286"/>
        <v>0</v>
      </c>
      <c r="H221" s="14">
        <f t="shared" si="287"/>
        <v>0</v>
      </c>
      <c r="I221">
        <f t="shared" si="288"/>
        <v>1</v>
      </c>
      <c r="J221">
        <f t="shared" si="289"/>
        <v>1</v>
      </c>
      <c r="K221" s="118" t="s">
        <v>947</v>
      </c>
      <c r="L221">
        <f t="shared" si="290"/>
        <v>0</v>
      </c>
      <c r="M221">
        <f t="shared" si="291"/>
        <v>0</v>
      </c>
      <c r="N221">
        <f t="shared" si="292"/>
        <v>0</v>
      </c>
      <c r="O221">
        <f t="shared" si="293"/>
        <v>0</v>
      </c>
      <c r="P221" s="12">
        <f t="shared" si="294"/>
        <v>0</v>
      </c>
      <c r="Q221">
        <f t="shared" si="295"/>
        <v>0</v>
      </c>
      <c r="R221">
        <f t="shared" si="296"/>
        <v>0</v>
      </c>
      <c r="S221">
        <f t="shared" si="297"/>
        <v>0</v>
      </c>
      <c r="T221" s="12">
        <f t="shared" si="298"/>
        <v>0</v>
      </c>
      <c r="U221">
        <f t="shared" si="299"/>
        <v>0</v>
      </c>
      <c r="V221">
        <f t="shared" si="300"/>
        <v>0</v>
      </c>
      <c r="W221">
        <f t="shared" si="301"/>
        <v>0</v>
      </c>
      <c r="X221" s="12">
        <f t="shared" si="302"/>
        <v>0</v>
      </c>
      <c r="Y221">
        <f t="shared" si="303"/>
        <v>0</v>
      </c>
      <c r="Z221">
        <f t="shared" si="304"/>
        <v>0</v>
      </c>
      <c r="AA221">
        <f t="shared" si="305"/>
        <v>0</v>
      </c>
    </row>
    <row r="222" spans="1:27" x14ac:dyDescent="0.2">
      <c r="A222">
        <f t="shared" si="280"/>
        <v>1</v>
      </c>
      <c r="B222">
        <f t="shared" si="281"/>
        <v>1</v>
      </c>
      <c r="C222">
        <f t="shared" si="282"/>
        <v>0</v>
      </c>
      <c r="D222">
        <f t="shared" si="283"/>
        <v>0</v>
      </c>
      <c r="E222" s="12">
        <f t="shared" si="284"/>
        <v>0</v>
      </c>
      <c r="F222" s="13">
        <f t="shared" si="285"/>
        <v>0</v>
      </c>
      <c r="G222" s="13">
        <f t="shared" si="286"/>
        <v>0</v>
      </c>
      <c r="H222" s="14">
        <f t="shared" si="287"/>
        <v>0</v>
      </c>
      <c r="I222">
        <f t="shared" si="288"/>
        <v>1</v>
      </c>
      <c r="J222">
        <f t="shared" si="289"/>
        <v>1</v>
      </c>
      <c r="L222">
        <f t="shared" si="290"/>
        <v>0</v>
      </c>
      <c r="M222">
        <f t="shared" si="291"/>
        <v>0</v>
      </c>
      <c r="N222">
        <f t="shared" si="292"/>
        <v>0</v>
      </c>
      <c r="O222">
        <f t="shared" si="293"/>
        <v>0</v>
      </c>
      <c r="P222" s="12">
        <f t="shared" si="294"/>
        <v>0</v>
      </c>
      <c r="Q222">
        <f t="shared" si="295"/>
        <v>0</v>
      </c>
      <c r="R222">
        <f t="shared" si="296"/>
        <v>0</v>
      </c>
      <c r="S222">
        <f t="shared" si="297"/>
        <v>0</v>
      </c>
      <c r="T222" s="12">
        <f t="shared" si="298"/>
        <v>0</v>
      </c>
      <c r="U222">
        <f t="shared" si="299"/>
        <v>0</v>
      </c>
      <c r="V222">
        <f t="shared" si="300"/>
        <v>0</v>
      </c>
      <c r="W222">
        <f t="shared" si="301"/>
        <v>0</v>
      </c>
      <c r="X222" s="12">
        <f t="shared" si="302"/>
        <v>0</v>
      </c>
      <c r="Y222">
        <f t="shared" si="303"/>
        <v>0</v>
      </c>
      <c r="Z222">
        <f t="shared" si="304"/>
        <v>0</v>
      </c>
      <c r="AA222">
        <f t="shared" si="305"/>
        <v>0</v>
      </c>
    </row>
    <row r="223" spans="1:27" x14ac:dyDescent="0.2">
      <c r="A223">
        <f t="shared" si="280"/>
        <v>1</v>
      </c>
      <c r="B223">
        <f t="shared" si="281"/>
        <v>1</v>
      </c>
      <c r="C223">
        <f t="shared" si="282"/>
        <v>0</v>
      </c>
      <c r="D223">
        <f t="shared" si="283"/>
        <v>0</v>
      </c>
      <c r="E223" s="12">
        <f t="shared" si="284"/>
        <v>0</v>
      </c>
      <c r="F223" s="13">
        <f t="shared" si="285"/>
        <v>0</v>
      </c>
      <c r="G223" s="13">
        <f t="shared" si="286"/>
        <v>0</v>
      </c>
      <c r="H223" s="14">
        <f t="shared" si="287"/>
        <v>0</v>
      </c>
      <c r="I223">
        <f t="shared" si="288"/>
        <v>1</v>
      </c>
      <c r="J223">
        <f t="shared" si="289"/>
        <v>1</v>
      </c>
      <c r="K223" s="28" t="s">
        <v>282</v>
      </c>
      <c r="L223">
        <f t="shared" si="290"/>
        <v>0</v>
      </c>
      <c r="M223">
        <f t="shared" si="291"/>
        <v>0</v>
      </c>
      <c r="N223">
        <f t="shared" si="292"/>
        <v>0</v>
      </c>
      <c r="O223">
        <f t="shared" si="293"/>
        <v>0</v>
      </c>
      <c r="P223" s="12">
        <f t="shared" si="294"/>
        <v>0</v>
      </c>
      <c r="Q223">
        <f t="shared" si="295"/>
        <v>0</v>
      </c>
      <c r="R223">
        <f t="shared" si="296"/>
        <v>0</v>
      </c>
      <c r="S223">
        <f t="shared" si="297"/>
        <v>0</v>
      </c>
      <c r="T223" s="12">
        <f t="shared" si="298"/>
        <v>0</v>
      </c>
      <c r="U223">
        <f t="shared" si="299"/>
        <v>0</v>
      </c>
      <c r="V223">
        <f t="shared" si="300"/>
        <v>0</v>
      </c>
      <c r="W223">
        <f t="shared" si="301"/>
        <v>0</v>
      </c>
      <c r="X223" s="12">
        <f t="shared" si="302"/>
        <v>0</v>
      </c>
      <c r="Y223">
        <f t="shared" si="303"/>
        <v>0</v>
      </c>
      <c r="Z223">
        <f t="shared" si="304"/>
        <v>0</v>
      </c>
      <c r="AA223">
        <f t="shared" si="305"/>
        <v>0</v>
      </c>
    </row>
    <row r="224" spans="1:27" x14ac:dyDescent="0.2">
      <c r="A224">
        <f t="shared" si="280"/>
        <v>1</v>
      </c>
      <c r="B224">
        <f t="shared" si="281"/>
        <v>1</v>
      </c>
      <c r="C224">
        <f t="shared" si="282"/>
        <v>0</v>
      </c>
      <c r="D224">
        <f t="shared" si="283"/>
        <v>0</v>
      </c>
      <c r="E224" s="12">
        <f t="shared" si="284"/>
        <v>0</v>
      </c>
      <c r="F224" s="13">
        <f t="shared" si="285"/>
        <v>0</v>
      </c>
      <c r="G224" s="13">
        <f t="shared" si="286"/>
        <v>0</v>
      </c>
      <c r="H224" s="14">
        <f t="shared" si="287"/>
        <v>0</v>
      </c>
      <c r="I224">
        <f t="shared" si="288"/>
        <v>1</v>
      </c>
      <c r="J224">
        <f t="shared" si="289"/>
        <v>1</v>
      </c>
      <c r="L224">
        <f t="shared" si="290"/>
        <v>0</v>
      </c>
      <c r="M224">
        <f t="shared" si="291"/>
        <v>0</v>
      </c>
      <c r="N224">
        <f t="shared" si="292"/>
        <v>0</v>
      </c>
      <c r="O224">
        <f t="shared" si="293"/>
        <v>0</v>
      </c>
      <c r="P224" s="12">
        <f t="shared" si="294"/>
        <v>0</v>
      </c>
      <c r="Q224">
        <f t="shared" si="295"/>
        <v>0</v>
      </c>
      <c r="R224">
        <f t="shared" si="296"/>
        <v>0</v>
      </c>
      <c r="S224">
        <f t="shared" si="297"/>
        <v>0</v>
      </c>
      <c r="T224" s="12">
        <f t="shared" si="298"/>
        <v>0</v>
      </c>
      <c r="U224">
        <f t="shared" si="299"/>
        <v>0</v>
      </c>
      <c r="V224">
        <f t="shared" si="300"/>
        <v>0</v>
      </c>
      <c r="W224">
        <f t="shared" si="301"/>
        <v>0</v>
      </c>
      <c r="X224" s="12">
        <f t="shared" si="302"/>
        <v>0</v>
      </c>
      <c r="Y224">
        <f t="shared" si="303"/>
        <v>0</v>
      </c>
      <c r="Z224">
        <f t="shared" si="304"/>
        <v>0</v>
      </c>
      <c r="AA224">
        <f t="shared" si="305"/>
        <v>0</v>
      </c>
    </row>
    <row r="225" spans="1:27" x14ac:dyDescent="0.2">
      <c r="A225">
        <f t="shared" si="280"/>
        <v>1</v>
      </c>
      <c r="B225">
        <f t="shared" si="281"/>
        <v>1</v>
      </c>
      <c r="C225">
        <f t="shared" si="282"/>
        <v>0</v>
      </c>
      <c r="D225">
        <f t="shared" si="283"/>
        <v>0</v>
      </c>
      <c r="E225" s="12">
        <f t="shared" si="284"/>
        <v>0</v>
      </c>
      <c r="F225" s="13">
        <f t="shared" si="285"/>
        <v>0</v>
      </c>
      <c r="G225" s="13">
        <f t="shared" si="286"/>
        <v>0</v>
      </c>
      <c r="H225" s="14">
        <f t="shared" si="287"/>
        <v>0</v>
      </c>
      <c r="I225">
        <f t="shared" si="288"/>
        <v>1</v>
      </c>
      <c r="J225">
        <f t="shared" si="289"/>
        <v>1</v>
      </c>
      <c r="K225" s="28" t="s">
        <v>85</v>
      </c>
      <c r="L225">
        <f t="shared" si="290"/>
        <v>0</v>
      </c>
      <c r="M225">
        <f t="shared" si="291"/>
        <v>0</v>
      </c>
      <c r="N225">
        <f t="shared" si="292"/>
        <v>0</v>
      </c>
      <c r="O225">
        <f t="shared" si="293"/>
        <v>0</v>
      </c>
      <c r="P225" s="12">
        <f t="shared" si="294"/>
        <v>0</v>
      </c>
      <c r="Q225">
        <f t="shared" si="295"/>
        <v>0</v>
      </c>
      <c r="R225">
        <f t="shared" si="296"/>
        <v>0</v>
      </c>
      <c r="S225">
        <f t="shared" si="297"/>
        <v>0</v>
      </c>
      <c r="T225" s="12">
        <f t="shared" si="298"/>
        <v>0</v>
      </c>
      <c r="U225">
        <f t="shared" si="299"/>
        <v>0</v>
      </c>
      <c r="V225">
        <f t="shared" si="300"/>
        <v>0</v>
      </c>
      <c r="W225">
        <f t="shared" si="301"/>
        <v>0</v>
      </c>
      <c r="X225" s="12">
        <f t="shared" si="302"/>
        <v>0</v>
      </c>
      <c r="Y225">
        <f t="shared" si="303"/>
        <v>0</v>
      </c>
      <c r="Z225">
        <f t="shared" si="304"/>
        <v>0</v>
      </c>
      <c r="AA225">
        <f t="shared" si="305"/>
        <v>0</v>
      </c>
    </row>
    <row r="226" spans="1:27" x14ac:dyDescent="0.2">
      <c r="A226">
        <f t="shared" si="280"/>
        <v>1</v>
      </c>
      <c r="B226">
        <f t="shared" si="281"/>
        <v>1</v>
      </c>
      <c r="C226">
        <f t="shared" si="282"/>
        <v>0</v>
      </c>
      <c r="D226">
        <f t="shared" si="283"/>
        <v>0</v>
      </c>
      <c r="E226" s="12">
        <f t="shared" si="284"/>
        <v>0</v>
      </c>
      <c r="F226" s="13">
        <f t="shared" si="285"/>
        <v>0</v>
      </c>
      <c r="G226" s="13">
        <f t="shared" si="286"/>
        <v>0</v>
      </c>
      <c r="H226" s="14">
        <f t="shared" si="287"/>
        <v>0</v>
      </c>
      <c r="I226">
        <f t="shared" si="288"/>
        <v>1</v>
      </c>
      <c r="J226">
        <f t="shared" si="289"/>
        <v>1</v>
      </c>
      <c r="K226" s="28" t="s">
        <v>147</v>
      </c>
      <c r="L226">
        <f t="shared" si="290"/>
        <v>0</v>
      </c>
      <c r="M226">
        <f t="shared" si="291"/>
        <v>0</v>
      </c>
      <c r="N226">
        <f t="shared" si="292"/>
        <v>0</v>
      </c>
      <c r="O226">
        <f t="shared" si="293"/>
        <v>0</v>
      </c>
      <c r="P226" s="12">
        <f t="shared" si="294"/>
        <v>0</v>
      </c>
      <c r="Q226">
        <f t="shared" si="295"/>
        <v>0</v>
      </c>
      <c r="R226">
        <f t="shared" si="296"/>
        <v>0</v>
      </c>
      <c r="S226">
        <f t="shared" si="297"/>
        <v>0</v>
      </c>
      <c r="T226" s="12">
        <f t="shared" si="298"/>
        <v>0</v>
      </c>
      <c r="U226">
        <f t="shared" si="299"/>
        <v>0</v>
      </c>
      <c r="V226">
        <f t="shared" si="300"/>
        <v>0</v>
      </c>
      <c r="W226">
        <f t="shared" si="301"/>
        <v>0</v>
      </c>
      <c r="X226" s="12">
        <f t="shared" si="302"/>
        <v>0</v>
      </c>
      <c r="Y226">
        <f t="shared" si="303"/>
        <v>0</v>
      </c>
      <c r="Z226">
        <f t="shared" si="304"/>
        <v>0</v>
      </c>
      <c r="AA226">
        <f t="shared" si="305"/>
        <v>0</v>
      </c>
    </row>
    <row r="227" spans="1:27" x14ac:dyDescent="0.2">
      <c r="A227">
        <f t="shared" si="280"/>
        <v>1</v>
      </c>
      <c r="B227">
        <f t="shared" si="281"/>
        <v>1</v>
      </c>
      <c r="C227">
        <f t="shared" si="282"/>
        <v>0</v>
      </c>
      <c r="D227">
        <f t="shared" si="283"/>
        <v>0</v>
      </c>
      <c r="E227" s="12">
        <f t="shared" si="284"/>
        <v>0</v>
      </c>
      <c r="F227" s="13">
        <f t="shared" si="285"/>
        <v>0</v>
      </c>
      <c r="G227" s="13">
        <f t="shared" si="286"/>
        <v>0</v>
      </c>
      <c r="H227" s="14">
        <f t="shared" si="287"/>
        <v>0</v>
      </c>
      <c r="I227">
        <f t="shared" si="288"/>
        <v>1</v>
      </c>
      <c r="J227">
        <f t="shared" si="289"/>
        <v>1</v>
      </c>
      <c r="K227" s="118" t="s">
        <v>143</v>
      </c>
      <c r="L227">
        <f t="shared" si="290"/>
        <v>0</v>
      </c>
      <c r="M227">
        <f t="shared" si="291"/>
        <v>0</v>
      </c>
      <c r="N227">
        <f t="shared" si="292"/>
        <v>0</v>
      </c>
      <c r="O227">
        <f t="shared" si="293"/>
        <v>0</v>
      </c>
      <c r="P227" s="12">
        <f t="shared" si="294"/>
        <v>0</v>
      </c>
      <c r="Q227">
        <f t="shared" si="295"/>
        <v>0</v>
      </c>
      <c r="R227">
        <f t="shared" si="296"/>
        <v>0</v>
      </c>
      <c r="S227">
        <f t="shared" si="297"/>
        <v>0</v>
      </c>
      <c r="T227" s="12">
        <f t="shared" si="298"/>
        <v>0</v>
      </c>
      <c r="U227">
        <f t="shared" si="299"/>
        <v>0</v>
      </c>
      <c r="V227">
        <f t="shared" si="300"/>
        <v>0</v>
      </c>
      <c r="W227">
        <f t="shared" si="301"/>
        <v>0</v>
      </c>
      <c r="X227" s="12">
        <f t="shared" si="302"/>
        <v>0</v>
      </c>
      <c r="Y227">
        <f t="shared" si="303"/>
        <v>0</v>
      </c>
      <c r="Z227">
        <f t="shared" si="304"/>
        <v>0</v>
      </c>
      <c r="AA227">
        <f t="shared" si="305"/>
        <v>0</v>
      </c>
    </row>
    <row r="228" spans="1:27" x14ac:dyDescent="0.2">
      <c r="A228">
        <f t="shared" si="280"/>
        <v>1</v>
      </c>
      <c r="B228">
        <f t="shared" si="281"/>
        <v>1</v>
      </c>
      <c r="C228">
        <f t="shared" si="282"/>
        <v>0</v>
      </c>
      <c r="D228">
        <f t="shared" si="283"/>
        <v>0</v>
      </c>
      <c r="E228" s="12">
        <f t="shared" si="284"/>
        <v>0</v>
      </c>
      <c r="F228" s="13">
        <f t="shared" si="285"/>
        <v>0</v>
      </c>
      <c r="G228" s="13">
        <f t="shared" si="286"/>
        <v>0</v>
      </c>
      <c r="H228" s="14">
        <f t="shared" si="287"/>
        <v>0</v>
      </c>
      <c r="I228">
        <f t="shared" si="288"/>
        <v>1</v>
      </c>
      <c r="J228">
        <f t="shared" si="289"/>
        <v>1</v>
      </c>
      <c r="K228" s="28" t="s">
        <v>283</v>
      </c>
      <c r="L228">
        <f t="shared" si="290"/>
        <v>0</v>
      </c>
      <c r="M228">
        <f t="shared" si="291"/>
        <v>0</v>
      </c>
      <c r="N228">
        <f t="shared" si="292"/>
        <v>0</v>
      </c>
      <c r="O228">
        <f t="shared" si="293"/>
        <v>0</v>
      </c>
      <c r="P228" s="12">
        <f t="shared" si="294"/>
        <v>0</v>
      </c>
      <c r="Q228">
        <f t="shared" si="295"/>
        <v>0</v>
      </c>
      <c r="R228">
        <f t="shared" si="296"/>
        <v>0</v>
      </c>
      <c r="S228">
        <f t="shared" si="297"/>
        <v>0</v>
      </c>
      <c r="T228" s="12">
        <f t="shared" si="298"/>
        <v>0</v>
      </c>
      <c r="U228">
        <f t="shared" si="299"/>
        <v>0</v>
      </c>
      <c r="V228">
        <f t="shared" si="300"/>
        <v>0</v>
      </c>
      <c r="W228">
        <f t="shared" si="301"/>
        <v>0</v>
      </c>
      <c r="X228" s="12">
        <f t="shared" si="302"/>
        <v>0</v>
      </c>
      <c r="Y228">
        <f t="shared" si="303"/>
        <v>0</v>
      </c>
      <c r="Z228">
        <f t="shared" si="304"/>
        <v>0</v>
      </c>
      <c r="AA228">
        <f t="shared" si="305"/>
        <v>0</v>
      </c>
    </row>
    <row r="229" spans="1:27" x14ac:dyDescent="0.2">
      <c r="A229">
        <f t="shared" si="280"/>
        <v>1</v>
      </c>
      <c r="B229">
        <f t="shared" si="281"/>
        <v>1</v>
      </c>
      <c r="C229">
        <f t="shared" si="282"/>
        <v>0</v>
      </c>
      <c r="D229">
        <f t="shared" si="283"/>
        <v>0</v>
      </c>
      <c r="E229" s="12">
        <f t="shared" si="284"/>
        <v>0</v>
      </c>
      <c r="F229" s="13">
        <f t="shared" si="285"/>
        <v>0</v>
      </c>
      <c r="G229" s="13">
        <f t="shared" si="286"/>
        <v>0</v>
      </c>
      <c r="H229" s="14">
        <f t="shared" si="287"/>
        <v>0</v>
      </c>
      <c r="I229">
        <f t="shared" si="288"/>
        <v>1</v>
      </c>
      <c r="J229">
        <f t="shared" si="289"/>
        <v>1</v>
      </c>
      <c r="K229" s="28" t="s">
        <v>284</v>
      </c>
      <c r="L229">
        <f t="shared" si="290"/>
        <v>0</v>
      </c>
      <c r="M229">
        <f t="shared" si="291"/>
        <v>0</v>
      </c>
      <c r="N229">
        <f t="shared" si="292"/>
        <v>0</v>
      </c>
      <c r="O229">
        <f t="shared" si="293"/>
        <v>0</v>
      </c>
      <c r="P229" s="12">
        <f t="shared" si="294"/>
        <v>0</v>
      </c>
      <c r="Q229">
        <f t="shared" si="295"/>
        <v>0</v>
      </c>
      <c r="R229">
        <f t="shared" si="296"/>
        <v>0</v>
      </c>
      <c r="S229">
        <f t="shared" si="297"/>
        <v>0</v>
      </c>
      <c r="T229" s="12">
        <f t="shared" si="298"/>
        <v>0</v>
      </c>
      <c r="U229">
        <f t="shared" si="299"/>
        <v>0</v>
      </c>
      <c r="V229">
        <f t="shared" si="300"/>
        <v>0</v>
      </c>
      <c r="W229">
        <f t="shared" si="301"/>
        <v>0</v>
      </c>
      <c r="X229" s="12">
        <f t="shared" si="302"/>
        <v>0</v>
      </c>
      <c r="Y229">
        <f t="shared" si="303"/>
        <v>0</v>
      </c>
      <c r="Z229">
        <f t="shared" si="304"/>
        <v>0</v>
      </c>
      <c r="AA229">
        <f t="shared" si="305"/>
        <v>0</v>
      </c>
    </row>
    <row r="230" spans="1:27" x14ac:dyDescent="0.2">
      <c r="A230">
        <f t="shared" si="280"/>
        <v>1</v>
      </c>
      <c r="B230">
        <f t="shared" si="281"/>
        <v>1</v>
      </c>
      <c r="C230">
        <f t="shared" si="282"/>
        <v>0</v>
      </c>
      <c r="D230">
        <f t="shared" si="283"/>
        <v>0</v>
      </c>
      <c r="E230" s="12">
        <f t="shared" si="284"/>
        <v>0</v>
      </c>
      <c r="F230" s="13">
        <f t="shared" si="285"/>
        <v>0</v>
      </c>
      <c r="G230" s="13">
        <f t="shared" si="286"/>
        <v>0</v>
      </c>
      <c r="H230" s="14">
        <f t="shared" si="287"/>
        <v>0</v>
      </c>
      <c r="I230">
        <f t="shared" si="288"/>
        <v>1</v>
      </c>
      <c r="J230">
        <f t="shared" si="289"/>
        <v>1</v>
      </c>
      <c r="K230" s="28" t="s">
        <v>285</v>
      </c>
      <c r="L230">
        <f t="shared" si="290"/>
        <v>0</v>
      </c>
      <c r="M230">
        <f t="shared" si="291"/>
        <v>0</v>
      </c>
      <c r="N230">
        <f t="shared" si="292"/>
        <v>0</v>
      </c>
      <c r="O230">
        <f t="shared" si="293"/>
        <v>0</v>
      </c>
      <c r="P230" s="12">
        <f t="shared" si="294"/>
        <v>0</v>
      </c>
      <c r="Q230">
        <f t="shared" si="295"/>
        <v>0</v>
      </c>
      <c r="R230">
        <f t="shared" si="296"/>
        <v>0</v>
      </c>
      <c r="S230">
        <f t="shared" si="297"/>
        <v>0</v>
      </c>
      <c r="T230" s="12">
        <f t="shared" si="298"/>
        <v>0</v>
      </c>
      <c r="U230">
        <f t="shared" si="299"/>
        <v>0</v>
      </c>
      <c r="V230">
        <f t="shared" si="300"/>
        <v>0</v>
      </c>
      <c r="W230">
        <f t="shared" si="301"/>
        <v>0</v>
      </c>
      <c r="X230" s="12">
        <f t="shared" si="302"/>
        <v>0</v>
      </c>
      <c r="Y230">
        <f t="shared" si="303"/>
        <v>0</v>
      </c>
      <c r="Z230">
        <f t="shared" si="304"/>
        <v>0</v>
      </c>
      <c r="AA230">
        <f t="shared" si="305"/>
        <v>0</v>
      </c>
    </row>
    <row r="231" spans="1:27" x14ac:dyDescent="0.2">
      <c r="A231">
        <f t="shared" si="280"/>
        <v>1</v>
      </c>
      <c r="B231">
        <f t="shared" si="281"/>
        <v>1</v>
      </c>
      <c r="C231">
        <f t="shared" si="282"/>
        <v>0</v>
      </c>
      <c r="D231">
        <f t="shared" si="283"/>
        <v>0</v>
      </c>
      <c r="E231" s="12">
        <f t="shared" si="284"/>
        <v>0</v>
      </c>
      <c r="F231" s="13">
        <f t="shared" si="285"/>
        <v>0</v>
      </c>
      <c r="G231" s="13">
        <f t="shared" si="286"/>
        <v>0</v>
      </c>
      <c r="H231" s="14">
        <f t="shared" si="287"/>
        <v>0</v>
      </c>
      <c r="I231">
        <f t="shared" si="288"/>
        <v>1</v>
      </c>
      <c r="J231">
        <f t="shared" si="289"/>
        <v>1</v>
      </c>
      <c r="K231" s="28" t="s">
        <v>286</v>
      </c>
      <c r="L231">
        <f t="shared" si="290"/>
        <v>0</v>
      </c>
      <c r="M231">
        <f t="shared" si="291"/>
        <v>0</v>
      </c>
      <c r="N231">
        <f t="shared" si="292"/>
        <v>0</v>
      </c>
      <c r="O231">
        <f t="shared" si="293"/>
        <v>0</v>
      </c>
      <c r="P231" s="12">
        <f t="shared" si="294"/>
        <v>0</v>
      </c>
      <c r="Q231">
        <f t="shared" si="295"/>
        <v>0</v>
      </c>
      <c r="R231">
        <f t="shared" si="296"/>
        <v>0</v>
      </c>
      <c r="S231">
        <f t="shared" si="297"/>
        <v>0</v>
      </c>
      <c r="T231" s="12">
        <f t="shared" si="298"/>
        <v>0</v>
      </c>
      <c r="U231">
        <f t="shared" si="299"/>
        <v>0</v>
      </c>
      <c r="V231">
        <f t="shared" si="300"/>
        <v>0</v>
      </c>
      <c r="W231">
        <f t="shared" si="301"/>
        <v>0</v>
      </c>
      <c r="X231" s="12">
        <f t="shared" si="302"/>
        <v>0</v>
      </c>
      <c r="Y231">
        <f t="shared" si="303"/>
        <v>0</v>
      </c>
      <c r="Z231">
        <f t="shared" si="304"/>
        <v>0</v>
      </c>
      <c r="AA231">
        <f t="shared" si="305"/>
        <v>0</v>
      </c>
    </row>
    <row r="232" spans="1:27" x14ac:dyDescent="0.2">
      <c r="A232">
        <f t="shared" ref="A232:A251" si="306">A24</f>
        <v>1</v>
      </c>
      <c r="B232">
        <f t="shared" ref="B232:B251" si="307">H24</f>
        <v>1</v>
      </c>
      <c r="C232">
        <f t="shared" ref="C232:C251" si="308">G24</f>
        <v>0</v>
      </c>
      <c r="D232">
        <f t="shared" ref="D232:D251" si="309">AO24</f>
        <v>0</v>
      </c>
      <c r="E232" s="12">
        <f t="shared" ref="E232:E251" si="310">IF(D232&gt;=5,C232,0)</f>
        <v>0</v>
      </c>
      <c r="F232" s="13">
        <f t="shared" si="285"/>
        <v>0</v>
      </c>
      <c r="G232" s="13">
        <f t="shared" si="286"/>
        <v>0</v>
      </c>
      <c r="H232" s="14">
        <f t="shared" si="287"/>
        <v>0</v>
      </c>
      <c r="I232">
        <f t="shared" si="288"/>
        <v>1</v>
      </c>
      <c r="J232">
        <f t="shared" si="289"/>
        <v>1</v>
      </c>
      <c r="L232">
        <f t="shared" si="290"/>
        <v>0</v>
      </c>
      <c r="M232">
        <f t="shared" si="291"/>
        <v>0</v>
      </c>
      <c r="N232">
        <f t="shared" si="292"/>
        <v>0</v>
      </c>
      <c r="O232">
        <f t="shared" si="293"/>
        <v>0</v>
      </c>
      <c r="P232" s="12">
        <f t="shared" si="294"/>
        <v>0</v>
      </c>
      <c r="Q232">
        <f t="shared" si="295"/>
        <v>0</v>
      </c>
      <c r="R232">
        <f t="shared" si="296"/>
        <v>0</v>
      </c>
      <c r="S232">
        <f t="shared" si="297"/>
        <v>0</v>
      </c>
      <c r="T232" s="12">
        <f t="shared" si="298"/>
        <v>0</v>
      </c>
      <c r="U232">
        <f t="shared" si="299"/>
        <v>0</v>
      </c>
      <c r="V232">
        <f t="shared" si="300"/>
        <v>0</v>
      </c>
      <c r="W232">
        <f t="shared" si="301"/>
        <v>0</v>
      </c>
      <c r="X232" s="12">
        <f t="shared" si="302"/>
        <v>0</v>
      </c>
      <c r="Y232">
        <f t="shared" si="303"/>
        <v>0</v>
      </c>
      <c r="Z232">
        <f t="shared" si="304"/>
        <v>0</v>
      </c>
      <c r="AA232">
        <f t="shared" si="305"/>
        <v>0</v>
      </c>
    </row>
    <row r="233" spans="1:27" x14ac:dyDescent="0.2">
      <c r="A233">
        <f t="shared" si="306"/>
        <v>1</v>
      </c>
      <c r="B233">
        <f t="shared" si="307"/>
        <v>1</v>
      </c>
      <c r="C233">
        <f t="shared" si="308"/>
        <v>0</v>
      </c>
      <c r="D233">
        <f t="shared" si="309"/>
        <v>0</v>
      </c>
      <c r="E233" s="12">
        <f t="shared" si="310"/>
        <v>0</v>
      </c>
      <c r="F233" s="13">
        <f t="shared" si="285"/>
        <v>0</v>
      </c>
      <c r="G233" s="13">
        <f t="shared" si="286"/>
        <v>0</v>
      </c>
      <c r="H233" s="14">
        <f t="shared" si="287"/>
        <v>0</v>
      </c>
      <c r="I233">
        <f t="shared" si="288"/>
        <v>1</v>
      </c>
      <c r="J233">
        <f t="shared" si="289"/>
        <v>1</v>
      </c>
      <c r="L233">
        <f t="shared" si="290"/>
        <v>0</v>
      </c>
      <c r="M233">
        <f t="shared" si="291"/>
        <v>0</v>
      </c>
      <c r="N233">
        <f t="shared" si="292"/>
        <v>0</v>
      </c>
      <c r="O233">
        <f t="shared" si="293"/>
        <v>0</v>
      </c>
      <c r="P233" s="12">
        <f t="shared" si="294"/>
        <v>0</v>
      </c>
      <c r="Q233">
        <f t="shared" si="295"/>
        <v>0</v>
      </c>
      <c r="R233">
        <f t="shared" si="296"/>
        <v>0</v>
      </c>
      <c r="S233">
        <f t="shared" si="297"/>
        <v>0</v>
      </c>
      <c r="T233" s="12">
        <f t="shared" si="298"/>
        <v>0</v>
      </c>
      <c r="U233">
        <f t="shared" si="299"/>
        <v>0</v>
      </c>
      <c r="V233">
        <f t="shared" si="300"/>
        <v>0</v>
      </c>
      <c r="W233">
        <f t="shared" si="301"/>
        <v>0</v>
      </c>
      <c r="X233" s="12">
        <f t="shared" si="302"/>
        <v>0</v>
      </c>
      <c r="Y233">
        <f t="shared" si="303"/>
        <v>0</v>
      </c>
      <c r="Z233">
        <f t="shared" si="304"/>
        <v>0</v>
      </c>
      <c r="AA233">
        <f t="shared" si="305"/>
        <v>0</v>
      </c>
    </row>
    <row r="234" spans="1:27" x14ac:dyDescent="0.2">
      <c r="A234">
        <f t="shared" si="306"/>
        <v>1</v>
      </c>
      <c r="B234">
        <f t="shared" si="307"/>
        <v>1</v>
      </c>
      <c r="C234">
        <f t="shared" si="308"/>
        <v>0</v>
      </c>
      <c r="D234">
        <f t="shared" si="309"/>
        <v>0</v>
      </c>
      <c r="E234" s="12">
        <f t="shared" si="310"/>
        <v>0</v>
      </c>
      <c r="F234" s="13">
        <f t="shared" si="285"/>
        <v>0</v>
      </c>
      <c r="G234" s="13">
        <f t="shared" si="286"/>
        <v>0</v>
      </c>
      <c r="H234" s="14">
        <f t="shared" si="287"/>
        <v>0</v>
      </c>
      <c r="I234">
        <f t="shared" si="288"/>
        <v>1</v>
      </c>
      <c r="J234">
        <f t="shared" si="289"/>
        <v>1</v>
      </c>
      <c r="L234">
        <f t="shared" si="290"/>
        <v>0</v>
      </c>
      <c r="M234">
        <f t="shared" si="291"/>
        <v>0</v>
      </c>
      <c r="N234">
        <f t="shared" si="292"/>
        <v>0</v>
      </c>
      <c r="O234">
        <f t="shared" si="293"/>
        <v>0</v>
      </c>
      <c r="P234" s="12">
        <f t="shared" si="294"/>
        <v>0</v>
      </c>
      <c r="Q234">
        <f t="shared" si="295"/>
        <v>0</v>
      </c>
      <c r="R234">
        <f t="shared" si="296"/>
        <v>0</v>
      </c>
      <c r="S234">
        <f t="shared" si="297"/>
        <v>0</v>
      </c>
      <c r="T234" s="12">
        <f t="shared" si="298"/>
        <v>0</v>
      </c>
      <c r="U234">
        <f t="shared" si="299"/>
        <v>0</v>
      </c>
      <c r="V234">
        <f t="shared" si="300"/>
        <v>0</v>
      </c>
      <c r="W234">
        <f t="shared" si="301"/>
        <v>0</v>
      </c>
      <c r="X234" s="12">
        <f t="shared" si="302"/>
        <v>0</v>
      </c>
      <c r="Y234">
        <f t="shared" si="303"/>
        <v>0</v>
      </c>
      <c r="Z234">
        <f t="shared" si="304"/>
        <v>0</v>
      </c>
      <c r="AA234">
        <f t="shared" si="305"/>
        <v>0</v>
      </c>
    </row>
    <row r="235" spans="1:27" x14ac:dyDescent="0.2">
      <c r="A235">
        <f t="shared" si="306"/>
        <v>1</v>
      </c>
      <c r="B235">
        <f t="shared" si="307"/>
        <v>1</v>
      </c>
      <c r="C235">
        <f t="shared" si="308"/>
        <v>0</v>
      </c>
      <c r="D235">
        <f t="shared" si="309"/>
        <v>0</v>
      </c>
      <c r="E235" s="12">
        <f t="shared" si="310"/>
        <v>0</v>
      </c>
      <c r="F235" s="13">
        <f t="shared" si="285"/>
        <v>0</v>
      </c>
      <c r="G235" s="13">
        <f t="shared" si="286"/>
        <v>0</v>
      </c>
      <c r="H235" s="14">
        <f t="shared" si="287"/>
        <v>0</v>
      </c>
      <c r="I235">
        <f t="shared" si="288"/>
        <v>1</v>
      </c>
      <c r="J235">
        <f t="shared" si="289"/>
        <v>1</v>
      </c>
      <c r="L235">
        <f t="shared" si="290"/>
        <v>0</v>
      </c>
      <c r="M235">
        <f t="shared" si="291"/>
        <v>0</v>
      </c>
      <c r="N235">
        <f t="shared" si="292"/>
        <v>0</v>
      </c>
      <c r="O235">
        <f t="shared" si="293"/>
        <v>0</v>
      </c>
      <c r="P235" s="12">
        <f t="shared" si="294"/>
        <v>0</v>
      </c>
      <c r="Q235">
        <f t="shared" si="295"/>
        <v>0</v>
      </c>
      <c r="R235">
        <f t="shared" si="296"/>
        <v>0</v>
      </c>
      <c r="S235">
        <f t="shared" si="297"/>
        <v>0</v>
      </c>
      <c r="T235" s="12">
        <f t="shared" si="298"/>
        <v>0</v>
      </c>
      <c r="U235">
        <f t="shared" si="299"/>
        <v>0</v>
      </c>
      <c r="V235">
        <f t="shared" si="300"/>
        <v>0</v>
      </c>
      <c r="W235">
        <f t="shared" si="301"/>
        <v>0</v>
      </c>
      <c r="X235" s="12">
        <f t="shared" si="302"/>
        <v>0</v>
      </c>
      <c r="Y235">
        <f t="shared" si="303"/>
        <v>0</v>
      </c>
      <c r="Z235">
        <f t="shared" si="304"/>
        <v>0</v>
      </c>
      <c r="AA235">
        <f t="shared" si="305"/>
        <v>0</v>
      </c>
    </row>
    <row r="236" spans="1:27" x14ac:dyDescent="0.2">
      <c r="A236">
        <f t="shared" si="306"/>
        <v>1</v>
      </c>
      <c r="B236">
        <f t="shared" si="307"/>
        <v>1</v>
      </c>
      <c r="C236">
        <f t="shared" si="308"/>
        <v>0</v>
      </c>
      <c r="D236">
        <f t="shared" si="309"/>
        <v>0</v>
      </c>
      <c r="E236" s="12">
        <f t="shared" si="310"/>
        <v>0</v>
      </c>
      <c r="F236" s="13">
        <f t="shared" si="285"/>
        <v>0</v>
      </c>
      <c r="G236" s="13">
        <f t="shared" si="286"/>
        <v>0</v>
      </c>
      <c r="H236" s="14">
        <f t="shared" si="287"/>
        <v>0</v>
      </c>
      <c r="I236">
        <f t="shared" si="288"/>
        <v>1</v>
      </c>
      <c r="J236">
        <f t="shared" si="289"/>
        <v>1</v>
      </c>
      <c r="L236">
        <f t="shared" si="290"/>
        <v>0</v>
      </c>
      <c r="M236">
        <f t="shared" si="291"/>
        <v>0</v>
      </c>
      <c r="N236">
        <f t="shared" si="292"/>
        <v>0</v>
      </c>
      <c r="O236">
        <f t="shared" si="293"/>
        <v>0</v>
      </c>
      <c r="P236" s="12">
        <f t="shared" si="294"/>
        <v>0</v>
      </c>
      <c r="Q236">
        <f t="shared" si="295"/>
        <v>0</v>
      </c>
      <c r="R236">
        <f t="shared" si="296"/>
        <v>0</v>
      </c>
      <c r="S236">
        <f t="shared" si="297"/>
        <v>0</v>
      </c>
      <c r="T236" s="12">
        <f t="shared" si="298"/>
        <v>0</v>
      </c>
      <c r="U236">
        <f t="shared" si="299"/>
        <v>0</v>
      </c>
      <c r="V236">
        <f t="shared" si="300"/>
        <v>0</v>
      </c>
      <c r="W236">
        <f t="shared" si="301"/>
        <v>0</v>
      </c>
      <c r="X236" s="12">
        <f t="shared" si="302"/>
        <v>0</v>
      </c>
      <c r="Y236">
        <f t="shared" si="303"/>
        <v>0</v>
      </c>
      <c r="Z236">
        <f t="shared" si="304"/>
        <v>0</v>
      </c>
      <c r="AA236">
        <f t="shared" si="305"/>
        <v>0</v>
      </c>
    </row>
    <row r="237" spans="1:27" x14ac:dyDescent="0.2">
      <c r="A237">
        <f t="shared" si="306"/>
        <v>1</v>
      </c>
      <c r="B237">
        <f t="shared" si="307"/>
        <v>1</v>
      </c>
      <c r="C237">
        <f t="shared" si="308"/>
        <v>0</v>
      </c>
      <c r="D237">
        <f t="shared" si="309"/>
        <v>0</v>
      </c>
      <c r="E237" s="12">
        <f t="shared" si="310"/>
        <v>0</v>
      </c>
      <c r="F237" s="13">
        <f t="shared" si="285"/>
        <v>0</v>
      </c>
      <c r="G237" s="13">
        <f t="shared" si="286"/>
        <v>0</v>
      </c>
      <c r="H237" s="14">
        <f t="shared" si="287"/>
        <v>0</v>
      </c>
      <c r="I237">
        <f t="shared" si="288"/>
        <v>1</v>
      </c>
      <c r="J237">
        <f t="shared" si="289"/>
        <v>1</v>
      </c>
      <c r="L237">
        <f t="shared" si="290"/>
        <v>0</v>
      </c>
      <c r="M237">
        <f t="shared" si="291"/>
        <v>0</v>
      </c>
      <c r="N237">
        <f t="shared" si="292"/>
        <v>0</v>
      </c>
      <c r="O237">
        <f t="shared" si="293"/>
        <v>0</v>
      </c>
      <c r="P237" s="12">
        <f t="shared" si="294"/>
        <v>0</v>
      </c>
      <c r="Q237">
        <f t="shared" si="295"/>
        <v>0</v>
      </c>
      <c r="R237">
        <f t="shared" si="296"/>
        <v>0</v>
      </c>
      <c r="S237">
        <f t="shared" si="297"/>
        <v>0</v>
      </c>
      <c r="T237" s="12">
        <f t="shared" si="298"/>
        <v>0</v>
      </c>
      <c r="U237">
        <f t="shared" si="299"/>
        <v>0</v>
      </c>
      <c r="V237">
        <f t="shared" si="300"/>
        <v>0</v>
      </c>
      <c r="W237">
        <f t="shared" si="301"/>
        <v>0</v>
      </c>
      <c r="X237" s="12">
        <f t="shared" si="302"/>
        <v>0</v>
      </c>
      <c r="Y237">
        <f t="shared" si="303"/>
        <v>0</v>
      </c>
      <c r="Z237">
        <f t="shared" si="304"/>
        <v>0</v>
      </c>
      <c r="AA237">
        <f t="shared" si="305"/>
        <v>0</v>
      </c>
    </row>
    <row r="238" spans="1:27" x14ac:dyDescent="0.2">
      <c r="A238">
        <f t="shared" si="306"/>
        <v>1</v>
      </c>
      <c r="B238">
        <f t="shared" si="307"/>
        <v>1</v>
      </c>
      <c r="C238">
        <f t="shared" si="308"/>
        <v>0</v>
      </c>
      <c r="D238">
        <f t="shared" si="309"/>
        <v>0</v>
      </c>
      <c r="E238" s="12">
        <f t="shared" si="310"/>
        <v>0</v>
      </c>
      <c r="F238" s="13">
        <f t="shared" si="285"/>
        <v>0</v>
      </c>
      <c r="G238" s="13">
        <f t="shared" si="286"/>
        <v>0</v>
      </c>
      <c r="H238" s="14">
        <f t="shared" si="287"/>
        <v>0</v>
      </c>
      <c r="I238">
        <f t="shared" si="288"/>
        <v>1</v>
      </c>
      <c r="J238">
        <f t="shared" si="289"/>
        <v>1</v>
      </c>
      <c r="L238">
        <f t="shared" si="290"/>
        <v>0</v>
      </c>
      <c r="M238">
        <f t="shared" si="291"/>
        <v>0</v>
      </c>
      <c r="N238">
        <f t="shared" si="292"/>
        <v>0</v>
      </c>
      <c r="O238">
        <f t="shared" si="293"/>
        <v>0</v>
      </c>
      <c r="P238" s="12">
        <f t="shared" si="294"/>
        <v>0</v>
      </c>
      <c r="Q238">
        <f t="shared" si="295"/>
        <v>0</v>
      </c>
      <c r="R238">
        <f t="shared" si="296"/>
        <v>0</v>
      </c>
      <c r="S238">
        <f t="shared" si="297"/>
        <v>0</v>
      </c>
      <c r="T238" s="12">
        <f t="shared" si="298"/>
        <v>0</v>
      </c>
      <c r="U238">
        <f t="shared" si="299"/>
        <v>0</v>
      </c>
      <c r="V238">
        <f t="shared" si="300"/>
        <v>0</v>
      </c>
      <c r="W238">
        <f t="shared" si="301"/>
        <v>0</v>
      </c>
      <c r="X238" s="12">
        <f t="shared" si="302"/>
        <v>0</v>
      </c>
      <c r="Y238">
        <f t="shared" si="303"/>
        <v>0</v>
      </c>
      <c r="Z238">
        <f t="shared" si="304"/>
        <v>0</v>
      </c>
      <c r="AA238">
        <f t="shared" si="305"/>
        <v>0</v>
      </c>
    </row>
    <row r="239" spans="1:27" x14ac:dyDescent="0.2">
      <c r="A239">
        <f t="shared" si="306"/>
        <v>1</v>
      </c>
      <c r="B239">
        <f t="shared" si="307"/>
        <v>1</v>
      </c>
      <c r="C239">
        <f t="shared" si="308"/>
        <v>0</v>
      </c>
      <c r="D239">
        <f t="shared" si="309"/>
        <v>0</v>
      </c>
      <c r="E239" s="12">
        <f t="shared" si="310"/>
        <v>0</v>
      </c>
      <c r="F239" s="13">
        <f t="shared" si="285"/>
        <v>0</v>
      </c>
      <c r="G239" s="13">
        <f t="shared" si="286"/>
        <v>0</v>
      </c>
      <c r="H239" s="14">
        <f t="shared" si="287"/>
        <v>0</v>
      </c>
      <c r="I239">
        <f t="shared" si="288"/>
        <v>1</v>
      </c>
      <c r="J239">
        <f t="shared" si="289"/>
        <v>1</v>
      </c>
      <c r="L239">
        <f t="shared" si="290"/>
        <v>0</v>
      </c>
      <c r="M239">
        <f t="shared" si="291"/>
        <v>0</v>
      </c>
      <c r="N239">
        <f t="shared" si="292"/>
        <v>0</v>
      </c>
      <c r="O239">
        <f t="shared" si="293"/>
        <v>0</v>
      </c>
      <c r="P239" s="12">
        <f t="shared" si="294"/>
        <v>0</v>
      </c>
      <c r="Q239">
        <f t="shared" si="295"/>
        <v>0</v>
      </c>
      <c r="R239">
        <f t="shared" si="296"/>
        <v>0</v>
      </c>
      <c r="S239">
        <f t="shared" si="297"/>
        <v>0</v>
      </c>
      <c r="T239" s="12">
        <f t="shared" si="298"/>
        <v>0</v>
      </c>
      <c r="U239">
        <f t="shared" si="299"/>
        <v>0</v>
      </c>
      <c r="V239">
        <f t="shared" si="300"/>
        <v>0</v>
      </c>
      <c r="W239">
        <f t="shared" si="301"/>
        <v>0</v>
      </c>
      <c r="X239" s="12">
        <f t="shared" si="302"/>
        <v>0</v>
      </c>
      <c r="Y239">
        <f t="shared" si="303"/>
        <v>0</v>
      </c>
      <c r="Z239">
        <f t="shared" si="304"/>
        <v>0</v>
      </c>
      <c r="AA239">
        <f t="shared" si="305"/>
        <v>0</v>
      </c>
    </row>
    <row r="240" spans="1:27" x14ac:dyDescent="0.2">
      <c r="A240">
        <f t="shared" si="306"/>
        <v>1</v>
      </c>
      <c r="B240">
        <f t="shared" si="307"/>
        <v>1</v>
      </c>
      <c r="C240">
        <f t="shared" si="308"/>
        <v>0</v>
      </c>
      <c r="D240">
        <f t="shared" si="309"/>
        <v>0</v>
      </c>
      <c r="E240" s="12">
        <f t="shared" si="310"/>
        <v>0</v>
      </c>
      <c r="F240" s="13">
        <f t="shared" si="285"/>
        <v>0</v>
      </c>
      <c r="G240" s="13">
        <f t="shared" si="286"/>
        <v>0</v>
      </c>
      <c r="H240" s="14">
        <f t="shared" si="287"/>
        <v>0</v>
      </c>
      <c r="I240">
        <f t="shared" si="288"/>
        <v>1</v>
      </c>
      <c r="J240">
        <f t="shared" si="289"/>
        <v>1</v>
      </c>
      <c r="L240">
        <f t="shared" si="290"/>
        <v>0</v>
      </c>
      <c r="M240">
        <f t="shared" si="291"/>
        <v>0</v>
      </c>
      <c r="N240">
        <f t="shared" si="292"/>
        <v>0</v>
      </c>
      <c r="O240">
        <f t="shared" si="293"/>
        <v>0</v>
      </c>
      <c r="P240" s="12">
        <f t="shared" si="294"/>
        <v>0</v>
      </c>
      <c r="Q240">
        <f t="shared" si="295"/>
        <v>0</v>
      </c>
      <c r="R240">
        <f t="shared" si="296"/>
        <v>0</v>
      </c>
      <c r="S240">
        <f t="shared" si="297"/>
        <v>0</v>
      </c>
      <c r="T240" s="12">
        <f t="shared" si="298"/>
        <v>0</v>
      </c>
      <c r="U240">
        <f t="shared" si="299"/>
        <v>0</v>
      </c>
      <c r="V240">
        <f t="shared" si="300"/>
        <v>0</v>
      </c>
      <c r="W240">
        <f t="shared" si="301"/>
        <v>0</v>
      </c>
      <c r="X240" s="12">
        <f t="shared" si="302"/>
        <v>0</v>
      </c>
      <c r="Y240">
        <f t="shared" si="303"/>
        <v>0</v>
      </c>
      <c r="Z240">
        <f t="shared" si="304"/>
        <v>0</v>
      </c>
      <c r="AA240">
        <f t="shared" si="305"/>
        <v>0</v>
      </c>
    </row>
    <row r="241" spans="1:27" x14ac:dyDescent="0.2">
      <c r="A241">
        <f t="shared" si="306"/>
        <v>1</v>
      </c>
      <c r="B241">
        <f t="shared" si="307"/>
        <v>1</v>
      </c>
      <c r="C241">
        <f t="shared" si="308"/>
        <v>0</v>
      </c>
      <c r="D241">
        <f t="shared" si="309"/>
        <v>0</v>
      </c>
      <c r="E241" s="12">
        <f t="shared" si="310"/>
        <v>0</v>
      </c>
      <c r="F241" s="13">
        <f t="shared" si="285"/>
        <v>0</v>
      </c>
      <c r="G241" s="13">
        <f t="shared" si="286"/>
        <v>0</v>
      </c>
      <c r="H241" s="14">
        <f t="shared" si="287"/>
        <v>0</v>
      </c>
      <c r="I241">
        <f t="shared" si="288"/>
        <v>1</v>
      </c>
      <c r="J241">
        <f t="shared" si="289"/>
        <v>1</v>
      </c>
      <c r="L241">
        <f t="shared" si="290"/>
        <v>0</v>
      </c>
      <c r="M241">
        <f t="shared" si="291"/>
        <v>0</v>
      </c>
      <c r="N241">
        <f t="shared" si="292"/>
        <v>0</v>
      </c>
      <c r="O241">
        <f t="shared" si="293"/>
        <v>0</v>
      </c>
      <c r="P241" s="12">
        <f t="shared" si="294"/>
        <v>0</v>
      </c>
      <c r="Q241">
        <f t="shared" si="295"/>
        <v>0</v>
      </c>
      <c r="R241">
        <f t="shared" si="296"/>
        <v>0</v>
      </c>
      <c r="S241">
        <f t="shared" si="297"/>
        <v>0</v>
      </c>
      <c r="T241" s="12">
        <f t="shared" si="298"/>
        <v>0</v>
      </c>
      <c r="U241">
        <f t="shared" si="299"/>
        <v>0</v>
      </c>
      <c r="V241">
        <f t="shared" si="300"/>
        <v>0</v>
      </c>
      <c r="W241">
        <f t="shared" si="301"/>
        <v>0</v>
      </c>
      <c r="X241" s="12">
        <f t="shared" si="302"/>
        <v>0</v>
      </c>
      <c r="Y241">
        <f t="shared" si="303"/>
        <v>0</v>
      </c>
      <c r="Z241">
        <f t="shared" si="304"/>
        <v>0</v>
      </c>
      <c r="AA241">
        <f t="shared" si="305"/>
        <v>0</v>
      </c>
    </row>
    <row r="242" spans="1:27" x14ac:dyDescent="0.2">
      <c r="A242">
        <f t="shared" si="306"/>
        <v>1</v>
      </c>
      <c r="B242">
        <f t="shared" si="307"/>
        <v>1</v>
      </c>
      <c r="C242">
        <f t="shared" si="308"/>
        <v>0</v>
      </c>
      <c r="D242">
        <f t="shared" si="309"/>
        <v>0</v>
      </c>
      <c r="E242" s="12">
        <f t="shared" si="310"/>
        <v>0</v>
      </c>
      <c r="F242" s="13">
        <f t="shared" si="285"/>
        <v>0</v>
      </c>
      <c r="G242" s="13">
        <f t="shared" si="286"/>
        <v>0</v>
      </c>
      <c r="H242" s="14">
        <f t="shared" si="287"/>
        <v>0</v>
      </c>
      <c r="I242">
        <f t="shared" si="288"/>
        <v>1</v>
      </c>
      <c r="J242">
        <f t="shared" si="289"/>
        <v>1</v>
      </c>
      <c r="L242">
        <f t="shared" si="290"/>
        <v>0</v>
      </c>
      <c r="M242">
        <f t="shared" si="291"/>
        <v>0</v>
      </c>
      <c r="N242">
        <f t="shared" si="292"/>
        <v>0</v>
      </c>
      <c r="O242">
        <f t="shared" si="293"/>
        <v>0</v>
      </c>
      <c r="P242" s="12">
        <f t="shared" si="294"/>
        <v>0</v>
      </c>
      <c r="Q242">
        <f t="shared" si="295"/>
        <v>0</v>
      </c>
      <c r="R242">
        <f t="shared" si="296"/>
        <v>0</v>
      </c>
      <c r="S242">
        <f t="shared" si="297"/>
        <v>0</v>
      </c>
      <c r="T242" s="12">
        <f t="shared" si="298"/>
        <v>0</v>
      </c>
      <c r="U242">
        <f t="shared" si="299"/>
        <v>0</v>
      </c>
      <c r="V242">
        <f t="shared" si="300"/>
        <v>0</v>
      </c>
      <c r="W242">
        <f t="shared" si="301"/>
        <v>0</v>
      </c>
      <c r="X242" s="12">
        <f t="shared" si="302"/>
        <v>0</v>
      </c>
      <c r="Y242">
        <f t="shared" si="303"/>
        <v>0</v>
      </c>
      <c r="Z242">
        <f t="shared" si="304"/>
        <v>0</v>
      </c>
      <c r="AA242">
        <f t="shared" si="305"/>
        <v>0</v>
      </c>
    </row>
    <row r="243" spans="1:27" x14ac:dyDescent="0.2">
      <c r="A243">
        <f t="shared" si="306"/>
        <v>1</v>
      </c>
      <c r="B243">
        <f t="shared" si="307"/>
        <v>1</v>
      </c>
      <c r="C243">
        <f t="shared" si="308"/>
        <v>0</v>
      </c>
      <c r="D243">
        <f t="shared" si="309"/>
        <v>0</v>
      </c>
      <c r="E243" s="12">
        <f t="shared" si="310"/>
        <v>0</v>
      </c>
      <c r="F243" s="13">
        <f t="shared" si="285"/>
        <v>0</v>
      </c>
      <c r="G243" s="13">
        <f t="shared" si="286"/>
        <v>0</v>
      </c>
      <c r="H243" s="14">
        <f t="shared" si="287"/>
        <v>0</v>
      </c>
      <c r="I243">
        <f t="shared" si="288"/>
        <v>1</v>
      </c>
      <c r="J243">
        <f t="shared" si="289"/>
        <v>1</v>
      </c>
      <c r="L243">
        <f t="shared" si="290"/>
        <v>0</v>
      </c>
      <c r="M243">
        <f t="shared" si="291"/>
        <v>0</v>
      </c>
      <c r="N243">
        <f t="shared" si="292"/>
        <v>0</v>
      </c>
      <c r="O243">
        <f t="shared" si="293"/>
        <v>0</v>
      </c>
      <c r="P243" s="12">
        <f t="shared" si="294"/>
        <v>0</v>
      </c>
      <c r="Q243">
        <f t="shared" si="295"/>
        <v>0</v>
      </c>
      <c r="R243">
        <f t="shared" si="296"/>
        <v>0</v>
      </c>
      <c r="S243">
        <f t="shared" si="297"/>
        <v>0</v>
      </c>
      <c r="T243" s="12">
        <f t="shared" si="298"/>
        <v>0</v>
      </c>
      <c r="U243">
        <f t="shared" si="299"/>
        <v>0</v>
      </c>
      <c r="V243">
        <f t="shared" si="300"/>
        <v>0</v>
      </c>
      <c r="W243">
        <f t="shared" si="301"/>
        <v>0</v>
      </c>
      <c r="X243" s="12">
        <f t="shared" si="302"/>
        <v>0</v>
      </c>
      <c r="Y243">
        <f t="shared" si="303"/>
        <v>0</v>
      </c>
      <c r="Z243">
        <f t="shared" si="304"/>
        <v>0</v>
      </c>
      <c r="AA243">
        <f t="shared" si="305"/>
        <v>0</v>
      </c>
    </row>
    <row r="244" spans="1:27" x14ac:dyDescent="0.2">
      <c r="A244">
        <f t="shared" si="306"/>
        <v>1</v>
      </c>
      <c r="B244">
        <f t="shared" si="307"/>
        <v>1</v>
      </c>
      <c r="C244">
        <f t="shared" si="308"/>
        <v>0</v>
      </c>
      <c r="D244">
        <f t="shared" si="309"/>
        <v>0</v>
      </c>
      <c r="E244" s="12">
        <f t="shared" si="310"/>
        <v>0</v>
      </c>
      <c r="F244" s="13">
        <f t="shared" si="285"/>
        <v>0</v>
      </c>
      <c r="G244" s="13">
        <f t="shared" si="286"/>
        <v>0</v>
      </c>
      <c r="H244" s="14">
        <f t="shared" si="287"/>
        <v>0</v>
      </c>
      <c r="I244">
        <f t="shared" si="288"/>
        <v>1</v>
      </c>
      <c r="J244">
        <f t="shared" si="289"/>
        <v>1</v>
      </c>
      <c r="L244">
        <f t="shared" si="290"/>
        <v>0</v>
      </c>
      <c r="M244">
        <f t="shared" si="291"/>
        <v>0</v>
      </c>
      <c r="N244">
        <f t="shared" si="292"/>
        <v>0</v>
      </c>
      <c r="O244">
        <f t="shared" si="293"/>
        <v>0</v>
      </c>
      <c r="P244" s="12">
        <f t="shared" si="294"/>
        <v>0</v>
      </c>
      <c r="Q244">
        <f t="shared" si="295"/>
        <v>0</v>
      </c>
      <c r="R244">
        <f t="shared" si="296"/>
        <v>0</v>
      </c>
      <c r="S244">
        <f t="shared" si="297"/>
        <v>0</v>
      </c>
      <c r="T244" s="12">
        <f t="shared" si="298"/>
        <v>0</v>
      </c>
      <c r="U244">
        <f t="shared" si="299"/>
        <v>0</v>
      </c>
      <c r="V244">
        <f t="shared" si="300"/>
        <v>0</v>
      </c>
      <c r="W244">
        <f t="shared" si="301"/>
        <v>0</v>
      </c>
      <c r="X244" s="12">
        <f t="shared" si="302"/>
        <v>0</v>
      </c>
      <c r="Y244">
        <f t="shared" si="303"/>
        <v>0</v>
      </c>
      <c r="Z244">
        <f t="shared" si="304"/>
        <v>0</v>
      </c>
      <c r="AA244">
        <f t="shared" si="305"/>
        <v>0</v>
      </c>
    </row>
    <row r="245" spans="1:27" x14ac:dyDescent="0.2">
      <c r="A245">
        <f t="shared" si="306"/>
        <v>1</v>
      </c>
      <c r="B245">
        <f t="shared" si="307"/>
        <v>1</v>
      </c>
      <c r="C245">
        <f t="shared" si="308"/>
        <v>0</v>
      </c>
      <c r="D245">
        <f t="shared" si="309"/>
        <v>0</v>
      </c>
      <c r="E245" s="12">
        <f t="shared" si="310"/>
        <v>0</v>
      </c>
      <c r="F245" s="13">
        <f t="shared" si="285"/>
        <v>0</v>
      </c>
      <c r="G245" s="13">
        <f t="shared" si="286"/>
        <v>0</v>
      </c>
      <c r="H245" s="14">
        <f t="shared" si="287"/>
        <v>0</v>
      </c>
      <c r="I245">
        <f t="shared" si="288"/>
        <v>1</v>
      </c>
      <c r="J245">
        <f t="shared" si="289"/>
        <v>1</v>
      </c>
      <c r="L245">
        <f t="shared" si="290"/>
        <v>0</v>
      </c>
      <c r="M245">
        <f t="shared" si="291"/>
        <v>0</v>
      </c>
      <c r="N245">
        <f t="shared" si="292"/>
        <v>0</v>
      </c>
      <c r="O245">
        <f t="shared" si="293"/>
        <v>0</v>
      </c>
      <c r="P245" s="12">
        <f t="shared" si="294"/>
        <v>0</v>
      </c>
      <c r="Q245">
        <f t="shared" si="295"/>
        <v>0</v>
      </c>
      <c r="R245">
        <f t="shared" si="296"/>
        <v>0</v>
      </c>
      <c r="S245">
        <f t="shared" si="297"/>
        <v>0</v>
      </c>
      <c r="T245" s="12">
        <f t="shared" si="298"/>
        <v>0</v>
      </c>
      <c r="U245">
        <f t="shared" si="299"/>
        <v>0</v>
      </c>
      <c r="V245">
        <f t="shared" si="300"/>
        <v>0</v>
      </c>
      <c r="W245">
        <f t="shared" si="301"/>
        <v>0</v>
      </c>
      <c r="X245" s="12">
        <f t="shared" si="302"/>
        <v>0</v>
      </c>
      <c r="Y245">
        <f t="shared" si="303"/>
        <v>0</v>
      </c>
      <c r="Z245">
        <f t="shared" si="304"/>
        <v>0</v>
      </c>
      <c r="AA245">
        <f t="shared" si="305"/>
        <v>0</v>
      </c>
    </row>
    <row r="246" spans="1:27" x14ac:dyDescent="0.2">
      <c r="A246">
        <f t="shared" si="306"/>
        <v>1</v>
      </c>
      <c r="B246">
        <f t="shared" si="307"/>
        <v>1</v>
      </c>
      <c r="C246">
        <f t="shared" si="308"/>
        <v>0</v>
      </c>
      <c r="D246">
        <f t="shared" si="309"/>
        <v>0</v>
      </c>
      <c r="E246" s="12">
        <f t="shared" si="310"/>
        <v>0</v>
      </c>
      <c r="F246" s="13">
        <f t="shared" si="285"/>
        <v>0</v>
      </c>
      <c r="G246" s="13">
        <f t="shared" si="286"/>
        <v>0</v>
      </c>
      <c r="H246" s="14">
        <f t="shared" si="287"/>
        <v>0</v>
      </c>
      <c r="I246">
        <f t="shared" si="288"/>
        <v>1</v>
      </c>
      <c r="J246">
        <f t="shared" si="289"/>
        <v>1</v>
      </c>
      <c r="L246">
        <f t="shared" si="290"/>
        <v>0</v>
      </c>
      <c r="M246">
        <f t="shared" si="291"/>
        <v>0</v>
      </c>
      <c r="N246">
        <f t="shared" si="292"/>
        <v>0</v>
      </c>
      <c r="O246">
        <f t="shared" si="293"/>
        <v>0</v>
      </c>
      <c r="P246" s="12">
        <f t="shared" si="294"/>
        <v>0</v>
      </c>
      <c r="Q246">
        <f t="shared" si="295"/>
        <v>0</v>
      </c>
      <c r="R246">
        <f t="shared" si="296"/>
        <v>0</v>
      </c>
      <c r="S246">
        <f t="shared" si="297"/>
        <v>0</v>
      </c>
      <c r="T246" s="12">
        <f t="shared" si="298"/>
        <v>0</v>
      </c>
      <c r="U246">
        <f t="shared" si="299"/>
        <v>0</v>
      </c>
      <c r="V246">
        <f t="shared" si="300"/>
        <v>0</v>
      </c>
      <c r="W246">
        <f t="shared" si="301"/>
        <v>0</v>
      </c>
      <c r="X246" s="12">
        <f t="shared" si="302"/>
        <v>0</v>
      </c>
      <c r="Y246">
        <f t="shared" si="303"/>
        <v>0</v>
      </c>
      <c r="Z246">
        <f t="shared" si="304"/>
        <v>0</v>
      </c>
      <c r="AA246">
        <f t="shared" si="305"/>
        <v>0</v>
      </c>
    </row>
    <row r="247" spans="1:27" x14ac:dyDescent="0.2">
      <c r="A247">
        <f t="shared" si="306"/>
        <v>1</v>
      </c>
      <c r="B247">
        <f t="shared" si="307"/>
        <v>1</v>
      </c>
      <c r="C247">
        <f t="shared" si="308"/>
        <v>0</v>
      </c>
      <c r="D247">
        <f t="shared" si="309"/>
        <v>0</v>
      </c>
      <c r="E247" s="12">
        <f t="shared" si="310"/>
        <v>0</v>
      </c>
      <c r="F247" s="13">
        <f t="shared" si="285"/>
        <v>0</v>
      </c>
      <c r="G247" s="13">
        <f t="shared" si="286"/>
        <v>0</v>
      </c>
      <c r="H247" s="14">
        <f t="shared" si="287"/>
        <v>0</v>
      </c>
      <c r="I247">
        <f t="shared" si="288"/>
        <v>1</v>
      </c>
      <c r="J247">
        <f t="shared" si="289"/>
        <v>1</v>
      </c>
      <c r="L247">
        <f t="shared" si="290"/>
        <v>0</v>
      </c>
      <c r="M247">
        <f t="shared" si="291"/>
        <v>0</v>
      </c>
      <c r="N247">
        <f t="shared" si="292"/>
        <v>0</v>
      </c>
      <c r="O247">
        <f t="shared" si="293"/>
        <v>0</v>
      </c>
      <c r="P247" s="12">
        <f t="shared" si="294"/>
        <v>0</v>
      </c>
      <c r="Q247">
        <f t="shared" si="295"/>
        <v>0</v>
      </c>
      <c r="R247">
        <f t="shared" si="296"/>
        <v>0</v>
      </c>
      <c r="S247">
        <f t="shared" si="297"/>
        <v>0</v>
      </c>
      <c r="T247" s="12">
        <f t="shared" si="298"/>
        <v>0</v>
      </c>
      <c r="U247">
        <f t="shared" si="299"/>
        <v>0</v>
      </c>
      <c r="V247">
        <f t="shared" si="300"/>
        <v>0</v>
      </c>
      <c r="W247">
        <f t="shared" si="301"/>
        <v>0</v>
      </c>
      <c r="X247" s="12">
        <f t="shared" si="302"/>
        <v>0</v>
      </c>
      <c r="Y247">
        <f t="shared" si="303"/>
        <v>0</v>
      </c>
      <c r="Z247">
        <f t="shared" si="304"/>
        <v>0</v>
      </c>
      <c r="AA247">
        <f t="shared" si="305"/>
        <v>0</v>
      </c>
    </row>
    <row r="248" spans="1:27" x14ac:dyDescent="0.2">
      <c r="A248">
        <f t="shared" si="306"/>
        <v>1</v>
      </c>
      <c r="B248">
        <f t="shared" si="307"/>
        <v>1</v>
      </c>
      <c r="C248">
        <f t="shared" si="308"/>
        <v>0</v>
      </c>
      <c r="D248">
        <f t="shared" si="309"/>
        <v>0</v>
      </c>
      <c r="E248" s="12">
        <f t="shared" si="310"/>
        <v>0</v>
      </c>
      <c r="F248" s="13">
        <f t="shared" si="285"/>
        <v>0</v>
      </c>
      <c r="G248" s="13">
        <f t="shared" si="286"/>
        <v>0</v>
      </c>
      <c r="H248" s="14">
        <f t="shared" si="287"/>
        <v>0</v>
      </c>
      <c r="I248">
        <f t="shared" si="288"/>
        <v>1</v>
      </c>
      <c r="J248">
        <f t="shared" si="289"/>
        <v>1</v>
      </c>
      <c r="L248">
        <f t="shared" si="290"/>
        <v>0</v>
      </c>
      <c r="M248">
        <f t="shared" si="291"/>
        <v>0</v>
      </c>
      <c r="N248">
        <f t="shared" si="292"/>
        <v>0</v>
      </c>
      <c r="O248">
        <f t="shared" si="293"/>
        <v>0</v>
      </c>
      <c r="P248" s="12">
        <f t="shared" si="294"/>
        <v>0</v>
      </c>
      <c r="Q248">
        <f t="shared" si="295"/>
        <v>0</v>
      </c>
      <c r="R248">
        <f t="shared" si="296"/>
        <v>0</v>
      </c>
      <c r="S248">
        <f t="shared" si="297"/>
        <v>0</v>
      </c>
      <c r="T248" s="12">
        <f t="shared" si="298"/>
        <v>0</v>
      </c>
      <c r="U248">
        <f t="shared" si="299"/>
        <v>0</v>
      </c>
      <c r="V248">
        <f t="shared" si="300"/>
        <v>0</v>
      </c>
      <c r="W248">
        <f t="shared" si="301"/>
        <v>0</v>
      </c>
      <c r="X248" s="12">
        <f t="shared" si="302"/>
        <v>0</v>
      </c>
      <c r="Y248">
        <f t="shared" si="303"/>
        <v>0</v>
      </c>
      <c r="Z248">
        <f t="shared" si="304"/>
        <v>0</v>
      </c>
      <c r="AA248">
        <f t="shared" si="305"/>
        <v>0</v>
      </c>
    </row>
    <row r="249" spans="1:27" x14ac:dyDescent="0.2">
      <c r="A249">
        <f t="shared" si="306"/>
        <v>1</v>
      </c>
      <c r="B249">
        <f t="shared" si="307"/>
        <v>1</v>
      </c>
      <c r="C249">
        <f t="shared" si="308"/>
        <v>0</v>
      </c>
      <c r="D249">
        <f t="shared" si="309"/>
        <v>0</v>
      </c>
      <c r="E249" s="12">
        <f t="shared" si="310"/>
        <v>0</v>
      </c>
      <c r="F249" s="13">
        <f t="shared" si="285"/>
        <v>0</v>
      </c>
      <c r="G249" s="13">
        <f t="shared" si="286"/>
        <v>0</v>
      </c>
      <c r="H249" s="14">
        <f t="shared" si="287"/>
        <v>0</v>
      </c>
      <c r="I249">
        <f t="shared" si="288"/>
        <v>1</v>
      </c>
      <c r="J249">
        <f t="shared" si="289"/>
        <v>1</v>
      </c>
      <c r="L249">
        <f t="shared" si="290"/>
        <v>0</v>
      </c>
      <c r="M249">
        <f t="shared" si="291"/>
        <v>0</v>
      </c>
      <c r="N249">
        <f t="shared" si="292"/>
        <v>0</v>
      </c>
      <c r="O249">
        <f t="shared" si="293"/>
        <v>0</v>
      </c>
      <c r="P249" s="12">
        <f t="shared" si="294"/>
        <v>0</v>
      </c>
      <c r="Q249">
        <f t="shared" si="295"/>
        <v>0</v>
      </c>
      <c r="R249">
        <f t="shared" si="296"/>
        <v>0</v>
      </c>
      <c r="S249">
        <f t="shared" si="297"/>
        <v>0</v>
      </c>
      <c r="T249" s="12">
        <f t="shared" si="298"/>
        <v>0</v>
      </c>
      <c r="U249">
        <f t="shared" si="299"/>
        <v>0</v>
      </c>
      <c r="V249">
        <f t="shared" si="300"/>
        <v>0</v>
      </c>
      <c r="W249">
        <f t="shared" si="301"/>
        <v>0</v>
      </c>
      <c r="X249" s="12">
        <f t="shared" si="302"/>
        <v>0</v>
      </c>
      <c r="Y249">
        <f t="shared" si="303"/>
        <v>0</v>
      </c>
      <c r="Z249">
        <f t="shared" si="304"/>
        <v>0</v>
      </c>
      <c r="AA249">
        <f t="shared" si="305"/>
        <v>0</v>
      </c>
    </row>
    <row r="250" spans="1:27" x14ac:dyDescent="0.2">
      <c r="A250">
        <f t="shared" si="306"/>
        <v>1</v>
      </c>
      <c r="B250">
        <f t="shared" si="307"/>
        <v>1</v>
      </c>
      <c r="C250">
        <f t="shared" si="308"/>
        <v>0</v>
      </c>
      <c r="D250">
        <f t="shared" si="309"/>
        <v>0</v>
      </c>
      <c r="E250" s="12">
        <f t="shared" si="310"/>
        <v>0</v>
      </c>
      <c r="F250" s="13">
        <f t="shared" si="285"/>
        <v>0</v>
      </c>
      <c r="G250" s="13">
        <f t="shared" si="286"/>
        <v>0</v>
      </c>
      <c r="H250" s="14">
        <f t="shared" si="287"/>
        <v>0</v>
      </c>
      <c r="I250">
        <f t="shared" si="288"/>
        <v>1</v>
      </c>
      <c r="J250">
        <f t="shared" si="289"/>
        <v>1</v>
      </c>
      <c r="L250">
        <f t="shared" si="290"/>
        <v>0</v>
      </c>
      <c r="M250">
        <f t="shared" si="291"/>
        <v>0</v>
      </c>
      <c r="N250">
        <f t="shared" si="292"/>
        <v>0</v>
      </c>
      <c r="O250">
        <f t="shared" si="293"/>
        <v>0</v>
      </c>
      <c r="P250" s="12">
        <f t="shared" si="294"/>
        <v>0</v>
      </c>
      <c r="Q250">
        <f t="shared" si="295"/>
        <v>0</v>
      </c>
      <c r="R250">
        <f t="shared" si="296"/>
        <v>0</v>
      </c>
      <c r="S250">
        <f t="shared" si="297"/>
        <v>0</v>
      </c>
      <c r="T250" s="12">
        <f t="shared" si="298"/>
        <v>0</v>
      </c>
      <c r="U250">
        <f t="shared" si="299"/>
        <v>0</v>
      </c>
      <c r="V250">
        <f t="shared" si="300"/>
        <v>0</v>
      </c>
      <c r="W250">
        <f t="shared" si="301"/>
        <v>0</v>
      </c>
      <c r="X250" s="12">
        <f t="shared" si="302"/>
        <v>0</v>
      </c>
      <c r="Y250">
        <f t="shared" si="303"/>
        <v>0</v>
      </c>
      <c r="Z250">
        <f t="shared" si="304"/>
        <v>0</v>
      </c>
      <c r="AA250">
        <f t="shared" si="305"/>
        <v>0</v>
      </c>
    </row>
    <row r="251" spans="1:27" x14ac:dyDescent="0.2">
      <c r="A251">
        <f t="shared" si="306"/>
        <v>1</v>
      </c>
      <c r="B251">
        <f t="shared" si="307"/>
        <v>1</v>
      </c>
      <c r="C251">
        <f t="shared" si="308"/>
        <v>0</v>
      </c>
      <c r="D251">
        <f t="shared" si="309"/>
        <v>0</v>
      </c>
      <c r="E251" s="12">
        <f t="shared" si="310"/>
        <v>0</v>
      </c>
      <c r="F251" s="13">
        <f t="shared" si="285"/>
        <v>0</v>
      </c>
      <c r="G251" s="13">
        <f t="shared" si="286"/>
        <v>0</v>
      </c>
      <c r="H251" s="14">
        <f t="shared" si="287"/>
        <v>0</v>
      </c>
      <c r="I251">
        <f t="shared" si="288"/>
        <v>1</v>
      </c>
      <c r="J251">
        <f t="shared" si="289"/>
        <v>1</v>
      </c>
      <c r="L251">
        <f t="shared" si="290"/>
        <v>0</v>
      </c>
      <c r="M251">
        <f t="shared" si="291"/>
        <v>0</v>
      </c>
      <c r="N251">
        <f t="shared" si="292"/>
        <v>0</v>
      </c>
      <c r="O251">
        <f t="shared" si="293"/>
        <v>0</v>
      </c>
      <c r="P251" s="12">
        <f t="shared" si="294"/>
        <v>0</v>
      </c>
      <c r="Q251">
        <f t="shared" si="295"/>
        <v>0</v>
      </c>
      <c r="R251">
        <f t="shared" si="296"/>
        <v>0</v>
      </c>
      <c r="S251">
        <f t="shared" si="297"/>
        <v>0</v>
      </c>
      <c r="T251" s="12">
        <f t="shared" si="298"/>
        <v>0</v>
      </c>
      <c r="U251">
        <f t="shared" si="299"/>
        <v>0</v>
      </c>
      <c r="V251">
        <f t="shared" si="300"/>
        <v>0</v>
      </c>
      <c r="W251">
        <f t="shared" si="301"/>
        <v>0</v>
      </c>
      <c r="X251" s="12">
        <f t="shared" si="302"/>
        <v>0</v>
      </c>
      <c r="Y251">
        <f t="shared" si="303"/>
        <v>0</v>
      </c>
      <c r="Z251">
        <f t="shared" si="304"/>
        <v>0</v>
      </c>
      <c r="AA251">
        <f t="shared" si="305"/>
        <v>0</v>
      </c>
    </row>
    <row r="252" spans="1:27" x14ac:dyDescent="0.2">
      <c r="A252">
        <f>A44</f>
        <v>1</v>
      </c>
      <c r="B252">
        <f>H44</f>
        <v>1</v>
      </c>
      <c r="C252">
        <f>G44</f>
        <v>0</v>
      </c>
      <c r="D252">
        <f>AO44</f>
        <v>0</v>
      </c>
      <c r="E252" s="173">
        <f t="shared" si="284"/>
        <v>0</v>
      </c>
      <c r="F252" s="13">
        <f t="shared" si="285"/>
        <v>0</v>
      </c>
      <c r="G252" s="13">
        <f t="shared" si="286"/>
        <v>0</v>
      </c>
      <c r="H252" s="14">
        <f t="shared" si="287"/>
        <v>0</v>
      </c>
      <c r="I252">
        <f t="shared" si="288"/>
        <v>1</v>
      </c>
      <c r="J252">
        <f t="shared" si="289"/>
        <v>1</v>
      </c>
      <c r="L252" s="174">
        <f t="shared" si="290"/>
        <v>0</v>
      </c>
      <c r="M252" s="174">
        <f t="shared" si="291"/>
        <v>0</v>
      </c>
      <c r="N252" s="174">
        <f t="shared" si="292"/>
        <v>0</v>
      </c>
      <c r="O252" s="174">
        <f t="shared" si="293"/>
        <v>0</v>
      </c>
      <c r="P252" s="173">
        <f t="shared" si="294"/>
        <v>0</v>
      </c>
      <c r="Q252" s="174">
        <f t="shared" si="295"/>
        <v>0</v>
      </c>
      <c r="R252" s="174">
        <f t="shared" si="296"/>
        <v>0</v>
      </c>
      <c r="S252" s="174">
        <f t="shared" si="297"/>
        <v>0</v>
      </c>
      <c r="T252" s="173">
        <f t="shared" si="298"/>
        <v>0</v>
      </c>
      <c r="U252" s="174">
        <f t="shared" si="299"/>
        <v>0</v>
      </c>
      <c r="V252" s="174">
        <f t="shared" si="300"/>
        <v>0</v>
      </c>
      <c r="W252" s="174">
        <f t="shared" si="301"/>
        <v>0</v>
      </c>
      <c r="X252" s="173">
        <f t="shared" si="302"/>
        <v>0</v>
      </c>
      <c r="Y252" s="174">
        <f t="shared" si="303"/>
        <v>0</v>
      </c>
      <c r="Z252" s="174">
        <f t="shared" si="304"/>
        <v>0</v>
      </c>
      <c r="AA252" s="174">
        <f t="shared" si="305"/>
        <v>0</v>
      </c>
    </row>
    <row r="253" spans="1:27" x14ac:dyDescent="0.2">
      <c r="C253">
        <f>SUM(C211:C252)</f>
        <v>0</v>
      </c>
      <c r="E253" s="281">
        <f>SUM(E211:E252)</f>
        <v>0</v>
      </c>
      <c r="F253" s="282">
        <f>SUM(F211:F252)</f>
        <v>0</v>
      </c>
      <c r="G253" s="282">
        <f>SUM(G211:G252)</f>
        <v>0</v>
      </c>
      <c r="H253" s="283">
        <f>SUM(H211:H252)</f>
        <v>0</v>
      </c>
      <c r="L253">
        <f t="shared" ref="L253:AA253" si="311">SUM(L211:L252)</f>
        <v>0</v>
      </c>
      <c r="M253">
        <f t="shared" si="311"/>
        <v>0</v>
      </c>
      <c r="N253">
        <f t="shared" si="311"/>
        <v>0</v>
      </c>
      <c r="O253">
        <f t="shared" si="311"/>
        <v>0</v>
      </c>
      <c r="P253" s="12">
        <f t="shared" si="311"/>
        <v>0</v>
      </c>
      <c r="Q253">
        <f t="shared" si="311"/>
        <v>0</v>
      </c>
      <c r="R253">
        <f t="shared" si="311"/>
        <v>0</v>
      </c>
      <c r="S253">
        <f t="shared" si="311"/>
        <v>0</v>
      </c>
      <c r="T253" s="12">
        <f t="shared" si="311"/>
        <v>0</v>
      </c>
      <c r="U253">
        <f t="shared" si="311"/>
        <v>0</v>
      </c>
      <c r="V253">
        <f t="shared" si="311"/>
        <v>0</v>
      </c>
      <c r="W253">
        <f t="shared" si="311"/>
        <v>0</v>
      </c>
      <c r="X253" s="12">
        <f t="shared" si="311"/>
        <v>0</v>
      </c>
      <c r="Y253">
        <f t="shared" si="311"/>
        <v>0</v>
      </c>
      <c r="Z253">
        <f t="shared" si="311"/>
        <v>0</v>
      </c>
      <c r="AA253">
        <f t="shared" si="311"/>
        <v>0</v>
      </c>
    </row>
    <row r="254" spans="1:27" x14ac:dyDescent="0.2">
      <c r="O254">
        <f>L253+M253+N253+O253</f>
        <v>0</v>
      </c>
      <c r="S254">
        <f>P253+Q253+R253+S253</f>
        <v>0</v>
      </c>
      <c r="W254">
        <f>T253+U253+V253+W253</f>
        <v>0</v>
      </c>
      <c r="AA254">
        <f>X253+Y253+Z253+AA253</f>
        <v>0</v>
      </c>
    </row>
    <row r="255" spans="1:27" x14ac:dyDescent="0.2">
      <c r="D255" s="37"/>
      <c r="E255" s="9"/>
      <c r="F255" s="9"/>
      <c r="G255" s="37"/>
      <c r="H255" s="37"/>
      <c r="I255" s="37"/>
    </row>
    <row r="256" spans="1:27" ht="13.5" thickBot="1" x14ac:dyDescent="0.25">
      <c r="A256" s="9"/>
      <c r="B256" s="25"/>
      <c r="C256" s="9"/>
      <c r="D256" s="37"/>
      <c r="E256" s="9"/>
      <c r="F256" s="9"/>
      <c r="G256" s="37"/>
      <c r="H256" s="37"/>
      <c r="I256" s="37"/>
    </row>
    <row r="257" spans="1:9" ht="13.5" thickBot="1" x14ac:dyDescent="0.25">
      <c r="A257" s="466"/>
      <c r="B257" s="467" t="s">
        <v>1161</v>
      </c>
      <c r="C257" s="467" t="s">
        <v>1140</v>
      </c>
      <c r="D257" s="467" t="s">
        <v>1141</v>
      </c>
      <c r="E257" s="467" t="s">
        <v>1142</v>
      </c>
      <c r="F257" s="37"/>
      <c r="G257" s="37"/>
      <c r="H257" s="37"/>
    </row>
    <row r="258" spans="1:9" ht="13.5" thickBot="1" x14ac:dyDescent="0.25">
      <c r="A258" s="461" t="s">
        <v>220</v>
      </c>
      <c r="B258" s="470">
        <f>IF($O$254=0,0,L253/$O$254)</f>
        <v>0</v>
      </c>
      <c r="C258" s="470">
        <f>IF($O$254=0,0,M253/$O$254)</f>
        <v>0</v>
      </c>
      <c r="D258" s="470">
        <f>IF($O$254=0,0,N253/$O$254)</f>
        <v>0</v>
      </c>
      <c r="E258" s="470">
        <f>IF($O$254=0,0,O253/$O$254)</f>
        <v>0</v>
      </c>
      <c r="F258" s="37"/>
      <c r="G258" s="37"/>
      <c r="H258" s="37"/>
    </row>
    <row r="259" spans="1:9" ht="13.5" thickBot="1" x14ac:dyDescent="0.25">
      <c r="A259" s="461" t="s">
        <v>415</v>
      </c>
      <c r="B259" s="470">
        <f>IF($S$254=0,0,P253/$S$254)</f>
        <v>0</v>
      </c>
      <c r="C259" s="470">
        <f>IF($S$254=0,0,Q253/$S$254)</f>
        <v>0</v>
      </c>
      <c r="D259" s="470">
        <f>IF($S$254=0,0,R253/$S$254)</f>
        <v>0</v>
      </c>
      <c r="E259" s="470">
        <f>IF($S$254=0,0,S253/$S$254)</f>
        <v>0</v>
      </c>
      <c r="F259" s="37"/>
      <c r="G259" s="37"/>
      <c r="H259" s="37"/>
    </row>
    <row r="260" spans="1:9" ht="13.5" thickBot="1" x14ac:dyDescent="0.25">
      <c r="A260" s="461" t="s">
        <v>1143</v>
      </c>
      <c r="B260" s="470">
        <f>IF($W$254=0,0,T253/$W$254)</f>
        <v>0</v>
      </c>
      <c r="C260" s="470">
        <f>IF($W$254=0,0,U253/$W$254)</f>
        <v>0</v>
      </c>
      <c r="D260" s="470">
        <f>IF($W$254=0,0,V253/$W$254)</f>
        <v>0</v>
      </c>
      <c r="E260" s="470">
        <f>IF($W$254=0,0,W253/$W$254)</f>
        <v>0</v>
      </c>
      <c r="F260" s="37"/>
      <c r="G260" s="37"/>
      <c r="H260" s="37"/>
    </row>
    <row r="261" spans="1:9" ht="13.5" thickBot="1" x14ac:dyDescent="0.25">
      <c r="A261" s="461" t="s">
        <v>1144</v>
      </c>
      <c r="B261" s="470">
        <f>IF($AA$254=0,0,X253/$AA$254)</f>
        <v>0</v>
      </c>
      <c r="C261" s="470">
        <f>IF($AA$254=0,0,Y253/$AA$254)</f>
        <v>0</v>
      </c>
      <c r="D261" s="470">
        <f>IF($AA$254=0,0,Z253/$AA$254)</f>
        <v>0</v>
      </c>
      <c r="E261" s="470">
        <f>IF($AA$254=0,0,AA253/$AA$254)</f>
        <v>0</v>
      </c>
      <c r="F261" s="37"/>
      <c r="G261" s="37"/>
      <c r="H261" s="37"/>
    </row>
    <row r="262" spans="1:9" x14ac:dyDescent="0.2">
      <c r="A262" s="9"/>
      <c r="B262" s="25"/>
      <c r="C262" s="9"/>
      <c r="D262" s="37"/>
      <c r="E262" s="9"/>
      <c r="F262" s="9"/>
      <c r="G262" s="37"/>
      <c r="H262" s="37"/>
      <c r="I262" s="37"/>
    </row>
    <row r="263" spans="1:9" x14ac:dyDescent="0.2">
      <c r="A263" s="9"/>
      <c r="B263" s="25"/>
      <c r="C263" s="9"/>
      <c r="D263" s="37"/>
      <c r="E263" s="9"/>
      <c r="F263" s="9"/>
      <c r="G263" s="37"/>
      <c r="H263" s="37"/>
      <c r="I263" s="37"/>
    </row>
    <row r="264" spans="1:9" x14ac:dyDescent="0.2">
      <c r="A264" s="9"/>
      <c r="B264" s="25"/>
      <c r="C264" s="9"/>
      <c r="D264" s="37"/>
      <c r="E264" s="9"/>
      <c r="F264" s="9"/>
      <c r="G264" s="37"/>
      <c r="H264" s="37"/>
      <c r="I264" s="37"/>
    </row>
  </sheetData>
  <mergeCells count="78">
    <mergeCell ref="CA77:CB77"/>
    <mergeCell ref="CC77:CD77"/>
    <mergeCell ref="CE77:CF77"/>
    <mergeCell ref="BQ77:BR77"/>
    <mergeCell ref="BS77:BT77"/>
    <mergeCell ref="W136:X136"/>
    <mergeCell ref="AM77:AN77"/>
    <mergeCell ref="AQ136:AR136"/>
    <mergeCell ref="AW77:AX77"/>
    <mergeCell ref="AY77:AZ77"/>
    <mergeCell ref="AC136:AD136"/>
    <mergeCell ref="AE136:AF136"/>
    <mergeCell ref="AG136:AH136"/>
    <mergeCell ref="BG77:BH77"/>
    <mergeCell ref="BI77:BJ77"/>
    <mergeCell ref="BA77:BB77"/>
    <mergeCell ref="BC77:BD77"/>
    <mergeCell ref="BE77:BF77"/>
    <mergeCell ref="HE1:HH1"/>
    <mergeCell ref="GZ1:HC1"/>
    <mergeCell ref="AU136:AV136"/>
    <mergeCell ref="AI136:AJ136"/>
    <mergeCell ref="AK136:AL136"/>
    <mergeCell ref="AS136:AT136"/>
    <mergeCell ref="GJ1:GK1"/>
    <mergeCell ref="AQ77:AR77"/>
    <mergeCell ref="AO77:AP77"/>
    <mergeCell ref="AO136:AP136"/>
    <mergeCell ref="AM136:AN136"/>
    <mergeCell ref="BK77:BL77"/>
    <mergeCell ref="BM77:BN77"/>
    <mergeCell ref="BO77:BP77"/>
    <mergeCell ref="CG77:CH77"/>
    <mergeCell ref="CI77:CJ77"/>
    <mergeCell ref="A136:B136"/>
    <mergeCell ref="C136:D136"/>
    <mergeCell ref="E136:F136"/>
    <mergeCell ref="G136:H136"/>
    <mergeCell ref="I136:J136"/>
    <mergeCell ref="A77:B77"/>
    <mergeCell ref="M77:N77"/>
    <mergeCell ref="K77:L77"/>
    <mergeCell ref="I77:J77"/>
    <mergeCell ref="G77:H77"/>
    <mergeCell ref="E77:F77"/>
    <mergeCell ref="C77:D77"/>
    <mergeCell ref="K1:L1"/>
    <mergeCell ref="GG1:GH1"/>
    <mergeCell ref="CX1:DA1"/>
    <mergeCell ref="AS77:AT77"/>
    <mergeCell ref="AG77:AH77"/>
    <mergeCell ref="AE77:AF77"/>
    <mergeCell ref="S77:T77"/>
    <mergeCell ref="Q77:R77"/>
    <mergeCell ref="O77:P77"/>
    <mergeCell ref="AU77:AV77"/>
    <mergeCell ref="AC77:AD77"/>
    <mergeCell ref="U77:V77"/>
    <mergeCell ref="AA77:AB77"/>
    <mergeCell ref="BU77:BV77"/>
    <mergeCell ref="BW77:BX77"/>
    <mergeCell ref="BY77:BZ77"/>
    <mergeCell ref="J164:M164"/>
    <mergeCell ref="N164:Q164"/>
    <mergeCell ref="R164:U164"/>
    <mergeCell ref="V164:Y164"/>
    <mergeCell ref="AK77:AL77"/>
    <mergeCell ref="K136:L136"/>
    <mergeCell ref="Y77:Z77"/>
    <mergeCell ref="W77:X77"/>
    <mergeCell ref="AI77:AJ77"/>
    <mergeCell ref="S136:T136"/>
    <mergeCell ref="O136:P136"/>
    <mergeCell ref="Q136:R136"/>
    <mergeCell ref="M136:N136"/>
    <mergeCell ref="U136:V136"/>
    <mergeCell ref="Y136:Z136"/>
    <mergeCell ref="AA136:AB136"/>
  </mergeCells>
  <phoneticPr fontId="0" type="noConversion"/>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4"/>
  <sheetViews>
    <sheetView topLeftCell="A10" zoomScaleNormal="100" workbookViewId="0">
      <selection activeCell="F23" sqref="F23:G23"/>
    </sheetView>
  </sheetViews>
  <sheetFormatPr defaultRowHeight="12.75" x14ac:dyDescent="0.2"/>
  <cols>
    <col min="1" max="1" width="9.28515625" customWidth="1"/>
    <col min="2" max="2" width="15.85546875" customWidth="1"/>
    <col min="3" max="3" width="8.42578125" customWidth="1"/>
    <col min="4" max="4" width="11.140625" customWidth="1"/>
    <col min="5" max="5" width="16" customWidth="1"/>
    <col min="6" max="6" width="9" customWidth="1"/>
    <col min="7" max="7" width="6.7109375" customWidth="1"/>
    <col min="8" max="8" width="16" customWidth="1"/>
    <col min="9" max="9" width="7.85546875" customWidth="1"/>
    <col min="10" max="10" width="8.7109375" customWidth="1"/>
    <col min="11" max="11" width="14.42578125" customWidth="1"/>
    <col min="12" max="12" width="7.140625" customWidth="1"/>
    <col min="14" max="14" width="7.5703125" customWidth="1"/>
    <col min="15" max="15" width="14" customWidth="1"/>
    <col min="16" max="16" width="12" customWidth="1"/>
    <col min="17" max="17" width="11.5703125" customWidth="1"/>
    <col min="18" max="18" width="13.85546875" customWidth="1"/>
  </cols>
  <sheetData>
    <row r="1" spans="1:20" s="50" customFormat="1" ht="18" x14ac:dyDescent="0.25">
      <c r="A1" s="429" t="s">
        <v>321</v>
      </c>
    </row>
    <row r="2" spans="1:20" s="50" customFormat="1" ht="9" customHeight="1" x14ac:dyDescent="0.25">
      <c r="A2" s="69"/>
    </row>
    <row r="3" spans="1:20" ht="12.75" customHeight="1" x14ac:dyDescent="0.2">
      <c r="A3" s="50"/>
      <c r="B3" s="50"/>
      <c r="C3" s="594"/>
      <c r="D3" s="594"/>
      <c r="E3" s="584" t="s">
        <v>71</v>
      </c>
      <c r="F3" s="585"/>
      <c r="G3" s="585"/>
      <c r="H3" s="585"/>
      <c r="I3" s="585"/>
      <c r="J3" s="586"/>
      <c r="K3" s="598" t="s">
        <v>86</v>
      </c>
      <c r="L3" s="599" t="s">
        <v>93</v>
      </c>
      <c r="M3" s="251"/>
      <c r="N3" s="596" t="s">
        <v>556</v>
      </c>
      <c r="O3" s="50"/>
      <c r="P3" s="50"/>
      <c r="Q3" s="50"/>
      <c r="R3" s="50"/>
    </row>
    <row r="4" spans="1:20" ht="24" customHeight="1" x14ac:dyDescent="0.2">
      <c r="A4" s="52"/>
      <c r="B4" s="53" t="s">
        <v>34</v>
      </c>
      <c r="C4" s="340"/>
      <c r="D4" s="341"/>
      <c r="E4" s="56" t="s">
        <v>84</v>
      </c>
      <c r="F4" s="57" t="s">
        <v>83</v>
      </c>
      <c r="G4" s="56" t="s">
        <v>33</v>
      </c>
      <c r="H4" s="56" t="s">
        <v>298</v>
      </c>
      <c r="I4" s="57" t="s">
        <v>83</v>
      </c>
      <c r="J4" s="56" t="s">
        <v>33</v>
      </c>
      <c r="K4" s="598"/>
      <c r="L4" s="599"/>
      <c r="M4" s="292" t="s">
        <v>665</v>
      </c>
      <c r="N4" s="597"/>
      <c r="O4" s="50"/>
      <c r="P4" s="50"/>
      <c r="Q4" s="50"/>
      <c r="R4" s="50"/>
    </row>
    <row r="5" spans="1:20" ht="15" customHeight="1" x14ac:dyDescent="0.2">
      <c r="A5" s="58" t="s">
        <v>67</v>
      </c>
      <c r="B5" s="595">
        <f>'Invoer Algemeen'!B16</f>
        <v>0</v>
      </c>
      <c r="C5" s="595"/>
      <c r="D5" s="595"/>
      <c r="E5" s="50"/>
      <c r="F5" s="66"/>
      <c r="G5" s="66"/>
      <c r="H5" s="50"/>
      <c r="I5" s="66"/>
      <c r="J5" s="66"/>
      <c r="K5" s="50"/>
      <c r="L5" s="50"/>
      <c r="M5" s="50"/>
      <c r="N5" s="50"/>
      <c r="O5" s="50"/>
      <c r="P5" s="50"/>
      <c r="Q5" s="50"/>
      <c r="R5" s="50"/>
    </row>
    <row r="6" spans="1:20" ht="14.25" customHeight="1" x14ac:dyDescent="0.2">
      <c r="A6" s="58" t="s">
        <v>68</v>
      </c>
      <c r="B6" s="595">
        <f>'Invoer Algemeen'!B17</f>
        <v>0</v>
      </c>
      <c r="C6" s="595"/>
      <c r="D6" s="595"/>
      <c r="E6" s="50"/>
      <c r="F6" s="66"/>
      <c r="G6" s="66"/>
      <c r="H6" s="50"/>
      <c r="I6" s="66"/>
      <c r="J6" s="66"/>
      <c r="K6" s="50"/>
      <c r="L6" s="50"/>
      <c r="M6" s="50"/>
      <c r="N6" s="50"/>
      <c r="O6" s="50"/>
      <c r="P6" s="50"/>
      <c r="Q6" s="50"/>
      <c r="R6" s="50"/>
    </row>
    <row r="7" spans="1:20" ht="16.5" customHeight="1" x14ac:dyDescent="0.2">
      <c r="A7" s="58" t="s">
        <v>69</v>
      </c>
      <c r="B7" s="595">
        <f>'Invoer Algemeen'!B18</f>
        <v>0</v>
      </c>
      <c r="C7" s="595"/>
      <c r="D7" s="595"/>
      <c r="E7" s="50"/>
      <c r="F7" s="66"/>
      <c r="G7" s="66"/>
      <c r="H7" s="50"/>
      <c r="I7" s="66"/>
      <c r="J7" s="66"/>
      <c r="K7" s="50"/>
      <c r="L7" s="50"/>
      <c r="M7" s="50"/>
      <c r="N7" s="50"/>
      <c r="O7" s="50"/>
      <c r="P7" s="50"/>
      <c r="Q7" s="50"/>
      <c r="R7" s="50"/>
    </row>
    <row r="8" spans="1:20" ht="15" customHeight="1" x14ac:dyDescent="0.2">
      <c r="A8" s="58" t="s">
        <v>70</v>
      </c>
      <c r="B8" s="595">
        <f>'Invoer Algemeen'!B19</f>
        <v>0</v>
      </c>
      <c r="C8" s="595"/>
      <c r="D8" s="595"/>
      <c r="E8" s="50"/>
      <c r="F8" s="66"/>
      <c r="G8" s="66"/>
      <c r="H8" s="50"/>
      <c r="I8" s="66"/>
      <c r="J8" s="66"/>
      <c r="K8" s="50"/>
      <c r="L8" s="50"/>
      <c r="M8" s="50"/>
      <c r="N8" s="50"/>
      <c r="O8" s="50"/>
      <c r="P8" s="50"/>
      <c r="Q8" s="50"/>
      <c r="R8" s="50"/>
    </row>
    <row r="9" spans="1:20" ht="15" customHeight="1" x14ac:dyDescent="0.2">
      <c r="A9" s="58"/>
      <c r="B9" s="60"/>
      <c r="C9" s="60"/>
      <c r="D9" s="60"/>
      <c r="E9" s="60"/>
      <c r="F9" s="60"/>
      <c r="G9" s="60"/>
      <c r="H9" s="50"/>
      <c r="I9" s="50"/>
      <c r="J9" s="50"/>
      <c r="K9" s="50"/>
      <c r="L9" s="50"/>
      <c r="M9" s="50"/>
      <c r="N9" s="50"/>
      <c r="O9" s="50"/>
      <c r="P9" s="50"/>
      <c r="Q9" s="50"/>
      <c r="R9" s="50"/>
    </row>
    <row r="10" spans="1:20" ht="15" customHeight="1" x14ac:dyDescent="0.2">
      <c r="A10" s="533" t="s">
        <v>1289</v>
      </c>
      <c r="B10" s="60"/>
      <c r="C10" s="60"/>
      <c r="D10" s="60"/>
      <c r="E10" s="60"/>
      <c r="F10" s="60"/>
      <c r="G10" s="60"/>
      <c r="H10" s="50"/>
      <c r="I10" s="50"/>
      <c r="J10" s="50"/>
      <c r="K10" s="50"/>
      <c r="L10" s="50"/>
      <c r="M10" s="50"/>
      <c r="N10" s="50"/>
      <c r="O10" s="50"/>
      <c r="P10" s="50"/>
      <c r="Q10" s="50"/>
      <c r="R10" s="50"/>
    </row>
    <row r="11" spans="1:20" ht="15" customHeight="1" x14ac:dyDescent="0.2">
      <c r="A11" s="591"/>
      <c r="B11" s="584" t="s">
        <v>71</v>
      </c>
      <c r="C11" s="585"/>
      <c r="D11" s="585"/>
      <c r="E11" s="585"/>
      <c r="F11" s="585"/>
      <c r="G11" s="586"/>
      <c r="H11" s="602" t="s">
        <v>86</v>
      </c>
      <c r="I11" s="540" t="s">
        <v>93</v>
      </c>
      <c r="J11" s="570" t="s">
        <v>1009</v>
      </c>
      <c r="K11" s="570" t="s">
        <v>1008</v>
      </c>
      <c r="L11" s="572" t="s">
        <v>1120</v>
      </c>
      <c r="M11" s="573"/>
      <c r="N11" s="577" t="s">
        <v>678</v>
      </c>
      <c r="O11" s="577"/>
      <c r="P11" s="593"/>
      <c r="Q11" s="50"/>
      <c r="R11" s="50"/>
      <c r="S11" s="50"/>
      <c r="T11" s="50"/>
    </row>
    <row r="12" spans="1:20" ht="30.75" customHeight="1" x14ac:dyDescent="0.2">
      <c r="A12" s="592"/>
      <c r="B12" s="106" t="s">
        <v>84</v>
      </c>
      <c r="C12" s="57" t="s">
        <v>83</v>
      </c>
      <c r="D12" s="56" t="s">
        <v>33</v>
      </c>
      <c r="E12" s="56" t="s">
        <v>298</v>
      </c>
      <c r="F12" s="57" t="s">
        <v>83</v>
      </c>
      <c r="G12" s="56" t="s">
        <v>33</v>
      </c>
      <c r="H12" s="541"/>
      <c r="I12" s="587"/>
      <c r="J12" s="571"/>
      <c r="K12" s="571"/>
      <c r="L12" s="574"/>
      <c r="M12" s="575"/>
      <c r="N12" s="577"/>
      <c r="O12" s="577"/>
      <c r="P12" s="594"/>
      <c r="Q12" s="50"/>
      <c r="R12" s="50"/>
      <c r="S12" s="50"/>
      <c r="T12" s="50"/>
    </row>
    <row r="13" spans="1:20" ht="15" customHeight="1" x14ac:dyDescent="0.2">
      <c r="A13" s="67" t="s">
        <v>67</v>
      </c>
      <c r="B13" s="50"/>
      <c r="C13" s="455">
        <f>IF(OR('Verwerken Verwarming en Tapwate'!T3=2,'Verwerken Verwarming en Tapwate'!T3=3),'Invoer verwarming en tapwater'!F5,0)</f>
        <v>0</v>
      </c>
      <c r="D13" s="455">
        <f>IF(OR('Verwerken Verwarming en Tapwate'!T3=2,'Verwerken Verwarming en Tapwate'!T3=3),'Invoer verwarming en tapwater'!G5,0)</f>
        <v>0</v>
      </c>
      <c r="E13" s="50"/>
      <c r="F13" s="455">
        <f>IF(OR('Verwerken Verwarming en Tapwate'!W3=2,'Verwerken Verwarming en Tapwate'!W3=3),'Invoer verwarming en tapwater'!I5,0)</f>
        <v>0</v>
      </c>
      <c r="G13" s="455">
        <f>IF(OR('Verwerken Verwarming en Tapwate'!W3=2,'Verwerken Verwarming en Tapwate'!W3=3),'Invoer verwarming en tapwater'!J5,0)</f>
        <v>0</v>
      </c>
      <c r="H13" s="50"/>
      <c r="I13" s="50"/>
      <c r="J13" s="257"/>
      <c r="K13" s="257"/>
      <c r="L13" s="433"/>
      <c r="M13" s="433"/>
      <c r="N13" s="568">
        <v>0.1</v>
      </c>
      <c r="O13" s="569"/>
      <c r="P13" s="576" t="s">
        <v>671</v>
      </c>
      <c r="Q13" s="576"/>
      <c r="R13" s="576"/>
      <c r="S13" s="576"/>
      <c r="T13" s="576"/>
    </row>
    <row r="14" spans="1:20" ht="15" customHeight="1" x14ac:dyDescent="0.2">
      <c r="A14" s="67" t="s">
        <v>68</v>
      </c>
      <c r="B14" s="50"/>
      <c r="C14" s="455">
        <f>IF(OR('Verwerken Verwarming en Tapwate'!T4=2,'Verwerken Verwarming en Tapwate'!T4=3),'Invoer verwarming en tapwater'!F6,0)</f>
        <v>0</v>
      </c>
      <c r="D14" s="455">
        <f>IF(OR('Verwerken Verwarming en Tapwate'!T4=2,'Verwerken Verwarming en Tapwate'!T4=3),'Invoer verwarming en tapwater'!G6,0)</f>
        <v>0</v>
      </c>
      <c r="E14" s="50"/>
      <c r="F14" s="455">
        <f>IF(OR('Verwerken Verwarming en Tapwate'!W4=2,'Verwerken Verwarming en Tapwate'!W4=3),'Invoer verwarming en tapwater'!I6,0)</f>
        <v>0</v>
      </c>
      <c r="G14" s="455">
        <f>IF(OR('Verwerken Verwarming en Tapwate'!W4=2,'Verwerken Verwarming en Tapwate'!W4=3),'Invoer verwarming en tapwater'!J6,0)</f>
        <v>0</v>
      </c>
      <c r="H14" s="50"/>
      <c r="I14" s="50"/>
      <c r="J14" s="257"/>
      <c r="K14" s="257"/>
      <c r="L14" s="433"/>
      <c r="M14" s="433"/>
      <c r="N14" s="568">
        <v>0.1</v>
      </c>
      <c r="O14" s="569"/>
      <c r="P14" s="576"/>
      <c r="Q14" s="576"/>
      <c r="R14" s="576"/>
      <c r="S14" s="576"/>
      <c r="T14" s="576"/>
    </row>
    <row r="15" spans="1:20" ht="15" customHeight="1" x14ac:dyDescent="0.2">
      <c r="A15" s="67" t="s">
        <v>69</v>
      </c>
      <c r="B15" s="50"/>
      <c r="C15" s="455">
        <f>IF(OR('Verwerken Verwarming en Tapwate'!T5=2,'Verwerken Verwarming en Tapwate'!T5=3),'Invoer verwarming en tapwater'!F7,0)</f>
        <v>0</v>
      </c>
      <c r="D15" s="455">
        <f>IF(OR('Verwerken Verwarming en Tapwate'!T5=2,'Verwerken Verwarming en Tapwate'!T5=3),'Invoer verwarming en tapwater'!G7,0)</f>
        <v>0</v>
      </c>
      <c r="E15" s="50"/>
      <c r="F15" s="455">
        <f>IF(OR('Verwerken Verwarming en Tapwate'!W5=2,'Verwerken Verwarming en Tapwate'!W5=3),'Invoer verwarming en tapwater'!I7,0)</f>
        <v>0</v>
      </c>
      <c r="G15" s="455">
        <f>IF(OR('Verwerken Verwarming en Tapwate'!W5=2,'Verwerken Verwarming en Tapwate'!W5=3),'Invoer verwarming en tapwater'!J7,0)</f>
        <v>0</v>
      </c>
      <c r="H15" s="50"/>
      <c r="I15" s="50"/>
      <c r="J15" s="257"/>
      <c r="K15" s="257"/>
      <c r="L15" s="433"/>
      <c r="M15" s="433"/>
      <c r="N15" s="568">
        <v>0.1</v>
      </c>
      <c r="O15" s="569"/>
      <c r="P15" s="576"/>
      <c r="Q15" s="576"/>
      <c r="R15" s="576"/>
      <c r="S15" s="576"/>
      <c r="T15" s="576"/>
    </row>
    <row r="16" spans="1:20" ht="15" customHeight="1" x14ac:dyDescent="0.2">
      <c r="A16" s="67" t="s">
        <v>70</v>
      </c>
      <c r="B16" s="50"/>
      <c r="C16" s="455">
        <f>IF(OR('Verwerken Verwarming en Tapwate'!T6=2,'Verwerken Verwarming en Tapwate'!T6=3),'Invoer verwarming en tapwater'!F8,0)</f>
        <v>0</v>
      </c>
      <c r="D16" s="455">
        <f>IF(OR('Verwerken Verwarming en Tapwate'!T6=2,'Verwerken Verwarming en Tapwate'!T6=3),'Invoer verwarming en tapwater'!G8,0)</f>
        <v>0</v>
      </c>
      <c r="E16" s="50"/>
      <c r="F16" s="455">
        <f>IF(OR('Verwerken Verwarming en Tapwate'!W6=2,'Verwerken Verwarming en Tapwate'!W6=3),'Invoer verwarming en tapwater'!I8,0)</f>
        <v>0</v>
      </c>
      <c r="G16" s="455">
        <f>IF(OR('Verwerken Verwarming en Tapwate'!W6=2,'Verwerken Verwarming en Tapwate'!W6=3),'Invoer verwarming en tapwater'!J8,0)</f>
        <v>0</v>
      </c>
      <c r="H16" s="50"/>
      <c r="I16" s="50"/>
      <c r="J16" s="257"/>
      <c r="K16" s="257"/>
      <c r="L16" s="433"/>
      <c r="M16" s="433"/>
      <c r="N16" s="568">
        <v>0.1</v>
      </c>
      <c r="O16" s="569"/>
      <c r="P16" s="576"/>
      <c r="Q16" s="576"/>
      <c r="R16" s="576"/>
      <c r="S16" s="576"/>
      <c r="T16" s="576"/>
    </row>
    <row r="17" spans="1:18" ht="15" customHeight="1" x14ac:dyDescent="0.2">
      <c r="A17" s="58"/>
      <c r="B17" s="50"/>
      <c r="C17" s="85"/>
      <c r="D17" s="85"/>
      <c r="E17" s="50"/>
      <c r="F17" s="85"/>
      <c r="G17" s="85"/>
      <c r="H17" s="603" t="s">
        <v>615</v>
      </c>
      <c r="I17" s="520"/>
      <c r="J17" s="240"/>
      <c r="K17" s="401" t="s">
        <v>1010</v>
      </c>
      <c r="L17" s="60"/>
      <c r="M17" s="60"/>
      <c r="N17" s="58"/>
      <c r="O17" s="50"/>
      <c r="P17" s="50"/>
      <c r="Q17" s="50"/>
      <c r="R17" s="50"/>
    </row>
    <row r="18" spans="1:18" ht="15" customHeight="1" x14ac:dyDescent="0.2">
      <c r="A18" s="58"/>
      <c r="B18" s="50"/>
      <c r="C18" s="85"/>
      <c r="D18" s="85"/>
      <c r="E18" s="50"/>
      <c r="F18" s="85"/>
      <c r="G18" s="85"/>
      <c r="H18" s="603"/>
      <c r="I18" s="520"/>
      <c r="J18" s="240"/>
      <c r="K18" s="401" t="s">
        <v>1119</v>
      </c>
      <c r="L18" s="60"/>
      <c r="M18" s="60"/>
      <c r="N18" s="58"/>
      <c r="O18" s="50"/>
      <c r="P18" s="50"/>
      <c r="Q18" s="50"/>
      <c r="R18" s="50"/>
    </row>
    <row r="19" spans="1:18" ht="15" customHeight="1" x14ac:dyDescent="0.2">
      <c r="A19" s="58"/>
      <c r="B19" s="50"/>
      <c r="C19" s="85"/>
      <c r="D19" s="85"/>
      <c r="E19" s="50"/>
      <c r="F19" s="85"/>
      <c r="G19" s="85"/>
      <c r="H19" s="603"/>
      <c r="I19" s="520"/>
      <c r="J19" s="240"/>
      <c r="K19" s="401"/>
      <c r="L19" s="60"/>
      <c r="M19" s="60"/>
      <c r="N19" s="58"/>
      <c r="O19" s="50"/>
      <c r="P19" s="50"/>
      <c r="Q19" s="50"/>
      <c r="R19" s="50"/>
    </row>
    <row r="20" spans="1:18" ht="15" customHeight="1" x14ac:dyDescent="0.2">
      <c r="A20" s="590" t="s">
        <v>1263</v>
      </c>
      <c r="B20" s="590"/>
      <c r="C20" s="590"/>
      <c r="D20" s="85"/>
      <c r="E20" s="50"/>
      <c r="F20" s="85"/>
      <c r="G20" s="85"/>
      <c r="H20" s="532"/>
      <c r="I20" s="520"/>
      <c r="J20" s="240"/>
      <c r="K20" s="401"/>
      <c r="L20" s="60"/>
      <c r="M20" s="60"/>
      <c r="N20" s="58"/>
      <c r="O20" s="50"/>
      <c r="P20" s="50"/>
      <c r="Q20" s="50"/>
      <c r="R20" s="50"/>
    </row>
    <row r="21" spans="1:18" ht="15" customHeight="1" x14ac:dyDescent="0.2">
      <c r="A21" s="58"/>
      <c r="B21" s="589" t="s">
        <v>1262</v>
      </c>
      <c r="C21" s="589"/>
      <c r="D21" s="589"/>
      <c r="E21" s="588" t="s">
        <v>1275</v>
      </c>
      <c r="F21" s="588" t="s">
        <v>1274</v>
      </c>
      <c r="G21" s="601"/>
      <c r="H21" s="532"/>
      <c r="I21" s="520"/>
      <c r="J21" s="240"/>
      <c r="K21" s="401"/>
      <c r="L21" s="60"/>
      <c r="M21" s="60"/>
      <c r="N21" s="58"/>
      <c r="O21" s="50"/>
      <c r="P21" s="50"/>
      <c r="Q21" s="50"/>
      <c r="R21" s="50"/>
    </row>
    <row r="22" spans="1:18" ht="18" customHeight="1" x14ac:dyDescent="0.2">
      <c r="A22" s="58"/>
      <c r="B22" s="589"/>
      <c r="C22" s="589"/>
      <c r="D22" s="589"/>
      <c r="E22" s="588"/>
      <c r="F22" s="601"/>
      <c r="G22" s="601"/>
      <c r="H22" s="532"/>
      <c r="I22" s="520"/>
      <c r="J22" s="240"/>
      <c r="K22" s="401"/>
      <c r="L22" s="60"/>
      <c r="M22" s="60"/>
      <c r="N22" s="58"/>
      <c r="O22" s="50"/>
      <c r="P22" s="50"/>
      <c r="Q22" s="50"/>
      <c r="R22" s="50"/>
    </row>
    <row r="23" spans="1:18" ht="17.25" customHeight="1" x14ac:dyDescent="0.2">
      <c r="A23" s="67" t="s">
        <v>67</v>
      </c>
      <c r="B23" s="580"/>
      <c r="C23" s="605"/>
      <c r="D23" s="605"/>
      <c r="E23" s="183"/>
      <c r="F23" s="600">
        <v>0</v>
      </c>
      <c r="G23" s="600"/>
      <c r="H23" s="532"/>
      <c r="I23" s="520"/>
      <c r="J23" s="240"/>
      <c r="K23" s="401"/>
      <c r="L23" s="60"/>
      <c r="M23" s="60"/>
      <c r="N23" s="58"/>
      <c r="O23" s="50"/>
      <c r="P23" s="50"/>
      <c r="Q23" s="50"/>
      <c r="R23" s="50"/>
    </row>
    <row r="24" spans="1:18" ht="18" customHeight="1" x14ac:dyDescent="0.2">
      <c r="A24" s="67" t="s">
        <v>68</v>
      </c>
      <c r="B24" s="50"/>
      <c r="C24" s="85"/>
      <c r="D24" s="85"/>
      <c r="E24" s="50"/>
      <c r="F24" s="600">
        <v>0</v>
      </c>
      <c r="G24" s="600"/>
      <c r="H24" s="532"/>
      <c r="I24" s="520"/>
      <c r="J24" s="240"/>
      <c r="K24" s="401"/>
      <c r="L24" s="60"/>
      <c r="M24" s="60"/>
      <c r="N24" s="58"/>
      <c r="O24" s="50"/>
      <c r="P24" s="50"/>
      <c r="Q24" s="50"/>
      <c r="R24" s="50"/>
    </row>
    <row r="25" spans="1:18" ht="16.5" customHeight="1" x14ac:dyDescent="0.2">
      <c r="A25" s="67" t="s">
        <v>69</v>
      </c>
      <c r="B25" s="50"/>
      <c r="C25" s="85"/>
      <c r="D25" s="85"/>
      <c r="E25" s="50"/>
      <c r="F25" s="600">
        <v>0</v>
      </c>
      <c r="G25" s="600"/>
      <c r="H25" s="532"/>
      <c r="I25" s="520"/>
      <c r="J25" s="240"/>
      <c r="K25" s="401"/>
      <c r="L25" s="60"/>
      <c r="M25" s="60"/>
      <c r="N25" s="58"/>
      <c r="O25" s="50"/>
      <c r="P25" s="50"/>
      <c r="Q25" s="50"/>
      <c r="R25" s="50"/>
    </row>
    <row r="26" spans="1:18" ht="18.75" customHeight="1" x14ac:dyDescent="0.2">
      <c r="A26" s="67" t="s">
        <v>70</v>
      </c>
      <c r="B26" s="50"/>
      <c r="C26" s="85"/>
      <c r="D26" s="85"/>
      <c r="E26" s="50"/>
      <c r="F26" s="600">
        <v>0</v>
      </c>
      <c r="G26" s="600"/>
      <c r="H26" s="532"/>
      <c r="I26" s="520"/>
      <c r="J26" s="240"/>
      <c r="K26" s="401"/>
      <c r="L26" s="60"/>
      <c r="M26" s="60"/>
      <c r="N26" s="58"/>
      <c r="O26" s="50"/>
      <c r="P26" s="50"/>
      <c r="Q26" s="50"/>
      <c r="R26" s="50"/>
    </row>
    <row r="27" spans="1:18" ht="23.25" customHeight="1" x14ac:dyDescent="0.2">
      <c r="A27" s="58"/>
      <c r="B27" s="50"/>
      <c r="C27" s="85"/>
      <c r="D27" s="85"/>
      <c r="E27" s="50"/>
      <c r="F27" s="50"/>
      <c r="G27" s="50"/>
      <c r="H27" s="532"/>
      <c r="I27" s="520"/>
      <c r="J27" s="240"/>
      <c r="K27" s="401"/>
      <c r="L27" s="60"/>
      <c r="M27" s="60"/>
      <c r="N27" s="58"/>
      <c r="O27" s="50"/>
      <c r="P27" s="50"/>
      <c r="Q27" s="50"/>
      <c r="R27" s="50"/>
    </row>
    <row r="28" spans="1:18" ht="23.25" customHeight="1" x14ac:dyDescent="0.2">
      <c r="A28" s="58"/>
      <c r="B28" s="50"/>
      <c r="C28" s="85"/>
      <c r="D28" s="85"/>
      <c r="E28" s="588" t="s">
        <v>1275</v>
      </c>
      <c r="F28" s="588" t="s">
        <v>1274</v>
      </c>
      <c r="G28" s="601"/>
      <c r="H28" s="532"/>
      <c r="I28" s="520"/>
      <c r="J28" s="240"/>
      <c r="K28" s="401"/>
      <c r="L28" s="60"/>
      <c r="M28" s="60"/>
      <c r="N28" s="58"/>
      <c r="O28" s="50"/>
      <c r="P28" s="50"/>
      <c r="Q28" s="50"/>
      <c r="R28" s="50"/>
    </row>
    <row r="29" spans="1:18" ht="23.25" customHeight="1" x14ac:dyDescent="0.2">
      <c r="A29" s="58"/>
      <c r="B29" s="604" t="s">
        <v>1277</v>
      </c>
      <c r="C29" s="604"/>
      <c r="D29" s="604"/>
      <c r="E29" s="588"/>
      <c r="F29" s="601"/>
      <c r="G29" s="601"/>
      <c r="H29" s="532"/>
      <c r="I29" s="520"/>
      <c r="J29" s="240"/>
      <c r="K29" s="401"/>
      <c r="L29" s="60"/>
      <c r="M29" s="60"/>
      <c r="N29" s="58"/>
      <c r="O29" s="50"/>
      <c r="P29" s="50"/>
      <c r="Q29" s="50"/>
      <c r="R29" s="50"/>
    </row>
    <row r="30" spans="1:18" ht="17.25" customHeight="1" x14ac:dyDescent="0.2">
      <c r="A30" s="67" t="s">
        <v>67</v>
      </c>
      <c r="B30" s="50"/>
      <c r="C30" s="85"/>
      <c r="D30" s="85"/>
      <c r="E30" s="534"/>
      <c r="F30" s="600">
        <v>0</v>
      </c>
      <c r="G30" s="600"/>
      <c r="H30" s="532"/>
      <c r="I30" s="520"/>
      <c r="J30" s="240"/>
      <c r="K30" s="401"/>
      <c r="L30" s="60"/>
      <c r="M30" s="60"/>
      <c r="N30" s="58"/>
      <c r="O30" s="50"/>
      <c r="P30" s="50"/>
      <c r="Q30" s="50"/>
      <c r="R30" s="50"/>
    </row>
    <row r="31" spans="1:18" ht="16.5" customHeight="1" x14ac:dyDescent="0.2">
      <c r="A31" s="67" t="s">
        <v>68</v>
      </c>
      <c r="B31" s="50"/>
      <c r="C31" s="85"/>
      <c r="D31" s="85"/>
      <c r="E31" s="50"/>
      <c r="F31" s="600">
        <v>0</v>
      </c>
      <c r="G31" s="600"/>
      <c r="H31" s="532"/>
      <c r="I31" s="520"/>
      <c r="J31" s="240"/>
      <c r="K31" s="401"/>
      <c r="L31" s="60"/>
      <c r="M31" s="60"/>
      <c r="N31" s="58"/>
      <c r="O31" s="50"/>
      <c r="P31" s="50"/>
      <c r="Q31" s="50"/>
      <c r="R31" s="50"/>
    </row>
    <row r="32" spans="1:18" ht="17.25" customHeight="1" x14ac:dyDescent="0.2">
      <c r="A32" s="67" t="s">
        <v>69</v>
      </c>
      <c r="B32" s="50"/>
      <c r="C32" s="85"/>
      <c r="D32" s="85"/>
      <c r="E32" s="50"/>
      <c r="F32" s="600">
        <v>0</v>
      </c>
      <c r="G32" s="600"/>
      <c r="H32" s="532"/>
      <c r="I32" s="520"/>
      <c r="J32" s="240"/>
      <c r="K32" s="401"/>
      <c r="L32" s="60"/>
      <c r="M32" s="60"/>
      <c r="N32" s="58"/>
      <c r="O32" s="50"/>
      <c r="P32" s="50"/>
      <c r="Q32" s="50"/>
      <c r="R32" s="50"/>
    </row>
    <row r="33" spans="1:18" ht="17.25" customHeight="1" x14ac:dyDescent="0.2">
      <c r="A33" s="67" t="s">
        <v>70</v>
      </c>
      <c r="B33" s="50"/>
      <c r="C33" s="85"/>
      <c r="D33" s="85"/>
      <c r="E33" s="50"/>
      <c r="F33" s="600">
        <v>0</v>
      </c>
      <c r="G33" s="600"/>
      <c r="H33" s="532"/>
      <c r="I33" s="520"/>
      <c r="J33" s="240"/>
      <c r="K33" s="401"/>
      <c r="L33" s="60"/>
      <c r="M33" s="60"/>
      <c r="N33" s="58"/>
      <c r="O33" s="50"/>
      <c r="P33" s="50"/>
      <c r="Q33" s="50"/>
      <c r="R33" s="50"/>
    </row>
    <row r="34" spans="1:18" ht="15" customHeight="1" x14ac:dyDescent="0.2">
      <c r="A34" s="58"/>
      <c r="B34" s="50"/>
      <c r="C34" s="85"/>
      <c r="D34" s="85"/>
      <c r="E34" s="50"/>
      <c r="F34" s="85"/>
      <c r="G34" s="85"/>
      <c r="H34" s="532"/>
      <c r="I34" s="520"/>
      <c r="J34" s="240"/>
      <c r="K34" s="401"/>
      <c r="L34" s="60"/>
      <c r="M34" s="60"/>
      <c r="N34" s="58"/>
      <c r="O34" s="50"/>
      <c r="P34" s="50"/>
      <c r="Q34" s="50"/>
      <c r="R34" s="50"/>
    </row>
    <row r="35" spans="1:18" ht="15" customHeight="1" x14ac:dyDescent="0.2">
      <c r="A35" s="241" t="s">
        <v>586</v>
      </c>
      <c r="B35" s="50"/>
      <c r="C35" s="85"/>
      <c r="D35" s="85"/>
      <c r="E35" s="50"/>
      <c r="F35" s="85"/>
      <c r="G35" s="85"/>
      <c r="H35" s="520"/>
      <c r="I35" s="520"/>
      <c r="J35" s="240"/>
      <c r="K35" s="401"/>
      <c r="L35" s="60"/>
      <c r="M35" s="60"/>
      <c r="N35" s="58"/>
      <c r="O35" s="50"/>
      <c r="P35" s="50"/>
      <c r="Q35" s="50"/>
      <c r="R35" s="50"/>
    </row>
    <row r="36" spans="1:18" ht="15" customHeight="1" x14ac:dyDescent="0.2">
      <c r="A36" s="242"/>
      <c r="B36" s="242" t="s">
        <v>34</v>
      </c>
      <c r="C36" s="60" t="s">
        <v>60</v>
      </c>
      <c r="D36" s="60"/>
      <c r="E36" s="183" t="s">
        <v>86</v>
      </c>
      <c r="F36" s="62"/>
      <c r="G36" s="50"/>
      <c r="H36" s="520"/>
      <c r="I36" s="520"/>
      <c r="J36" s="50"/>
      <c r="K36" s="50"/>
      <c r="L36" s="50"/>
      <c r="M36" s="50"/>
      <c r="N36" s="50"/>
      <c r="O36" s="50"/>
      <c r="P36" s="50"/>
      <c r="Q36" s="50"/>
      <c r="R36" s="50"/>
    </row>
    <row r="37" spans="1:18" ht="16.5" customHeight="1" x14ac:dyDescent="0.2">
      <c r="A37" s="58" t="s">
        <v>67</v>
      </c>
      <c r="B37" s="63">
        <f>'Invoer Algemeen'!B16</f>
        <v>0</v>
      </c>
      <c r="C37" s="582"/>
      <c r="D37" s="583"/>
      <c r="E37" s="84"/>
      <c r="F37" s="252" t="s">
        <v>672</v>
      </c>
      <c r="G37" s="50"/>
      <c r="H37" s="50"/>
      <c r="I37" s="50"/>
      <c r="J37" s="50"/>
      <c r="K37" s="50"/>
      <c r="L37" s="50"/>
      <c r="M37" s="50"/>
      <c r="N37" s="50"/>
      <c r="O37" s="50"/>
      <c r="P37" s="50"/>
      <c r="Q37" s="50"/>
      <c r="R37" s="50"/>
    </row>
    <row r="38" spans="1:18" ht="15" customHeight="1" x14ac:dyDescent="0.2">
      <c r="A38" s="58" t="s">
        <v>68</v>
      </c>
      <c r="B38" s="63">
        <f>'Invoer Algemeen'!B17</f>
        <v>0</v>
      </c>
      <c r="C38" s="580"/>
      <c r="D38" s="581"/>
      <c r="E38" s="86"/>
      <c r="F38" s="50"/>
      <c r="G38" s="50"/>
      <c r="H38" s="50"/>
      <c r="I38" s="50"/>
      <c r="J38" s="50"/>
      <c r="K38" s="50"/>
      <c r="L38" s="50"/>
      <c r="M38" s="50"/>
      <c r="N38" s="50"/>
      <c r="O38" s="50"/>
      <c r="P38" s="50"/>
      <c r="Q38" s="50"/>
      <c r="R38" s="50"/>
    </row>
    <row r="39" spans="1:18" ht="15" customHeight="1" x14ac:dyDescent="0.2">
      <c r="A39" s="58" t="s">
        <v>69</v>
      </c>
      <c r="B39" s="63">
        <f>'Invoer Algemeen'!B18</f>
        <v>0</v>
      </c>
      <c r="C39" s="580"/>
      <c r="D39" s="581"/>
      <c r="E39" s="86"/>
      <c r="F39" s="50"/>
      <c r="G39" s="50"/>
      <c r="H39" s="50"/>
      <c r="I39" s="50"/>
      <c r="J39" s="50"/>
      <c r="K39" s="50"/>
      <c r="L39" s="50"/>
      <c r="M39" s="50"/>
      <c r="N39" s="50"/>
      <c r="O39" s="50"/>
      <c r="P39" s="50"/>
      <c r="Q39" s="50"/>
      <c r="R39" s="50"/>
    </row>
    <row r="40" spans="1:18" ht="15" customHeight="1" x14ac:dyDescent="0.2">
      <c r="A40" s="58" t="s">
        <v>70</v>
      </c>
      <c r="B40" s="63">
        <f>'Invoer Algemeen'!B19</f>
        <v>0</v>
      </c>
      <c r="C40" s="578"/>
      <c r="D40" s="579"/>
      <c r="E40" s="87"/>
      <c r="F40" s="50"/>
      <c r="G40" s="50"/>
      <c r="H40" s="50"/>
      <c r="I40" s="50"/>
      <c r="J40" s="50"/>
      <c r="K40" s="50"/>
      <c r="L40" s="50"/>
      <c r="M40" s="50"/>
      <c r="N40" s="50"/>
      <c r="O40" s="50"/>
      <c r="P40" s="50"/>
      <c r="Q40" s="50"/>
      <c r="R40" s="50"/>
    </row>
    <row r="41" spans="1:18" ht="15" customHeight="1" x14ac:dyDescent="0.2">
      <c r="A41" s="88"/>
      <c r="B41" s="60"/>
      <c r="C41" s="85"/>
      <c r="D41" s="60"/>
      <c r="E41" s="50"/>
      <c r="F41" s="50"/>
      <c r="G41" s="50"/>
      <c r="H41" s="50"/>
      <c r="I41" s="50"/>
      <c r="J41" s="50"/>
      <c r="K41" s="50"/>
      <c r="L41" s="50"/>
      <c r="M41" s="50"/>
      <c r="N41" s="66"/>
      <c r="O41" s="242" t="s">
        <v>675</v>
      </c>
      <c r="P41" s="50"/>
      <c r="Q41" s="50"/>
      <c r="R41" s="50"/>
    </row>
    <row r="42" spans="1:18" x14ac:dyDescent="0.2">
      <c r="A42" s="50"/>
      <c r="B42" s="50"/>
      <c r="C42" s="50"/>
      <c r="D42" s="50"/>
      <c r="E42" s="50"/>
      <c r="F42" s="50"/>
      <c r="G42" s="50"/>
      <c r="H42" s="50"/>
      <c r="I42" s="50"/>
      <c r="J42" s="50"/>
      <c r="K42" s="50"/>
      <c r="L42" s="50"/>
      <c r="M42" s="50"/>
      <c r="N42" s="65"/>
      <c r="O42" s="242" t="s">
        <v>676</v>
      </c>
      <c r="P42" s="50"/>
      <c r="Q42" s="50"/>
      <c r="R42" s="50"/>
    </row>
    <row r="43" spans="1:18" x14ac:dyDescent="0.2">
      <c r="A43" s="50"/>
      <c r="B43" s="50"/>
      <c r="C43" s="50"/>
      <c r="D43" s="50"/>
      <c r="E43" s="50"/>
      <c r="F43" s="50"/>
      <c r="G43" s="50"/>
      <c r="H43" s="50"/>
      <c r="I43" s="50"/>
      <c r="J43" s="50"/>
      <c r="K43" s="50"/>
      <c r="L43" s="50"/>
      <c r="M43" s="50"/>
      <c r="N43" s="291"/>
      <c r="O43" s="242" t="s">
        <v>677</v>
      </c>
      <c r="P43" s="50"/>
      <c r="Q43" s="50"/>
      <c r="R43" s="50"/>
    </row>
    <row r="44" spans="1:18" x14ac:dyDescent="0.2">
      <c r="A44" s="50"/>
      <c r="B44" s="50"/>
      <c r="C44" s="50"/>
      <c r="D44" s="50"/>
      <c r="E44" s="50"/>
      <c r="F44" s="50"/>
      <c r="G44" s="50"/>
      <c r="H44" s="50"/>
      <c r="I44" s="50"/>
      <c r="J44" s="50"/>
      <c r="K44" s="50"/>
      <c r="L44" s="50"/>
      <c r="M44" s="50"/>
      <c r="N44" s="50"/>
      <c r="O44" s="50"/>
      <c r="P44" s="50"/>
      <c r="Q44" s="50"/>
      <c r="R44" s="50"/>
    </row>
  </sheetData>
  <mergeCells count="44">
    <mergeCell ref="B29:D29"/>
    <mergeCell ref="B23:D23"/>
    <mergeCell ref="E28:E29"/>
    <mergeCell ref="F31:G31"/>
    <mergeCell ref="F26:G26"/>
    <mergeCell ref="H11:H12"/>
    <mergeCell ref="F28:G29"/>
    <mergeCell ref="H17:H19"/>
    <mergeCell ref="F30:G30"/>
    <mergeCell ref="B7:D7"/>
    <mergeCell ref="B8:D8"/>
    <mergeCell ref="N3:N4"/>
    <mergeCell ref="K3:K4"/>
    <mergeCell ref="L3:L4"/>
    <mergeCell ref="B5:D5"/>
    <mergeCell ref="B6:D6"/>
    <mergeCell ref="C3:D3"/>
    <mergeCell ref="E3:J3"/>
    <mergeCell ref="C40:D40"/>
    <mergeCell ref="C38:D38"/>
    <mergeCell ref="C37:D37"/>
    <mergeCell ref="B11:G11"/>
    <mergeCell ref="I11:I12"/>
    <mergeCell ref="E21:E22"/>
    <mergeCell ref="B21:D22"/>
    <mergeCell ref="A20:C20"/>
    <mergeCell ref="A11:A12"/>
    <mergeCell ref="C39:D39"/>
    <mergeCell ref="F32:G32"/>
    <mergeCell ref="F33:G33"/>
    <mergeCell ref="F21:G22"/>
    <mergeCell ref="F23:G23"/>
    <mergeCell ref="F24:G24"/>
    <mergeCell ref="F25:G25"/>
    <mergeCell ref="N16:O16"/>
    <mergeCell ref="J11:J12"/>
    <mergeCell ref="L11:M12"/>
    <mergeCell ref="P13:T16"/>
    <mergeCell ref="N11:O12"/>
    <mergeCell ref="K11:K12"/>
    <mergeCell ref="N13:O13"/>
    <mergeCell ref="N14:O14"/>
    <mergeCell ref="N15:O15"/>
    <mergeCell ref="P11:P12"/>
  </mergeCells>
  <phoneticPr fontId="0" type="noConversion"/>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153" r:id="rId4" name="Drop Down 9">
              <controlPr defaultSize="0" autoLine="0" autoPict="0">
                <anchor moveWithCells="1">
                  <from>
                    <xdr:col>4</xdr:col>
                    <xdr:colOff>0</xdr:colOff>
                    <xdr:row>4</xdr:row>
                    <xdr:rowOff>0</xdr:rowOff>
                  </from>
                  <to>
                    <xdr:col>4</xdr:col>
                    <xdr:colOff>1057275</xdr:colOff>
                    <xdr:row>5</xdr:row>
                    <xdr:rowOff>9525</xdr:rowOff>
                  </to>
                </anchor>
              </controlPr>
            </control>
          </mc:Choice>
        </mc:AlternateContent>
        <mc:AlternateContent xmlns:mc="http://schemas.openxmlformats.org/markup-compatibility/2006">
          <mc:Choice Requires="x14">
            <control shapeId="6157" r:id="rId5" name="Drop Down 13">
              <controlPr defaultSize="0" autoLine="0" autoPict="0">
                <anchor moveWithCells="1">
                  <from>
                    <xdr:col>7</xdr:col>
                    <xdr:colOff>0</xdr:colOff>
                    <xdr:row>4</xdr:row>
                    <xdr:rowOff>180975</xdr:rowOff>
                  </from>
                  <to>
                    <xdr:col>8</xdr:col>
                    <xdr:colOff>0</xdr:colOff>
                    <xdr:row>6</xdr:row>
                    <xdr:rowOff>9525</xdr:rowOff>
                  </to>
                </anchor>
              </controlPr>
            </control>
          </mc:Choice>
        </mc:AlternateContent>
        <mc:AlternateContent xmlns:mc="http://schemas.openxmlformats.org/markup-compatibility/2006">
          <mc:Choice Requires="x14">
            <control shapeId="6159" r:id="rId6" name="Drop Down 15">
              <controlPr defaultSize="0" autoLine="0" autoPict="0">
                <anchor moveWithCells="1">
                  <from>
                    <xdr:col>4</xdr:col>
                    <xdr:colOff>0</xdr:colOff>
                    <xdr:row>6</xdr:row>
                    <xdr:rowOff>28575</xdr:rowOff>
                  </from>
                  <to>
                    <xdr:col>4</xdr:col>
                    <xdr:colOff>1057275</xdr:colOff>
                    <xdr:row>7</xdr:row>
                    <xdr:rowOff>19050</xdr:rowOff>
                  </to>
                </anchor>
              </controlPr>
            </control>
          </mc:Choice>
        </mc:AlternateContent>
        <mc:AlternateContent xmlns:mc="http://schemas.openxmlformats.org/markup-compatibility/2006">
          <mc:Choice Requires="x14">
            <control shapeId="6160" r:id="rId7" name="Drop Down 16">
              <controlPr defaultSize="0" autoLine="0" autoPict="0">
                <anchor moveWithCells="1">
                  <from>
                    <xdr:col>7</xdr:col>
                    <xdr:colOff>0</xdr:colOff>
                    <xdr:row>3</xdr:row>
                    <xdr:rowOff>295275</xdr:rowOff>
                  </from>
                  <to>
                    <xdr:col>8</xdr:col>
                    <xdr:colOff>0</xdr:colOff>
                    <xdr:row>5</xdr:row>
                    <xdr:rowOff>0</xdr:rowOff>
                  </to>
                </anchor>
              </controlPr>
            </control>
          </mc:Choice>
        </mc:AlternateContent>
        <mc:AlternateContent xmlns:mc="http://schemas.openxmlformats.org/markup-compatibility/2006">
          <mc:Choice Requires="x14">
            <control shapeId="6163" r:id="rId8" name="Drop Down 19">
              <controlPr defaultSize="0" autoLine="0" autoPict="0">
                <anchor moveWithCells="1">
                  <from>
                    <xdr:col>4</xdr:col>
                    <xdr:colOff>0</xdr:colOff>
                    <xdr:row>4</xdr:row>
                    <xdr:rowOff>180975</xdr:rowOff>
                  </from>
                  <to>
                    <xdr:col>4</xdr:col>
                    <xdr:colOff>1057275</xdr:colOff>
                    <xdr:row>6</xdr:row>
                    <xdr:rowOff>9525</xdr:rowOff>
                  </to>
                </anchor>
              </controlPr>
            </control>
          </mc:Choice>
        </mc:AlternateContent>
        <mc:AlternateContent xmlns:mc="http://schemas.openxmlformats.org/markup-compatibility/2006">
          <mc:Choice Requires="x14">
            <control shapeId="6164" r:id="rId9" name="Drop Down 20">
              <controlPr defaultSize="0" autoLine="0" autoPict="0">
                <anchor moveWithCells="1">
                  <from>
                    <xdr:col>4</xdr:col>
                    <xdr:colOff>0</xdr:colOff>
                    <xdr:row>7</xdr:row>
                    <xdr:rowOff>0</xdr:rowOff>
                  </from>
                  <to>
                    <xdr:col>4</xdr:col>
                    <xdr:colOff>1047750</xdr:colOff>
                    <xdr:row>8</xdr:row>
                    <xdr:rowOff>19050</xdr:rowOff>
                  </to>
                </anchor>
              </controlPr>
            </control>
          </mc:Choice>
        </mc:AlternateContent>
        <mc:AlternateContent xmlns:mc="http://schemas.openxmlformats.org/markup-compatibility/2006">
          <mc:Choice Requires="x14">
            <control shapeId="6165" r:id="rId10" name="Drop Down 21">
              <controlPr defaultSize="0" autoLine="0" autoPict="0">
                <anchor moveWithCells="1">
                  <from>
                    <xdr:col>7</xdr:col>
                    <xdr:colOff>0</xdr:colOff>
                    <xdr:row>6</xdr:row>
                    <xdr:rowOff>0</xdr:rowOff>
                  </from>
                  <to>
                    <xdr:col>8</xdr:col>
                    <xdr:colOff>0</xdr:colOff>
                    <xdr:row>6</xdr:row>
                    <xdr:rowOff>200025</xdr:rowOff>
                  </to>
                </anchor>
              </controlPr>
            </control>
          </mc:Choice>
        </mc:AlternateContent>
        <mc:AlternateContent xmlns:mc="http://schemas.openxmlformats.org/markup-compatibility/2006">
          <mc:Choice Requires="x14">
            <control shapeId="6166" r:id="rId11" name="Drop Down 22">
              <controlPr defaultSize="0" autoLine="0" autoPict="0">
                <anchor moveWithCells="1">
                  <from>
                    <xdr:col>7</xdr:col>
                    <xdr:colOff>0</xdr:colOff>
                    <xdr:row>6</xdr:row>
                    <xdr:rowOff>200025</xdr:rowOff>
                  </from>
                  <to>
                    <xdr:col>8</xdr:col>
                    <xdr:colOff>0</xdr:colOff>
                    <xdr:row>8</xdr:row>
                    <xdr:rowOff>0</xdr:rowOff>
                  </to>
                </anchor>
              </controlPr>
            </control>
          </mc:Choice>
        </mc:AlternateContent>
        <mc:AlternateContent xmlns:mc="http://schemas.openxmlformats.org/markup-compatibility/2006">
          <mc:Choice Requires="x14">
            <control shapeId="6168" r:id="rId12" name="Drop Down 24">
              <controlPr defaultSize="0" autoLine="0" autoPict="0">
                <anchor moveWithCells="1">
                  <from>
                    <xdr:col>10</xdr:col>
                    <xdr:colOff>0</xdr:colOff>
                    <xdr:row>3</xdr:row>
                    <xdr:rowOff>295275</xdr:rowOff>
                  </from>
                  <to>
                    <xdr:col>10</xdr:col>
                    <xdr:colOff>942975</xdr:colOff>
                    <xdr:row>5</xdr:row>
                    <xdr:rowOff>0</xdr:rowOff>
                  </to>
                </anchor>
              </controlPr>
            </control>
          </mc:Choice>
        </mc:AlternateContent>
        <mc:AlternateContent xmlns:mc="http://schemas.openxmlformats.org/markup-compatibility/2006">
          <mc:Choice Requires="x14">
            <control shapeId="6169" r:id="rId13" name="Drop Down 25">
              <controlPr defaultSize="0" autoLine="0" autoPict="0">
                <anchor moveWithCells="1">
                  <from>
                    <xdr:col>10</xdr:col>
                    <xdr:colOff>0</xdr:colOff>
                    <xdr:row>5</xdr:row>
                    <xdr:rowOff>0</xdr:rowOff>
                  </from>
                  <to>
                    <xdr:col>10</xdr:col>
                    <xdr:colOff>942975</xdr:colOff>
                    <xdr:row>6</xdr:row>
                    <xdr:rowOff>19050</xdr:rowOff>
                  </to>
                </anchor>
              </controlPr>
            </control>
          </mc:Choice>
        </mc:AlternateContent>
        <mc:AlternateContent xmlns:mc="http://schemas.openxmlformats.org/markup-compatibility/2006">
          <mc:Choice Requires="x14">
            <control shapeId="6170" r:id="rId14" name="Drop Down 26">
              <controlPr defaultSize="0" autoLine="0" autoPict="0">
                <anchor moveWithCells="1">
                  <from>
                    <xdr:col>10</xdr:col>
                    <xdr:colOff>0</xdr:colOff>
                    <xdr:row>6</xdr:row>
                    <xdr:rowOff>0</xdr:rowOff>
                  </from>
                  <to>
                    <xdr:col>10</xdr:col>
                    <xdr:colOff>942975</xdr:colOff>
                    <xdr:row>6</xdr:row>
                    <xdr:rowOff>200025</xdr:rowOff>
                  </to>
                </anchor>
              </controlPr>
            </control>
          </mc:Choice>
        </mc:AlternateContent>
        <mc:AlternateContent xmlns:mc="http://schemas.openxmlformats.org/markup-compatibility/2006">
          <mc:Choice Requires="x14">
            <control shapeId="6171" r:id="rId15" name="Drop Down 27">
              <controlPr defaultSize="0" autoLine="0" autoPict="0">
                <anchor moveWithCells="1">
                  <from>
                    <xdr:col>10</xdr:col>
                    <xdr:colOff>0</xdr:colOff>
                    <xdr:row>7</xdr:row>
                    <xdr:rowOff>0</xdr:rowOff>
                  </from>
                  <to>
                    <xdr:col>10</xdr:col>
                    <xdr:colOff>942975</xdr:colOff>
                    <xdr:row>8</xdr:row>
                    <xdr:rowOff>9525</xdr:rowOff>
                  </to>
                </anchor>
              </controlPr>
            </control>
          </mc:Choice>
        </mc:AlternateContent>
        <mc:AlternateContent xmlns:mc="http://schemas.openxmlformats.org/markup-compatibility/2006">
          <mc:Choice Requires="x14">
            <control shapeId="6172" r:id="rId16" name="Drop Down 28">
              <controlPr defaultSize="0" autoLine="0" autoPict="0">
                <anchor moveWithCells="1">
                  <from>
                    <xdr:col>11</xdr:col>
                    <xdr:colOff>0</xdr:colOff>
                    <xdr:row>4</xdr:row>
                    <xdr:rowOff>0</xdr:rowOff>
                  </from>
                  <to>
                    <xdr:col>11</xdr:col>
                    <xdr:colOff>466725</xdr:colOff>
                    <xdr:row>5</xdr:row>
                    <xdr:rowOff>9525</xdr:rowOff>
                  </to>
                </anchor>
              </controlPr>
            </control>
          </mc:Choice>
        </mc:AlternateContent>
        <mc:AlternateContent xmlns:mc="http://schemas.openxmlformats.org/markup-compatibility/2006">
          <mc:Choice Requires="x14">
            <control shapeId="6173" r:id="rId17" name="Drop Down 29">
              <controlPr defaultSize="0" autoLine="0" autoPict="0">
                <anchor moveWithCells="1">
                  <from>
                    <xdr:col>11</xdr:col>
                    <xdr:colOff>0</xdr:colOff>
                    <xdr:row>5</xdr:row>
                    <xdr:rowOff>0</xdr:rowOff>
                  </from>
                  <to>
                    <xdr:col>11</xdr:col>
                    <xdr:colOff>466725</xdr:colOff>
                    <xdr:row>6</xdr:row>
                    <xdr:rowOff>19050</xdr:rowOff>
                  </to>
                </anchor>
              </controlPr>
            </control>
          </mc:Choice>
        </mc:AlternateContent>
        <mc:AlternateContent xmlns:mc="http://schemas.openxmlformats.org/markup-compatibility/2006">
          <mc:Choice Requires="x14">
            <control shapeId="6174" r:id="rId18" name="Drop Down 30">
              <controlPr defaultSize="0" autoLine="0" autoPict="0">
                <anchor moveWithCells="1">
                  <from>
                    <xdr:col>11</xdr:col>
                    <xdr:colOff>0</xdr:colOff>
                    <xdr:row>6</xdr:row>
                    <xdr:rowOff>0</xdr:rowOff>
                  </from>
                  <to>
                    <xdr:col>11</xdr:col>
                    <xdr:colOff>466725</xdr:colOff>
                    <xdr:row>6</xdr:row>
                    <xdr:rowOff>200025</xdr:rowOff>
                  </to>
                </anchor>
              </controlPr>
            </control>
          </mc:Choice>
        </mc:AlternateContent>
        <mc:AlternateContent xmlns:mc="http://schemas.openxmlformats.org/markup-compatibility/2006">
          <mc:Choice Requires="x14">
            <control shapeId="6175" r:id="rId19" name="Drop Down 31">
              <controlPr defaultSize="0" autoLine="0" autoPict="0">
                <anchor moveWithCells="1">
                  <from>
                    <xdr:col>11</xdr:col>
                    <xdr:colOff>0</xdr:colOff>
                    <xdr:row>7</xdr:row>
                    <xdr:rowOff>0</xdr:rowOff>
                  </from>
                  <to>
                    <xdr:col>11</xdr:col>
                    <xdr:colOff>466725</xdr:colOff>
                    <xdr:row>8</xdr:row>
                    <xdr:rowOff>9525</xdr:rowOff>
                  </to>
                </anchor>
              </controlPr>
            </control>
          </mc:Choice>
        </mc:AlternateContent>
        <mc:AlternateContent xmlns:mc="http://schemas.openxmlformats.org/markup-compatibility/2006">
          <mc:Choice Requires="x14">
            <control shapeId="6176" r:id="rId20" name="Drop Down 32">
              <controlPr defaultSize="0" autoLine="0" autoPict="0">
                <anchor moveWithCells="1">
                  <from>
                    <xdr:col>1</xdr:col>
                    <xdr:colOff>0</xdr:colOff>
                    <xdr:row>12</xdr:row>
                    <xdr:rowOff>0</xdr:rowOff>
                  </from>
                  <to>
                    <xdr:col>2</xdr:col>
                    <xdr:colOff>0</xdr:colOff>
                    <xdr:row>13</xdr:row>
                    <xdr:rowOff>9525</xdr:rowOff>
                  </to>
                </anchor>
              </controlPr>
            </control>
          </mc:Choice>
        </mc:AlternateContent>
        <mc:AlternateContent xmlns:mc="http://schemas.openxmlformats.org/markup-compatibility/2006">
          <mc:Choice Requires="x14">
            <control shapeId="6177" r:id="rId21" name="Drop Down 33">
              <controlPr defaultSize="0" autoLine="0" autoPict="0">
                <anchor moveWithCells="1">
                  <from>
                    <xdr:col>1</xdr:col>
                    <xdr:colOff>0</xdr:colOff>
                    <xdr:row>13</xdr:row>
                    <xdr:rowOff>0</xdr:rowOff>
                  </from>
                  <to>
                    <xdr:col>2</xdr:col>
                    <xdr:colOff>0</xdr:colOff>
                    <xdr:row>14</xdr:row>
                    <xdr:rowOff>9525</xdr:rowOff>
                  </to>
                </anchor>
              </controlPr>
            </control>
          </mc:Choice>
        </mc:AlternateContent>
        <mc:AlternateContent xmlns:mc="http://schemas.openxmlformats.org/markup-compatibility/2006">
          <mc:Choice Requires="x14">
            <control shapeId="6178" r:id="rId22" name="Drop Down 34">
              <controlPr defaultSize="0" autoLine="0" autoPict="0">
                <anchor moveWithCells="1">
                  <from>
                    <xdr:col>1</xdr:col>
                    <xdr:colOff>0</xdr:colOff>
                    <xdr:row>14</xdr:row>
                    <xdr:rowOff>0</xdr:rowOff>
                  </from>
                  <to>
                    <xdr:col>2</xdr:col>
                    <xdr:colOff>0</xdr:colOff>
                    <xdr:row>15</xdr:row>
                    <xdr:rowOff>9525</xdr:rowOff>
                  </to>
                </anchor>
              </controlPr>
            </control>
          </mc:Choice>
        </mc:AlternateContent>
        <mc:AlternateContent xmlns:mc="http://schemas.openxmlformats.org/markup-compatibility/2006">
          <mc:Choice Requires="x14">
            <control shapeId="6179" r:id="rId23" name="Drop Down 35">
              <controlPr defaultSize="0" autoLine="0" autoPict="0">
                <anchor moveWithCells="1">
                  <from>
                    <xdr:col>1</xdr:col>
                    <xdr:colOff>0</xdr:colOff>
                    <xdr:row>15</xdr:row>
                    <xdr:rowOff>0</xdr:rowOff>
                  </from>
                  <to>
                    <xdr:col>2</xdr:col>
                    <xdr:colOff>0</xdr:colOff>
                    <xdr:row>16</xdr:row>
                    <xdr:rowOff>9525</xdr:rowOff>
                  </to>
                </anchor>
              </controlPr>
            </control>
          </mc:Choice>
        </mc:AlternateContent>
        <mc:AlternateContent xmlns:mc="http://schemas.openxmlformats.org/markup-compatibility/2006">
          <mc:Choice Requires="x14">
            <control shapeId="6180" r:id="rId24" name="Drop Down 36">
              <controlPr defaultSize="0" autoLine="0" autoPict="0">
                <anchor moveWithCells="1">
                  <from>
                    <xdr:col>4</xdr:col>
                    <xdr:colOff>0</xdr:colOff>
                    <xdr:row>12</xdr:row>
                    <xdr:rowOff>0</xdr:rowOff>
                  </from>
                  <to>
                    <xdr:col>4</xdr:col>
                    <xdr:colOff>1057275</xdr:colOff>
                    <xdr:row>13</xdr:row>
                    <xdr:rowOff>9525</xdr:rowOff>
                  </to>
                </anchor>
              </controlPr>
            </control>
          </mc:Choice>
        </mc:AlternateContent>
        <mc:AlternateContent xmlns:mc="http://schemas.openxmlformats.org/markup-compatibility/2006">
          <mc:Choice Requires="x14">
            <control shapeId="6181" r:id="rId25" name="Drop Down 37">
              <controlPr defaultSize="0" autoLine="0" autoPict="0">
                <anchor moveWithCells="1">
                  <from>
                    <xdr:col>4</xdr:col>
                    <xdr:colOff>0</xdr:colOff>
                    <xdr:row>13</xdr:row>
                    <xdr:rowOff>0</xdr:rowOff>
                  </from>
                  <to>
                    <xdr:col>4</xdr:col>
                    <xdr:colOff>1057275</xdr:colOff>
                    <xdr:row>14</xdr:row>
                    <xdr:rowOff>9525</xdr:rowOff>
                  </to>
                </anchor>
              </controlPr>
            </control>
          </mc:Choice>
        </mc:AlternateContent>
        <mc:AlternateContent xmlns:mc="http://schemas.openxmlformats.org/markup-compatibility/2006">
          <mc:Choice Requires="x14">
            <control shapeId="6182" r:id="rId26" name="Drop Down 38">
              <controlPr defaultSize="0" autoLine="0" autoPict="0">
                <anchor moveWithCells="1">
                  <from>
                    <xdr:col>4</xdr:col>
                    <xdr:colOff>0</xdr:colOff>
                    <xdr:row>14</xdr:row>
                    <xdr:rowOff>0</xdr:rowOff>
                  </from>
                  <to>
                    <xdr:col>4</xdr:col>
                    <xdr:colOff>1057275</xdr:colOff>
                    <xdr:row>15</xdr:row>
                    <xdr:rowOff>9525</xdr:rowOff>
                  </to>
                </anchor>
              </controlPr>
            </control>
          </mc:Choice>
        </mc:AlternateContent>
        <mc:AlternateContent xmlns:mc="http://schemas.openxmlformats.org/markup-compatibility/2006">
          <mc:Choice Requires="x14">
            <control shapeId="6183" r:id="rId27" name="Drop Down 39">
              <controlPr defaultSize="0" autoLine="0" autoPict="0">
                <anchor moveWithCells="1">
                  <from>
                    <xdr:col>4</xdr:col>
                    <xdr:colOff>0</xdr:colOff>
                    <xdr:row>15</xdr:row>
                    <xdr:rowOff>0</xdr:rowOff>
                  </from>
                  <to>
                    <xdr:col>4</xdr:col>
                    <xdr:colOff>1057275</xdr:colOff>
                    <xdr:row>16</xdr:row>
                    <xdr:rowOff>9525</xdr:rowOff>
                  </to>
                </anchor>
              </controlPr>
            </control>
          </mc:Choice>
        </mc:AlternateContent>
        <mc:AlternateContent xmlns:mc="http://schemas.openxmlformats.org/markup-compatibility/2006">
          <mc:Choice Requires="x14">
            <control shapeId="6188" r:id="rId28" name="Drop Down 44">
              <controlPr defaultSize="0" autoLine="0" autoPict="0">
                <anchor moveWithCells="1">
                  <from>
                    <xdr:col>7</xdr:col>
                    <xdr:colOff>0</xdr:colOff>
                    <xdr:row>11</xdr:row>
                    <xdr:rowOff>381000</xdr:rowOff>
                  </from>
                  <to>
                    <xdr:col>8</xdr:col>
                    <xdr:colOff>0</xdr:colOff>
                    <xdr:row>13</xdr:row>
                    <xdr:rowOff>0</xdr:rowOff>
                  </to>
                </anchor>
              </controlPr>
            </control>
          </mc:Choice>
        </mc:AlternateContent>
        <mc:AlternateContent xmlns:mc="http://schemas.openxmlformats.org/markup-compatibility/2006">
          <mc:Choice Requires="x14">
            <control shapeId="6189" r:id="rId29" name="Drop Down 45">
              <controlPr defaultSize="0" autoLine="0" autoPict="0">
                <anchor moveWithCells="1">
                  <from>
                    <xdr:col>7</xdr:col>
                    <xdr:colOff>0</xdr:colOff>
                    <xdr:row>13</xdr:row>
                    <xdr:rowOff>0</xdr:rowOff>
                  </from>
                  <to>
                    <xdr:col>8</xdr:col>
                    <xdr:colOff>0</xdr:colOff>
                    <xdr:row>14</xdr:row>
                    <xdr:rowOff>9525</xdr:rowOff>
                  </to>
                </anchor>
              </controlPr>
            </control>
          </mc:Choice>
        </mc:AlternateContent>
        <mc:AlternateContent xmlns:mc="http://schemas.openxmlformats.org/markup-compatibility/2006">
          <mc:Choice Requires="x14">
            <control shapeId="6190" r:id="rId30" name="Drop Down 46">
              <controlPr defaultSize="0" autoLine="0" autoPict="0">
                <anchor moveWithCells="1">
                  <from>
                    <xdr:col>7</xdr:col>
                    <xdr:colOff>0</xdr:colOff>
                    <xdr:row>14</xdr:row>
                    <xdr:rowOff>0</xdr:rowOff>
                  </from>
                  <to>
                    <xdr:col>8</xdr:col>
                    <xdr:colOff>0</xdr:colOff>
                    <xdr:row>15</xdr:row>
                    <xdr:rowOff>9525</xdr:rowOff>
                  </to>
                </anchor>
              </controlPr>
            </control>
          </mc:Choice>
        </mc:AlternateContent>
        <mc:AlternateContent xmlns:mc="http://schemas.openxmlformats.org/markup-compatibility/2006">
          <mc:Choice Requires="x14">
            <control shapeId="6191" r:id="rId31" name="Drop Down 47">
              <controlPr defaultSize="0" autoLine="0" autoPict="0">
                <anchor moveWithCells="1">
                  <from>
                    <xdr:col>7</xdr:col>
                    <xdr:colOff>0</xdr:colOff>
                    <xdr:row>15</xdr:row>
                    <xdr:rowOff>0</xdr:rowOff>
                  </from>
                  <to>
                    <xdr:col>8</xdr:col>
                    <xdr:colOff>9525</xdr:colOff>
                    <xdr:row>16</xdr:row>
                    <xdr:rowOff>9525</xdr:rowOff>
                  </to>
                </anchor>
              </controlPr>
            </control>
          </mc:Choice>
        </mc:AlternateContent>
        <mc:AlternateContent xmlns:mc="http://schemas.openxmlformats.org/markup-compatibility/2006">
          <mc:Choice Requires="x14">
            <control shapeId="6192" r:id="rId32" name="Drop Down 48">
              <controlPr defaultSize="0" autoLine="0" autoPict="0">
                <anchor moveWithCells="1">
                  <from>
                    <xdr:col>8</xdr:col>
                    <xdr:colOff>0</xdr:colOff>
                    <xdr:row>12</xdr:row>
                    <xdr:rowOff>0</xdr:rowOff>
                  </from>
                  <to>
                    <xdr:col>9</xdr:col>
                    <xdr:colOff>0</xdr:colOff>
                    <xdr:row>13</xdr:row>
                    <xdr:rowOff>9525</xdr:rowOff>
                  </to>
                </anchor>
              </controlPr>
            </control>
          </mc:Choice>
        </mc:AlternateContent>
        <mc:AlternateContent xmlns:mc="http://schemas.openxmlformats.org/markup-compatibility/2006">
          <mc:Choice Requires="x14">
            <control shapeId="6193" r:id="rId33" name="Drop Down 49">
              <controlPr defaultSize="0" autoLine="0" autoPict="0">
                <anchor moveWithCells="1">
                  <from>
                    <xdr:col>8</xdr:col>
                    <xdr:colOff>0</xdr:colOff>
                    <xdr:row>13</xdr:row>
                    <xdr:rowOff>0</xdr:rowOff>
                  </from>
                  <to>
                    <xdr:col>9</xdr:col>
                    <xdr:colOff>0</xdr:colOff>
                    <xdr:row>14</xdr:row>
                    <xdr:rowOff>9525</xdr:rowOff>
                  </to>
                </anchor>
              </controlPr>
            </control>
          </mc:Choice>
        </mc:AlternateContent>
        <mc:AlternateContent xmlns:mc="http://schemas.openxmlformats.org/markup-compatibility/2006">
          <mc:Choice Requires="x14">
            <control shapeId="6194" r:id="rId34" name="Drop Down 50">
              <controlPr defaultSize="0" autoLine="0" autoPict="0">
                <anchor moveWithCells="1">
                  <from>
                    <xdr:col>8</xdr:col>
                    <xdr:colOff>0</xdr:colOff>
                    <xdr:row>14</xdr:row>
                    <xdr:rowOff>0</xdr:rowOff>
                  </from>
                  <to>
                    <xdr:col>9</xdr:col>
                    <xdr:colOff>0</xdr:colOff>
                    <xdr:row>15</xdr:row>
                    <xdr:rowOff>9525</xdr:rowOff>
                  </to>
                </anchor>
              </controlPr>
            </control>
          </mc:Choice>
        </mc:AlternateContent>
        <mc:AlternateContent xmlns:mc="http://schemas.openxmlformats.org/markup-compatibility/2006">
          <mc:Choice Requires="x14">
            <control shapeId="6195" r:id="rId35" name="Drop Down 51">
              <controlPr defaultSize="0" autoLine="0" autoPict="0">
                <anchor moveWithCells="1">
                  <from>
                    <xdr:col>8</xdr:col>
                    <xdr:colOff>0</xdr:colOff>
                    <xdr:row>15</xdr:row>
                    <xdr:rowOff>0</xdr:rowOff>
                  </from>
                  <to>
                    <xdr:col>9</xdr:col>
                    <xdr:colOff>0</xdr:colOff>
                    <xdr:row>16</xdr:row>
                    <xdr:rowOff>9525</xdr:rowOff>
                  </to>
                </anchor>
              </controlPr>
            </control>
          </mc:Choice>
        </mc:AlternateContent>
        <mc:AlternateContent xmlns:mc="http://schemas.openxmlformats.org/markup-compatibility/2006">
          <mc:Choice Requires="x14">
            <control shapeId="6198" r:id="rId36" name="Drop Down 54">
              <controlPr defaultSize="0" autoLine="0" autoPict="0">
                <anchor moveWithCells="1">
                  <from>
                    <xdr:col>1</xdr:col>
                    <xdr:colOff>0</xdr:colOff>
                    <xdr:row>13</xdr:row>
                    <xdr:rowOff>0</xdr:rowOff>
                  </from>
                  <to>
                    <xdr:col>2</xdr:col>
                    <xdr:colOff>0</xdr:colOff>
                    <xdr:row>14</xdr:row>
                    <xdr:rowOff>9525</xdr:rowOff>
                  </to>
                </anchor>
              </controlPr>
            </control>
          </mc:Choice>
        </mc:AlternateContent>
        <mc:AlternateContent xmlns:mc="http://schemas.openxmlformats.org/markup-compatibility/2006">
          <mc:Choice Requires="x14">
            <control shapeId="6199" r:id="rId37" name="Drop Down 55">
              <controlPr defaultSize="0" autoLine="0" autoPict="0">
                <anchor moveWithCells="1">
                  <from>
                    <xdr:col>1</xdr:col>
                    <xdr:colOff>0</xdr:colOff>
                    <xdr:row>14</xdr:row>
                    <xdr:rowOff>0</xdr:rowOff>
                  </from>
                  <to>
                    <xdr:col>2</xdr:col>
                    <xdr:colOff>0</xdr:colOff>
                    <xdr:row>15</xdr:row>
                    <xdr:rowOff>9525</xdr:rowOff>
                  </to>
                </anchor>
              </controlPr>
            </control>
          </mc:Choice>
        </mc:AlternateContent>
        <mc:AlternateContent xmlns:mc="http://schemas.openxmlformats.org/markup-compatibility/2006">
          <mc:Choice Requires="x14">
            <control shapeId="6200" r:id="rId38" name="Drop Down 56">
              <controlPr defaultSize="0" autoLine="0" autoPict="0">
                <anchor moveWithCells="1">
                  <from>
                    <xdr:col>1</xdr:col>
                    <xdr:colOff>0</xdr:colOff>
                    <xdr:row>15</xdr:row>
                    <xdr:rowOff>0</xdr:rowOff>
                  </from>
                  <to>
                    <xdr:col>2</xdr:col>
                    <xdr:colOff>0</xdr:colOff>
                    <xdr:row>16</xdr:row>
                    <xdr:rowOff>9525</xdr:rowOff>
                  </to>
                </anchor>
              </controlPr>
            </control>
          </mc:Choice>
        </mc:AlternateContent>
        <mc:AlternateContent xmlns:mc="http://schemas.openxmlformats.org/markup-compatibility/2006">
          <mc:Choice Requires="x14">
            <control shapeId="6204" r:id="rId39" name="Drop Down 60">
              <controlPr defaultSize="0" autoLine="0" autoPict="0">
                <anchor moveWithCells="1">
                  <from>
                    <xdr:col>4</xdr:col>
                    <xdr:colOff>0</xdr:colOff>
                    <xdr:row>12</xdr:row>
                    <xdr:rowOff>0</xdr:rowOff>
                  </from>
                  <to>
                    <xdr:col>4</xdr:col>
                    <xdr:colOff>1057275</xdr:colOff>
                    <xdr:row>13</xdr:row>
                    <xdr:rowOff>9525</xdr:rowOff>
                  </to>
                </anchor>
              </controlPr>
            </control>
          </mc:Choice>
        </mc:AlternateContent>
        <mc:AlternateContent xmlns:mc="http://schemas.openxmlformats.org/markup-compatibility/2006">
          <mc:Choice Requires="x14">
            <control shapeId="6210" r:id="rId40" name="Drop Down 66">
              <controlPr defaultSize="0" autoLine="0" autoPict="0">
                <anchor moveWithCells="1">
                  <from>
                    <xdr:col>4</xdr:col>
                    <xdr:colOff>0</xdr:colOff>
                    <xdr:row>13</xdr:row>
                    <xdr:rowOff>0</xdr:rowOff>
                  </from>
                  <to>
                    <xdr:col>4</xdr:col>
                    <xdr:colOff>1057275</xdr:colOff>
                    <xdr:row>14</xdr:row>
                    <xdr:rowOff>9525</xdr:rowOff>
                  </to>
                </anchor>
              </controlPr>
            </control>
          </mc:Choice>
        </mc:AlternateContent>
        <mc:AlternateContent xmlns:mc="http://schemas.openxmlformats.org/markup-compatibility/2006">
          <mc:Choice Requires="x14">
            <control shapeId="6211" r:id="rId41" name="Drop Down 67">
              <controlPr defaultSize="0" autoLine="0" autoPict="0">
                <anchor moveWithCells="1">
                  <from>
                    <xdr:col>4</xdr:col>
                    <xdr:colOff>0</xdr:colOff>
                    <xdr:row>13</xdr:row>
                    <xdr:rowOff>0</xdr:rowOff>
                  </from>
                  <to>
                    <xdr:col>4</xdr:col>
                    <xdr:colOff>1057275</xdr:colOff>
                    <xdr:row>14</xdr:row>
                    <xdr:rowOff>9525</xdr:rowOff>
                  </to>
                </anchor>
              </controlPr>
            </control>
          </mc:Choice>
        </mc:AlternateContent>
        <mc:AlternateContent xmlns:mc="http://schemas.openxmlformats.org/markup-compatibility/2006">
          <mc:Choice Requires="x14">
            <control shapeId="6212" r:id="rId42" name="Drop Down 68">
              <controlPr defaultSize="0" autoLine="0" autoPict="0">
                <anchor moveWithCells="1">
                  <from>
                    <xdr:col>4</xdr:col>
                    <xdr:colOff>0</xdr:colOff>
                    <xdr:row>14</xdr:row>
                    <xdr:rowOff>0</xdr:rowOff>
                  </from>
                  <to>
                    <xdr:col>4</xdr:col>
                    <xdr:colOff>1057275</xdr:colOff>
                    <xdr:row>15</xdr:row>
                    <xdr:rowOff>9525</xdr:rowOff>
                  </to>
                </anchor>
              </controlPr>
            </control>
          </mc:Choice>
        </mc:AlternateContent>
        <mc:AlternateContent xmlns:mc="http://schemas.openxmlformats.org/markup-compatibility/2006">
          <mc:Choice Requires="x14">
            <control shapeId="6213" r:id="rId43" name="Drop Down 69">
              <controlPr defaultSize="0" autoLine="0" autoPict="0">
                <anchor moveWithCells="1">
                  <from>
                    <xdr:col>4</xdr:col>
                    <xdr:colOff>0</xdr:colOff>
                    <xdr:row>14</xdr:row>
                    <xdr:rowOff>0</xdr:rowOff>
                  </from>
                  <to>
                    <xdr:col>4</xdr:col>
                    <xdr:colOff>1057275</xdr:colOff>
                    <xdr:row>15</xdr:row>
                    <xdr:rowOff>9525</xdr:rowOff>
                  </to>
                </anchor>
              </controlPr>
            </control>
          </mc:Choice>
        </mc:AlternateContent>
        <mc:AlternateContent xmlns:mc="http://schemas.openxmlformats.org/markup-compatibility/2006">
          <mc:Choice Requires="x14">
            <control shapeId="6214" r:id="rId44" name="Drop Down 70">
              <controlPr defaultSize="0" autoLine="0" autoPict="0">
                <anchor moveWithCells="1">
                  <from>
                    <xdr:col>4</xdr:col>
                    <xdr:colOff>0</xdr:colOff>
                    <xdr:row>15</xdr:row>
                    <xdr:rowOff>0</xdr:rowOff>
                  </from>
                  <to>
                    <xdr:col>4</xdr:col>
                    <xdr:colOff>1057275</xdr:colOff>
                    <xdr:row>16</xdr:row>
                    <xdr:rowOff>9525</xdr:rowOff>
                  </to>
                </anchor>
              </controlPr>
            </control>
          </mc:Choice>
        </mc:AlternateContent>
        <mc:AlternateContent xmlns:mc="http://schemas.openxmlformats.org/markup-compatibility/2006">
          <mc:Choice Requires="x14">
            <control shapeId="6215" r:id="rId45" name="Drop Down 71">
              <controlPr defaultSize="0" autoLine="0" autoPict="0">
                <anchor moveWithCells="1">
                  <from>
                    <xdr:col>4</xdr:col>
                    <xdr:colOff>0</xdr:colOff>
                    <xdr:row>15</xdr:row>
                    <xdr:rowOff>0</xdr:rowOff>
                  </from>
                  <to>
                    <xdr:col>4</xdr:col>
                    <xdr:colOff>1057275</xdr:colOff>
                    <xdr:row>16</xdr:row>
                    <xdr:rowOff>9525</xdr:rowOff>
                  </to>
                </anchor>
              </controlPr>
            </control>
          </mc:Choice>
        </mc:AlternateContent>
        <mc:AlternateContent xmlns:mc="http://schemas.openxmlformats.org/markup-compatibility/2006">
          <mc:Choice Requires="x14">
            <control shapeId="6222" r:id="rId46" name="Drop Down 78">
              <controlPr defaultSize="0" autoLine="0" autoPict="0">
                <anchor moveWithCells="1">
                  <from>
                    <xdr:col>13</xdr:col>
                    <xdr:colOff>0</xdr:colOff>
                    <xdr:row>4</xdr:row>
                    <xdr:rowOff>19050</xdr:rowOff>
                  </from>
                  <to>
                    <xdr:col>13</xdr:col>
                    <xdr:colOff>495300</xdr:colOff>
                    <xdr:row>5</xdr:row>
                    <xdr:rowOff>28575</xdr:rowOff>
                  </to>
                </anchor>
              </controlPr>
            </control>
          </mc:Choice>
        </mc:AlternateContent>
        <mc:AlternateContent xmlns:mc="http://schemas.openxmlformats.org/markup-compatibility/2006">
          <mc:Choice Requires="x14">
            <control shapeId="6223" r:id="rId47" name="Drop Down 79">
              <controlPr defaultSize="0" autoLine="0" autoPict="0">
                <anchor moveWithCells="1">
                  <from>
                    <xdr:col>13</xdr:col>
                    <xdr:colOff>0</xdr:colOff>
                    <xdr:row>5</xdr:row>
                    <xdr:rowOff>19050</xdr:rowOff>
                  </from>
                  <to>
                    <xdr:col>13</xdr:col>
                    <xdr:colOff>495300</xdr:colOff>
                    <xdr:row>6</xdr:row>
                    <xdr:rowOff>47625</xdr:rowOff>
                  </to>
                </anchor>
              </controlPr>
            </control>
          </mc:Choice>
        </mc:AlternateContent>
        <mc:AlternateContent xmlns:mc="http://schemas.openxmlformats.org/markup-compatibility/2006">
          <mc:Choice Requires="x14">
            <control shapeId="6224" r:id="rId48" name="Drop Down 80">
              <controlPr defaultSize="0" autoLine="0" autoPict="0">
                <anchor moveWithCells="1">
                  <from>
                    <xdr:col>13</xdr:col>
                    <xdr:colOff>0</xdr:colOff>
                    <xdr:row>6</xdr:row>
                    <xdr:rowOff>19050</xdr:rowOff>
                  </from>
                  <to>
                    <xdr:col>13</xdr:col>
                    <xdr:colOff>495300</xdr:colOff>
                    <xdr:row>7</xdr:row>
                    <xdr:rowOff>19050</xdr:rowOff>
                  </to>
                </anchor>
              </controlPr>
            </control>
          </mc:Choice>
        </mc:AlternateContent>
        <mc:AlternateContent xmlns:mc="http://schemas.openxmlformats.org/markup-compatibility/2006">
          <mc:Choice Requires="x14">
            <control shapeId="6225" r:id="rId49" name="Drop Down 81">
              <controlPr defaultSize="0" autoLine="0" autoPict="0">
                <anchor moveWithCells="1">
                  <from>
                    <xdr:col>13</xdr:col>
                    <xdr:colOff>0</xdr:colOff>
                    <xdr:row>7</xdr:row>
                    <xdr:rowOff>19050</xdr:rowOff>
                  </from>
                  <to>
                    <xdr:col>13</xdr:col>
                    <xdr:colOff>495300</xdr:colOff>
                    <xdr:row>8</xdr:row>
                    <xdr:rowOff>38100</xdr:rowOff>
                  </to>
                </anchor>
              </controlPr>
            </control>
          </mc:Choice>
        </mc:AlternateContent>
        <mc:AlternateContent xmlns:mc="http://schemas.openxmlformats.org/markup-compatibility/2006">
          <mc:Choice Requires="x14">
            <control shapeId="6227" r:id="rId50" name="Drop Down 83">
              <controlPr defaultSize="0" autoLine="0" autoPict="0">
                <anchor moveWithCells="1">
                  <from>
                    <xdr:col>4</xdr:col>
                    <xdr:colOff>0</xdr:colOff>
                    <xdr:row>36</xdr:row>
                    <xdr:rowOff>0</xdr:rowOff>
                  </from>
                  <to>
                    <xdr:col>4</xdr:col>
                    <xdr:colOff>1047750</xdr:colOff>
                    <xdr:row>36</xdr:row>
                    <xdr:rowOff>200025</xdr:rowOff>
                  </to>
                </anchor>
              </controlPr>
            </control>
          </mc:Choice>
        </mc:AlternateContent>
        <mc:AlternateContent xmlns:mc="http://schemas.openxmlformats.org/markup-compatibility/2006">
          <mc:Choice Requires="x14">
            <control shapeId="6228" r:id="rId51" name="Drop Down 84">
              <controlPr defaultSize="0" autoLine="0" autoPict="0">
                <anchor moveWithCells="1">
                  <from>
                    <xdr:col>4</xdr:col>
                    <xdr:colOff>0</xdr:colOff>
                    <xdr:row>37</xdr:row>
                    <xdr:rowOff>0</xdr:rowOff>
                  </from>
                  <to>
                    <xdr:col>4</xdr:col>
                    <xdr:colOff>1047750</xdr:colOff>
                    <xdr:row>38</xdr:row>
                    <xdr:rowOff>9525</xdr:rowOff>
                  </to>
                </anchor>
              </controlPr>
            </control>
          </mc:Choice>
        </mc:AlternateContent>
        <mc:AlternateContent xmlns:mc="http://schemas.openxmlformats.org/markup-compatibility/2006">
          <mc:Choice Requires="x14">
            <control shapeId="6229" r:id="rId52" name="Drop Down 85">
              <controlPr defaultSize="0" autoLine="0" autoPict="0">
                <anchor moveWithCells="1">
                  <from>
                    <xdr:col>4</xdr:col>
                    <xdr:colOff>0</xdr:colOff>
                    <xdr:row>38</xdr:row>
                    <xdr:rowOff>0</xdr:rowOff>
                  </from>
                  <to>
                    <xdr:col>4</xdr:col>
                    <xdr:colOff>1047750</xdr:colOff>
                    <xdr:row>39</xdr:row>
                    <xdr:rowOff>19050</xdr:rowOff>
                  </to>
                </anchor>
              </controlPr>
            </control>
          </mc:Choice>
        </mc:AlternateContent>
        <mc:AlternateContent xmlns:mc="http://schemas.openxmlformats.org/markup-compatibility/2006">
          <mc:Choice Requires="x14">
            <control shapeId="6230" r:id="rId53" name="Drop Down 86">
              <controlPr defaultSize="0" autoLine="0" autoPict="0">
                <anchor moveWithCells="1">
                  <from>
                    <xdr:col>4</xdr:col>
                    <xdr:colOff>0</xdr:colOff>
                    <xdr:row>39</xdr:row>
                    <xdr:rowOff>0</xdr:rowOff>
                  </from>
                  <to>
                    <xdr:col>4</xdr:col>
                    <xdr:colOff>1047750</xdr:colOff>
                    <xdr:row>40</xdr:row>
                    <xdr:rowOff>9525</xdr:rowOff>
                  </to>
                </anchor>
              </controlPr>
            </control>
          </mc:Choice>
        </mc:AlternateContent>
        <mc:AlternateContent xmlns:mc="http://schemas.openxmlformats.org/markup-compatibility/2006">
          <mc:Choice Requires="x14">
            <control shapeId="6231" r:id="rId54" name="Drop Down 87">
              <controlPr defaultSize="0" autoLine="0" autoPict="0">
                <anchor moveWithCells="1">
                  <from>
                    <xdr:col>2</xdr:col>
                    <xdr:colOff>0</xdr:colOff>
                    <xdr:row>37</xdr:row>
                    <xdr:rowOff>0</xdr:rowOff>
                  </from>
                  <to>
                    <xdr:col>4</xdr:col>
                    <xdr:colOff>9525</xdr:colOff>
                    <xdr:row>38</xdr:row>
                    <xdr:rowOff>9525</xdr:rowOff>
                  </to>
                </anchor>
              </controlPr>
            </control>
          </mc:Choice>
        </mc:AlternateContent>
        <mc:AlternateContent xmlns:mc="http://schemas.openxmlformats.org/markup-compatibility/2006">
          <mc:Choice Requires="x14">
            <control shapeId="6232" r:id="rId55" name="Drop Down 88">
              <controlPr defaultSize="0" autoLine="0" autoPict="0">
                <anchor moveWithCells="1">
                  <from>
                    <xdr:col>2</xdr:col>
                    <xdr:colOff>0</xdr:colOff>
                    <xdr:row>38</xdr:row>
                    <xdr:rowOff>0</xdr:rowOff>
                  </from>
                  <to>
                    <xdr:col>4</xdr:col>
                    <xdr:colOff>9525</xdr:colOff>
                    <xdr:row>39</xdr:row>
                    <xdr:rowOff>9525</xdr:rowOff>
                  </to>
                </anchor>
              </controlPr>
            </control>
          </mc:Choice>
        </mc:AlternateContent>
        <mc:AlternateContent xmlns:mc="http://schemas.openxmlformats.org/markup-compatibility/2006">
          <mc:Choice Requires="x14">
            <control shapeId="6233" r:id="rId56" name="Drop Down 89">
              <controlPr defaultSize="0" autoLine="0" autoPict="0">
                <anchor moveWithCells="1">
                  <from>
                    <xdr:col>2</xdr:col>
                    <xdr:colOff>0</xdr:colOff>
                    <xdr:row>39</xdr:row>
                    <xdr:rowOff>0</xdr:rowOff>
                  </from>
                  <to>
                    <xdr:col>4</xdr:col>
                    <xdr:colOff>9525</xdr:colOff>
                    <xdr:row>40</xdr:row>
                    <xdr:rowOff>9525</xdr:rowOff>
                  </to>
                </anchor>
              </controlPr>
            </control>
          </mc:Choice>
        </mc:AlternateContent>
        <mc:AlternateContent xmlns:mc="http://schemas.openxmlformats.org/markup-compatibility/2006">
          <mc:Choice Requires="x14">
            <control shapeId="6235" r:id="rId57" name="Drop Down 91">
              <controlPr defaultSize="0" autoLine="0" autoPict="0">
                <anchor moveWithCells="1">
                  <from>
                    <xdr:col>2</xdr:col>
                    <xdr:colOff>0</xdr:colOff>
                    <xdr:row>36</xdr:row>
                    <xdr:rowOff>0</xdr:rowOff>
                  </from>
                  <to>
                    <xdr:col>4</xdr:col>
                    <xdr:colOff>9525</xdr:colOff>
                    <xdr:row>36</xdr:row>
                    <xdr:rowOff>200025</xdr:rowOff>
                  </to>
                </anchor>
              </controlPr>
            </control>
          </mc:Choice>
        </mc:AlternateContent>
        <mc:AlternateContent xmlns:mc="http://schemas.openxmlformats.org/markup-compatibility/2006">
          <mc:Choice Requires="x14">
            <control shapeId="6241" r:id="rId58" name="Drop Down 97">
              <controlPr defaultSize="0" autoLine="0" autoPict="0">
                <anchor moveWithCells="1">
                  <from>
                    <xdr:col>12</xdr:col>
                    <xdr:colOff>0</xdr:colOff>
                    <xdr:row>4</xdr:row>
                    <xdr:rowOff>0</xdr:rowOff>
                  </from>
                  <to>
                    <xdr:col>13</xdr:col>
                    <xdr:colOff>9525</xdr:colOff>
                    <xdr:row>5</xdr:row>
                    <xdr:rowOff>19050</xdr:rowOff>
                  </to>
                </anchor>
              </controlPr>
            </control>
          </mc:Choice>
        </mc:AlternateContent>
        <mc:AlternateContent xmlns:mc="http://schemas.openxmlformats.org/markup-compatibility/2006">
          <mc:Choice Requires="x14">
            <control shapeId="6242" r:id="rId59" name="Drop Down 98">
              <controlPr defaultSize="0" autoLine="0" autoPict="0">
                <anchor moveWithCells="1">
                  <from>
                    <xdr:col>12</xdr:col>
                    <xdr:colOff>0</xdr:colOff>
                    <xdr:row>5</xdr:row>
                    <xdr:rowOff>0</xdr:rowOff>
                  </from>
                  <to>
                    <xdr:col>13</xdr:col>
                    <xdr:colOff>9525</xdr:colOff>
                    <xdr:row>6</xdr:row>
                    <xdr:rowOff>28575</xdr:rowOff>
                  </to>
                </anchor>
              </controlPr>
            </control>
          </mc:Choice>
        </mc:AlternateContent>
        <mc:AlternateContent xmlns:mc="http://schemas.openxmlformats.org/markup-compatibility/2006">
          <mc:Choice Requires="x14">
            <control shapeId="6243" r:id="rId60" name="Drop Down 99">
              <controlPr defaultSize="0" autoLine="0" autoPict="0">
                <anchor moveWithCells="1">
                  <from>
                    <xdr:col>12</xdr:col>
                    <xdr:colOff>0</xdr:colOff>
                    <xdr:row>6</xdr:row>
                    <xdr:rowOff>0</xdr:rowOff>
                  </from>
                  <to>
                    <xdr:col>13</xdr:col>
                    <xdr:colOff>9525</xdr:colOff>
                    <xdr:row>7</xdr:row>
                    <xdr:rowOff>0</xdr:rowOff>
                  </to>
                </anchor>
              </controlPr>
            </control>
          </mc:Choice>
        </mc:AlternateContent>
        <mc:AlternateContent xmlns:mc="http://schemas.openxmlformats.org/markup-compatibility/2006">
          <mc:Choice Requires="x14">
            <control shapeId="6244" r:id="rId61" name="Drop Down 100">
              <controlPr defaultSize="0" autoLine="0" autoPict="0">
                <anchor moveWithCells="1">
                  <from>
                    <xdr:col>12</xdr:col>
                    <xdr:colOff>0</xdr:colOff>
                    <xdr:row>7</xdr:row>
                    <xdr:rowOff>0</xdr:rowOff>
                  </from>
                  <to>
                    <xdr:col>13</xdr:col>
                    <xdr:colOff>9525</xdr:colOff>
                    <xdr:row>8</xdr:row>
                    <xdr:rowOff>19050</xdr:rowOff>
                  </to>
                </anchor>
              </controlPr>
            </control>
          </mc:Choice>
        </mc:AlternateContent>
        <mc:AlternateContent xmlns:mc="http://schemas.openxmlformats.org/markup-compatibility/2006">
          <mc:Choice Requires="x14">
            <control shapeId="6246" r:id="rId62" name="Drop Down 102">
              <controlPr defaultSize="0" autoLine="0" autoPict="0">
                <anchor moveWithCells="1">
                  <from>
                    <xdr:col>11</xdr:col>
                    <xdr:colOff>0</xdr:colOff>
                    <xdr:row>12</xdr:row>
                    <xdr:rowOff>0</xdr:rowOff>
                  </from>
                  <to>
                    <xdr:col>12</xdr:col>
                    <xdr:colOff>600075</xdr:colOff>
                    <xdr:row>13</xdr:row>
                    <xdr:rowOff>19050</xdr:rowOff>
                  </to>
                </anchor>
              </controlPr>
            </control>
          </mc:Choice>
        </mc:AlternateContent>
        <mc:AlternateContent xmlns:mc="http://schemas.openxmlformats.org/markup-compatibility/2006">
          <mc:Choice Requires="x14">
            <control shapeId="6247" r:id="rId63" name="Drop Down 103">
              <controlPr defaultSize="0" autoLine="0" autoPict="0">
                <anchor moveWithCells="1">
                  <from>
                    <xdr:col>11</xdr:col>
                    <xdr:colOff>0</xdr:colOff>
                    <xdr:row>13</xdr:row>
                    <xdr:rowOff>0</xdr:rowOff>
                  </from>
                  <to>
                    <xdr:col>12</xdr:col>
                    <xdr:colOff>600075</xdr:colOff>
                    <xdr:row>14</xdr:row>
                    <xdr:rowOff>19050</xdr:rowOff>
                  </to>
                </anchor>
              </controlPr>
            </control>
          </mc:Choice>
        </mc:AlternateContent>
        <mc:AlternateContent xmlns:mc="http://schemas.openxmlformats.org/markup-compatibility/2006">
          <mc:Choice Requires="x14">
            <control shapeId="6248" r:id="rId64" name="Drop Down 104">
              <controlPr defaultSize="0" autoLine="0" autoPict="0">
                <anchor moveWithCells="1">
                  <from>
                    <xdr:col>11</xdr:col>
                    <xdr:colOff>0</xdr:colOff>
                    <xdr:row>14</xdr:row>
                    <xdr:rowOff>0</xdr:rowOff>
                  </from>
                  <to>
                    <xdr:col>12</xdr:col>
                    <xdr:colOff>600075</xdr:colOff>
                    <xdr:row>15</xdr:row>
                    <xdr:rowOff>19050</xdr:rowOff>
                  </to>
                </anchor>
              </controlPr>
            </control>
          </mc:Choice>
        </mc:AlternateContent>
        <mc:AlternateContent xmlns:mc="http://schemas.openxmlformats.org/markup-compatibility/2006">
          <mc:Choice Requires="x14">
            <control shapeId="6249" r:id="rId65" name="Drop Down 105">
              <controlPr defaultSize="0" autoLine="0" autoPict="0">
                <anchor moveWithCells="1">
                  <from>
                    <xdr:col>11</xdr:col>
                    <xdr:colOff>0</xdr:colOff>
                    <xdr:row>15</xdr:row>
                    <xdr:rowOff>0</xdr:rowOff>
                  </from>
                  <to>
                    <xdr:col>12</xdr:col>
                    <xdr:colOff>600075</xdr:colOff>
                    <xdr:row>16</xdr:row>
                    <xdr:rowOff>19050</xdr:rowOff>
                  </to>
                </anchor>
              </controlPr>
            </control>
          </mc:Choice>
        </mc:AlternateContent>
        <mc:AlternateContent xmlns:mc="http://schemas.openxmlformats.org/markup-compatibility/2006">
          <mc:Choice Requires="x14">
            <control shapeId="6251" r:id="rId66" name="Drop Down 107">
              <controlPr defaultSize="0" autoLine="0" autoPict="0">
                <anchor moveWithCells="1">
                  <from>
                    <xdr:col>4</xdr:col>
                    <xdr:colOff>0</xdr:colOff>
                    <xdr:row>22</xdr:row>
                    <xdr:rowOff>0</xdr:rowOff>
                  </from>
                  <to>
                    <xdr:col>4</xdr:col>
                    <xdr:colOff>1028700</xdr:colOff>
                    <xdr:row>22</xdr:row>
                    <xdr:rowOff>200025</xdr:rowOff>
                  </to>
                </anchor>
              </controlPr>
            </control>
          </mc:Choice>
        </mc:AlternateContent>
        <mc:AlternateContent xmlns:mc="http://schemas.openxmlformats.org/markup-compatibility/2006">
          <mc:Choice Requires="x14">
            <control shapeId="6252" r:id="rId67" name="Drop Down 108">
              <controlPr defaultSize="0" autoLine="0" autoPict="0">
                <anchor moveWithCells="1">
                  <from>
                    <xdr:col>1</xdr:col>
                    <xdr:colOff>9525</xdr:colOff>
                    <xdr:row>23</xdr:row>
                    <xdr:rowOff>19050</xdr:rowOff>
                  </from>
                  <to>
                    <xdr:col>3</xdr:col>
                    <xdr:colOff>733425</xdr:colOff>
                    <xdr:row>24</xdr:row>
                    <xdr:rowOff>9525</xdr:rowOff>
                  </to>
                </anchor>
              </controlPr>
            </control>
          </mc:Choice>
        </mc:AlternateContent>
        <mc:AlternateContent xmlns:mc="http://schemas.openxmlformats.org/markup-compatibility/2006">
          <mc:Choice Requires="x14">
            <control shapeId="6253" r:id="rId68" name="Drop Down 109">
              <controlPr defaultSize="0" autoLine="0" autoPict="0">
                <anchor moveWithCells="1">
                  <from>
                    <xdr:col>1</xdr:col>
                    <xdr:colOff>9525</xdr:colOff>
                    <xdr:row>24</xdr:row>
                    <xdr:rowOff>19050</xdr:rowOff>
                  </from>
                  <to>
                    <xdr:col>3</xdr:col>
                    <xdr:colOff>733425</xdr:colOff>
                    <xdr:row>25</xdr:row>
                    <xdr:rowOff>28575</xdr:rowOff>
                  </to>
                </anchor>
              </controlPr>
            </control>
          </mc:Choice>
        </mc:AlternateContent>
        <mc:AlternateContent xmlns:mc="http://schemas.openxmlformats.org/markup-compatibility/2006">
          <mc:Choice Requires="x14">
            <control shapeId="6254" r:id="rId69" name="Drop Down 110">
              <controlPr defaultSize="0" autoLine="0" autoPict="0">
                <anchor moveWithCells="1">
                  <from>
                    <xdr:col>1</xdr:col>
                    <xdr:colOff>0</xdr:colOff>
                    <xdr:row>25</xdr:row>
                    <xdr:rowOff>28575</xdr:rowOff>
                  </from>
                  <to>
                    <xdr:col>3</xdr:col>
                    <xdr:colOff>723900</xdr:colOff>
                    <xdr:row>26</xdr:row>
                    <xdr:rowOff>9525</xdr:rowOff>
                  </to>
                </anchor>
              </controlPr>
            </control>
          </mc:Choice>
        </mc:AlternateContent>
        <mc:AlternateContent xmlns:mc="http://schemas.openxmlformats.org/markup-compatibility/2006">
          <mc:Choice Requires="x14">
            <control shapeId="6255" r:id="rId70" name="Drop Down 111">
              <controlPr defaultSize="0" autoLine="0" autoPict="0">
                <anchor moveWithCells="1">
                  <from>
                    <xdr:col>4</xdr:col>
                    <xdr:colOff>0</xdr:colOff>
                    <xdr:row>23</xdr:row>
                    <xdr:rowOff>0</xdr:rowOff>
                  </from>
                  <to>
                    <xdr:col>4</xdr:col>
                    <xdr:colOff>1028700</xdr:colOff>
                    <xdr:row>23</xdr:row>
                    <xdr:rowOff>200025</xdr:rowOff>
                  </to>
                </anchor>
              </controlPr>
            </control>
          </mc:Choice>
        </mc:AlternateContent>
        <mc:AlternateContent xmlns:mc="http://schemas.openxmlformats.org/markup-compatibility/2006">
          <mc:Choice Requires="x14">
            <control shapeId="6256" r:id="rId71" name="Drop Down 112">
              <controlPr defaultSize="0" autoLine="0" autoPict="0">
                <anchor moveWithCells="1">
                  <from>
                    <xdr:col>4</xdr:col>
                    <xdr:colOff>0</xdr:colOff>
                    <xdr:row>24</xdr:row>
                    <xdr:rowOff>0</xdr:rowOff>
                  </from>
                  <to>
                    <xdr:col>4</xdr:col>
                    <xdr:colOff>1028700</xdr:colOff>
                    <xdr:row>24</xdr:row>
                    <xdr:rowOff>200025</xdr:rowOff>
                  </to>
                </anchor>
              </controlPr>
            </control>
          </mc:Choice>
        </mc:AlternateContent>
        <mc:AlternateContent xmlns:mc="http://schemas.openxmlformats.org/markup-compatibility/2006">
          <mc:Choice Requires="x14">
            <control shapeId="6257" r:id="rId72" name="Drop Down 113">
              <controlPr defaultSize="0" autoLine="0" autoPict="0">
                <anchor moveWithCells="1">
                  <from>
                    <xdr:col>4</xdr:col>
                    <xdr:colOff>0</xdr:colOff>
                    <xdr:row>25</xdr:row>
                    <xdr:rowOff>0</xdr:rowOff>
                  </from>
                  <to>
                    <xdr:col>4</xdr:col>
                    <xdr:colOff>1028700</xdr:colOff>
                    <xdr:row>25</xdr:row>
                    <xdr:rowOff>200025</xdr:rowOff>
                  </to>
                </anchor>
              </controlPr>
            </control>
          </mc:Choice>
        </mc:AlternateContent>
        <mc:AlternateContent xmlns:mc="http://schemas.openxmlformats.org/markup-compatibility/2006">
          <mc:Choice Requires="x14">
            <control shapeId="6259" r:id="rId73" name="Drop Down 115">
              <controlPr defaultSize="0" autoLine="0" autoPict="0">
                <anchor moveWithCells="1">
                  <from>
                    <xdr:col>1</xdr:col>
                    <xdr:colOff>0</xdr:colOff>
                    <xdr:row>22</xdr:row>
                    <xdr:rowOff>9525</xdr:rowOff>
                  </from>
                  <to>
                    <xdr:col>3</xdr:col>
                    <xdr:colOff>723900</xdr:colOff>
                    <xdr:row>23</xdr:row>
                    <xdr:rowOff>9525</xdr:rowOff>
                  </to>
                </anchor>
              </controlPr>
            </control>
          </mc:Choice>
        </mc:AlternateContent>
        <mc:AlternateContent xmlns:mc="http://schemas.openxmlformats.org/markup-compatibility/2006">
          <mc:Choice Requires="x14">
            <control shapeId="6260" r:id="rId74" name="Drop Down 116">
              <controlPr defaultSize="0" autoLine="0" autoPict="0">
                <anchor moveWithCells="1">
                  <from>
                    <xdr:col>4</xdr:col>
                    <xdr:colOff>0</xdr:colOff>
                    <xdr:row>29</xdr:row>
                    <xdr:rowOff>0</xdr:rowOff>
                  </from>
                  <to>
                    <xdr:col>4</xdr:col>
                    <xdr:colOff>1028700</xdr:colOff>
                    <xdr:row>29</xdr:row>
                    <xdr:rowOff>200025</xdr:rowOff>
                  </to>
                </anchor>
              </controlPr>
            </control>
          </mc:Choice>
        </mc:AlternateContent>
        <mc:AlternateContent xmlns:mc="http://schemas.openxmlformats.org/markup-compatibility/2006">
          <mc:Choice Requires="x14">
            <control shapeId="6261" r:id="rId75" name="Drop Down 117">
              <controlPr defaultSize="0" autoLine="0" autoPict="0">
                <anchor moveWithCells="1">
                  <from>
                    <xdr:col>4</xdr:col>
                    <xdr:colOff>0</xdr:colOff>
                    <xdr:row>30</xdr:row>
                    <xdr:rowOff>0</xdr:rowOff>
                  </from>
                  <to>
                    <xdr:col>4</xdr:col>
                    <xdr:colOff>1028700</xdr:colOff>
                    <xdr:row>30</xdr:row>
                    <xdr:rowOff>200025</xdr:rowOff>
                  </to>
                </anchor>
              </controlPr>
            </control>
          </mc:Choice>
        </mc:AlternateContent>
        <mc:AlternateContent xmlns:mc="http://schemas.openxmlformats.org/markup-compatibility/2006">
          <mc:Choice Requires="x14">
            <control shapeId="6262" r:id="rId76" name="Drop Down 118">
              <controlPr defaultSize="0" autoLine="0" autoPict="0">
                <anchor moveWithCells="1">
                  <from>
                    <xdr:col>4</xdr:col>
                    <xdr:colOff>0</xdr:colOff>
                    <xdr:row>31</xdr:row>
                    <xdr:rowOff>0</xdr:rowOff>
                  </from>
                  <to>
                    <xdr:col>4</xdr:col>
                    <xdr:colOff>1028700</xdr:colOff>
                    <xdr:row>31</xdr:row>
                    <xdr:rowOff>200025</xdr:rowOff>
                  </to>
                </anchor>
              </controlPr>
            </control>
          </mc:Choice>
        </mc:AlternateContent>
        <mc:AlternateContent xmlns:mc="http://schemas.openxmlformats.org/markup-compatibility/2006">
          <mc:Choice Requires="x14">
            <control shapeId="6263" r:id="rId77" name="Drop Down 119">
              <controlPr defaultSize="0" autoLine="0" autoPict="0">
                <anchor moveWithCells="1">
                  <from>
                    <xdr:col>4</xdr:col>
                    <xdr:colOff>0</xdr:colOff>
                    <xdr:row>32</xdr:row>
                    <xdr:rowOff>0</xdr:rowOff>
                  </from>
                  <to>
                    <xdr:col>4</xdr:col>
                    <xdr:colOff>1028700</xdr:colOff>
                    <xdr:row>32</xdr:row>
                    <xdr:rowOff>200025</xdr:rowOff>
                  </to>
                </anchor>
              </controlPr>
            </control>
          </mc:Choice>
        </mc:AlternateContent>
        <mc:AlternateContent xmlns:mc="http://schemas.openxmlformats.org/markup-compatibility/2006">
          <mc:Choice Requires="x14">
            <control shapeId="6264" r:id="rId78" name="Drop Down 120">
              <controlPr defaultSize="0" autoLine="0" autoPict="0">
                <anchor moveWithCells="1">
                  <from>
                    <xdr:col>1</xdr:col>
                    <xdr:colOff>0</xdr:colOff>
                    <xdr:row>29</xdr:row>
                    <xdr:rowOff>9525</xdr:rowOff>
                  </from>
                  <to>
                    <xdr:col>3</xdr:col>
                    <xdr:colOff>723900</xdr:colOff>
                    <xdr:row>30</xdr:row>
                    <xdr:rowOff>9525</xdr:rowOff>
                  </to>
                </anchor>
              </controlPr>
            </control>
          </mc:Choice>
        </mc:AlternateContent>
        <mc:AlternateContent xmlns:mc="http://schemas.openxmlformats.org/markup-compatibility/2006">
          <mc:Choice Requires="x14">
            <control shapeId="6265" r:id="rId79" name="Drop Down 121">
              <controlPr defaultSize="0" autoLine="0" autoPict="0">
                <anchor moveWithCells="1">
                  <from>
                    <xdr:col>1</xdr:col>
                    <xdr:colOff>0</xdr:colOff>
                    <xdr:row>30</xdr:row>
                    <xdr:rowOff>9525</xdr:rowOff>
                  </from>
                  <to>
                    <xdr:col>3</xdr:col>
                    <xdr:colOff>723900</xdr:colOff>
                    <xdr:row>31</xdr:row>
                    <xdr:rowOff>19050</xdr:rowOff>
                  </to>
                </anchor>
              </controlPr>
            </control>
          </mc:Choice>
        </mc:AlternateContent>
        <mc:AlternateContent xmlns:mc="http://schemas.openxmlformats.org/markup-compatibility/2006">
          <mc:Choice Requires="x14">
            <control shapeId="6266" r:id="rId80" name="Drop Down 122">
              <controlPr defaultSize="0" autoLine="0" autoPict="0">
                <anchor moveWithCells="1">
                  <from>
                    <xdr:col>1</xdr:col>
                    <xdr:colOff>0</xdr:colOff>
                    <xdr:row>31</xdr:row>
                    <xdr:rowOff>9525</xdr:rowOff>
                  </from>
                  <to>
                    <xdr:col>3</xdr:col>
                    <xdr:colOff>723900</xdr:colOff>
                    <xdr:row>32</xdr:row>
                    <xdr:rowOff>9525</xdr:rowOff>
                  </to>
                </anchor>
              </controlPr>
            </control>
          </mc:Choice>
        </mc:AlternateContent>
        <mc:AlternateContent xmlns:mc="http://schemas.openxmlformats.org/markup-compatibility/2006">
          <mc:Choice Requires="x14">
            <control shapeId="6267" r:id="rId81" name="Drop Down 123">
              <controlPr defaultSize="0" autoLine="0" autoPict="0">
                <anchor moveWithCells="1">
                  <from>
                    <xdr:col>1</xdr:col>
                    <xdr:colOff>0</xdr:colOff>
                    <xdr:row>32</xdr:row>
                    <xdr:rowOff>9525</xdr:rowOff>
                  </from>
                  <to>
                    <xdr:col>3</xdr:col>
                    <xdr:colOff>723900</xdr:colOff>
                    <xdr:row>33</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33</vt:i4>
      </vt:variant>
    </vt:vector>
  </HeadingPairs>
  <TitlesOfParts>
    <vt:vector size="33" baseType="lpstr">
      <vt:lpstr>Disclaimer </vt:lpstr>
      <vt:lpstr>Invoer Algemeen</vt:lpstr>
      <vt:lpstr>Invoer energieverbruik</vt:lpstr>
      <vt:lpstr>Invoer eigenopwekking</vt:lpstr>
      <vt:lpstr>Verwerken eigenopwekking</vt:lpstr>
      <vt:lpstr>Fitten energieverbruik</vt:lpstr>
      <vt:lpstr>Invoer Gebouwschil</vt:lpstr>
      <vt:lpstr>Verwerking Bouwdelen</vt:lpstr>
      <vt:lpstr>Invoer verwarming en tapwater</vt:lpstr>
      <vt:lpstr>Invoer Ventilatie</vt:lpstr>
      <vt:lpstr>Invoer verlichting</vt:lpstr>
      <vt:lpstr>Verwerken verlichting</vt:lpstr>
      <vt:lpstr>Invoer Lokaal Type 1</vt:lpstr>
      <vt:lpstr>Invoer Lokaal Type 2</vt:lpstr>
      <vt:lpstr>Invoer Lokaal Type 3</vt:lpstr>
      <vt:lpstr>Invoer Lokaal Type 4</vt:lpstr>
      <vt:lpstr>Verwerken Verwarming en Tapwate</vt:lpstr>
      <vt:lpstr>Verwerken ventilatie</vt:lpstr>
      <vt:lpstr>binnenklimaatlabel type 1</vt:lpstr>
      <vt:lpstr>binnenklimaatlabel type 2</vt:lpstr>
      <vt:lpstr>binnenklimaatlabel type 3</vt:lpstr>
      <vt:lpstr>binnenklimaatlabel type 4</vt:lpstr>
      <vt:lpstr>Menu´s Binnenklimaat</vt:lpstr>
      <vt:lpstr>Bouwdeel 1 (fit)</vt:lpstr>
      <vt:lpstr>Bouwdeel 2 (fit)</vt:lpstr>
      <vt:lpstr>Bouwdeel 3 (fit)</vt:lpstr>
      <vt:lpstr>Bouwdeel 4 (fit)</vt:lpstr>
      <vt:lpstr>Kosten en Baten maatregelen</vt:lpstr>
      <vt:lpstr>Verwerken Algemeen</vt:lpstr>
      <vt:lpstr>Uitvoer Rapportage</vt:lpstr>
      <vt:lpstr>Klimaatdata</vt:lpstr>
      <vt:lpstr>Energiebelasting en transport</vt:lpstr>
      <vt:lpstr>Kosten kengetallen</vt:lpstr>
    </vt:vector>
  </TitlesOfParts>
  <Company>Enerdeco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Moelard</dc:creator>
  <cp:lastModifiedBy>I THIJSSEN</cp:lastModifiedBy>
  <cp:lastPrinted>2009-10-20T17:59:19Z</cp:lastPrinted>
  <dcterms:created xsi:type="dcterms:W3CDTF">2006-11-08T08:54:43Z</dcterms:created>
  <dcterms:modified xsi:type="dcterms:W3CDTF">2016-03-12T18:57:41Z</dcterms:modified>
</cp:coreProperties>
</file>